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3\"/>
    </mc:Choice>
  </mc:AlternateContent>
  <xr:revisionPtr revIDLastSave="0" documentId="13_ncr:1_{A7EE93B2-18D2-4AFF-8555-9D7103CF7D5C}" xr6:coauthVersionLast="45" xr6:coauthVersionMax="45" xr10:uidLastSave="{00000000-0000-0000-0000-000000000000}"/>
  <bookViews>
    <workbookView xWindow="10980" yWindow="105" windowWidth="17580" windowHeight="14985" xr2:uid="{00000000-000D-0000-FFFF-FFFF00000000}"/>
  </bookViews>
  <sheets>
    <sheet name="HDAA|0290" sheetId="12" r:id="rId1"/>
    <sheet name="HDAA|0499" sheetId="13" r:id="rId2"/>
    <sheet name="Data" sheetId="5" r:id="rId3"/>
    <sheet name="Benefits" sheetId="7" r:id="rId4"/>
    <sheet name="B6" sheetId="8" r:id="rId5"/>
    <sheet name="Summary" sheetId="9" r:id="rId6"/>
    <sheet name="FundSummary" sheetId="11" r:id="rId7"/>
  </sheets>
  <externalReferences>
    <externalReference r:id="rId8"/>
  </externalReferences>
  <definedNames>
    <definedName name="AdjGroupSalary" localSheetId="0">'HDAA|0290'!$G$39</definedName>
    <definedName name="AdjGroupSalary" localSheetId="1">'HDAA|0499'!$G$39</definedName>
    <definedName name="AdjGroupSalary">'B6'!$G$39</definedName>
    <definedName name="AdjGroupVB" localSheetId="0">'HDAA|0290'!$I$39</definedName>
    <definedName name="AdjGroupVB" localSheetId="1">'HDAA|0499'!$I$39</definedName>
    <definedName name="AdjGroupVB">'B6'!$I$39</definedName>
    <definedName name="AdjGroupVBBY" localSheetId="0">'HDAA|0290'!$M$39</definedName>
    <definedName name="AdjGroupVBBY" localSheetId="1">'HDAA|0499'!$M$39</definedName>
    <definedName name="AdjGroupVBBY">'B6'!$M$39</definedName>
    <definedName name="AdjPermHlth" localSheetId="0">'HDAA|0290'!$H$38</definedName>
    <definedName name="AdjPermHlth" localSheetId="1">'HDAA|0499'!$H$38</definedName>
    <definedName name="AdjPermHlth">'B6'!$H$38</definedName>
    <definedName name="AdjPermHlthVB" localSheetId="0">'HDAA|0290'!$L$38</definedName>
    <definedName name="AdjPermHlthVB" localSheetId="1">'HDAA|0499'!$L$38</definedName>
    <definedName name="AdjPermHlthVB">'B6'!$L$38</definedName>
    <definedName name="AdjPermSalary" localSheetId="0">'HDAA|0290'!$G$38</definedName>
    <definedName name="AdjPermSalary" localSheetId="1">'HDAA|0499'!$G$38</definedName>
    <definedName name="AdjPermSalary">'B6'!$G$38</definedName>
    <definedName name="AdjPermVB" localSheetId="0">'HDAA|0290'!$I$38</definedName>
    <definedName name="AdjPermVB" localSheetId="1">'HDAA|0499'!$I$38</definedName>
    <definedName name="AdjPermVB">'B6'!$I$38</definedName>
    <definedName name="AdjPermVBBY" localSheetId="0">'HDAA|0290'!$M$38</definedName>
    <definedName name="AdjPermVBBY" localSheetId="1">'HDAA|0499'!$M$38</definedName>
    <definedName name="AdjPermVBBY">'B6'!$M$38</definedName>
    <definedName name="AdjustedTotal" localSheetId="6">[1]B6!$J$16</definedName>
    <definedName name="AdjustedTotal" localSheetId="0">'HDAA|0290'!$J$16</definedName>
    <definedName name="AdjustedTotal" localSheetId="1">'HDAA|0499'!$J$16</definedName>
    <definedName name="AdjustedTotal">'B6'!$J$16</definedName>
    <definedName name="AgencyNum" localSheetId="0">'HDAA|0290'!$M$1</definedName>
    <definedName name="AgencyNum" localSheetId="1">'HDAA|0499'!$M$1</definedName>
    <definedName name="AgencyNum">'B6'!$M$1</definedName>
    <definedName name="AppropFTP" localSheetId="6">[1]B6!$F$15</definedName>
    <definedName name="AppropFTP" localSheetId="0">'HDAA|0290'!$F$15</definedName>
    <definedName name="AppropFTP" localSheetId="1">'HDAA|0499'!$F$15</definedName>
    <definedName name="AppropFTP">'B6'!$F$15</definedName>
    <definedName name="AppropTotal" localSheetId="6">[1]B6!$J$15</definedName>
    <definedName name="AppropTotal" localSheetId="0">'HDAA|0290'!$J$15</definedName>
    <definedName name="AppropTotal" localSheetId="1">'HDAA|0499'!$J$15</definedName>
    <definedName name="AppropTotal">'B6'!$J$15</definedName>
    <definedName name="AtZHealth" localSheetId="0">'HDAA|0290'!$H$46</definedName>
    <definedName name="AtZHealth" localSheetId="1">'HDAA|0499'!$H$46</definedName>
    <definedName name="AtZHealth">'B6'!$H$46</definedName>
    <definedName name="AtZSalary" localSheetId="6">[1]B6!$G$46</definedName>
    <definedName name="AtZSalary" localSheetId="0">'HDAA|0290'!$G$46</definedName>
    <definedName name="AtZSalary" localSheetId="1">'HDAA|0499'!$G$46</definedName>
    <definedName name="AtZSalary">'B6'!$G$46</definedName>
    <definedName name="AtZTotal" localSheetId="6">[1]B6!$J$46</definedName>
    <definedName name="AtZTotal" localSheetId="0">'HDAA|0290'!$J$46</definedName>
    <definedName name="AtZTotal" localSheetId="1">'HDAA|0499'!$J$46</definedName>
    <definedName name="AtZTotal">'B6'!$J$46</definedName>
    <definedName name="AtZVarBen" localSheetId="0">'HDAA|0290'!$I$46</definedName>
    <definedName name="AtZVarBen" localSheetId="1">'HDAA|0499'!$I$46</definedName>
    <definedName name="AtZVarBen">'B6'!$I$46</definedName>
    <definedName name="BucketActualsFundSplit" localSheetId="0">'HDAA|0290'!$E$85</definedName>
    <definedName name="BucketActualsFundSplit" localSheetId="1">'HDAA|0499'!$E$85</definedName>
    <definedName name="BucketActualsFundSplit">'B6'!$E$85</definedName>
    <definedName name="BucketActualsFundTotal" localSheetId="0">'HDAA|0290'!$F$85</definedName>
    <definedName name="BucketActualsFundTotal" localSheetId="1">'HDAA|0499'!$F$85</definedName>
    <definedName name="BucketActualsFundTotal">'B6'!$F$85</definedName>
    <definedName name="BucketFundName1" localSheetId="0">'HDAA|0290'!$D$86</definedName>
    <definedName name="BucketFundName1" localSheetId="1">'HDAA|0499'!$D$86</definedName>
    <definedName name="BucketFundName1">'B6'!$D$86</definedName>
    <definedName name="BucketFundName10" localSheetId="0">'HDAA|0290'!$D$95</definedName>
    <definedName name="BucketFundName10" localSheetId="1">'HDAA|0499'!$D$95</definedName>
    <definedName name="BucketFundName10">'B6'!$D$95</definedName>
    <definedName name="BucketFundName2" localSheetId="0">'HDAA|0290'!$D$87</definedName>
    <definedName name="BucketFundName2" localSheetId="1">'HDAA|0499'!$D$87</definedName>
    <definedName name="BucketFundName2">'B6'!$D$87</definedName>
    <definedName name="BucketFundName3" localSheetId="0">'HDAA|0290'!$D$88</definedName>
    <definedName name="BucketFundName3" localSheetId="1">'HDAA|0499'!$D$88</definedName>
    <definedName name="BucketFundName3">'B6'!$D$88</definedName>
    <definedName name="BucketFundName4" localSheetId="0">'HDAA|0290'!$D$89</definedName>
    <definedName name="BucketFundName4" localSheetId="1">'HDAA|0499'!$D$89</definedName>
    <definedName name="BucketFundName4">'B6'!$D$89</definedName>
    <definedName name="BucketFundName5" localSheetId="0">'HDAA|0290'!$D$90</definedName>
    <definedName name="BucketFundName5" localSheetId="1">'HDAA|0499'!$D$90</definedName>
    <definedName name="BucketFundName5">'B6'!$D$90</definedName>
    <definedName name="BucketFundName6" localSheetId="0">'HDAA|0290'!$D$91</definedName>
    <definedName name="BucketFundName6" localSheetId="1">'HDAA|0499'!$D$91</definedName>
    <definedName name="BucketFundName6">'B6'!$D$91</definedName>
    <definedName name="BucketFundName7" localSheetId="0">'HDAA|0290'!$D$92</definedName>
    <definedName name="BucketFundName7" localSheetId="1">'HDAA|0499'!$D$92</definedName>
    <definedName name="BucketFundName7">'B6'!$D$92</definedName>
    <definedName name="BucketFundName8" localSheetId="0">'HDAA|0290'!$D$93</definedName>
    <definedName name="BucketFundName8" localSheetId="1">'HDAA|0499'!$D$93</definedName>
    <definedName name="BucketFundName8">'B6'!$D$93</definedName>
    <definedName name="BucketFundName9" localSheetId="0">'HDAA|0290'!$D$94</definedName>
    <definedName name="BucketFundName9" localSheetId="1">'HDAA|0499'!$D$94</definedName>
    <definedName name="BucketFundName9">'B6'!$D$94</definedName>
    <definedName name="BucketFundSplit" localSheetId="0">'HDAA|0290'!$I$85</definedName>
    <definedName name="BucketFundSplit" localSheetId="1">'HDAA|0499'!$I$85</definedName>
    <definedName name="BucketFundSplit">'B6'!$I$85</definedName>
    <definedName name="BucketFundType0" localSheetId="0">'HDAA|0290'!$C$94</definedName>
    <definedName name="BucketFundType0" localSheetId="1">'HDAA|0499'!$C$94</definedName>
    <definedName name="BucketFundType0">'B6'!$C$94</definedName>
    <definedName name="BucketFundType1" localSheetId="0">'HDAA|0290'!$C$86</definedName>
    <definedName name="BucketFundType1" localSheetId="1">'HDAA|0499'!$C$86</definedName>
    <definedName name="BucketFundType1">'B6'!$C$86</definedName>
    <definedName name="BucketFundType10" localSheetId="0">'HDAA|0290'!$C$95</definedName>
    <definedName name="BucketFundType10" localSheetId="1">'HDAA|0499'!$C$95</definedName>
    <definedName name="BucketFundType10">'B6'!$C$95</definedName>
    <definedName name="BucketFundType2" localSheetId="0">'HDAA|0290'!$C$87</definedName>
    <definedName name="BucketFundType2" localSheetId="1">'HDAA|0499'!$C$87</definedName>
    <definedName name="BucketFundType2">'B6'!$C$87</definedName>
    <definedName name="BucketFundType3" localSheetId="0">'HDAA|0290'!$C$88</definedName>
    <definedName name="BucketFundType3" localSheetId="1">'HDAA|0499'!$C$88</definedName>
    <definedName name="BucketFundType3">'B6'!$C$88</definedName>
    <definedName name="BucketFundType4" localSheetId="0">'HDAA|0290'!$C$89</definedName>
    <definedName name="BucketFundType4" localSheetId="1">'HDAA|0499'!$C$89</definedName>
    <definedName name="BucketFundType4">'B6'!$C$89</definedName>
    <definedName name="BucketFundType5" localSheetId="0">'HDAA|0290'!$C$90</definedName>
    <definedName name="BucketFundType5" localSheetId="1">'HDAA|0499'!$C$90</definedName>
    <definedName name="BucketFundType5">'B6'!$C$90</definedName>
    <definedName name="BucketFundType6" localSheetId="0">'HDAA|0290'!$C$91</definedName>
    <definedName name="BucketFundType6" localSheetId="1">'HDAA|0499'!$C$91</definedName>
    <definedName name="BucketFundType6">'B6'!$C$91</definedName>
    <definedName name="BucketFundType7" localSheetId="0">'HDAA|0290'!$C$92</definedName>
    <definedName name="BucketFundType7" localSheetId="1">'HDAA|0499'!$C$92</definedName>
    <definedName name="BucketFundType7">'B6'!$C$92</definedName>
    <definedName name="BucketFundType8" localSheetId="0">'HDAA|0290'!$C$93</definedName>
    <definedName name="BucketFundType8" localSheetId="1">'HDAA|0499'!$C$93</definedName>
    <definedName name="BucketFundType8">'B6'!$C$93</definedName>
    <definedName name="BucketOrigAppropFundSplit" localSheetId="0">'HDAA|0290'!$G$85</definedName>
    <definedName name="BucketOrigAppropFundSplit" localSheetId="1">'HDAA|0499'!$G$85</definedName>
    <definedName name="BucketOrigAppropFundSplit">'B6'!$G$85</definedName>
    <definedName name="BucketOrigAppropTotal" localSheetId="0">'HDAA|0290'!$H$85</definedName>
    <definedName name="BucketOrigAppropTotal" localSheetId="1">'HDAA|0499'!$H$85</definedName>
    <definedName name="BucketOrigAppropTotal">'B6'!$H$85</definedName>
    <definedName name="BudgetUnit" localSheetId="0">'HDAA|0290'!$M$3</definedName>
    <definedName name="BudgetUnit" localSheetId="1">'HDAA|0499'!$M$3</definedName>
    <definedName name="BudgetUnit">'B6'!$M$3</definedName>
    <definedName name="BudgetYear" localSheetId="6">[1]Benefits!$D$4</definedName>
    <definedName name="BudgetYear">Benefits!$D$4</definedName>
    <definedName name="CECBucket" localSheetId="0">'HDAA|0290'!$M$85</definedName>
    <definedName name="CECBucket" localSheetId="1">'HDAA|0499'!$M$85</definedName>
    <definedName name="CECBucket">'B6'!$M$85</definedName>
    <definedName name="CECGroup">Benefits!$C$39</definedName>
    <definedName name="CECGroupBucket" localSheetId="0">'HDAA|0290'!$N$85</definedName>
    <definedName name="CECGroupBucket" localSheetId="1">'HDAA|0499'!$N$85</definedName>
    <definedName name="CECGroupBucket">'B6'!$N$85</definedName>
    <definedName name="CECOrigGroupSalary" localSheetId="0">'HDAA|0290'!$G$73</definedName>
    <definedName name="CECOrigGroupSalary" localSheetId="1">'HDAA|0499'!$G$73</definedName>
    <definedName name="CECOrigGroupSalary">'B6'!$G$73</definedName>
    <definedName name="CECOrigGroupVB" localSheetId="0">'HDAA|0290'!$I$73</definedName>
    <definedName name="CECOrigGroupVB" localSheetId="1">'HDAA|0499'!$I$73</definedName>
    <definedName name="CECOrigGroupVB">'B6'!$I$73</definedName>
    <definedName name="CECOrigPermSalary" localSheetId="0">'HDAA|0290'!$G$72</definedName>
    <definedName name="CECOrigPermSalary" localSheetId="1">'HDAA|0499'!$G$72</definedName>
    <definedName name="CECOrigPermSalary">'B6'!$G$72</definedName>
    <definedName name="CECOrigPermVB" localSheetId="0">'HDAA|0290'!$I$72</definedName>
    <definedName name="CECOrigPermVB" localSheetId="1">'HDAA|0499'!$I$72</definedName>
    <definedName name="CECOrigPermVB">'B6'!$I$72</definedName>
    <definedName name="CECPerm">Benefits!$C$38</definedName>
    <definedName name="Department" localSheetId="0">'HDAA|0290'!$D$1</definedName>
    <definedName name="Department" localSheetId="1">'HDAA|0499'!$D$1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'HDAA|0290'!$D$2</definedName>
    <definedName name="Division" localSheetId="1">'HDAA|0499'!$D$2</definedName>
    <definedName name="Division">'B6'!$D$2</definedName>
    <definedName name="DUCECGroup" localSheetId="0">'HDAA|0290'!$J$73</definedName>
    <definedName name="DUCECGroup" localSheetId="1">'HDAA|0499'!$J$73</definedName>
    <definedName name="DUCECGroup">'B6'!$J$73</definedName>
    <definedName name="DUCECPerm" localSheetId="0">'HDAA|0290'!$J$72</definedName>
    <definedName name="DUCECPerm" localSheetId="1">'HDAA|0499'!$J$72</definedName>
    <definedName name="DUCECPerm">'B6'!$J$72</definedName>
    <definedName name="DUEleven" localSheetId="0">'HDAA|0290'!$J$75</definedName>
    <definedName name="DUEleven" localSheetId="1">'HDAA|0499'!$J$75</definedName>
    <definedName name="DUEleven">'B6'!$J$75</definedName>
    <definedName name="DUHealthBen" localSheetId="0">'HDAA|0290'!$J$68</definedName>
    <definedName name="DUHealthBen" localSheetId="1">'HDAA|0499'!$J$68</definedName>
    <definedName name="DUHealthBen">'B6'!$J$68</definedName>
    <definedName name="DUNine" localSheetId="0">'HDAA|0290'!$J$67</definedName>
    <definedName name="DUNine" localSheetId="1">'HDAA|0499'!$J$67</definedName>
    <definedName name="DUNine">'B6'!$J$67</definedName>
    <definedName name="DUThirteen" localSheetId="0">'HDAA|0290'!$J$80</definedName>
    <definedName name="DUThirteen" localSheetId="1">'HDAA|0499'!$J$80</definedName>
    <definedName name="DUThirteen">'B6'!$J$80</definedName>
    <definedName name="DUVariableBen" localSheetId="0">'HDAA|0290'!$J$69</definedName>
    <definedName name="DUVariableBen" localSheetId="1">'HDAA|0499'!$J$69</definedName>
    <definedName name="DUVariableBen">'B6'!$J$69</definedName>
    <definedName name="Elect_chg_health" localSheetId="0">'HDAA|0290'!$L$12</definedName>
    <definedName name="Elect_chg_health" localSheetId="1">'HDAA|0499'!$L$12</definedName>
    <definedName name="Elect_chg_health">'B6'!$L$12</definedName>
    <definedName name="Elect_chg_Var" localSheetId="0">'HDAA|0290'!$M$12</definedName>
    <definedName name="Elect_chg_Var" localSheetId="1">'HDAA|0499'!$M$12</definedName>
    <definedName name="Elect_chg_Var">'B6'!$M$12</definedName>
    <definedName name="elect_FTP" localSheetId="0">'HDAA|0290'!$F$12</definedName>
    <definedName name="elect_FTP" localSheetId="1">'HDAA|0499'!$F$12</definedName>
    <definedName name="elect_FTP">'B6'!$F$12</definedName>
    <definedName name="Elect_health" localSheetId="0">'HDAA|0290'!$H$12</definedName>
    <definedName name="Elect_health" localSheetId="1">'HDAA|0499'!$H$12</definedName>
    <definedName name="Elect_health">'B6'!$H$12</definedName>
    <definedName name="Elect_name" localSheetId="6">[1]B6!$C$12</definedName>
    <definedName name="Elect_name" localSheetId="0">'HDAA|0290'!$C$12</definedName>
    <definedName name="Elect_name" localSheetId="1">'HDAA|0499'!$C$12</definedName>
    <definedName name="Elect_name">'B6'!$C$12</definedName>
    <definedName name="Elect_salary" localSheetId="0">'HDAA|0290'!$G$12</definedName>
    <definedName name="Elect_salary" localSheetId="1">'HDAA|0499'!$G$12</definedName>
    <definedName name="Elect_salary">'B6'!$G$12</definedName>
    <definedName name="Elect_Var" localSheetId="0">'HDAA|0290'!$I$12</definedName>
    <definedName name="Elect_Var" localSheetId="1">'HDAA|0499'!$I$12</definedName>
    <definedName name="Elect_Var">'B6'!$I$12</definedName>
    <definedName name="Elect_VarBen" localSheetId="0">'HDAA|0290'!$I$12</definedName>
    <definedName name="Elect_VarBen" localSheetId="1">'HDAA|0499'!$I$12</definedName>
    <definedName name="Elect_VarBen">'B6'!$I$12</definedName>
    <definedName name="ElectVB" localSheetId="6">[1]Benefits!$C$15</definedName>
    <definedName name="ElectVB">Benefits!$C$14</definedName>
    <definedName name="ElectVBBY" localSheetId="6">[1]Benefits!$D$15</definedName>
    <definedName name="ElectVBBY">Benefits!$D$14</definedName>
    <definedName name="ElectVBCHG" localSheetId="6">[1]Benefits!$E$15</definedName>
    <definedName name="ElectVBCHG">Benefits!$E$14</definedName>
    <definedName name="FD10CECBucket" localSheetId="0">'HDAA|0290'!$M$95</definedName>
    <definedName name="FD10CECBucket" localSheetId="1">'HDAA|0499'!$M$95</definedName>
    <definedName name="FD10CECBucket">'B6'!$M$95</definedName>
    <definedName name="FD10CECFS" localSheetId="0">'HDAA|0290'!$L$109</definedName>
    <definedName name="FD10CECFS" localSheetId="1">'HDAA|0499'!$L$109</definedName>
    <definedName name="FD10CECFS">'B6'!$L$109</definedName>
    <definedName name="FD10CECGroupBucket" localSheetId="0">'HDAA|0290'!$N$95</definedName>
    <definedName name="FD10CECGroupBucket" localSheetId="1">'HDAA|0499'!$N$95</definedName>
    <definedName name="FD10CECGroupBucket">'B6'!$N$95</definedName>
    <definedName name="FD10CECGroupFS" localSheetId="0">'HDAA|0290'!$M$109</definedName>
    <definedName name="FD10CECGroupFS" localSheetId="1">'HDAA|0499'!$M$109</definedName>
    <definedName name="FD10CECGroupFS">'B6'!$M$109</definedName>
    <definedName name="FD10HlthBucket" localSheetId="0">'HDAA|0290'!$J$95</definedName>
    <definedName name="FD10HlthBucket" localSheetId="1">'HDAA|0499'!$J$95</definedName>
    <definedName name="FD10HlthBucket">'B6'!$J$95</definedName>
    <definedName name="FD10HlthFS" localSheetId="0">'HDAA|0290'!$H$109</definedName>
    <definedName name="FD10HlthFS" localSheetId="1">'HDAA|0499'!$H$109</definedName>
    <definedName name="FD10HlthFS">'B6'!$H$109</definedName>
    <definedName name="FD10VBBucket" localSheetId="0">'HDAA|0290'!$L$95</definedName>
    <definedName name="FD10VBBucket" localSheetId="1">'HDAA|0499'!$L$95</definedName>
    <definedName name="FD10VBBucket">'B6'!$L$95</definedName>
    <definedName name="FD10VBFS" localSheetId="0">'HDAA|0290'!$I$109</definedName>
    <definedName name="FD10VBFS" localSheetId="1">'HDAA|0499'!$I$109</definedName>
    <definedName name="FD10VBFS">'B6'!$I$109</definedName>
    <definedName name="FD1CECBucket" localSheetId="0">'HDAA|0290'!$M$86</definedName>
    <definedName name="FD1CECBucket" localSheetId="1">'HDAA|0499'!$M$86</definedName>
    <definedName name="FD1CECBucket">'B6'!$M$86</definedName>
    <definedName name="FD1CECFS" localSheetId="0">'HDAA|0290'!$L$100</definedName>
    <definedName name="FD1CECFS" localSheetId="1">'HDAA|0499'!$L$100</definedName>
    <definedName name="FD1CECFS">'B6'!$L$100</definedName>
    <definedName name="FD1CECGroupBucket" localSheetId="0">'HDAA|0290'!$N$86</definedName>
    <definedName name="FD1CECGroupBucket" localSheetId="1">'HDAA|0499'!$N$86</definedName>
    <definedName name="FD1CECGroupBucket">'B6'!$N$86</definedName>
    <definedName name="FD1CECGroupFS" localSheetId="0">'HDAA|0290'!$M$100</definedName>
    <definedName name="FD1CECGroupFS" localSheetId="1">'HDAA|0499'!$M$100</definedName>
    <definedName name="FD1CECGroupFS">'B6'!$M$100</definedName>
    <definedName name="FD1HlthBucket" localSheetId="0">'HDAA|0290'!$J$86</definedName>
    <definedName name="FD1HlthBucket" localSheetId="1">'HDAA|0499'!$J$86</definedName>
    <definedName name="FD1HlthBucket">'B6'!$J$86</definedName>
    <definedName name="FD1HlthFS" localSheetId="0">'HDAA|0290'!$H$100</definedName>
    <definedName name="FD1HlthFS" localSheetId="1">'HDAA|0499'!$H$100</definedName>
    <definedName name="FD1HlthFS">'B6'!$H$100</definedName>
    <definedName name="FD1VBBucket" localSheetId="0">'HDAA|0290'!$L$86</definedName>
    <definedName name="FD1VBBucket" localSheetId="1">'HDAA|0499'!$L$86</definedName>
    <definedName name="FD1VBBucket">'B6'!$L$86</definedName>
    <definedName name="FD1VBFS" localSheetId="0">'HDAA|0290'!$I$100</definedName>
    <definedName name="FD1VBFS" localSheetId="1">'HDAA|0499'!$I$100</definedName>
    <definedName name="FD1VBFS">'B6'!$I$100</definedName>
    <definedName name="FD2CECBucket" localSheetId="0">'HDAA|0290'!$M$87</definedName>
    <definedName name="FD2CECBucket" localSheetId="1">'HDAA|0499'!$M$87</definedName>
    <definedName name="FD2CECBucket">'B6'!$M$87</definedName>
    <definedName name="FD2CECFS" localSheetId="0">'HDAA|0290'!$L$101</definedName>
    <definedName name="FD2CECFS" localSheetId="1">'HDAA|0499'!$L$101</definedName>
    <definedName name="FD2CECFS">'B6'!$L$101</definedName>
    <definedName name="FD2CECGroupBucket" localSheetId="0">'HDAA|0290'!$N$87</definedName>
    <definedName name="FD2CECGroupBucket" localSheetId="1">'HDAA|0499'!$N$87</definedName>
    <definedName name="FD2CECGroupBucket">'B6'!$N$87</definedName>
    <definedName name="FD2CECGroupFS" localSheetId="0">'HDAA|0290'!$M$101</definedName>
    <definedName name="FD2CECGroupFS" localSheetId="1">'HDAA|0499'!$M$101</definedName>
    <definedName name="FD2CECGroupFS">'B6'!$M$101</definedName>
    <definedName name="FD2HlthBucket" localSheetId="0">'HDAA|0290'!$J$87</definedName>
    <definedName name="FD2HlthBucket" localSheetId="1">'HDAA|0499'!$J$87</definedName>
    <definedName name="FD2HlthBucket">'B6'!$J$87</definedName>
    <definedName name="FD2HlthFS" localSheetId="0">'HDAA|0290'!$H$101</definedName>
    <definedName name="FD2HlthFS" localSheetId="1">'HDAA|0499'!$H$101</definedName>
    <definedName name="FD2HlthFS">'B6'!$H$101</definedName>
    <definedName name="FD2VBBucket" localSheetId="0">'HDAA|0290'!$L$87</definedName>
    <definedName name="FD2VBBucket" localSheetId="1">'HDAA|0499'!$L$87</definedName>
    <definedName name="FD2VBBucket">'B6'!$L$87</definedName>
    <definedName name="FD2VBFS" localSheetId="0">'HDAA|0290'!$I$101</definedName>
    <definedName name="FD2VBFS" localSheetId="1">'HDAA|0499'!$I$101</definedName>
    <definedName name="FD2VBFS">'B6'!$I$101</definedName>
    <definedName name="FD3CECBucket" localSheetId="0">'HDAA|0290'!$M$88</definedName>
    <definedName name="FD3CECBucket" localSheetId="1">'HDAA|0499'!$M$88</definedName>
    <definedName name="FD3CECBucket">'B6'!$M$88</definedName>
    <definedName name="FD3CECFS" localSheetId="0">'HDAA|0290'!$L$102</definedName>
    <definedName name="FD3CECFS" localSheetId="1">'HDAA|0499'!$L$102</definedName>
    <definedName name="FD3CECFS">'B6'!$L$102</definedName>
    <definedName name="FD3CECGroupBucket" localSheetId="0">'HDAA|0290'!$N$88</definedName>
    <definedName name="FD3CECGroupBucket" localSheetId="1">'HDAA|0499'!$N$88</definedName>
    <definedName name="FD3CECGroupBucket">'B6'!$N$88</definedName>
    <definedName name="FD3CECGroupFS" localSheetId="0">'HDAA|0290'!$M$102</definedName>
    <definedName name="FD3CECGroupFS" localSheetId="1">'HDAA|0499'!$M$102</definedName>
    <definedName name="FD3CECGroupFS">'B6'!$M$102</definedName>
    <definedName name="FD3HlthBucket" localSheetId="0">'HDAA|0290'!$J$88</definedName>
    <definedName name="FD3HlthBucket" localSheetId="1">'HDAA|0499'!$J$88</definedName>
    <definedName name="FD3HlthBucket">'B6'!$J$88</definedName>
    <definedName name="FD3HlthFS" localSheetId="0">'HDAA|0290'!$H$102</definedName>
    <definedName name="FD3HlthFS" localSheetId="1">'HDAA|0499'!$H$102</definedName>
    <definedName name="FD3HlthFS">'B6'!$H$102</definedName>
    <definedName name="FD3VBBucket" localSheetId="0">'HDAA|0290'!$L$88</definedName>
    <definedName name="FD3VBBucket" localSheetId="1">'HDAA|0499'!$L$88</definedName>
    <definedName name="FD3VBBucket">'B6'!$L$88</definedName>
    <definedName name="FD3VBFS" localSheetId="0">'HDAA|0290'!$I$102</definedName>
    <definedName name="FD3VBFS" localSheetId="1">'HDAA|0499'!$I$102</definedName>
    <definedName name="FD3VBFS">'B6'!$I$102</definedName>
    <definedName name="FD4CECBucket" localSheetId="0">'HDAA|0290'!$M$89</definedName>
    <definedName name="FD4CECBucket" localSheetId="1">'HDAA|0499'!$M$89</definedName>
    <definedName name="FD4CECBucket">'B6'!$M$89</definedName>
    <definedName name="FD4CECFS" localSheetId="0">'HDAA|0290'!$L$103</definedName>
    <definedName name="FD4CECFS" localSheetId="1">'HDAA|0499'!$L$103</definedName>
    <definedName name="FD4CECFS">'B6'!$L$103</definedName>
    <definedName name="FD4CECGroupBucket" localSheetId="0">'HDAA|0290'!$N$89</definedName>
    <definedName name="FD4CECGroupBucket" localSheetId="1">'HDAA|0499'!$N$89</definedName>
    <definedName name="FD4CECGroupBucket">'B6'!$N$89</definedName>
    <definedName name="FD4CECGroupFS" localSheetId="0">'HDAA|0290'!$M$103</definedName>
    <definedName name="FD4CECGroupFS" localSheetId="1">'HDAA|0499'!$M$103</definedName>
    <definedName name="FD4CECGroupFS">'B6'!$M$103</definedName>
    <definedName name="FD4HlthBucket" localSheetId="0">'HDAA|0290'!$J$89</definedName>
    <definedName name="FD4HlthBucket" localSheetId="1">'HDAA|0499'!$J$89</definedName>
    <definedName name="FD4HlthBucket">'B6'!$J$89</definedName>
    <definedName name="FD4HlthFS" localSheetId="0">'HDAA|0290'!$H$103</definedName>
    <definedName name="FD4HlthFS" localSheetId="1">'HDAA|0499'!$H$103</definedName>
    <definedName name="FD4HlthFS">'B6'!$H$103</definedName>
    <definedName name="FD4VBBucket" localSheetId="0">'HDAA|0290'!$L$89</definedName>
    <definedName name="FD4VBBucket" localSheetId="1">'HDAA|0499'!$L$89</definedName>
    <definedName name="FD4VBBucket">'B6'!$L$89</definedName>
    <definedName name="FD4VBFS" localSheetId="0">'HDAA|0290'!$I$103</definedName>
    <definedName name="FD4VBFS" localSheetId="1">'HDAA|0499'!$I$103</definedName>
    <definedName name="FD4VBFS">'B6'!$I$103</definedName>
    <definedName name="FD5CECBucket" localSheetId="0">'HDAA|0290'!$M$90</definedName>
    <definedName name="FD5CECBucket" localSheetId="1">'HDAA|0499'!$M$90</definedName>
    <definedName name="FD5CECBucket">'B6'!$M$90</definedName>
    <definedName name="FD5CECFS" localSheetId="0">'HDAA|0290'!$L$104</definedName>
    <definedName name="FD5CECFS" localSheetId="1">'HDAA|0499'!$L$104</definedName>
    <definedName name="FD5CECFS">'B6'!$L$104</definedName>
    <definedName name="FD5CECGroupBucket" localSheetId="0">'HDAA|0290'!$N$90</definedName>
    <definedName name="FD5CECGroupBucket" localSheetId="1">'HDAA|0499'!$N$90</definedName>
    <definedName name="FD5CECGroupBucket">'B6'!$N$90</definedName>
    <definedName name="FD5CECGroupFS" localSheetId="0">'HDAA|0290'!$M$104</definedName>
    <definedName name="FD5CECGroupFS" localSheetId="1">'HDAA|0499'!$M$104</definedName>
    <definedName name="FD5CECGroupFS">'B6'!$M$104</definedName>
    <definedName name="FD5HlthBucket" localSheetId="0">'HDAA|0290'!$J$90</definedName>
    <definedName name="FD5HlthBucket" localSheetId="1">'HDAA|0499'!$J$90</definedName>
    <definedName name="FD5HlthBucket">'B6'!$J$90</definedName>
    <definedName name="FD5HlthFS" localSheetId="0">'HDAA|0290'!$H$104</definedName>
    <definedName name="FD5HlthFS" localSheetId="1">'HDAA|0499'!$H$104</definedName>
    <definedName name="FD5HlthFS">'B6'!$H$104</definedName>
    <definedName name="FD5VBBucket" localSheetId="0">'HDAA|0290'!$L$90</definedName>
    <definedName name="FD5VBBucket" localSheetId="1">'HDAA|0499'!$L$90</definedName>
    <definedName name="FD5VBBucket">'B6'!$L$90</definedName>
    <definedName name="FD5VBFS" localSheetId="0">'HDAA|0290'!$I$104</definedName>
    <definedName name="FD5VBFS" localSheetId="1">'HDAA|0499'!$I$104</definedName>
    <definedName name="FD5VBFS">'B6'!$I$104</definedName>
    <definedName name="FD6CECBucket" localSheetId="0">'HDAA|0290'!$M$91</definedName>
    <definedName name="FD6CECBucket" localSheetId="1">'HDAA|0499'!$M$91</definedName>
    <definedName name="FD6CECBucket">'B6'!$M$91</definedName>
    <definedName name="FD6CECFS" localSheetId="0">'HDAA|0290'!$L$105</definedName>
    <definedName name="FD6CECFS" localSheetId="1">'HDAA|0499'!$L$105</definedName>
    <definedName name="FD6CECFS">'B6'!$L$105</definedName>
    <definedName name="FD6CECGroupBucket" localSheetId="0">'HDAA|0290'!$N$91</definedName>
    <definedName name="FD6CECGroupBucket" localSheetId="1">'HDAA|0499'!$N$91</definedName>
    <definedName name="FD6CECGroupBucket">'B6'!$N$91</definedName>
    <definedName name="FD6CECGroupFS" localSheetId="0">'HDAA|0290'!$M$105</definedName>
    <definedName name="FD6CECGroupFS" localSheetId="1">'HDAA|0499'!$M$105</definedName>
    <definedName name="FD6CECGroupFS">'B6'!$M$105</definedName>
    <definedName name="FD6HlthBucket" localSheetId="0">'HDAA|0290'!$J$91</definedName>
    <definedName name="FD6HlthBucket" localSheetId="1">'HDAA|0499'!$J$91</definedName>
    <definedName name="FD6HlthBucket">'B6'!$J$91</definedName>
    <definedName name="FD6HlthFS" localSheetId="0">'HDAA|0290'!$H$105</definedName>
    <definedName name="FD6HlthFS" localSheetId="1">'HDAA|0499'!$H$105</definedName>
    <definedName name="FD6HlthFS">'B6'!$H$105</definedName>
    <definedName name="FD6VBBucket" localSheetId="0">'HDAA|0290'!$L$91</definedName>
    <definedName name="FD6VBBucket" localSheetId="1">'HDAA|0499'!$L$91</definedName>
    <definedName name="FD6VBBucket">'B6'!$L$91</definedName>
    <definedName name="FD6VBFS" localSheetId="0">'HDAA|0290'!$I$105</definedName>
    <definedName name="FD6VBFS" localSheetId="1">'HDAA|0499'!$I$105</definedName>
    <definedName name="FD6VBFS">'B6'!$I$105</definedName>
    <definedName name="FD7CECBucket" localSheetId="0">'HDAA|0290'!$M$92</definedName>
    <definedName name="FD7CECBucket" localSheetId="1">'HDAA|0499'!$M$92</definedName>
    <definedName name="FD7CECBucket">'B6'!$M$92</definedName>
    <definedName name="FD7CECFS" localSheetId="0">'HDAA|0290'!$L$106</definedName>
    <definedName name="FD7CECFS" localSheetId="1">'HDAA|0499'!$L$106</definedName>
    <definedName name="FD7CECFS">'B6'!$L$106</definedName>
    <definedName name="FD7CECGroupBucket" localSheetId="0">'HDAA|0290'!$N$92</definedName>
    <definedName name="FD7CECGroupBucket" localSheetId="1">'HDAA|0499'!$N$92</definedName>
    <definedName name="FD7CECGroupBucket">'B6'!$N$92</definedName>
    <definedName name="FD7CECGroupFS" localSheetId="0">'HDAA|0290'!$M$106</definedName>
    <definedName name="FD7CECGroupFS" localSheetId="1">'HDAA|0499'!$M$106</definedName>
    <definedName name="FD7CECGroupFS">'B6'!$M$106</definedName>
    <definedName name="FD7HlthBucket" localSheetId="0">'HDAA|0290'!$J$92</definedName>
    <definedName name="FD7HlthBucket" localSheetId="1">'HDAA|0499'!$J$92</definedName>
    <definedName name="FD7HlthBucket">'B6'!$J$92</definedName>
    <definedName name="FD7HlthFS" localSheetId="0">'HDAA|0290'!$H$106</definedName>
    <definedName name="FD7HlthFS" localSheetId="1">'HDAA|0499'!$H$106</definedName>
    <definedName name="FD7HlthFS">'B6'!$H$106</definedName>
    <definedName name="FD7VBBucket" localSheetId="0">'HDAA|0290'!$L$92</definedName>
    <definedName name="FD7VBBucket" localSheetId="1">'HDAA|0499'!$L$92</definedName>
    <definedName name="FD7VBBucket">'B6'!$L$92</definedName>
    <definedName name="FD7VBFS" localSheetId="0">'HDAA|0290'!$I$106</definedName>
    <definedName name="FD7VBFS" localSheetId="1">'HDAA|0499'!$I$106</definedName>
    <definedName name="FD7VBFS">'B6'!$I$106</definedName>
    <definedName name="FD8CECBucket" localSheetId="0">'HDAA|0290'!$M$93</definedName>
    <definedName name="FD8CECBucket" localSheetId="1">'HDAA|0499'!$M$93</definedName>
    <definedName name="FD8CECBucket">'B6'!$M$93</definedName>
    <definedName name="FD8CECFS" localSheetId="0">'HDAA|0290'!$L$107</definedName>
    <definedName name="FD8CECFS" localSheetId="1">'HDAA|0499'!$L$107</definedName>
    <definedName name="FD8CECFS">'B6'!$L$107</definedName>
    <definedName name="FD8CECGroupBucket" localSheetId="0">'HDAA|0290'!$N$93</definedName>
    <definedName name="FD8CECGroupBucket" localSheetId="1">'HDAA|0499'!$N$93</definedName>
    <definedName name="FD8CECGroupBucket">'B6'!$N$93</definedName>
    <definedName name="FD8CECGroupFS" localSheetId="0">'HDAA|0290'!$M$107</definedName>
    <definedName name="FD8CECGroupFS" localSheetId="1">'HDAA|0499'!$M$107</definedName>
    <definedName name="FD8CECGroupFS">'B6'!$M$107</definedName>
    <definedName name="FD8HlthBucket" localSheetId="0">'HDAA|0290'!$J$93</definedName>
    <definedName name="FD8HlthBucket" localSheetId="1">'HDAA|0499'!$J$93</definedName>
    <definedName name="FD8HlthBucket">'B6'!$J$93</definedName>
    <definedName name="FD8HlthFS" localSheetId="0">'HDAA|0290'!$H$107</definedName>
    <definedName name="FD8HlthFS" localSheetId="1">'HDAA|0499'!$H$107</definedName>
    <definedName name="FD8HlthFS">'B6'!$H$107</definedName>
    <definedName name="FD8VBBucket" localSheetId="0">'HDAA|0290'!$L$93</definedName>
    <definedName name="FD8VBBucket" localSheetId="1">'HDAA|0499'!$L$93</definedName>
    <definedName name="FD8VBBucket">'B6'!$L$93</definedName>
    <definedName name="FD8VBFS" localSheetId="0">'HDAA|0290'!$I$107</definedName>
    <definedName name="FD8VBFS" localSheetId="1">'HDAA|0499'!$I$107</definedName>
    <definedName name="FD8VBFS">'B6'!$I$107</definedName>
    <definedName name="FD9CECBucket" localSheetId="0">'HDAA|0290'!$M$94</definedName>
    <definedName name="FD9CECBucket" localSheetId="1">'HDAA|0499'!$M$94</definedName>
    <definedName name="FD9CECBucket">'B6'!$M$94</definedName>
    <definedName name="FD9CECFS" localSheetId="0">'HDAA|0290'!$L$108</definedName>
    <definedName name="FD9CECFS" localSheetId="1">'HDAA|0499'!$L$108</definedName>
    <definedName name="FD9CECFS">'B6'!$L$108</definedName>
    <definedName name="FD9CECGroupBucket" localSheetId="0">'HDAA|0290'!$N$94</definedName>
    <definedName name="FD9CECGroupBucket" localSheetId="1">'HDAA|0499'!$N$94</definedName>
    <definedName name="FD9CECGroupBucket">'B6'!$N$94</definedName>
    <definedName name="FD9CECGroupFS" localSheetId="0">'HDAA|0290'!$M$108</definedName>
    <definedName name="FD9CECGroupFS" localSheetId="1">'HDAA|0499'!$M$108</definedName>
    <definedName name="FD9CECGroupFS">'B6'!$M$108</definedName>
    <definedName name="FD9HlthBucket" localSheetId="0">'HDAA|0290'!$J$94</definedName>
    <definedName name="FD9HlthBucket" localSheetId="1">'HDAA|0499'!$J$94</definedName>
    <definedName name="FD9HlthBucket">'B6'!$J$94</definedName>
    <definedName name="FD9HlthFS" localSheetId="0">'HDAA|0290'!$H$108</definedName>
    <definedName name="FD9HlthFS" localSheetId="1">'HDAA|0499'!$H$108</definedName>
    <definedName name="FD9HlthFS">'B6'!$H$108</definedName>
    <definedName name="FD9VBBucket" localSheetId="0">'HDAA|0290'!$L$94</definedName>
    <definedName name="FD9VBBucket" localSheetId="1">'HDAA|0499'!$L$94</definedName>
    <definedName name="FD9VBBucket">'B6'!$L$94</definedName>
    <definedName name="FD9VBFS" localSheetId="0">'HDAA|0290'!$I$108</definedName>
    <definedName name="FD9VBFS" localSheetId="1">'HDAA|0499'!$I$108</definedName>
    <definedName name="FD9VBFS">'B6'!$I$108</definedName>
    <definedName name="FillRate_Avg">Benefits!$C$40</definedName>
    <definedName name="FillRateAvg_B6" localSheetId="0">'HDAA|0290'!#REF!</definedName>
    <definedName name="FillRateAvg_B6" localSheetId="1">'HDAA|0499'!#REF!</definedName>
    <definedName name="FillRateAvg_B6">'B6'!#REF!</definedName>
    <definedName name="FiscalYear" localSheetId="6">[1]B6!$L$4</definedName>
    <definedName name="FiscalYear" localSheetId="0">'HDAA|0290'!$M$4</definedName>
    <definedName name="FiscalYear" localSheetId="1">'HDAA|0499'!$M$4</definedName>
    <definedName name="FiscalYear">'B6'!$M$4</definedName>
    <definedName name="FundDetail1" localSheetId="0">'HDAA|0290'!$A$86</definedName>
    <definedName name="FundDetail1" localSheetId="1">'HDAA|0499'!$A$86</definedName>
    <definedName name="FundDetail1">'B6'!$A$86</definedName>
    <definedName name="FundDetail10" localSheetId="0">'HDAA|0290'!$A$95</definedName>
    <definedName name="FundDetail10" localSheetId="1">'HDAA|0499'!$A$95</definedName>
    <definedName name="FundDetail10">'B6'!$A$95</definedName>
    <definedName name="FundDetail2" localSheetId="0">'HDAA|0290'!$A$87</definedName>
    <definedName name="FundDetail2" localSheetId="1">'HDAA|0499'!$A$87</definedName>
    <definedName name="FundDetail2">'B6'!$A$87</definedName>
    <definedName name="FundDetail3" localSheetId="0">'HDAA|0290'!$A$88</definedName>
    <definedName name="FundDetail3" localSheetId="1">'HDAA|0499'!$A$88</definedName>
    <definedName name="FundDetail3">'B6'!$A$88</definedName>
    <definedName name="FundDetail4" localSheetId="0">'HDAA|0290'!$A$89</definedName>
    <definedName name="FundDetail4" localSheetId="1">'HDAA|0499'!$A$89</definedName>
    <definedName name="FundDetail4">'B6'!$A$89</definedName>
    <definedName name="FundDetail5" localSheetId="0">'HDAA|0290'!$A$90</definedName>
    <definedName name="FundDetail5" localSheetId="1">'HDAA|0499'!$A$90</definedName>
    <definedName name="FundDetail5">'B6'!$A$90</definedName>
    <definedName name="FundDetail6" localSheetId="0">'HDAA|0290'!$A$91</definedName>
    <definedName name="FundDetail6" localSheetId="1">'HDAA|0499'!$A$91</definedName>
    <definedName name="FundDetail6">'B6'!$A$91</definedName>
    <definedName name="FundDetail7" localSheetId="0">'HDAA|0290'!$A$92</definedName>
    <definedName name="FundDetail7" localSheetId="1">'HDAA|0499'!$A$92</definedName>
    <definedName name="FundDetail7">'B6'!$A$92</definedName>
    <definedName name="FundDetail8" localSheetId="0">'HDAA|0290'!$A$93</definedName>
    <definedName name="FundDetail8" localSheetId="1">'HDAA|0499'!$A$93</definedName>
    <definedName name="FundDetail8">'B6'!$A$93</definedName>
    <definedName name="FundDetail9" localSheetId="0">'HDAA|0290'!$A$94</definedName>
    <definedName name="FundDetail9" localSheetId="1">'HDAA|0499'!$A$94</definedName>
    <definedName name="FundDetail9">'B6'!$A$94</definedName>
    <definedName name="FundName" localSheetId="0">'HDAA|0290'!$I$5</definedName>
    <definedName name="FundName" localSheetId="1">'HDAA|0499'!$I$5</definedName>
    <definedName name="FundName">'B6'!$I$5</definedName>
    <definedName name="FundNameBucket" localSheetId="0">'HDAA|0290'!$D$85</definedName>
    <definedName name="FundNameBucket" localSheetId="1">'HDAA|0499'!$D$85</definedName>
    <definedName name="FundNameBucket">'B6'!$D$85</definedName>
    <definedName name="FundNum" localSheetId="0">'HDAA|0290'!$N$5</definedName>
    <definedName name="FundNum" localSheetId="1">'HDAA|0499'!$N$5</definedName>
    <definedName name="FundNum">'B6'!$N$5</definedName>
    <definedName name="FundNumber" localSheetId="0">'HDAA|0290'!$N$5</definedName>
    <definedName name="FundNumber" localSheetId="1">'HDAA|0499'!$N$5</definedName>
    <definedName name="FundNumber">'B6'!$N$5</definedName>
    <definedName name="FundNumberBucket" localSheetId="0">'HDAA|0290'!$A$85</definedName>
    <definedName name="FundNumberBucket" localSheetId="1">'HDAA|0499'!$A$85</definedName>
    <definedName name="FundNumberBucket">'B6'!$A$85</definedName>
    <definedName name="FundSummaryAgencyTotal" localSheetId="6">FundSummary!#REF!</definedName>
    <definedName name="FundSummaryBen" localSheetId="6">FundSummary!#REF!</definedName>
    <definedName name="FundSummaryEst">FundSummary!$H$5</definedName>
    <definedName name="FundSummaryFTI" localSheetId="6">FundSummary!#REF!</definedName>
    <definedName name="FundSummaryFY2Health" localSheetId="6">FundSummary!#REF!</definedName>
    <definedName name="FundSummaryFY2Var" localSheetId="6">FundSummary!#REF!</definedName>
    <definedName name="FundSummaryFYHealth" localSheetId="6">FundSummary!#REF!</definedName>
    <definedName name="FundSummaryFYVar" localSheetId="6">FundSummary!#REF!</definedName>
    <definedName name="FundSummaryGroup" localSheetId="6">FundSummary!#REF!</definedName>
    <definedName name="FundSummaryHealth" localSheetId="6">FundSummary!#REF!</definedName>
    <definedName name="FundSummaryLastColumn">FundSummary!$M$6</definedName>
    <definedName name="FundSummaryPerm" localSheetId="6">FundSummary!#REF!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alary" localSheetId="6">FundSummary!#REF!</definedName>
    <definedName name="FundSummaryStartData">FundSummary!$E$8</definedName>
    <definedName name="FundTotalBucket" localSheetId="0">'HDAA|0290'!$A$96</definedName>
    <definedName name="FundTotalBucket" localSheetId="1">'HDAA|0499'!$A$96</definedName>
    <definedName name="FundTotalBucket">'B6'!$A$96</definedName>
    <definedName name="Group_name" localSheetId="6">[1]B6!$C$11</definedName>
    <definedName name="Group_name" localSheetId="0">'HDAA|0290'!$C$11</definedName>
    <definedName name="Group_name" localSheetId="1">'HDAA|0499'!$C$11</definedName>
    <definedName name="Group_name">'B6'!$C$11</definedName>
    <definedName name="GroupFxdBen" localSheetId="0">'HDAA|0290'!$H$11</definedName>
    <definedName name="GroupFxdBen" localSheetId="1">'HDAA|0499'!$H$11</definedName>
    <definedName name="GroupFxdBen">'B6'!$H$11</definedName>
    <definedName name="GroupSalary" localSheetId="0">'HDAA|0290'!$G$11</definedName>
    <definedName name="GroupSalary" localSheetId="1">'HDAA|0499'!$G$11</definedName>
    <definedName name="GroupSalary">'B6'!$G$11</definedName>
    <definedName name="GroupVarBen" localSheetId="0">'HDAA|0290'!$I$11</definedName>
    <definedName name="GroupVarBen" localSheetId="1">'HDAA|0499'!$I$11</definedName>
    <definedName name="GroupVarBen">'B6'!$I$11</definedName>
    <definedName name="GroupVB" localSheetId="6">[1]Benefits!$C$14</definedName>
    <definedName name="GroupVB">Benefits!$C$13</definedName>
    <definedName name="GroupVBBY" localSheetId="6">[1]Benefits!$D$14</definedName>
    <definedName name="GroupVBBY">Benefits!$D$13</definedName>
    <definedName name="GroupVBCHG">Benefits!$E$13</definedName>
    <definedName name="HDAA0290col_1_27TH_PP">Data!$BA$181</definedName>
    <definedName name="HDAA0290col_DHR">Data!$BI$181</definedName>
    <definedName name="HDAA0290col_DHR_BY">Data!$BU$181</definedName>
    <definedName name="HDAA0290col_DHR_CHG">Data!$CG$181</definedName>
    <definedName name="HDAA0290col_FTI_SALARY_ELECT">Data!$AZ$181</definedName>
    <definedName name="HDAA0290col_FTI_SALARY_PERM">Data!$AY$181</definedName>
    <definedName name="HDAA0290col_FTI_SALARY_SSDI">Data!$AX$181</definedName>
    <definedName name="HDAA0290col_Group_Ben">Data!$CM$181</definedName>
    <definedName name="HDAA0290col_Group_Salary">Data!$CL$181</definedName>
    <definedName name="HDAA0290col_HEALTH_ELECT">Data!$BC$181</definedName>
    <definedName name="HDAA0290col_HEALTH_ELECT_BY">Data!$BO$181</definedName>
    <definedName name="HDAA0290col_HEALTH_ELECT_CHG">Data!$CA$181</definedName>
    <definedName name="HDAA0290col_HEALTH_PERM">Data!$BB$181</definedName>
    <definedName name="HDAA0290col_HEALTH_PERM_BY">Data!$BN$181</definedName>
    <definedName name="HDAA0290col_HEALTH_PERM_CHG">Data!$BZ$181</definedName>
    <definedName name="HDAA0290col_INC_FTI">Data!$AS$181</definedName>
    <definedName name="HDAA0290col_LIFE_INS">Data!$BG$181</definedName>
    <definedName name="HDAA0290col_LIFE_INS_BY">Data!$BS$181</definedName>
    <definedName name="HDAA0290col_LIFE_INS_CHG">Data!$CE$181</definedName>
    <definedName name="HDAA0290col_RETIREMENT">Data!$BF$181</definedName>
    <definedName name="HDAA0290col_RETIREMENT_BY">Data!$BR$181</definedName>
    <definedName name="HDAA0290col_RETIREMENT_CHG">Data!$CD$181</definedName>
    <definedName name="HDAA0290col_ROWS_PER_PCN">Data!$AW$181</definedName>
    <definedName name="HDAA0290col_SICK">Data!$BK$181</definedName>
    <definedName name="HDAA0290col_SICK_BY">Data!$BW$181</definedName>
    <definedName name="HDAA0290col_SICK_CHG">Data!$CI$181</definedName>
    <definedName name="HDAA0290col_SSDI">Data!$BD$181</definedName>
    <definedName name="HDAA0290col_SSDI_BY">Data!$BP$181</definedName>
    <definedName name="HDAA0290col_SSDI_CHG">Data!$CB$181</definedName>
    <definedName name="HDAA0290col_SSHI">Data!$BE$181</definedName>
    <definedName name="HDAA0290col_SSHI_BY">Data!$BQ$181</definedName>
    <definedName name="HDAA0290col_SSHI_CHGv">Data!$CC$181</definedName>
    <definedName name="HDAA0290col_TOT_VB_ELECT">Data!$BM$181</definedName>
    <definedName name="HDAA0290col_TOT_VB_ELECT_BY">Data!$BY$181</definedName>
    <definedName name="HDAA0290col_TOT_VB_ELECT_CHG">Data!$CK$181</definedName>
    <definedName name="HDAA0290col_TOT_VB_PERM">Data!$BL$181</definedName>
    <definedName name="HDAA0290col_TOT_VB_PERM_BY">Data!$BX$181</definedName>
    <definedName name="HDAA0290col_TOT_VB_PERM_CHG">Data!$CJ$181</definedName>
    <definedName name="HDAA0290col_TOTAL_ELECT_PCN_FTI">Data!$AT$181</definedName>
    <definedName name="HDAA0290col_TOTAL_ELECT_PCN_FTI_ALT">Data!$AV$181</definedName>
    <definedName name="HDAA0290col_TOTAL_PERM_PCN_FTI">Data!$AU$181</definedName>
    <definedName name="HDAA0290col_UNEMP_INS">Data!$BH$181</definedName>
    <definedName name="HDAA0290col_UNEMP_INS_BY">Data!$BT$181</definedName>
    <definedName name="HDAA0290col_UNEMP_INS_CHG">Data!$CF$181</definedName>
    <definedName name="HDAA0290col_WORKERS_COMP">Data!$BJ$181</definedName>
    <definedName name="HDAA0290col_WORKERS_COMP_BY">Data!$BV$181</definedName>
    <definedName name="HDAA0290col_WORKERS_COMP_CHG">Data!$CH$181</definedName>
    <definedName name="HDAA0499col_1_27TH_PP">Data!$BA$183</definedName>
    <definedName name="HDAA0499col_DHR">Data!$BI$183</definedName>
    <definedName name="HDAA0499col_DHR_BY">Data!$BU$183</definedName>
    <definedName name="HDAA0499col_DHR_CHG">Data!$CG$183</definedName>
    <definedName name="HDAA0499col_FTI_SALARY_ELECT">Data!$AZ$183</definedName>
    <definedName name="HDAA0499col_FTI_SALARY_PERM">Data!$AY$183</definedName>
    <definedName name="HDAA0499col_FTI_SALARY_SSDI">Data!$AX$183</definedName>
    <definedName name="HDAA0499col_Group_Ben">Data!$CM$183</definedName>
    <definedName name="HDAA0499col_Group_Salary">Data!$CL$183</definedName>
    <definedName name="HDAA0499col_HEALTH_ELECT">Data!$BC$183</definedName>
    <definedName name="HDAA0499col_HEALTH_ELECT_BY">Data!$BO$183</definedName>
    <definedName name="HDAA0499col_HEALTH_ELECT_CHG">Data!$CA$183</definedName>
    <definedName name="HDAA0499col_HEALTH_PERM">Data!$BB$183</definedName>
    <definedName name="HDAA0499col_HEALTH_PERM_BY">Data!$BN$183</definedName>
    <definedName name="HDAA0499col_HEALTH_PERM_CHG">Data!$BZ$183</definedName>
    <definedName name="HDAA0499col_INC_FTI">Data!$AS$183</definedName>
    <definedName name="HDAA0499col_LIFE_INS">Data!$BG$183</definedName>
    <definedName name="HDAA0499col_LIFE_INS_BY">Data!$BS$183</definedName>
    <definedName name="HDAA0499col_LIFE_INS_CHG">Data!$CE$183</definedName>
    <definedName name="HDAA0499col_RETIREMENT">Data!$BF$183</definedName>
    <definedName name="HDAA0499col_RETIREMENT_BY">Data!$BR$183</definedName>
    <definedName name="HDAA0499col_RETIREMENT_CHG">Data!$CD$183</definedName>
    <definedName name="HDAA0499col_ROWS_PER_PCN">Data!$AW$183</definedName>
    <definedName name="HDAA0499col_SICK">Data!$BK$183</definedName>
    <definedName name="HDAA0499col_SICK_BY">Data!$BW$183</definedName>
    <definedName name="HDAA0499col_SICK_CHG">Data!$CI$183</definedName>
    <definedName name="HDAA0499col_SSDI">Data!$BD$183</definedName>
    <definedName name="HDAA0499col_SSDI_BY">Data!$BP$183</definedName>
    <definedName name="HDAA0499col_SSDI_CHG">Data!$CB$183</definedName>
    <definedName name="HDAA0499col_SSHI">Data!$BE$183</definedName>
    <definedName name="HDAA0499col_SSHI_BY">Data!$BQ$183</definedName>
    <definedName name="HDAA0499col_SSHI_CHGv">Data!$CC$183</definedName>
    <definedName name="HDAA0499col_TOT_VB_ELECT">Data!$BM$183</definedName>
    <definedName name="HDAA0499col_TOT_VB_ELECT_BY">Data!$BY$183</definedName>
    <definedName name="HDAA0499col_TOT_VB_ELECT_CHG">Data!$CK$183</definedName>
    <definedName name="HDAA0499col_TOT_VB_PERM">Data!$BL$183</definedName>
    <definedName name="HDAA0499col_TOT_VB_PERM_BY">Data!$BX$183</definedName>
    <definedName name="HDAA0499col_TOT_VB_PERM_CHG">Data!$CJ$183</definedName>
    <definedName name="HDAA0499col_TOTAL_ELECT_PCN_FTI">Data!$AT$183</definedName>
    <definedName name="HDAA0499col_TOTAL_ELECT_PCN_FTI_ALT">Data!$AV$183</definedName>
    <definedName name="HDAA0499col_TOTAL_PERM_PCN_FTI">Data!$AU$183</definedName>
    <definedName name="HDAA0499col_UNEMP_INS">Data!$BH$183</definedName>
    <definedName name="HDAA0499col_UNEMP_INS_BY">Data!$BT$183</definedName>
    <definedName name="HDAA0499col_UNEMP_INS_CHG">Data!$CF$183</definedName>
    <definedName name="HDAA0499col_WORKERS_COMP">Data!$BJ$183</definedName>
    <definedName name="HDAA0499col_WORKERS_COMP_BY">Data!$BV$183</definedName>
    <definedName name="HDAA0499col_WORKERS_COMP_CHG">Data!$CH$183</definedName>
    <definedName name="Health" localSheetId="6">[1]Benefits!$C$16</definedName>
    <definedName name="Health">Benefits!$C$15</definedName>
    <definedName name="HealthBucket" localSheetId="0">'HDAA|0290'!$J$85</definedName>
    <definedName name="HealthBucket" localSheetId="1">'HDAA|0499'!$J$85</definedName>
    <definedName name="HealthBucket">'B6'!$J$85</definedName>
    <definedName name="HealthBY" localSheetId="6">[1]Benefits!$D$16</definedName>
    <definedName name="HealthBY">Benefits!$D$15</definedName>
    <definedName name="HealthCHG" localSheetId="6">[1]Benefits!$E$16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'HDAA|0290'!$M$2</definedName>
    <definedName name="LumaFund" localSheetId="1">'HDAA|0499'!$M$2</definedName>
    <definedName name="LumaFund">'B6'!$M$2</definedName>
    <definedName name="MAXSSDI">Benefits!$F$5</definedName>
    <definedName name="MAXSSDIBY">Benefits!$G$5</definedName>
    <definedName name="NEW_AdjGroup" localSheetId="0">'HDAA|0290'!$AC$39</definedName>
    <definedName name="NEW_AdjGroup" localSheetId="1">'HDAA|0499'!$AC$39</definedName>
    <definedName name="NEW_AdjGroup">'B6'!$AC$39</definedName>
    <definedName name="NEW_AdjGroupSalary" localSheetId="0">'HDAA|0290'!$AA$39</definedName>
    <definedName name="NEW_AdjGroupSalary" localSheetId="1">'HDAA|0499'!$AA$39</definedName>
    <definedName name="NEW_AdjGroupSalary">'B6'!$AA$39</definedName>
    <definedName name="NEW_AdjGroupVB" localSheetId="0">'HDAA|0290'!$AB$39</definedName>
    <definedName name="NEW_AdjGroupVB" localSheetId="1">'HDAA|0499'!$AB$39</definedName>
    <definedName name="NEW_AdjGroupVB">'B6'!$AB$39</definedName>
    <definedName name="NEW_AdjONLYGroup" localSheetId="0">'HDAA|0290'!$AC$45</definedName>
    <definedName name="NEW_AdjONLYGroup" localSheetId="1">'HDAA|0499'!$AC$45</definedName>
    <definedName name="NEW_AdjONLYGroup">'B6'!$AC$45</definedName>
    <definedName name="NEW_AdjONLYGroupSalary" localSheetId="0">'HDAA|0290'!$AA$45</definedName>
    <definedName name="NEW_AdjONLYGroupSalary" localSheetId="1">'HDAA|0499'!$AA$45</definedName>
    <definedName name="NEW_AdjONLYGroupSalary">'B6'!$AA$45</definedName>
    <definedName name="NEW_AdjONLYGroupVB" localSheetId="0">'HDAA|0290'!$AB$45</definedName>
    <definedName name="NEW_AdjONLYGroupVB" localSheetId="1">'HDAA|0499'!$AB$45</definedName>
    <definedName name="NEW_AdjONLYGroupVB">'B6'!$AB$45</definedName>
    <definedName name="NEW_AdjONLYPerm" localSheetId="0">'HDAA|0290'!$AC$44</definedName>
    <definedName name="NEW_AdjONLYPerm" localSheetId="1">'HDAA|0499'!$AC$44</definedName>
    <definedName name="NEW_AdjONLYPerm">'B6'!$AC$44</definedName>
    <definedName name="NEW_AdjONLYPermSalary" localSheetId="0">'HDAA|0290'!$AA$44</definedName>
    <definedName name="NEW_AdjONLYPermSalary" localSheetId="1">'HDAA|0499'!$AA$44</definedName>
    <definedName name="NEW_AdjONLYPermSalary">'B6'!$AA$44</definedName>
    <definedName name="NEW_AdjONLYPermVB" localSheetId="0">'HDAA|0290'!$AB$44</definedName>
    <definedName name="NEW_AdjONLYPermVB" localSheetId="1">'HDAA|0499'!$AB$44</definedName>
    <definedName name="NEW_AdjONLYPermVB">'B6'!$AB$44</definedName>
    <definedName name="NEW_AdjPerm" localSheetId="0">'HDAA|0290'!$AC$38</definedName>
    <definedName name="NEW_AdjPerm" localSheetId="1">'HDAA|0499'!$AC$38</definedName>
    <definedName name="NEW_AdjPerm">'B6'!$AC$38</definedName>
    <definedName name="NEW_AdjPermSalary" localSheetId="0">'HDAA|0290'!$AA$38</definedName>
    <definedName name="NEW_AdjPermSalary" localSheetId="1">'HDAA|0499'!$AA$38</definedName>
    <definedName name="NEW_AdjPermSalary">'B6'!$AA$38</definedName>
    <definedName name="NEW_AdjPermVB" localSheetId="0">'HDAA|0290'!$AB$38</definedName>
    <definedName name="NEW_AdjPermVB" localSheetId="1">'HDAA|0499'!$AB$38</definedName>
    <definedName name="NEW_AdjPermVB">'B6'!$AB$38</definedName>
    <definedName name="NEW_GroupFilled" localSheetId="0">'HDAA|0290'!$AC$11</definedName>
    <definedName name="NEW_GroupFilled" localSheetId="1">'HDAA|0499'!$AC$11</definedName>
    <definedName name="NEW_GroupFilled">'B6'!$AC$11</definedName>
    <definedName name="NEW_GroupSalaryFilled" localSheetId="0">'HDAA|0290'!$AA$11</definedName>
    <definedName name="NEW_GroupSalaryFilled" localSheetId="1">'HDAA|0499'!$AA$11</definedName>
    <definedName name="NEW_GroupSalaryFilled">'B6'!$AA$11</definedName>
    <definedName name="NEW_GroupVBFilled" localSheetId="0">'HDAA|0290'!$AB$11</definedName>
    <definedName name="NEW_GroupVBFilled" localSheetId="1">'HDAA|0499'!$AB$11</definedName>
    <definedName name="NEW_GroupVBFilled">'B6'!$AB$11</definedName>
    <definedName name="NEW_PermFilled" localSheetId="0">'HDAA|0290'!$AC$10</definedName>
    <definedName name="NEW_PermFilled" localSheetId="1">'HDAA|0499'!$AC$10</definedName>
    <definedName name="NEW_PermFilled">'B6'!$AC$10</definedName>
    <definedName name="NEW_PermSalaryFilled" localSheetId="0">'HDAA|0290'!$AA$10</definedName>
    <definedName name="NEW_PermSalaryFilled" localSheetId="1">'HDAA|0499'!$AA$10</definedName>
    <definedName name="NEW_PermSalaryFilled">'B6'!$AA$10</definedName>
    <definedName name="NEW_PermVBFilled" localSheetId="0">'HDAA|0290'!$AB$10</definedName>
    <definedName name="NEW_PermVBFilled" localSheetId="1">'HDAA|0499'!$AB$10</definedName>
    <definedName name="NEW_PermVBFilled">'B6'!$AB$10</definedName>
    <definedName name="OneTimePC_Total" localSheetId="0">'HDAA|0290'!$J$63</definedName>
    <definedName name="OneTimePC_Total" localSheetId="1">'HDAA|0499'!$J$63</definedName>
    <definedName name="OneTimePC_Total">'B6'!$J$63</definedName>
    <definedName name="OrigApprop" localSheetId="6">[1]B6!$E$15</definedName>
    <definedName name="OrigApprop" localSheetId="0">'HDAA|0290'!$E$15</definedName>
    <definedName name="OrigApprop" localSheetId="1">'HDAA|0499'!$E$15</definedName>
    <definedName name="OrigApprop">'B6'!$E$15</definedName>
    <definedName name="perm_name" localSheetId="6">[1]B6!$C$10</definedName>
    <definedName name="perm_name" localSheetId="0">'HDAA|0290'!$C$10</definedName>
    <definedName name="perm_name" localSheetId="1">'HDAA|0499'!$C$10</definedName>
    <definedName name="perm_name">'B6'!$C$10</definedName>
    <definedName name="PermFTP" localSheetId="0">'HDAA|0290'!$F$10</definedName>
    <definedName name="PermFTP" localSheetId="1">'HDAA|0499'!$F$10</definedName>
    <definedName name="PermFTP">'B6'!$F$10</definedName>
    <definedName name="PermFxdBen" localSheetId="0">'HDAA|0290'!$H$10</definedName>
    <definedName name="PermFxdBen" localSheetId="1">'HDAA|0499'!$H$10</definedName>
    <definedName name="PermFxdBen">'B6'!$H$10</definedName>
    <definedName name="PermFxdBenChg" localSheetId="0">'HDAA|0290'!$L$10</definedName>
    <definedName name="PermFxdBenChg" localSheetId="1">'HDAA|0499'!$L$10</definedName>
    <definedName name="PermFxdBenChg">'B6'!$L$10</definedName>
    <definedName name="PermFxdChg" localSheetId="0">'HDAA|0290'!$L$10</definedName>
    <definedName name="PermFxdChg" localSheetId="1">'HDAA|0499'!$L$10</definedName>
    <definedName name="PermFxdChg">'B6'!$L$10</definedName>
    <definedName name="PermSalary" localSheetId="0">'HDAA|0290'!$G$10</definedName>
    <definedName name="PermSalary" localSheetId="1">'HDAA|0499'!$G$10</definedName>
    <definedName name="PermSalary">'B6'!$G$10</definedName>
    <definedName name="PermVarBen" localSheetId="0">'HDAA|0290'!$I$10</definedName>
    <definedName name="PermVarBen" localSheetId="1">'HDAA|0499'!$I$10</definedName>
    <definedName name="PermVarBen">'B6'!$I$10</definedName>
    <definedName name="PermVarBenChg" localSheetId="0">'HDAA|0290'!$M$10</definedName>
    <definedName name="PermVarBenChg" localSheetId="1">'HDAA|0499'!$M$10</definedName>
    <definedName name="PermVarBenChg">'B6'!$M$10</definedName>
    <definedName name="PermVB" localSheetId="6">[1]Benefits!$C$13</definedName>
    <definedName name="PermVB">Benefits!$C$12</definedName>
    <definedName name="PermVBBY" localSheetId="6">[1]Benefits!$D$13</definedName>
    <definedName name="PermVBBY">Benefits!$D$12</definedName>
    <definedName name="PermVBCHG" localSheetId="6">[1]Benefits!$E$13</definedName>
    <definedName name="PermVBCHG">Benefits!$E$12</definedName>
    <definedName name="_xlnm.Print_Area" localSheetId="4">'B6'!$A$1:$N$124</definedName>
    <definedName name="_xlnm.Print_Area" localSheetId="2">'B6'!$A$1:$N$124</definedName>
    <definedName name="_xlnm.Print_Area" localSheetId="0">'HDAA|0290'!$A$1:$N$124</definedName>
    <definedName name="_xlnm.Print_Area" localSheetId="1">'HDAA|0499'!$A$1:$N$124</definedName>
    <definedName name="Prog_Unadjusted_Total" localSheetId="0">'HDAA|0290'!$C$8:$N$16</definedName>
    <definedName name="Prog_Unadjusted_Total" localSheetId="1">'HDAA|0499'!$C$8:$N$16</definedName>
    <definedName name="Prog_Unadjusted_Total">'B6'!$C$8:$N$16</definedName>
    <definedName name="Program" localSheetId="0">'HDAA|0290'!$D$3</definedName>
    <definedName name="Program" localSheetId="1">'HDAA|0499'!$D$3</definedName>
    <definedName name="Program">'B6'!$D$3</definedName>
    <definedName name="PTHealth" localSheetId="6">[1]Benefits!$C$17</definedName>
    <definedName name="PTHealth">Benefits!$C$16</definedName>
    <definedName name="PTHealthBY" localSheetId="6">[1]Benefits!$D$17</definedName>
    <definedName name="PTHealthBY">Benefits!$D$16</definedName>
    <definedName name="PTHealthChg">Benefits!$E$16</definedName>
    <definedName name="Retire1" localSheetId="6">[1]Benefits!$C$21</definedName>
    <definedName name="Retire1">Benefits!$C$20</definedName>
    <definedName name="Retire1BY" localSheetId="6">[1]Benefits!$D$21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SalaryChg" localSheetId="0">'HDAA|0290'!$K$10</definedName>
    <definedName name="SalaryChg" localSheetId="1">'HDAA|0499'!$K$10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TypeGDFBucket" localSheetId="0">'HDAA|0290'!$C$85</definedName>
    <definedName name="TypeGDFBucket" localSheetId="1">'HDAA|0499'!$C$85</definedName>
    <definedName name="TypeGDFBucket">'B6'!$C$85</definedName>
    <definedName name="UI">Benefits!$C$7</definedName>
    <definedName name="UIBY">Benefits!$D$7</definedName>
    <definedName name="UICHG">Benefits!$E$7</definedName>
    <definedName name="VariableBenBucket" localSheetId="0">'HDAA|0290'!$L$85</definedName>
    <definedName name="VariableBenBucket" localSheetId="1">'HDAA|0499'!$L$85</definedName>
    <definedName name="VariableBenBucket">'B6'!$L$85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K23" i="11"/>
  <c r="L23" i="11"/>
  <c r="AZ206" i="5"/>
  <c r="AY206" i="5"/>
  <c r="AW206" i="5"/>
  <c r="AV206" i="5"/>
  <c r="AU206" i="5"/>
  <c r="AT206" i="5"/>
  <c r="AS206" i="5"/>
  <c r="BA204" i="5"/>
  <c r="AZ204" i="5"/>
  <c r="AY204" i="5"/>
  <c r="AX204" i="5"/>
  <c r="AW204" i="5"/>
  <c r="AV204" i="5"/>
  <c r="AU204" i="5"/>
  <c r="AT204" i="5"/>
  <c r="AS204" i="5"/>
  <c r="AZ196" i="5"/>
  <c r="AY196" i="5"/>
  <c r="AW196" i="5"/>
  <c r="AV196" i="5"/>
  <c r="AU196" i="5"/>
  <c r="AT196" i="5"/>
  <c r="AS196" i="5"/>
  <c r="AZ202" i="5"/>
  <c r="AW202" i="5"/>
  <c r="AW200" i="5"/>
  <c r="AZ200" i="5"/>
  <c r="A20" i="9"/>
  <c r="K13" i="9"/>
  <c r="J13" i="9"/>
  <c r="I13" i="9"/>
  <c r="H13" i="9"/>
  <c r="G13" i="9"/>
  <c r="F13" i="9"/>
  <c r="E13" i="9"/>
  <c r="M110" i="13"/>
  <c r="L110" i="13"/>
  <c r="I110" i="13"/>
  <c r="H110" i="13"/>
  <c r="A110" i="13"/>
  <c r="N109" i="13"/>
  <c r="J109" i="13"/>
  <c r="D109" i="13"/>
  <c r="C109" i="13"/>
  <c r="A109" i="13"/>
  <c r="N108" i="13"/>
  <c r="J108" i="13"/>
  <c r="D108" i="13"/>
  <c r="C108" i="13"/>
  <c r="A108" i="13"/>
  <c r="N107" i="13"/>
  <c r="J107" i="13"/>
  <c r="D107" i="13"/>
  <c r="C107" i="13"/>
  <c r="A107" i="13"/>
  <c r="N106" i="13"/>
  <c r="J106" i="13"/>
  <c r="D106" i="13"/>
  <c r="C106" i="13"/>
  <c r="A106" i="13"/>
  <c r="N105" i="13"/>
  <c r="J105" i="13"/>
  <c r="D105" i="13"/>
  <c r="C105" i="13"/>
  <c r="A105" i="13"/>
  <c r="N104" i="13"/>
  <c r="J104" i="13"/>
  <c r="D104" i="13"/>
  <c r="C104" i="13"/>
  <c r="A104" i="13"/>
  <c r="N103" i="13"/>
  <c r="J103" i="13"/>
  <c r="D103" i="13"/>
  <c r="C103" i="13"/>
  <c r="A103" i="13"/>
  <c r="N102" i="13"/>
  <c r="J102" i="13"/>
  <c r="D102" i="13"/>
  <c r="C102" i="13"/>
  <c r="A102" i="13"/>
  <c r="N101" i="13"/>
  <c r="J101" i="13"/>
  <c r="D101" i="13"/>
  <c r="C101" i="13"/>
  <c r="A101" i="13"/>
  <c r="N100" i="13"/>
  <c r="N110" i="13" s="1"/>
  <c r="J100" i="13"/>
  <c r="J110" i="13" s="1"/>
  <c r="D100" i="13"/>
  <c r="C100" i="13"/>
  <c r="A100" i="13"/>
  <c r="I96" i="13"/>
  <c r="H96" i="13"/>
  <c r="G96" i="13"/>
  <c r="F96" i="13"/>
  <c r="G95" i="13"/>
  <c r="E95" i="13"/>
  <c r="G94" i="13"/>
  <c r="E94" i="13"/>
  <c r="G93" i="13"/>
  <c r="E93" i="13"/>
  <c r="G92" i="13"/>
  <c r="E92" i="13"/>
  <c r="G91" i="13"/>
  <c r="E91" i="13"/>
  <c r="G90" i="13"/>
  <c r="E90" i="13"/>
  <c r="G89" i="13"/>
  <c r="E89" i="13"/>
  <c r="G88" i="13"/>
  <c r="E88" i="13"/>
  <c r="G87" i="13"/>
  <c r="E87" i="13"/>
  <c r="G86" i="13"/>
  <c r="E86" i="13"/>
  <c r="E96" i="13" s="1"/>
  <c r="I84" i="13"/>
  <c r="G84" i="13"/>
  <c r="E84" i="13"/>
  <c r="A83" i="13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F52" i="13" s="1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N35" i="13" s="1"/>
  <c r="L35" i="13"/>
  <c r="J35" i="13"/>
  <c r="I35" i="13"/>
  <c r="H35" i="13"/>
  <c r="M34" i="13"/>
  <c r="L34" i="13"/>
  <c r="N34" i="13" s="1"/>
  <c r="J34" i="13"/>
  <c r="I34" i="13"/>
  <c r="H34" i="13"/>
  <c r="M33" i="13"/>
  <c r="N33" i="13" s="1"/>
  <c r="L33" i="13"/>
  <c r="J33" i="13"/>
  <c r="I33" i="13"/>
  <c r="H33" i="13"/>
  <c r="M32" i="13"/>
  <c r="L32" i="13"/>
  <c r="N32" i="13" s="1"/>
  <c r="J32" i="13"/>
  <c r="I32" i="13"/>
  <c r="H32" i="13"/>
  <c r="M30" i="13"/>
  <c r="N30" i="13" s="1"/>
  <c r="L30" i="13"/>
  <c r="J30" i="13"/>
  <c r="I30" i="13"/>
  <c r="H30" i="13"/>
  <c r="M29" i="13"/>
  <c r="L29" i="13"/>
  <c r="N29" i="13" s="1"/>
  <c r="J29" i="13"/>
  <c r="I29" i="13"/>
  <c r="H29" i="13"/>
  <c r="M28" i="13"/>
  <c r="N28" i="13" s="1"/>
  <c r="L28" i="13"/>
  <c r="J28" i="13"/>
  <c r="I28" i="13"/>
  <c r="H28" i="13"/>
  <c r="M27" i="13"/>
  <c r="L27" i="13"/>
  <c r="N27" i="13" s="1"/>
  <c r="J27" i="13"/>
  <c r="I27" i="13"/>
  <c r="H27" i="13"/>
  <c r="M26" i="13"/>
  <c r="N26" i="13" s="1"/>
  <c r="L26" i="13"/>
  <c r="J26" i="13"/>
  <c r="I26" i="13"/>
  <c r="H26" i="13"/>
  <c r="M25" i="13"/>
  <c r="L25" i="13"/>
  <c r="N25" i="13" s="1"/>
  <c r="J25" i="13"/>
  <c r="I25" i="13"/>
  <c r="H25" i="13"/>
  <c r="M24" i="13"/>
  <c r="N24" i="13" s="1"/>
  <c r="L24" i="13"/>
  <c r="J24" i="13"/>
  <c r="I24" i="13"/>
  <c r="H24" i="13"/>
  <c r="M23" i="13"/>
  <c r="L23" i="13"/>
  <c r="N23" i="13" s="1"/>
  <c r="J23" i="13"/>
  <c r="I23" i="13"/>
  <c r="H23" i="13"/>
  <c r="M22" i="13"/>
  <c r="N22" i="13" s="1"/>
  <c r="L22" i="13"/>
  <c r="J22" i="13"/>
  <c r="I22" i="13"/>
  <c r="H22" i="13"/>
  <c r="M21" i="13"/>
  <c r="L21" i="13"/>
  <c r="N21" i="13" s="1"/>
  <c r="J21" i="13"/>
  <c r="I21" i="13"/>
  <c r="H21" i="13"/>
  <c r="M20" i="13"/>
  <c r="N20" i="13" s="1"/>
  <c r="L20" i="13"/>
  <c r="J20" i="13"/>
  <c r="I20" i="13"/>
  <c r="H20" i="13"/>
  <c r="C15" i="13"/>
  <c r="M8" i="13"/>
  <c r="L8" i="13"/>
  <c r="K8" i="13"/>
  <c r="J8" i="13"/>
  <c r="I8" i="13"/>
  <c r="H8" i="13"/>
  <c r="G8" i="13"/>
  <c r="AT182" i="5"/>
  <c r="AT183" i="5" s="1"/>
  <c r="A9" i="9"/>
  <c r="K2" i="9"/>
  <c r="J2" i="9"/>
  <c r="I2" i="9"/>
  <c r="H2" i="9"/>
  <c r="G2" i="9"/>
  <c r="F2" i="9"/>
  <c r="E2" i="9"/>
  <c r="M110" i="12"/>
  <c r="L110" i="12"/>
  <c r="I110" i="12"/>
  <c r="H110" i="12"/>
  <c r="A110" i="12"/>
  <c r="N109" i="12"/>
  <c r="J109" i="12"/>
  <c r="D109" i="12"/>
  <c r="C109" i="12"/>
  <c r="A109" i="12"/>
  <c r="N108" i="12"/>
  <c r="J108" i="12"/>
  <c r="D108" i="12"/>
  <c r="C108" i="12"/>
  <c r="A108" i="12"/>
  <c r="N107" i="12"/>
  <c r="J107" i="12"/>
  <c r="D107" i="12"/>
  <c r="C107" i="12"/>
  <c r="A107" i="12"/>
  <c r="N106" i="12"/>
  <c r="J106" i="12"/>
  <c r="D106" i="12"/>
  <c r="C106" i="12"/>
  <c r="A106" i="12"/>
  <c r="N105" i="12"/>
  <c r="J105" i="12"/>
  <c r="D105" i="12"/>
  <c r="C105" i="12"/>
  <c r="A105" i="12"/>
  <c r="N104" i="12"/>
  <c r="J104" i="12"/>
  <c r="D104" i="12"/>
  <c r="C104" i="12"/>
  <c r="A104" i="12"/>
  <c r="N103" i="12"/>
  <c r="J103" i="12"/>
  <c r="D103" i="12"/>
  <c r="C103" i="12"/>
  <c r="A103" i="12"/>
  <c r="N102" i="12"/>
  <c r="J102" i="12"/>
  <c r="D102" i="12"/>
  <c r="C102" i="12"/>
  <c r="A102" i="12"/>
  <c r="N101" i="12"/>
  <c r="J101" i="12"/>
  <c r="D101" i="12"/>
  <c r="C101" i="12"/>
  <c r="A101" i="12"/>
  <c r="N100" i="12"/>
  <c r="J100" i="12"/>
  <c r="D100" i="12"/>
  <c r="C100" i="12"/>
  <c r="A100" i="12"/>
  <c r="I96" i="12"/>
  <c r="H96" i="12"/>
  <c r="G87" i="12" s="1"/>
  <c r="F96" i="12"/>
  <c r="E92" i="12" s="1"/>
  <c r="G95" i="12"/>
  <c r="E94" i="12"/>
  <c r="E93" i="12"/>
  <c r="E90" i="12"/>
  <c r="E89" i="12"/>
  <c r="E86" i="12"/>
  <c r="I84" i="12"/>
  <c r="G84" i="12"/>
  <c r="E84" i="12"/>
  <c r="A83" i="12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N33" i="12" s="1"/>
  <c r="J33" i="12"/>
  <c r="I33" i="12"/>
  <c r="H33" i="12"/>
  <c r="M32" i="12"/>
  <c r="N32" i="12" s="1"/>
  <c r="L32" i="12"/>
  <c r="J32" i="12"/>
  <c r="I32" i="12"/>
  <c r="H32" i="12"/>
  <c r="M30" i="12"/>
  <c r="L30" i="12"/>
  <c r="J30" i="12"/>
  <c r="I30" i="12"/>
  <c r="H30" i="12"/>
  <c r="M29" i="12"/>
  <c r="N29" i="12" s="1"/>
  <c r="L29" i="12"/>
  <c r="J29" i="12"/>
  <c r="I29" i="12"/>
  <c r="H29" i="12"/>
  <c r="M28" i="12"/>
  <c r="N28" i="12" s="1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N25" i="12" s="1"/>
  <c r="L25" i="12"/>
  <c r="J25" i="12"/>
  <c r="I25" i="12"/>
  <c r="H25" i="12"/>
  <c r="M24" i="12"/>
  <c r="L24" i="12"/>
  <c r="N24" i="12" s="1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N20" i="12" s="1"/>
  <c r="J20" i="12"/>
  <c r="I20" i="12"/>
  <c r="H20" i="12"/>
  <c r="C15" i="12"/>
  <c r="M8" i="12"/>
  <c r="L8" i="12"/>
  <c r="K8" i="12"/>
  <c r="J8" i="12"/>
  <c r="I8" i="12"/>
  <c r="H8" i="12"/>
  <c r="G8" i="12"/>
  <c r="AT180" i="5"/>
  <c r="AT181" i="5" s="1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2" i="5"/>
  <c r="AW177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82" i="5" s="1"/>
  <c r="AW183" i="5" s="1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T5" i="5" s="1"/>
  <c r="AS6" i="5"/>
  <c r="AX6" i="5" s="1"/>
  <c r="AS7" i="5"/>
  <c r="AX7" i="5" s="1"/>
  <c r="AS8" i="5"/>
  <c r="AX8" i="5" s="1"/>
  <c r="AS9" i="5"/>
  <c r="AT9" i="5" s="1"/>
  <c r="AS10" i="5"/>
  <c r="AT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T19" i="5" s="1"/>
  <c r="AS20" i="5"/>
  <c r="AX20" i="5" s="1"/>
  <c r="AS21" i="5"/>
  <c r="AT21" i="5" s="1"/>
  <c r="AS22" i="5"/>
  <c r="AX22" i="5" s="1"/>
  <c r="AS23" i="5"/>
  <c r="AX23" i="5" s="1"/>
  <c r="AS24" i="5"/>
  <c r="AX24" i="5" s="1"/>
  <c r="AS25" i="5"/>
  <c r="AT25" i="5" s="1"/>
  <c r="AS26" i="5"/>
  <c r="AT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T34" i="5" s="1"/>
  <c r="AS35" i="5"/>
  <c r="AT35" i="5" s="1"/>
  <c r="AS36" i="5"/>
  <c r="AX36" i="5" s="1"/>
  <c r="AS37" i="5"/>
  <c r="AT37" i="5" s="1"/>
  <c r="AS38" i="5"/>
  <c r="AX38" i="5" s="1"/>
  <c r="AS39" i="5"/>
  <c r="AX39" i="5" s="1"/>
  <c r="AS40" i="5"/>
  <c r="AX40" i="5" s="1"/>
  <c r="AS41" i="5"/>
  <c r="AT41" i="5" s="1"/>
  <c r="AS42" i="5"/>
  <c r="AT42" i="5" s="1"/>
  <c r="AS43" i="5"/>
  <c r="AX43" i="5" s="1"/>
  <c r="AS44" i="5"/>
  <c r="AX44" i="5" s="1"/>
  <c r="AS45" i="5"/>
  <c r="AX45" i="5" s="1"/>
  <c r="AS46" i="5"/>
  <c r="AX46" i="5" s="1"/>
  <c r="AS47" i="5"/>
  <c r="AT47" i="5" s="1"/>
  <c r="AS48" i="5"/>
  <c r="AX48" i="5" s="1"/>
  <c r="AS49" i="5"/>
  <c r="AX49" i="5" s="1"/>
  <c r="AS50" i="5"/>
  <c r="AT50" i="5" s="1"/>
  <c r="AS51" i="5"/>
  <c r="AT51" i="5" s="1"/>
  <c r="AS52" i="5"/>
  <c r="AX52" i="5" s="1"/>
  <c r="AS53" i="5"/>
  <c r="AX53" i="5" s="1"/>
  <c r="AS54" i="5"/>
  <c r="AX54" i="5" s="1"/>
  <c r="AS55" i="5"/>
  <c r="AX55" i="5" s="1"/>
  <c r="AS56" i="5"/>
  <c r="AX56" i="5" s="1"/>
  <c r="AS57" i="5"/>
  <c r="AT57" i="5" s="1"/>
  <c r="AS58" i="5"/>
  <c r="AX58" i="5" s="1"/>
  <c r="AS59" i="5"/>
  <c r="AX59" i="5" s="1"/>
  <c r="AS60" i="5"/>
  <c r="AX60" i="5" s="1"/>
  <c r="AS61" i="5"/>
  <c r="AX61" i="5" s="1"/>
  <c r="AS62" i="5"/>
  <c r="AT62" i="5" s="1"/>
  <c r="AS63" i="5"/>
  <c r="AX63" i="5" s="1"/>
  <c r="AS64" i="5"/>
  <c r="AX64" i="5" s="1"/>
  <c r="AS65" i="5"/>
  <c r="AX65" i="5" s="1"/>
  <c r="AS66" i="5"/>
  <c r="AT66" i="5" s="1"/>
  <c r="AS67" i="5"/>
  <c r="AT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T73" i="5" s="1"/>
  <c r="AS74" i="5"/>
  <c r="AX74" i="5" s="1"/>
  <c r="AS75" i="5"/>
  <c r="AX75" i="5" s="1"/>
  <c r="AS76" i="5"/>
  <c r="AX76" i="5" s="1"/>
  <c r="AS77" i="5"/>
  <c r="AT77" i="5" s="1"/>
  <c r="AS78" i="5"/>
  <c r="AT78" i="5" s="1"/>
  <c r="AS79" i="5"/>
  <c r="AX79" i="5" s="1"/>
  <c r="AS80" i="5"/>
  <c r="AX80" i="5" s="1"/>
  <c r="AS81" i="5"/>
  <c r="AX81" i="5" s="1"/>
  <c r="AS82" i="5"/>
  <c r="AT82" i="5" s="1"/>
  <c r="AS83" i="5"/>
  <c r="AT83" i="5" s="1"/>
  <c r="AS84" i="5"/>
  <c r="AX84" i="5" s="1"/>
  <c r="AS85" i="5"/>
  <c r="AX85" i="5" s="1"/>
  <c r="AS86" i="5"/>
  <c r="AX86" i="5" s="1"/>
  <c r="AS87" i="5"/>
  <c r="AX87" i="5" s="1"/>
  <c r="AS88" i="5"/>
  <c r="AX88" i="5" s="1"/>
  <c r="AS89" i="5"/>
  <c r="AX89" i="5" s="1"/>
  <c r="AS90" i="5"/>
  <c r="AT90" i="5" s="1"/>
  <c r="AS91" i="5"/>
  <c r="AX91" i="5" s="1"/>
  <c r="AS92" i="5"/>
  <c r="AX92" i="5" s="1"/>
  <c r="AS93" i="5"/>
  <c r="AT93" i="5" s="1"/>
  <c r="AS94" i="5"/>
  <c r="AX94" i="5" s="1"/>
  <c r="AS95" i="5"/>
  <c r="AX95" i="5" s="1"/>
  <c r="AS96" i="5"/>
  <c r="AX96" i="5" s="1"/>
  <c r="AS97" i="5"/>
  <c r="AX97" i="5" s="1"/>
  <c r="AS98" i="5"/>
  <c r="AT98" i="5" s="1"/>
  <c r="AS99" i="5"/>
  <c r="AX99" i="5" s="1"/>
  <c r="AS100" i="5"/>
  <c r="AX100" i="5" s="1"/>
  <c r="AS101" i="5"/>
  <c r="AX101" i="5" s="1"/>
  <c r="AS102" i="5"/>
  <c r="AX102" i="5" s="1"/>
  <c r="AS103" i="5"/>
  <c r="AX103" i="5" s="1"/>
  <c r="AS104" i="5"/>
  <c r="AX104" i="5" s="1"/>
  <c r="AS105" i="5"/>
  <c r="AT105" i="5" s="1"/>
  <c r="AS106" i="5"/>
  <c r="AT106" i="5" s="1"/>
  <c r="AS107" i="5"/>
  <c r="AX107" i="5" s="1"/>
  <c r="AS108" i="5"/>
  <c r="AX108" i="5" s="1"/>
  <c r="AS109" i="5"/>
  <c r="AT109" i="5" s="1"/>
  <c r="AS110" i="5"/>
  <c r="AX110" i="5" s="1"/>
  <c r="AS111" i="5"/>
  <c r="AX111" i="5" s="1"/>
  <c r="AS112" i="5"/>
  <c r="AX112" i="5" s="1"/>
  <c r="AS113" i="5"/>
  <c r="AX113" i="5" s="1"/>
  <c r="AS114" i="5"/>
  <c r="AT114" i="5" s="1"/>
  <c r="AS115" i="5"/>
  <c r="AX115" i="5" s="1"/>
  <c r="AS116" i="5"/>
  <c r="AX116" i="5" s="1"/>
  <c r="AS117" i="5"/>
  <c r="AX117" i="5" s="1"/>
  <c r="AS118" i="5"/>
  <c r="AX118" i="5" s="1"/>
  <c r="AS119" i="5"/>
  <c r="AT119" i="5" s="1"/>
  <c r="AS120" i="5"/>
  <c r="AX120" i="5" s="1"/>
  <c r="AS121" i="5"/>
  <c r="AT121" i="5" s="1"/>
  <c r="AS122" i="5"/>
  <c r="AT122" i="5" s="1"/>
  <c r="AS123" i="5"/>
  <c r="AX123" i="5" s="1"/>
  <c r="AS124" i="5"/>
  <c r="AX124" i="5" s="1"/>
  <c r="AS125" i="5"/>
  <c r="AX125" i="5" s="1"/>
  <c r="AS126" i="5"/>
  <c r="AX126" i="5" s="1"/>
  <c r="AS127" i="5"/>
  <c r="AX127" i="5" s="1"/>
  <c r="AS128" i="5"/>
  <c r="AX128" i="5" s="1"/>
  <c r="AS129" i="5"/>
  <c r="AX129" i="5" s="1"/>
  <c r="AS130" i="5"/>
  <c r="AX130" i="5" s="1"/>
  <c r="AS131" i="5"/>
  <c r="AX131" i="5" s="1"/>
  <c r="AS132" i="5"/>
  <c r="AX132" i="5" s="1"/>
  <c r="AS133" i="5"/>
  <c r="AT133" i="5" s="1"/>
  <c r="AS134" i="5"/>
  <c r="AX134" i="5" s="1"/>
  <c r="AS135" i="5"/>
  <c r="AX135" i="5" s="1"/>
  <c r="AS136" i="5"/>
  <c r="AX136" i="5" s="1"/>
  <c r="AS137" i="5"/>
  <c r="AT137" i="5" s="1"/>
  <c r="AS138" i="5"/>
  <c r="AT138" i="5" s="1"/>
  <c r="AS139" i="5"/>
  <c r="AX139" i="5" s="1"/>
  <c r="AS140" i="5"/>
  <c r="AX140" i="5" s="1"/>
  <c r="AS141" i="5"/>
  <c r="AX141" i="5" s="1"/>
  <c r="AS142" i="5"/>
  <c r="AX142" i="5" s="1"/>
  <c r="AS143" i="5"/>
  <c r="AX143" i="5" s="1"/>
  <c r="AS144" i="5"/>
  <c r="AX144" i="5" s="1"/>
  <c r="AS145" i="5"/>
  <c r="AX145" i="5" s="1"/>
  <c r="AS146" i="5"/>
  <c r="AX146" i="5" s="1"/>
  <c r="AS147" i="5"/>
  <c r="AT147" i="5" s="1"/>
  <c r="AS148" i="5"/>
  <c r="AX148" i="5" s="1"/>
  <c r="AS149" i="5"/>
  <c r="AT149" i="5" s="1"/>
  <c r="AS150" i="5"/>
  <c r="AX150" i="5" s="1"/>
  <c r="AS151" i="5"/>
  <c r="AX151" i="5" s="1"/>
  <c r="AS152" i="5"/>
  <c r="AX152" i="5" s="1"/>
  <c r="AS153" i="5"/>
  <c r="AT153" i="5" s="1"/>
  <c r="AS154" i="5"/>
  <c r="AT154" i="5" s="1"/>
  <c r="AS155" i="5"/>
  <c r="AX155" i="5" s="1"/>
  <c r="AS156" i="5"/>
  <c r="AX156" i="5" s="1"/>
  <c r="AS157" i="5"/>
  <c r="AX157" i="5" s="1"/>
  <c r="AS158" i="5"/>
  <c r="AX158" i="5" s="1"/>
  <c r="AS159" i="5"/>
  <c r="AX159" i="5" s="1"/>
  <c r="AS160" i="5"/>
  <c r="AX160" i="5" s="1"/>
  <c r="AS161" i="5"/>
  <c r="AX161" i="5" s="1"/>
  <c r="AS162" i="5"/>
  <c r="AT162" i="5" s="1"/>
  <c r="AS163" i="5"/>
  <c r="AT163" i="5" s="1"/>
  <c r="AS164" i="5"/>
  <c r="AX164" i="5" s="1"/>
  <c r="AS165" i="5"/>
  <c r="AT165" i="5" s="1"/>
  <c r="AS166" i="5"/>
  <c r="AX166" i="5" s="1"/>
  <c r="AS167" i="5"/>
  <c r="AX167" i="5" s="1"/>
  <c r="AS168" i="5"/>
  <c r="AX168" i="5" s="1"/>
  <c r="AS169" i="5"/>
  <c r="AT169" i="5" s="1"/>
  <c r="AS170" i="5"/>
  <c r="AT170" i="5" s="1"/>
  <c r="AS171" i="5"/>
  <c r="AX171" i="5" s="1"/>
  <c r="AS172" i="5"/>
  <c r="AX172" i="5" s="1"/>
  <c r="AS173" i="5"/>
  <c r="AX173" i="5" s="1"/>
  <c r="AS174" i="5"/>
  <c r="AX174" i="5" s="1"/>
  <c r="AS175" i="5"/>
  <c r="AT175" i="5" s="1"/>
  <c r="AS176" i="5"/>
  <c r="AX176" i="5" s="1"/>
  <c r="AS177" i="5"/>
  <c r="AX177" i="5" s="1"/>
  <c r="AS2" i="5"/>
  <c r="AX2" i="5" s="1"/>
  <c r="N23" i="12" l="1"/>
  <c r="N27" i="12"/>
  <c r="N22" i="12"/>
  <c r="N35" i="12"/>
  <c r="CL182" i="5"/>
  <c r="CL183" i="5" s="1"/>
  <c r="G11" i="13" s="1"/>
  <c r="CM182" i="5"/>
  <c r="CM183" i="5" s="1"/>
  <c r="I11" i="13" s="1"/>
  <c r="I39" i="13" s="1"/>
  <c r="AB39" i="13" s="1"/>
  <c r="BA201" i="5"/>
  <c r="BA202" i="5" s="1"/>
  <c r="F12" i="13"/>
  <c r="F40" i="13" s="1"/>
  <c r="D17" i="9"/>
  <c r="AT191" i="5"/>
  <c r="AT199" i="5"/>
  <c r="AU191" i="5"/>
  <c r="AU199" i="5"/>
  <c r="AU200" i="5" s="1"/>
  <c r="AV199" i="5"/>
  <c r="AT201" i="5"/>
  <c r="AT202" i="5" s="1"/>
  <c r="AT193" i="5"/>
  <c r="AT194" i="5" s="1"/>
  <c r="AX199" i="5"/>
  <c r="AU201" i="5"/>
  <c r="AU202" i="5" s="1"/>
  <c r="N39" i="13"/>
  <c r="AU193" i="5"/>
  <c r="AU194" i="5" s="1"/>
  <c r="AY199" i="5"/>
  <c r="AY200" i="5" s="1"/>
  <c r="AV201" i="5"/>
  <c r="AV202" i="5" s="1"/>
  <c r="BA199" i="5"/>
  <c r="AX201" i="5"/>
  <c r="AX202" i="5" s="1"/>
  <c r="AY201" i="5"/>
  <c r="AY202" i="5" s="1"/>
  <c r="AX200" i="5"/>
  <c r="AT200" i="5"/>
  <c r="F56" i="13"/>
  <c r="F60" i="13" s="1"/>
  <c r="N34" i="12"/>
  <c r="N21" i="12"/>
  <c r="CI175" i="5"/>
  <c r="CF175" i="5"/>
  <c r="BK175" i="5"/>
  <c r="CC175" i="5"/>
  <c r="BV175" i="5"/>
  <c r="CE175" i="5"/>
  <c r="BY175" i="5"/>
  <c r="CK175" i="5"/>
  <c r="CA175" i="5"/>
  <c r="BR175" i="5"/>
  <c r="CD175" i="5"/>
  <c r="BW175" i="5"/>
  <c r="BS175" i="5"/>
  <c r="BM175" i="5"/>
  <c r="BJ175" i="5"/>
  <c r="BI175" i="5"/>
  <c r="BH175" i="5"/>
  <c r="BG175" i="5"/>
  <c r="BF175" i="5"/>
  <c r="BE175" i="5"/>
  <c r="BA175" i="5"/>
  <c r="BQ175" i="5"/>
  <c r="BT175" i="5"/>
  <c r="BU175" i="5"/>
  <c r="AZ175" i="5"/>
  <c r="AY175" i="5"/>
  <c r="AV175" i="5"/>
  <c r="BC175" i="5" s="1"/>
  <c r="AU175" i="5"/>
  <c r="BN175" i="5" s="1"/>
  <c r="CK77" i="5"/>
  <c r="CI77" i="5"/>
  <c r="CE77" i="5"/>
  <c r="BW77" i="5"/>
  <c r="BY77" i="5"/>
  <c r="CD77" i="5"/>
  <c r="BU77" i="5"/>
  <c r="CA77" i="5"/>
  <c r="CF77" i="5"/>
  <c r="CC77" i="5"/>
  <c r="BT77" i="5"/>
  <c r="BQ77" i="5"/>
  <c r="BV77" i="5"/>
  <c r="BR77" i="5"/>
  <c r="BS77" i="5"/>
  <c r="BJ77" i="5"/>
  <c r="BG77" i="5"/>
  <c r="BI77" i="5"/>
  <c r="BM77" i="5"/>
  <c r="BK77" i="5"/>
  <c r="BH77" i="5"/>
  <c r="BA77" i="5"/>
  <c r="AZ77" i="5"/>
  <c r="BF77" i="5"/>
  <c r="BE77" i="5"/>
  <c r="AY77" i="5"/>
  <c r="AV77" i="5"/>
  <c r="BO77" i="5" s="1"/>
  <c r="AU77" i="5"/>
  <c r="BN77" i="5" s="1"/>
  <c r="CI50" i="5"/>
  <c r="CF50" i="5"/>
  <c r="CE50" i="5"/>
  <c r="CK50" i="5"/>
  <c r="CC50" i="5"/>
  <c r="BW50" i="5"/>
  <c r="CD50" i="5"/>
  <c r="BY50" i="5"/>
  <c r="BU50" i="5"/>
  <c r="BK50" i="5"/>
  <c r="CA50" i="5"/>
  <c r="BV50" i="5"/>
  <c r="BT50" i="5"/>
  <c r="BS50" i="5"/>
  <c r="BJ50" i="5"/>
  <c r="BQ50" i="5"/>
  <c r="BR50" i="5"/>
  <c r="BM50" i="5"/>
  <c r="BH50" i="5"/>
  <c r="BG50" i="5"/>
  <c r="BA50" i="5"/>
  <c r="BI50" i="5"/>
  <c r="BF50" i="5"/>
  <c r="AY50" i="5"/>
  <c r="AZ50" i="5"/>
  <c r="BE50" i="5"/>
  <c r="AV50" i="5"/>
  <c r="BC50" i="5" s="1"/>
  <c r="AU50" i="5"/>
  <c r="BN50" i="5" s="1"/>
  <c r="CI42" i="5"/>
  <c r="CD42" i="5"/>
  <c r="CK42" i="5"/>
  <c r="CF42" i="5"/>
  <c r="BW42" i="5"/>
  <c r="CA42" i="5"/>
  <c r="BY42" i="5"/>
  <c r="CE42" i="5"/>
  <c r="BK42" i="5"/>
  <c r="CC42" i="5"/>
  <c r="BU42" i="5"/>
  <c r="BT42" i="5"/>
  <c r="BR42" i="5"/>
  <c r="BS42" i="5"/>
  <c r="BQ42" i="5"/>
  <c r="BM42" i="5"/>
  <c r="BV42" i="5"/>
  <c r="BI42" i="5"/>
  <c r="BF42" i="5"/>
  <c r="BH42" i="5"/>
  <c r="BG42" i="5"/>
  <c r="BJ42" i="5"/>
  <c r="AZ42" i="5"/>
  <c r="BE42" i="5"/>
  <c r="AY42" i="5"/>
  <c r="BA42" i="5"/>
  <c r="AV42" i="5"/>
  <c r="BC42" i="5" s="1"/>
  <c r="AU42" i="5"/>
  <c r="BN42" i="5" s="1"/>
  <c r="CK34" i="5"/>
  <c r="CI34" i="5"/>
  <c r="CD34" i="5"/>
  <c r="BW34" i="5"/>
  <c r="CC34" i="5"/>
  <c r="BV34" i="5"/>
  <c r="BK34" i="5"/>
  <c r="BJ34" i="5"/>
  <c r="CF34" i="5"/>
  <c r="BY34" i="5"/>
  <c r="CE34" i="5"/>
  <c r="BT34" i="5"/>
  <c r="CA34" i="5"/>
  <c r="BQ34" i="5"/>
  <c r="BU34" i="5"/>
  <c r="BM34" i="5"/>
  <c r="BS34" i="5"/>
  <c r="BR34" i="5"/>
  <c r="BG34" i="5"/>
  <c r="AZ34" i="5"/>
  <c r="BI34" i="5"/>
  <c r="BF34" i="5"/>
  <c r="BH34" i="5"/>
  <c r="BA34" i="5"/>
  <c r="BE34" i="5"/>
  <c r="AY34" i="5"/>
  <c r="AV34" i="5"/>
  <c r="BO34" i="5" s="1"/>
  <c r="AU34" i="5"/>
  <c r="BN34" i="5" s="1"/>
  <c r="CK26" i="5"/>
  <c r="CF26" i="5"/>
  <c r="CE26" i="5"/>
  <c r="BW26" i="5"/>
  <c r="CD26" i="5"/>
  <c r="CC26" i="5"/>
  <c r="BK26" i="5"/>
  <c r="BJ26" i="5"/>
  <c r="BY26" i="5"/>
  <c r="BS26" i="5"/>
  <c r="BQ26" i="5"/>
  <c r="BV26" i="5"/>
  <c r="BT26" i="5"/>
  <c r="BR26" i="5"/>
  <c r="CI26" i="5"/>
  <c r="CA26" i="5"/>
  <c r="BU26" i="5"/>
  <c r="BM26" i="5"/>
  <c r="BF26" i="5"/>
  <c r="BH26" i="5"/>
  <c r="BE26" i="5"/>
  <c r="BG26" i="5"/>
  <c r="BI26" i="5"/>
  <c r="AY26" i="5"/>
  <c r="BA26" i="5"/>
  <c r="AZ26" i="5"/>
  <c r="AV26" i="5"/>
  <c r="BO26" i="5" s="1"/>
  <c r="AU26" i="5"/>
  <c r="BN26" i="5" s="1"/>
  <c r="CH10" i="5"/>
  <c r="CG10" i="5"/>
  <c r="CE10" i="5"/>
  <c r="CI10" i="5"/>
  <c r="CK10" i="5"/>
  <c r="CF10" i="5"/>
  <c r="BX10" i="5"/>
  <c r="BW10" i="5"/>
  <c r="BZ10" i="5"/>
  <c r="BY10" i="5"/>
  <c r="CC10" i="5"/>
  <c r="BL10" i="5"/>
  <c r="BK10" i="5"/>
  <c r="BJ10" i="5"/>
  <c r="BT10" i="5"/>
  <c r="BR10" i="5"/>
  <c r="BS10" i="5"/>
  <c r="BQ10" i="5"/>
  <c r="CD10" i="5"/>
  <c r="BV10" i="5"/>
  <c r="BM10" i="5"/>
  <c r="CJ10" i="5"/>
  <c r="CA10" i="5"/>
  <c r="BU10" i="5"/>
  <c r="BH10" i="5"/>
  <c r="BE10" i="5"/>
  <c r="BG10" i="5"/>
  <c r="BI10" i="5"/>
  <c r="BF10" i="5"/>
  <c r="BA10" i="5"/>
  <c r="AY10" i="5"/>
  <c r="AZ10" i="5"/>
  <c r="AV10" i="5"/>
  <c r="BC10" i="5" s="1"/>
  <c r="AU10" i="5"/>
  <c r="BB10" i="5" s="1"/>
  <c r="CG119" i="5"/>
  <c r="CJ119" i="5"/>
  <c r="CK119" i="5"/>
  <c r="CH119" i="5"/>
  <c r="CI119" i="5"/>
  <c r="CA119" i="5"/>
  <c r="BX119" i="5"/>
  <c r="BW119" i="5"/>
  <c r="CE119" i="5"/>
  <c r="BV119" i="5"/>
  <c r="BK119" i="5"/>
  <c r="CD119" i="5"/>
  <c r="BY119" i="5"/>
  <c r="BZ119" i="5"/>
  <c r="CF119" i="5"/>
  <c r="CC119" i="5"/>
  <c r="BU119" i="5"/>
  <c r="BR119" i="5"/>
  <c r="BS119" i="5"/>
  <c r="BM119" i="5"/>
  <c r="BJ119" i="5"/>
  <c r="BI119" i="5"/>
  <c r="BH119" i="5"/>
  <c r="BG119" i="5"/>
  <c r="BF119" i="5"/>
  <c r="BE119" i="5"/>
  <c r="BA119" i="5"/>
  <c r="BT119" i="5"/>
  <c r="BL119" i="5"/>
  <c r="BQ119" i="5"/>
  <c r="AZ119" i="5"/>
  <c r="AY119" i="5"/>
  <c r="AV119" i="5"/>
  <c r="BC119" i="5" s="1"/>
  <c r="AU119" i="5"/>
  <c r="BB119" i="5" s="1"/>
  <c r="CK93" i="5"/>
  <c r="CF93" i="5"/>
  <c r="CD93" i="5"/>
  <c r="BW93" i="5"/>
  <c r="CC93" i="5"/>
  <c r="CA93" i="5"/>
  <c r="BY93" i="5"/>
  <c r="BT93" i="5"/>
  <c r="CI93" i="5"/>
  <c r="CE93" i="5"/>
  <c r="BR93" i="5"/>
  <c r="BS93" i="5"/>
  <c r="BM93" i="5"/>
  <c r="BV93" i="5"/>
  <c r="BK93" i="5"/>
  <c r="BU93" i="5"/>
  <c r="BQ93" i="5"/>
  <c r="BH93" i="5"/>
  <c r="BJ93" i="5"/>
  <c r="BG93" i="5"/>
  <c r="BA93" i="5"/>
  <c r="BI93" i="5"/>
  <c r="BF93" i="5"/>
  <c r="AY93" i="5"/>
  <c r="BE93" i="5"/>
  <c r="AZ93" i="5"/>
  <c r="AV93" i="5"/>
  <c r="BC93" i="5" s="1"/>
  <c r="AU93" i="5"/>
  <c r="BN93" i="5" s="1"/>
  <c r="CD170" i="5"/>
  <c r="BY170" i="5"/>
  <c r="CK170" i="5"/>
  <c r="CE170" i="5"/>
  <c r="BK170" i="5"/>
  <c r="BT170" i="5"/>
  <c r="BR170" i="5"/>
  <c r="BU170" i="5"/>
  <c r="BS170" i="5"/>
  <c r="BQ170" i="5"/>
  <c r="CF170" i="5"/>
  <c r="CC170" i="5"/>
  <c r="BM170" i="5"/>
  <c r="BW170" i="5"/>
  <c r="CI170" i="5"/>
  <c r="CA170" i="5"/>
  <c r="BV170" i="5"/>
  <c r="BI170" i="5"/>
  <c r="BH170" i="5"/>
  <c r="BJ170" i="5"/>
  <c r="BG170" i="5"/>
  <c r="BE170" i="5"/>
  <c r="AZ170" i="5"/>
  <c r="BA170" i="5"/>
  <c r="BF170" i="5"/>
  <c r="AY170" i="5"/>
  <c r="AV170" i="5"/>
  <c r="BO170" i="5" s="1"/>
  <c r="AU170" i="5"/>
  <c r="BN170" i="5" s="1"/>
  <c r="CK162" i="5"/>
  <c r="CH162" i="5"/>
  <c r="CG162" i="5"/>
  <c r="CJ162" i="5"/>
  <c r="CF162" i="5"/>
  <c r="BZ162" i="5"/>
  <c r="CE162" i="5"/>
  <c r="BV162" i="5"/>
  <c r="CI162" i="5"/>
  <c r="BK162" i="5"/>
  <c r="CC162" i="5"/>
  <c r="BW162" i="5"/>
  <c r="BX162" i="5"/>
  <c r="CD162" i="5"/>
  <c r="CA162" i="5"/>
  <c r="BQ162" i="5"/>
  <c r="BU162" i="5"/>
  <c r="BY162" i="5"/>
  <c r="BR162" i="5"/>
  <c r="BT162" i="5"/>
  <c r="BS162" i="5"/>
  <c r="BJ162" i="5"/>
  <c r="BG162" i="5"/>
  <c r="BI162" i="5"/>
  <c r="BL162" i="5"/>
  <c r="BM162" i="5"/>
  <c r="BH162" i="5"/>
  <c r="BA162" i="5"/>
  <c r="AZ162" i="5"/>
  <c r="BF162" i="5"/>
  <c r="BE162" i="5"/>
  <c r="AV162" i="5"/>
  <c r="AU162" i="5"/>
  <c r="BN162" i="5" s="1"/>
  <c r="AY162" i="5"/>
  <c r="CH154" i="5"/>
  <c r="CF154" i="5"/>
  <c r="CE154" i="5"/>
  <c r="BW154" i="5"/>
  <c r="CI154" i="5"/>
  <c r="CC154" i="5"/>
  <c r="CD154" i="5"/>
  <c r="BZ154" i="5"/>
  <c r="CA154" i="5"/>
  <c r="BK154" i="5"/>
  <c r="BU154" i="5"/>
  <c r="BS154" i="5"/>
  <c r="BQ154" i="5"/>
  <c r="CJ154" i="5"/>
  <c r="BX154" i="5"/>
  <c r="BV154" i="5"/>
  <c r="BT154" i="5"/>
  <c r="BR154" i="5"/>
  <c r="CK154" i="5"/>
  <c r="CG154" i="5"/>
  <c r="BY154" i="5"/>
  <c r="BL154" i="5"/>
  <c r="BM154" i="5"/>
  <c r="BH154" i="5"/>
  <c r="BE154" i="5"/>
  <c r="BJ154" i="5"/>
  <c r="BG154" i="5"/>
  <c r="BI154" i="5"/>
  <c r="BF154" i="5"/>
  <c r="BA154" i="5"/>
  <c r="AZ154" i="5"/>
  <c r="AY154" i="5"/>
  <c r="AV154" i="5"/>
  <c r="BO154" i="5" s="1"/>
  <c r="AU154" i="5"/>
  <c r="BB154" i="5" s="1"/>
  <c r="BW138" i="5"/>
  <c r="CI138" i="5"/>
  <c r="CF138" i="5"/>
  <c r="BY138" i="5"/>
  <c r="CK138" i="5"/>
  <c r="BK138" i="5"/>
  <c r="BT138" i="5"/>
  <c r="BR138" i="5"/>
  <c r="CA138" i="5"/>
  <c r="BS138" i="5"/>
  <c r="BQ138" i="5"/>
  <c r="CC138" i="5"/>
  <c r="BU138" i="5"/>
  <c r="BM138" i="5"/>
  <c r="CD138" i="5"/>
  <c r="BV138" i="5"/>
  <c r="CE138" i="5"/>
  <c r="BH138" i="5"/>
  <c r="BE138" i="5"/>
  <c r="BJ138" i="5"/>
  <c r="BG138" i="5"/>
  <c r="BI138" i="5"/>
  <c r="BF138" i="5"/>
  <c r="AZ138" i="5"/>
  <c r="BA138" i="5"/>
  <c r="AY138" i="5"/>
  <c r="AV138" i="5"/>
  <c r="BO138" i="5" s="1"/>
  <c r="AU138" i="5"/>
  <c r="BN138" i="5" s="1"/>
  <c r="CI114" i="5"/>
  <c r="CG114" i="5"/>
  <c r="CE114" i="5"/>
  <c r="BW114" i="5"/>
  <c r="CK114" i="5"/>
  <c r="CD114" i="5"/>
  <c r="BU114" i="5"/>
  <c r="CF114" i="5"/>
  <c r="BK114" i="5"/>
  <c r="CC114" i="5"/>
  <c r="CA114" i="5"/>
  <c r="BT114" i="5"/>
  <c r="BY114" i="5"/>
  <c r="BV114" i="5"/>
  <c r="BR114" i="5"/>
  <c r="BQ114" i="5"/>
  <c r="BS114" i="5"/>
  <c r="BM114" i="5"/>
  <c r="BI114" i="5"/>
  <c r="BF114" i="5"/>
  <c r="BA114" i="5"/>
  <c r="BH114" i="5"/>
  <c r="BJ114" i="5"/>
  <c r="BG114" i="5"/>
  <c r="BE114" i="5"/>
  <c r="AY114" i="5"/>
  <c r="AZ114" i="5"/>
  <c r="AV114" i="5"/>
  <c r="BC114" i="5" s="1"/>
  <c r="AU114" i="5"/>
  <c r="BB114" i="5" s="1"/>
  <c r="CI90" i="5"/>
  <c r="CF90" i="5"/>
  <c r="CE90" i="5"/>
  <c r="CD90" i="5"/>
  <c r="BW90" i="5"/>
  <c r="CA90" i="5"/>
  <c r="BK90" i="5"/>
  <c r="CK90" i="5"/>
  <c r="BV90" i="5"/>
  <c r="BS90" i="5"/>
  <c r="BQ90" i="5"/>
  <c r="BT90" i="5"/>
  <c r="BR90" i="5"/>
  <c r="CC90" i="5"/>
  <c r="BY90" i="5"/>
  <c r="BU90" i="5"/>
  <c r="BM90" i="5"/>
  <c r="BJ90" i="5"/>
  <c r="BG90" i="5"/>
  <c r="BI90" i="5"/>
  <c r="BH90" i="5"/>
  <c r="BE90" i="5"/>
  <c r="BF90" i="5"/>
  <c r="BA90" i="5"/>
  <c r="AY90" i="5"/>
  <c r="AZ90" i="5"/>
  <c r="AV90" i="5"/>
  <c r="AU90" i="5"/>
  <c r="BN90" i="5" s="1"/>
  <c r="CK66" i="5"/>
  <c r="CI66" i="5"/>
  <c r="CA66" i="5"/>
  <c r="BW66" i="5"/>
  <c r="CC66" i="5"/>
  <c r="BV66" i="5"/>
  <c r="CF66" i="5"/>
  <c r="BK66" i="5"/>
  <c r="CD66" i="5"/>
  <c r="BU66" i="5"/>
  <c r="CE66" i="5"/>
  <c r="BY66" i="5"/>
  <c r="BS66" i="5"/>
  <c r="BT66" i="5"/>
  <c r="BR66" i="5"/>
  <c r="BQ66" i="5"/>
  <c r="BH66" i="5"/>
  <c r="BE66" i="5"/>
  <c r="BJ66" i="5"/>
  <c r="BM66" i="5"/>
  <c r="BG66" i="5"/>
  <c r="BI66" i="5"/>
  <c r="BF66" i="5"/>
  <c r="BA66" i="5"/>
  <c r="AZ66" i="5"/>
  <c r="AY66" i="5"/>
  <c r="AV66" i="5"/>
  <c r="BO66" i="5" s="1"/>
  <c r="AU66" i="5"/>
  <c r="BN66" i="5" s="1"/>
  <c r="CI137" i="5"/>
  <c r="CH137" i="5"/>
  <c r="CG137" i="5"/>
  <c r="CJ137" i="5"/>
  <c r="CF137" i="5"/>
  <c r="CE137" i="5"/>
  <c r="BY137" i="5"/>
  <c r="BX137" i="5"/>
  <c r="BZ137" i="5"/>
  <c r="BV137" i="5"/>
  <c r="BU137" i="5"/>
  <c r="CC137" i="5"/>
  <c r="CA137" i="5"/>
  <c r="BK137" i="5"/>
  <c r="CD137" i="5"/>
  <c r="BS137" i="5"/>
  <c r="BL137" i="5"/>
  <c r="CK137" i="5"/>
  <c r="BW137" i="5"/>
  <c r="BI137" i="5"/>
  <c r="BG137" i="5"/>
  <c r="BE137" i="5"/>
  <c r="BM137" i="5"/>
  <c r="BQ137" i="5"/>
  <c r="BR137" i="5"/>
  <c r="BT137" i="5"/>
  <c r="BJ137" i="5"/>
  <c r="BH137" i="5"/>
  <c r="BF137" i="5"/>
  <c r="BA137" i="5"/>
  <c r="AY137" i="5"/>
  <c r="AZ137" i="5"/>
  <c r="AV137" i="5"/>
  <c r="BC137" i="5" s="1"/>
  <c r="AU137" i="5"/>
  <c r="BN137" i="5" s="1"/>
  <c r="CI121" i="5"/>
  <c r="CK121" i="5"/>
  <c r="CD121" i="5"/>
  <c r="CF121" i="5"/>
  <c r="BY121" i="5"/>
  <c r="CC121" i="5"/>
  <c r="BV121" i="5"/>
  <c r="BU121" i="5"/>
  <c r="CA121" i="5"/>
  <c r="BW121" i="5"/>
  <c r="CE121" i="5"/>
  <c r="BT121" i="5"/>
  <c r="BK121" i="5"/>
  <c r="BR121" i="5"/>
  <c r="BQ121" i="5"/>
  <c r="BS121" i="5"/>
  <c r="BJ121" i="5"/>
  <c r="BH121" i="5"/>
  <c r="BF121" i="5"/>
  <c r="BM121" i="5"/>
  <c r="BI121" i="5"/>
  <c r="BG121" i="5"/>
  <c r="BE121" i="5"/>
  <c r="BA121" i="5"/>
  <c r="AZ121" i="5"/>
  <c r="AY121" i="5"/>
  <c r="AV121" i="5"/>
  <c r="BC121" i="5" s="1"/>
  <c r="AU121" i="5"/>
  <c r="BB121" i="5" s="1"/>
  <c r="CI73" i="5"/>
  <c r="CF73" i="5"/>
  <c r="CD73" i="5"/>
  <c r="BY73" i="5"/>
  <c r="BV73" i="5"/>
  <c r="BU73" i="5"/>
  <c r="CA73" i="5"/>
  <c r="CE73" i="5"/>
  <c r="BW73" i="5"/>
  <c r="CC73" i="5"/>
  <c r="BS73" i="5"/>
  <c r="BK73" i="5"/>
  <c r="CK73" i="5"/>
  <c r="BR73" i="5"/>
  <c r="BQ73" i="5"/>
  <c r="BM73" i="5"/>
  <c r="BI73" i="5"/>
  <c r="BG73" i="5"/>
  <c r="BE73" i="5"/>
  <c r="BT73" i="5"/>
  <c r="BJ73" i="5"/>
  <c r="BH73" i="5"/>
  <c r="BF73" i="5"/>
  <c r="AY73" i="5"/>
  <c r="BA73" i="5"/>
  <c r="AZ73" i="5"/>
  <c r="AV73" i="5"/>
  <c r="BO73" i="5" s="1"/>
  <c r="AU73" i="5"/>
  <c r="BN73" i="5" s="1"/>
  <c r="CI41" i="5"/>
  <c r="CH41" i="5"/>
  <c r="CF41" i="5"/>
  <c r="CE41" i="5"/>
  <c r="CG41" i="5"/>
  <c r="BY41" i="5"/>
  <c r="BX41" i="5"/>
  <c r="BZ41" i="5"/>
  <c r="CK41" i="5"/>
  <c r="CJ41" i="5"/>
  <c r="BV41" i="5"/>
  <c r="BU41" i="5"/>
  <c r="CA41" i="5"/>
  <c r="BW41" i="5"/>
  <c r="CC41" i="5"/>
  <c r="BK41" i="5"/>
  <c r="BQ41" i="5"/>
  <c r="CD41" i="5"/>
  <c r="BS41" i="5"/>
  <c r="BM41" i="5"/>
  <c r="BL41" i="5"/>
  <c r="BI41" i="5"/>
  <c r="BG41" i="5"/>
  <c r="BE41" i="5"/>
  <c r="BT41" i="5"/>
  <c r="BR41" i="5"/>
  <c r="BH41" i="5"/>
  <c r="BF41" i="5"/>
  <c r="BJ41" i="5"/>
  <c r="AY41" i="5"/>
  <c r="BA41" i="5"/>
  <c r="AZ41" i="5"/>
  <c r="AV41" i="5"/>
  <c r="BO41" i="5" s="1"/>
  <c r="AU41" i="5"/>
  <c r="BN41" i="5" s="1"/>
  <c r="CI9" i="5"/>
  <c r="CF9" i="5"/>
  <c r="CK9" i="5"/>
  <c r="CD9" i="5"/>
  <c r="BY9" i="5"/>
  <c r="BV9" i="5"/>
  <c r="BU9" i="5"/>
  <c r="CA9" i="5"/>
  <c r="CC9" i="5"/>
  <c r="BW9" i="5"/>
  <c r="BK9" i="5"/>
  <c r="CE9" i="5"/>
  <c r="BT9" i="5"/>
  <c r="BS9" i="5"/>
  <c r="BJ9" i="5"/>
  <c r="BI9" i="5"/>
  <c r="BG9" i="5"/>
  <c r="BE9" i="5"/>
  <c r="BR9" i="5"/>
  <c r="BQ9" i="5"/>
  <c r="BH9" i="5"/>
  <c r="BF9" i="5"/>
  <c r="BM9" i="5"/>
  <c r="BA9" i="5"/>
  <c r="AY9" i="5"/>
  <c r="AZ9" i="5"/>
  <c r="AV9" i="5"/>
  <c r="BC9" i="5" s="1"/>
  <c r="AU9" i="5"/>
  <c r="BN9" i="5" s="1"/>
  <c r="CK165" i="5"/>
  <c r="CJ165" i="5"/>
  <c r="CF165" i="5"/>
  <c r="CI165" i="5"/>
  <c r="CE165" i="5"/>
  <c r="CH165" i="5"/>
  <c r="CG165" i="5"/>
  <c r="CA165" i="5"/>
  <c r="BV165" i="5"/>
  <c r="BW165" i="5"/>
  <c r="BU165" i="5"/>
  <c r="BS165" i="5"/>
  <c r="BQ165" i="5"/>
  <c r="BT165" i="5"/>
  <c r="BR165" i="5"/>
  <c r="BZ165" i="5"/>
  <c r="CD165" i="5"/>
  <c r="BX165" i="5"/>
  <c r="CC165" i="5"/>
  <c r="BY165" i="5"/>
  <c r="BM165" i="5"/>
  <c r="BL165" i="5"/>
  <c r="BK165" i="5"/>
  <c r="BH165" i="5"/>
  <c r="BJ165" i="5"/>
  <c r="BG165" i="5"/>
  <c r="BI165" i="5"/>
  <c r="BF165" i="5"/>
  <c r="BA165" i="5"/>
  <c r="AZ165" i="5"/>
  <c r="BE165" i="5"/>
  <c r="AY165" i="5"/>
  <c r="AV165" i="5"/>
  <c r="BC165" i="5" s="1"/>
  <c r="AU165" i="5"/>
  <c r="BN165" i="5" s="1"/>
  <c r="CK149" i="5"/>
  <c r="CJ149" i="5"/>
  <c r="BX149" i="5"/>
  <c r="BW149" i="5"/>
  <c r="CE149" i="5"/>
  <c r="BY149" i="5"/>
  <c r="CH149" i="5"/>
  <c r="CA149" i="5"/>
  <c r="BU149" i="5"/>
  <c r="BL149" i="5"/>
  <c r="BT149" i="5"/>
  <c r="BR149" i="5"/>
  <c r="BS149" i="5"/>
  <c r="BQ149" i="5"/>
  <c r="CD149" i="5"/>
  <c r="CG149" i="5"/>
  <c r="CC149" i="5"/>
  <c r="BM149" i="5"/>
  <c r="CI149" i="5"/>
  <c r="CF149" i="5"/>
  <c r="BZ149" i="5"/>
  <c r="BV149" i="5"/>
  <c r="BK149" i="5"/>
  <c r="BJ149" i="5"/>
  <c r="BG149" i="5"/>
  <c r="BI149" i="5"/>
  <c r="BH149" i="5"/>
  <c r="AZ149" i="5"/>
  <c r="BF149" i="5"/>
  <c r="BA149" i="5"/>
  <c r="BE149" i="5"/>
  <c r="AY149" i="5"/>
  <c r="AV149" i="5"/>
  <c r="AU149" i="5"/>
  <c r="BB149" i="5" s="1"/>
  <c r="CJ163" i="5"/>
  <c r="CI163" i="5"/>
  <c r="CH163" i="5"/>
  <c r="CE163" i="5"/>
  <c r="CC163" i="5"/>
  <c r="CD163" i="5"/>
  <c r="CA163" i="5"/>
  <c r="CK163" i="5"/>
  <c r="CF163" i="5"/>
  <c r="BZ163" i="5"/>
  <c r="BY163" i="5"/>
  <c r="BU163" i="5"/>
  <c r="BT163" i="5"/>
  <c r="BS163" i="5"/>
  <c r="BR163" i="5"/>
  <c r="BQ163" i="5"/>
  <c r="BM163" i="5"/>
  <c r="CG163" i="5"/>
  <c r="BX163" i="5"/>
  <c r="BV163" i="5"/>
  <c r="BL163" i="5"/>
  <c r="BJ163" i="5"/>
  <c r="BI163" i="5"/>
  <c r="BH163" i="5"/>
  <c r="BG163" i="5"/>
  <c r="BF163" i="5"/>
  <c r="BE163" i="5"/>
  <c r="BA163" i="5"/>
  <c r="BW163" i="5"/>
  <c r="BK163" i="5"/>
  <c r="AZ163" i="5"/>
  <c r="AY163" i="5"/>
  <c r="AV163" i="5"/>
  <c r="AU163" i="5"/>
  <c r="BN163" i="5" s="1"/>
  <c r="CJ147" i="5"/>
  <c r="CG147" i="5"/>
  <c r="CK147" i="5"/>
  <c r="CF147" i="5"/>
  <c r="CC147" i="5"/>
  <c r="CA147" i="5"/>
  <c r="BZ147" i="5"/>
  <c r="BW147" i="5"/>
  <c r="CD147" i="5"/>
  <c r="BT147" i="5"/>
  <c r="BS147" i="5"/>
  <c r="BR147" i="5"/>
  <c r="BQ147" i="5"/>
  <c r="BM147" i="5"/>
  <c r="CE147" i="5"/>
  <c r="BV147" i="5"/>
  <c r="CH147" i="5"/>
  <c r="BY147" i="5"/>
  <c r="CI147" i="5"/>
  <c r="BU147" i="5"/>
  <c r="BJ147" i="5"/>
  <c r="BI147" i="5"/>
  <c r="BH147" i="5"/>
  <c r="BG147" i="5"/>
  <c r="BF147" i="5"/>
  <c r="BE147" i="5"/>
  <c r="BA147" i="5"/>
  <c r="BK147" i="5"/>
  <c r="BX147" i="5"/>
  <c r="BL147" i="5"/>
  <c r="AY147" i="5"/>
  <c r="AZ147" i="5"/>
  <c r="AV147" i="5"/>
  <c r="BO147" i="5" s="1"/>
  <c r="AU147" i="5"/>
  <c r="BN147" i="5" s="1"/>
  <c r="CF122" i="5"/>
  <c r="CC122" i="5"/>
  <c r="BW122" i="5"/>
  <c r="CI122" i="5"/>
  <c r="CE122" i="5"/>
  <c r="CA122" i="5"/>
  <c r="BY122" i="5"/>
  <c r="BK122" i="5"/>
  <c r="BS122" i="5"/>
  <c r="BQ122" i="5"/>
  <c r="BT122" i="5"/>
  <c r="BR122" i="5"/>
  <c r="CD122" i="5"/>
  <c r="BV122" i="5"/>
  <c r="CK122" i="5"/>
  <c r="BU122" i="5"/>
  <c r="BM122" i="5"/>
  <c r="BH122" i="5"/>
  <c r="BJ122" i="5"/>
  <c r="BG122" i="5"/>
  <c r="BI122" i="5"/>
  <c r="BF122" i="5"/>
  <c r="AY122" i="5"/>
  <c r="BA122" i="5"/>
  <c r="BE122" i="5"/>
  <c r="AZ122" i="5"/>
  <c r="AV122" i="5"/>
  <c r="BO122" i="5" s="1"/>
  <c r="AU122" i="5"/>
  <c r="BN122" i="5" s="1"/>
  <c r="CK106" i="5"/>
  <c r="CD106" i="5"/>
  <c r="BW106" i="5"/>
  <c r="CI106" i="5"/>
  <c r="CC106" i="5"/>
  <c r="BY106" i="5"/>
  <c r="CF106" i="5"/>
  <c r="CE106" i="5"/>
  <c r="CA106" i="5"/>
  <c r="BK106" i="5"/>
  <c r="BT106" i="5"/>
  <c r="BR106" i="5"/>
  <c r="BU106" i="5"/>
  <c r="BS106" i="5"/>
  <c r="BQ106" i="5"/>
  <c r="BV106" i="5"/>
  <c r="BM106" i="5"/>
  <c r="BJ106" i="5"/>
  <c r="BG106" i="5"/>
  <c r="BI106" i="5"/>
  <c r="BH106" i="5"/>
  <c r="AZ106" i="5"/>
  <c r="BA106" i="5"/>
  <c r="AY106" i="5"/>
  <c r="BF106" i="5"/>
  <c r="BE106" i="5"/>
  <c r="AV106" i="5"/>
  <c r="BO106" i="5" s="1"/>
  <c r="AU106" i="5"/>
  <c r="BB106" i="5" s="1"/>
  <c r="CK98" i="5"/>
  <c r="BW98" i="5"/>
  <c r="CF98" i="5"/>
  <c r="CD98" i="5"/>
  <c r="BV98" i="5"/>
  <c r="BY98" i="5"/>
  <c r="BK98" i="5"/>
  <c r="BU98" i="5"/>
  <c r="CI98" i="5"/>
  <c r="CA98" i="5"/>
  <c r="BQ98" i="5"/>
  <c r="BS98" i="5"/>
  <c r="BR98" i="5"/>
  <c r="BM98" i="5"/>
  <c r="CE98" i="5"/>
  <c r="CC98" i="5"/>
  <c r="BT98" i="5"/>
  <c r="BI98" i="5"/>
  <c r="BH98" i="5"/>
  <c r="BJ98" i="5"/>
  <c r="BG98" i="5"/>
  <c r="BA98" i="5"/>
  <c r="AZ98" i="5"/>
  <c r="BF98" i="5"/>
  <c r="BE98" i="5"/>
  <c r="AY98" i="5"/>
  <c r="AV98" i="5"/>
  <c r="BC98" i="5" s="1"/>
  <c r="AU98" i="5"/>
  <c r="BN98" i="5" s="1"/>
  <c r="CI82" i="5"/>
  <c r="CK82" i="5"/>
  <c r="BW82" i="5"/>
  <c r="CF82" i="5"/>
  <c r="CC82" i="5"/>
  <c r="BU82" i="5"/>
  <c r="BK82" i="5"/>
  <c r="BY82" i="5"/>
  <c r="CD82" i="5"/>
  <c r="CA82" i="5"/>
  <c r="CE82" i="5"/>
  <c r="BR82" i="5"/>
  <c r="BT82" i="5"/>
  <c r="BM82" i="5"/>
  <c r="BV82" i="5"/>
  <c r="BS82" i="5"/>
  <c r="BQ82" i="5"/>
  <c r="BH82" i="5"/>
  <c r="BE82" i="5"/>
  <c r="BA82" i="5"/>
  <c r="BJ82" i="5"/>
  <c r="BG82" i="5"/>
  <c r="BI82" i="5"/>
  <c r="AY82" i="5"/>
  <c r="BF82" i="5"/>
  <c r="AZ82" i="5"/>
  <c r="AV82" i="5"/>
  <c r="AU82" i="5"/>
  <c r="BB82" i="5" s="1"/>
  <c r="CI169" i="5"/>
  <c r="CE169" i="5"/>
  <c r="CF169" i="5"/>
  <c r="CC169" i="5"/>
  <c r="BY169" i="5"/>
  <c r="BW169" i="5"/>
  <c r="BV169" i="5"/>
  <c r="CK169" i="5"/>
  <c r="CD169" i="5"/>
  <c r="BU169" i="5"/>
  <c r="BK169" i="5"/>
  <c r="CA169" i="5"/>
  <c r="BQ169" i="5"/>
  <c r="BT169" i="5"/>
  <c r="BR169" i="5"/>
  <c r="BS169" i="5"/>
  <c r="BM169" i="5"/>
  <c r="BI169" i="5"/>
  <c r="BG169" i="5"/>
  <c r="BE169" i="5"/>
  <c r="BJ169" i="5"/>
  <c r="BH169" i="5"/>
  <c r="BF169" i="5"/>
  <c r="AY169" i="5"/>
  <c r="BA169" i="5"/>
  <c r="AZ169" i="5"/>
  <c r="AV169" i="5"/>
  <c r="BO169" i="5" s="1"/>
  <c r="AU169" i="5"/>
  <c r="BN169" i="5" s="1"/>
  <c r="CI153" i="5"/>
  <c r="CK153" i="5"/>
  <c r="CD153" i="5"/>
  <c r="CE153" i="5"/>
  <c r="BY153" i="5"/>
  <c r="BV153" i="5"/>
  <c r="CF153" i="5"/>
  <c r="CA153" i="5"/>
  <c r="BU153" i="5"/>
  <c r="BR153" i="5"/>
  <c r="CC153" i="5"/>
  <c r="BK153" i="5"/>
  <c r="BQ153" i="5"/>
  <c r="BM153" i="5"/>
  <c r="BW153" i="5"/>
  <c r="BT153" i="5"/>
  <c r="BS153" i="5"/>
  <c r="BJ153" i="5"/>
  <c r="BH153" i="5"/>
  <c r="BF153" i="5"/>
  <c r="BI153" i="5"/>
  <c r="BG153" i="5"/>
  <c r="BE153" i="5"/>
  <c r="BA153" i="5"/>
  <c r="AZ153" i="5"/>
  <c r="AY153" i="5"/>
  <c r="AV153" i="5"/>
  <c r="BO153" i="5" s="1"/>
  <c r="AU153" i="5"/>
  <c r="BN153" i="5" s="1"/>
  <c r="CI105" i="5"/>
  <c r="CE105" i="5"/>
  <c r="CF105" i="5"/>
  <c r="CG105" i="5"/>
  <c r="BY105" i="5"/>
  <c r="CJ105" i="5"/>
  <c r="CK105" i="5"/>
  <c r="BV105" i="5"/>
  <c r="BU105" i="5"/>
  <c r="BX105" i="5"/>
  <c r="BZ105" i="5"/>
  <c r="CC105" i="5"/>
  <c r="CA105" i="5"/>
  <c r="BT105" i="5"/>
  <c r="BQ105" i="5"/>
  <c r="BK105" i="5"/>
  <c r="CD105" i="5"/>
  <c r="BL105" i="5"/>
  <c r="BR105" i="5"/>
  <c r="BI105" i="5"/>
  <c r="BG105" i="5"/>
  <c r="BE105" i="5"/>
  <c r="BS105" i="5"/>
  <c r="CH105" i="5"/>
  <c r="BW105" i="5"/>
  <c r="BJ105" i="5"/>
  <c r="BH105" i="5"/>
  <c r="BF105" i="5"/>
  <c r="BM105" i="5"/>
  <c r="BA105" i="5"/>
  <c r="AY105" i="5"/>
  <c r="AZ105" i="5"/>
  <c r="AV105" i="5"/>
  <c r="BC105" i="5" s="1"/>
  <c r="AU105" i="5"/>
  <c r="CI57" i="5"/>
  <c r="CK57" i="5"/>
  <c r="CF57" i="5"/>
  <c r="CD57" i="5"/>
  <c r="CA57" i="5"/>
  <c r="BY57" i="5"/>
  <c r="BV57" i="5"/>
  <c r="BU57" i="5"/>
  <c r="CC57" i="5"/>
  <c r="CE57" i="5"/>
  <c r="BW57" i="5"/>
  <c r="BT57" i="5"/>
  <c r="BK57" i="5"/>
  <c r="BJ57" i="5"/>
  <c r="BH57" i="5"/>
  <c r="BF57" i="5"/>
  <c r="BR57" i="5"/>
  <c r="BQ57" i="5"/>
  <c r="BS57" i="5"/>
  <c r="BI57" i="5"/>
  <c r="BG57" i="5"/>
  <c r="BE57" i="5"/>
  <c r="BM57" i="5"/>
  <c r="AZ57" i="5"/>
  <c r="BA57" i="5"/>
  <c r="AY57" i="5"/>
  <c r="AV57" i="5"/>
  <c r="BO57" i="5" s="1"/>
  <c r="AU57" i="5"/>
  <c r="BB57" i="5" s="1"/>
  <c r="CI25" i="5"/>
  <c r="CK25" i="5"/>
  <c r="CF25" i="5"/>
  <c r="CE25" i="5"/>
  <c r="BY25" i="5"/>
  <c r="CC25" i="5"/>
  <c r="BV25" i="5"/>
  <c r="BU25" i="5"/>
  <c r="CA25" i="5"/>
  <c r="BW25" i="5"/>
  <c r="CD25" i="5"/>
  <c r="BR25" i="5"/>
  <c r="BJ25" i="5"/>
  <c r="BK25" i="5"/>
  <c r="BM25" i="5"/>
  <c r="BT25" i="5"/>
  <c r="BS25" i="5"/>
  <c r="BQ25" i="5"/>
  <c r="BH25" i="5"/>
  <c r="BF25" i="5"/>
  <c r="BI25" i="5"/>
  <c r="BG25" i="5"/>
  <c r="BE25" i="5"/>
  <c r="BA25" i="5"/>
  <c r="AZ25" i="5"/>
  <c r="AY25" i="5"/>
  <c r="AV25" i="5"/>
  <c r="BC25" i="5" s="1"/>
  <c r="AU25" i="5"/>
  <c r="BN25" i="5" s="1"/>
  <c r="CI78" i="5"/>
  <c r="CD78" i="5"/>
  <c r="BY78" i="5"/>
  <c r="CF78" i="5"/>
  <c r="CA78" i="5"/>
  <c r="CK78" i="5"/>
  <c r="BV78" i="5"/>
  <c r="BU78" i="5"/>
  <c r="BT78" i="5"/>
  <c r="BS78" i="5"/>
  <c r="BR78" i="5"/>
  <c r="BQ78" i="5"/>
  <c r="BM78" i="5"/>
  <c r="CC78" i="5"/>
  <c r="CE78" i="5"/>
  <c r="BK78" i="5"/>
  <c r="BJ78" i="5"/>
  <c r="BH78" i="5"/>
  <c r="BF78" i="5"/>
  <c r="BW78" i="5"/>
  <c r="BI78" i="5"/>
  <c r="BG78" i="5"/>
  <c r="BE78" i="5"/>
  <c r="BA78" i="5"/>
  <c r="AZ78" i="5"/>
  <c r="AY78" i="5"/>
  <c r="AV78" i="5"/>
  <c r="BC78" i="5" s="1"/>
  <c r="AU78" i="5"/>
  <c r="BB78" i="5" s="1"/>
  <c r="CK62" i="5"/>
  <c r="CF62" i="5"/>
  <c r="CE62" i="5"/>
  <c r="BY62" i="5"/>
  <c r="CD62" i="5"/>
  <c r="BW62" i="5"/>
  <c r="BV62" i="5"/>
  <c r="BU62" i="5"/>
  <c r="CC62" i="5"/>
  <c r="BT62" i="5"/>
  <c r="BS62" i="5"/>
  <c r="BR62" i="5"/>
  <c r="BQ62" i="5"/>
  <c r="BM62" i="5"/>
  <c r="CI62" i="5"/>
  <c r="CA62" i="5"/>
  <c r="BK62" i="5"/>
  <c r="BI62" i="5"/>
  <c r="BG62" i="5"/>
  <c r="BE62" i="5"/>
  <c r="BJ62" i="5"/>
  <c r="BH62" i="5"/>
  <c r="BF62" i="5"/>
  <c r="BA62" i="5"/>
  <c r="AY62" i="5"/>
  <c r="AZ62" i="5"/>
  <c r="AV62" i="5"/>
  <c r="BC62" i="5" s="1"/>
  <c r="AU62" i="5"/>
  <c r="CK133" i="5"/>
  <c r="CJ133" i="5"/>
  <c r="CF133" i="5"/>
  <c r="CH133" i="5"/>
  <c r="CD133" i="5"/>
  <c r="CI133" i="5"/>
  <c r="CC133" i="5"/>
  <c r="BW133" i="5"/>
  <c r="CE133" i="5"/>
  <c r="CA133" i="5"/>
  <c r="BX133" i="5"/>
  <c r="CG133" i="5"/>
  <c r="BV133" i="5"/>
  <c r="BS133" i="5"/>
  <c r="BQ133" i="5"/>
  <c r="BU133" i="5"/>
  <c r="BT133" i="5"/>
  <c r="BR133" i="5"/>
  <c r="BZ133" i="5"/>
  <c r="BY133" i="5"/>
  <c r="BM133" i="5"/>
  <c r="BL133" i="5"/>
  <c r="BJ133" i="5"/>
  <c r="BG133" i="5"/>
  <c r="BK133" i="5"/>
  <c r="BI133" i="5"/>
  <c r="BH133" i="5"/>
  <c r="BE133" i="5"/>
  <c r="BA133" i="5"/>
  <c r="AY133" i="5"/>
  <c r="BF133" i="5"/>
  <c r="AZ133" i="5"/>
  <c r="AV133" i="5"/>
  <c r="BO133" i="5" s="1"/>
  <c r="AU133" i="5"/>
  <c r="CK109" i="5"/>
  <c r="CI109" i="5"/>
  <c r="BW109" i="5"/>
  <c r="BY109" i="5"/>
  <c r="CF109" i="5"/>
  <c r="CC109" i="5"/>
  <c r="CA109" i="5"/>
  <c r="CE109" i="5"/>
  <c r="BU109" i="5"/>
  <c r="BS109" i="5"/>
  <c r="BK109" i="5"/>
  <c r="CD109" i="5"/>
  <c r="BM109" i="5"/>
  <c r="BQ109" i="5"/>
  <c r="BV109" i="5"/>
  <c r="BR109" i="5"/>
  <c r="BT109" i="5"/>
  <c r="BH109" i="5"/>
  <c r="BE109" i="5"/>
  <c r="BJ109" i="5"/>
  <c r="BG109" i="5"/>
  <c r="BI109" i="5"/>
  <c r="BF109" i="5"/>
  <c r="BA109" i="5"/>
  <c r="AZ109" i="5"/>
  <c r="AY109" i="5"/>
  <c r="AV109" i="5"/>
  <c r="BO109" i="5" s="1"/>
  <c r="AU109" i="5"/>
  <c r="BB109" i="5" s="1"/>
  <c r="CK37" i="5"/>
  <c r="CF37" i="5"/>
  <c r="CD37" i="5"/>
  <c r="BW37" i="5"/>
  <c r="CI37" i="5"/>
  <c r="CC37" i="5"/>
  <c r="BV37" i="5"/>
  <c r="BS37" i="5"/>
  <c r="BQ37" i="5"/>
  <c r="BT37" i="5"/>
  <c r="BR37" i="5"/>
  <c r="CE37" i="5"/>
  <c r="CA37" i="5"/>
  <c r="BM37" i="5"/>
  <c r="BU37" i="5"/>
  <c r="BY37" i="5"/>
  <c r="BK37" i="5"/>
  <c r="BJ37" i="5"/>
  <c r="BH37" i="5"/>
  <c r="BG37" i="5"/>
  <c r="BI37" i="5"/>
  <c r="BF37" i="5"/>
  <c r="AY37" i="5"/>
  <c r="BA37" i="5"/>
  <c r="BE37" i="5"/>
  <c r="AZ37" i="5"/>
  <c r="AV37" i="5"/>
  <c r="BO37" i="5" s="1"/>
  <c r="AU37" i="5"/>
  <c r="BB37" i="5" s="1"/>
  <c r="CK21" i="5"/>
  <c r="CF21" i="5"/>
  <c r="CE21" i="5"/>
  <c r="CI21" i="5"/>
  <c r="CC21" i="5"/>
  <c r="CD21" i="5"/>
  <c r="CA21" i="5"/>
  <c r="BW21" i="5"/>
  <c r="BY21" i="5"/>
  <c r="BU21" i="5"/>
  <c r="BT21" i="5"/>
  <c r="BR21" i="5"/>
  <c r="BS21" i="5"/>
  <c r="BQ21" i="5"/>
  <c r="BV21" i="5"/>
  <c r="BM21" i="5"/>
  <c r="BK21" i="5"/>
  <c r="BG21" i="5"/>
  <c r="BI21" i="5"/>
  <c r="BF21" i="5"/>
  <c r="BJ21" i="5"/>
  <c r="BH21" i="5"/>
  <c r="BA21" i="5"/>
  <c r="AZ21" i="5"/>
  <c r="AY21" i="5"/>
  <c r="BE21" i="5"/>
  <c r="AV21" i="5"/>
  <c r="BO21" i="5" s="1"/>
  <c r="AU21" i="5"/>
  <c r="BN21" i="5" s="1"/>
  <c r="CK5" i="5"/>
  <c r="CJ5" i="5"/>
  <c r="CF5" i="5"/>
  <c r="CI5" i="5"/>
  <c r="CH5" i="5"/>
  <c r="CG5" i="5"/>
  <c r="CD5" i="5"/>
  <c r="BW5" i="5"/>
  <c r="CC5" i="5"/>
  <c r="BX5" i="5"/>
  <c r="BV5" i="5"/>
  <c r="BY5" i="5"/>
  <c r="BS5" i="5"/>
  <c r="BQ5" i="5"/>
  <c r="BU5" i="5"/>
  <c r="BT5" i="5"/>
  <c r="BR5" i="5"/>
  <c r="BZ5" i="5"/>
  <c r="CE5" i="5"/>
  <c r="CA5" i="5"/>
  <c r="BM5" i="5"/>
  <c r="BJ5" i="5"/>
  <c r="BK5" i="5"/>
  <c r="BL5" i="5"/>
  <c r="BG5" i="5"/>
  <c r="BI5" i="5"/>
  <c r="BF5" i="5"/>
  <c r="BH5" i="5"/>
  <c r="BE5" i="5"/>
  <c r="BA5" i="5"/>
  <c r="AY5" i="5"/>
  <c r="AZ5" i="5"/>
  <c r="AV5" i="5"/>
  <c r="BO5" i="5" s="1"/>
  <c r="AU5" i="5"/>
  <c r="BN5" i="5" s="1"/>
  <c r="CG47" i="5"/>
  <c r="CD47" i="5"/>
  <c r="BZ47" i="5"/>
  <c r="CJ47" i="5"/>
  <c r="CH47" i="5"/>
  <c r="CF47" i="5"/>
  <c r="BX47" i="5"/>
  <c r="BL47" i="5"/>
  <c r="BK47" i="5"/>
  <c r="CA47" i="5"/>
  <c r="BW47" i="5"/>
  <c r="CI47" i="5"/>
  <c r="BV47" i="5"/>
  <c r="CK47" i="5"/>
  <c r="BY47" i="5"/>
  <c r="CC47" i="5"/>
  <c r="CE47" i="5"/>
  <c r="BR47" i="5"/>
  <c r="BT47" i="5"/>
  <c r="BM47" i="5"/>
  <c r="BI47" i="5"/>
  <c r="BH47" i="5"/>
  <c r="BG47" i="5"/>
  <c r="BF47" i="5"/>
  <c r="BE47" i="5"/>
  <c r="BA47" i="5"/>
  <c r="BS47" i="5"/>
  <c r="BQ47" i="5"/>
  <c r="BU47" i="5"/>
  <c r="BJ47" i="5"/>
  <c r="AY47" i="5"/>
  <c r="AZ47" i="5"/>
  <c r="AV47" i="5"/>
  <c r="BO47" i="5" s="1"/>
  <c r="AU47" i="5"/>
  <c r="BB47" i="5" s="1"/>
  <c r="CI83" i="5"/>
  <c r="CF83" i="5"/>
  <c r="CA83" i="5"/>
  <c r="CD83" i="5"/>
  <c r="BW83" i="5"/>
  <c r="BT83" i="5"/>
  <c r="BS83" i="5"/>
  <c r="BR83" i="5"/>
  <c r="BQ83" i="5"/>
  <c r="BM83" i="5"/>
  <c r="CK83" i="5"/>
  <c r="CE83" i="5"/>
  <c r="BY83" i="5"/>
  <c r="BV83" i="5"/>
  <c r="CC83" i="5"/>
  <c r="BU83" i="5"/>
  <c r="BJ83" i="5"/>
  <c r="BI83" i="5"/>
  <c r="BH83" i="5"/>
  <c r="BG83" i="5"/>
  <c r="BF83" i="5"/>
  <c r="BE83" i="5"/>
  <c r="BA83" i="5"/>
  <c r="BK83" i="5"/>
  <c r="AY83" i="5"/>
  <c r="AZ83" i="5"/>
  <c r="AV83" i="5"/>
  <c r="BO83" i="5" s="1"/>
  <c r="AU83" i="5"/>
  <c r="CC67" i="5"/>
  <c r="CA67" i="5"/>
  <c r="CI67" i="5"/>
  <c r="CE67" i="5"/>
  <c r="CF67" i="5"/>
  <c r="BY67" i="5"/>
  <c r="BT67" i="5"/>
  <c r="BS67" i="5"/>
  <c r="BR67" i="5"/>
  <c r="BQ67" i="5"/>
  <c r="BM67" i="5"/>
  <c r="CD67" i="5"/>
  <c r="BW67" i="5"/>
  <c r="CK67" i="5"/>
  <c r="BV67" i="5"/>
  <c r="BJ67" i="5"/>
  <c r="BI67" i="5"/>
  <c r="BH67" i="5"/>
  <c r="BG67" i="5"/>
  <c r="BF67" i="5"/>
  <c r="BE67" i="5"/>
  <c r="BB67" i="5"/>
  <c r="BA67" i="5"/>
  <c r="BK67" i="5"/>
  <c r="BU67" i="5"/>
  <c r="AZ67" i="5"/>
  <c r="AY67" i="5"/>
  <c r="AV67" i="5"/>
  <c r="BC67" i="5" s="1"/>
  <c r="AU67" i="5"/>
  <c r="BN67" i="5" s="1"/>
  <c r="CH51" i="5"/>
  <c r="CJ51" i="5"/>
  <c r="CD51" i="5"/>
  <c r="CA51" i="5"/>
  <c r="CI51" i="5"/>
  <c r="CE51" i="5"/>
  <c r="BW51" i="5"/>
  <c r="BT51" i="5"/>
  <c r="BS51" i="5"/>
  <c r="BR51" i="5"/>
  <c r="BQ51" i="5"/>
  <c r="BM51" i="5"/>
  <c r="CC51" i="5"/>
  <c r="CK51" i="5"/>
  <c r="BX51" i="5"/>
  <c r="BZ51" i="5"/>
  <c r="BY51" i="5"/>
  <c r="CF51" i="5"/>
  <c r="BV51" i="5"/>
  <c r="CG51" i="5"/>
  <c r="BL51" i="5"/>
  <c r="BI51" i="5"/>
  <c r="BH51" i="5"/>
  <c r="BG51" i="5"/>
  <c r="BF51" i="5"/>
  <c r="BE51" i="5"/>
  <c r="BA51" i="5"/>
  <c r="BU51" i="5"/>
  <c r="BK51" i="5"/>
  <c r="BJ51" i="5"/>
  <c r="AY51" i="5"/>
  <c r="AZ51" i="5"/>
  <c r="AV51" i="5"/>
  <c r="BO51" i="5" s="1"/>
  <c r="AU51" i="5"/>
  <c r="BB51" i="5" s="1"/>
  <c r="CE35" i="5"/>
  <c r="CA35" i="5"/>
  <c r="CI35" i="5"/>
  <c r="CK35" i="5"/>
  <c r="BY35" i="5"/>
  <c r="BT35" i="5"/>
  <c r="BS35" i="5"/>
  <c r="BR35" i="5"/>
  <c r="BQ35" i="5"/>
  <c r="BM35" i="5"/>
  <c r="CF35" i="5"/>
  <c r="BU35" i="5"/>
  <c r="BW35" i="5"/>
  <c r="CD35" i="5"/>
  <c r="BI35" i="5"/>
  <c r="BH35" i="5"/>
  <c r="BG35" i="5"/>
  <c r="BF35" i="5"/>
  <c r="BE35" i="5"/>
  <c r="BA35" i="5"/>
  <c r="AZ35" i="5"/>
  <c r="BV35" i="5"/>
  <c r="CC35" i="5"/>
  <c r="BK35" i="5"/>
  <c r="BJ35" i="5"/>
  <c r="AY35" i="5"/>
  <c r="AV35" i="5"/>
  <c r="AU35" i="5"/>
  <c r="BN35" i="5" s="1"/>
  <c r="CA19" i="5"/>
  <c r="CI19" i="5"/>
  <c r="CC19" i="5"/>
  <c r="BW19" i="5"/>
  <c r="CK19" i="5"/>
  <c r="BT19" i="5"/>
  <c r="BS19" i="5"/>
  <c r="BR19" i="5"/>
  <c r="BQ19" i="5"/>
  <c r="BM19" i="5"/>
  <c r="BV19" i="5"/>
  <c r="BY19" i="5"/>
  <c r="CD19" i="5"/>
  <c r="CE19" i="5"/>
  <c r="CF19" i="5"/>
  <c r="BI19" i="5"/>
  <c r="BH19" i="5"/>
  <c r="BG19" i="5"/>
  <c r="BF19" i="5"/>
  <c r="BE19" i="5"/>
  <c r="BA19" i="5"/>
  <c r="AZ19" i="5"/>
  <c r="BU19" i="5"/>
  <c r="BJ19" i="5"/>
  <c r="BK19" i="5"/>
  <c r="AY19" i="5"/>
  <c r="AV19" i="5"/>
  <c r="BC19" i="5" s="1"/>
  <c r="AU19" i="5"/>
  <c r="BB19" i="5" s="1"/>
  <c r="AT176" i="5"/>
  <c r="AT168" i="5"/>
  <c r="AT160" i="5"/>
  <c r="AT152" i="5"/>
  <c r="AT144" i="5"/>
  <c r="AT136" i="5"/>
  <c r="AT128" i="5"/>
  <c r="AT120" i="5"/>
  <c r="AT112" i="5"/>
  <c r="AT104" i="5"/>
  <c r="AT96" i="5"/>
  <c r="AT88" i="5"/>
  <c r="AT80" i="5"/>
  <c r="AT72" i="5"/>
  <c r="AT64" i="5"/>
  <c r="AT56" i="5"/>
  <c r="AT48" i="5"/>
  <c r="AT40" i="5"/>
  <c r="AT32" i="5"/>
  <c r="AT24" i="5"/>
  <c r="AT16" i="5"/>
  <c r="AT8" i="5"/>
  <c r="AX5" i="5"/>
  <c r="AX19" i="5"/>
  <c r="BP19" i="5" s="1"/>
  <c r="AX34" i="5"/>
  <c r="BP34" i="5" s="1"/>
  <c r="AX47" i="5"/>
  <c r="BD47" i="5" s="1"/>
  <c r="AX62" i="5"/>
  <c r="BD62" i="5" s="1"/>
  <c r="AX77" i="5"/>
  <c r="BP77" i="5" s="1"/>
  <c r="AX90" i="5"/>
  <c r="AX105" i="5"/>
  <c r="BP105" i="5" s="1"/>
  <c r="AX119" i="5"/>
  <c r="BP119" i="5" s="1"/>
  <c r="AX133" i="5"/>
  <c r="BD133" i="5" s="1"/>
  <c r="AX147" i="5"/>
  <c r="BP147" i="5" s="1"/>
  <c r="AX162" i="5"/>
  <c r="AX175" i="5"/>
  <c r="BD175" i="5" s="1"/>
  <c r="AT167" i="5"/>
  <c r="AT159" i="5"/>
  <c r="AT151" i="5"/>
  <c r="AT143" i="5"/>
  <c r="AT135" i="5"/>
  <c r="AT127" i="5"/>
  <c r="AT111" i="5"/>
  <c r="AT103" i="5"/>
  <c r="AT95" i="5"/>
  <c r="AT87" i="5"/>
  <c r="AT79" i="5"/>
  <c r="AT71" i="5"/>
  <c r="AT63" i="5"/>
  <c r="AT55" i="5"/>
  <c r="AT39" i="5"/>
  <c r="AT31" i="5"/>
  <c r="AT23" i="5"/>
  <c r="AT15" i="5"/>
  <c r="AT7" i="5"/>
  <c r="AX21" i="5"/>
  <c r="AX35" i="5"/>
  <c r="BD35" i="5" s="1"/>
  <c r="AX50" i="5"/>
  <c r="BD50" i="5" s="1"/>
  <c r="BL50" i="5" s="1"/>
  <c r="AX78" i="5"/>
  <c r="AX93" i="5"/>
  <c r="BD93" i="5" s="1"/>
  <c r="BL93" i="5" s="1"/>
  <c r="AX106" i="5"/>
  <c r="BD106" i="5" s="1"/>
  <c r="AX121" i="5"/>
  <c r="AX149" i="5"/>
  <c r="BD149" i="5" s="1"/>
  <c r="AX163" i="5"/>
  <c r="BP163" i="5" s="1"/>
  <c r="AT174" i="5"/>
  <c r="AT166" i="5"/>
  <c r="AT158" i="5"/>
  <c r="AT150" i="5"/>
  <c r="AT142" i="5"/>
  <c r="AT134" i="5"/>
  <c r="AT126" i="5"/>
  <c r="AT118" i="5"/>
  <c r="AT110" i="5"/>
  <c r="AT102" i="5"/>
  <c r="AT94" i="5"/>
  <c r="AT86" i="5"/>
  <c r="AT70" i="5"/>
  <c r="AT54" i="5"/>
  <c r="AT46" i="5"/>
  <c r="AT38" i="5"/>
  <c r="AT30" i="5"/>
  <c r="AT22" i="5"/>
  <c r="AT14" i="5"/>
  <c r="AT6" i="5"/>
  <c r="AX9" i="5"/>
  <c r="BD9" i="5" s="1"/>
  <c r="AX37" i="5"/>
  <c r="AX51" i="5"/>
  <c r="BP51" i="5" s="1"/>
  <c r="AX66" i="5"/>
  <c r="BP66" i="5" s="1"/>
  <c r="BX66" i="5" s="1"/>
  <c r="AX109" i="5"/>
  <c r="AX122" i="5"/>
  <c r="BD122" i="5" s="1"/>
  <c r="AX137" i="5"/>
  <c r="AX165" i="5"/>
  <c r="BP165" i="5" s="1"/>
  <c r="AT173" i="5"/>
  <c r="AT157" i="5"/>
  <c r="AT141" i="5"/>
  <c r="AT125" i="5"/>
  <c r="AT117" i="5"/>
  <c r="AT101" i="5"/>
  <c r="AT85" i="5"/>
  <c r="AT69" i="5"/>
  <c r="AT61" i="5"/>
  <c r="AT53" i="5"/>
  <c r="AT45" i="5"/>
  <c r="AT29" i="5"/>
  <c r="AT13" i="5"/>
  <c r="AX10" i="5"/>
  <c r="BP10" i="5" s="1"/>
  <c r="AX25" i="5"/>
  <c r="AX67" i="5"/>
  <c r="BD67" i="5" s="1"/>
  <c r="AX82" i="5"/>
  <c r="BP82" i="5" s="1"/>
  <c r="AX138" i="5"/>
  <c r="AX153" i="5"/>
  <c r="AT172" i="5"/>
  <c r="AT164" i="5"/>
  <c r="AT156" i="5"/>
  <c r="AT148" i="5"/>
  <c r="AT140" i="5"/>
  <c r="AT132" i="5"/>
  <c r="AT124" i="5"/>
  <c r="AT116" i="5"/>
  <c r="AT108" i="5"/>
  <c r="AT100" i="5"/>
  <c r="AT92" i="5"/>
  <c r="AT84" i="5"/>
  <c r="AT76" i="5"/>
  <c r="AT68" i="5"/>
  <c r="AT60" i="5"/>
  <c r="AT52" i="5"/>
  <c r="AT44" i="5"/>
  <c r="AT36" i="5"/>
  <c r="AT28" i="5"/>
  <c r="AT20" i="5"/>
  <c r="AT12" i="5"/>
  <c r="AT4" i="5"/>
  <c r="AX26" i="5"/>
  <c r="AX41" i="5"/>
  <c r="AX83" i="5"/>
  <c r="BD83" i="5" s="1"/>
  <c r="BL83" i="5" s="1"/>
  <c r="AX98" i="5"/>
  <c r="BD98" i="5" s="1"/>
  <c r="BL98" i="5" s="1"/>
  <c r="AX154" i="5"/>
  <c r="BD154" i="5" s="1"/>
  <c r="AX169" i="5"/>
  <c r="BD169" i="5" s="1"/>
  <c r="AT171" i="5"/>
  <c r="AT155" i="5"/>
  <c r="AT139" i="5"/>
  <c r="AT131" i="5"/>
  <c r="AT123" i="5"/>
  <c r="AT115" i="5"/>
  <c r="AT107" i="5"/>
  <c r="AT99" i="5"/>
  <c r="AT91" i="5"/>
  <c r="AT75" i="5"/>
  <c r="AT59" i="5"/>
  <c r="AT43" i="5"/>
  <c r="AT27" i="5"/>
  <c r="AT11" i="5"/>
  <c r="AT3" i="5"/>
  <c r="AX42" i="5"/>
  <c r="AX57" i="5"/>
  <c r="AX114" i="5"/>
  <c r="BD114" i="5" s="1"/>
  <c r="BL114" i="5" s="1"/>
  <c r="AX170" i="5"/>
  <c r="AT2" i="5"/>
  <c r="AT146" i="5"/>
  <c r="AT130" i="5"/>
  <c r="AT74" i="5"/>
  <c r="AT58" i="5"/>
  <c r="AT18" i="5"/>
  <c r="AW180" i="5"/>
  <c r="AW181" i="5" s="1"/>
  <c r="AX73" i="5"/>
  <c r="BP73" i="5" s="1"/>
  <c r="BX73" i="5" s="1"/>
  <c r="AT177" i="5"/>
  <c r="AT161" i="5"/>
  <c r="AS193" i="5" s="1"/>
  <c r="AS194" i="5" s="1"/>
  <c r="AT145" i="5"/>
  <c r="AT129" i="5"/>
  <c r="AT113" i="5"/>
  <c r="AT97" i="5"/>
  <c r="AT89" i="5"/>
  <c r="AT81" i="5"/>
  <c r="AT65" i="5"/>
  <c r="AT49" i="5"/>
  <c r="AT33" i="5"/>
  <c r="AT17" i="5"/>
  <c r="CL180" i="5"/>
  <c r="CL181" i="5" s="1"/>
  <c r="CM180" i="5"/>
  <c r="CM181" i="5" s="1"/>
  <c r="F12" i="12"/>
  <c r="F40" i="12" s="1"/>
  <c r="D6" i="9"/>
  <c r="N39" i="12"/>
  <c r="BL175" i="5"/>
  <c r="BL122" i="5"/>
  <c r="N30" i="12"/>
  <c r="N26" i="12"/>
  <c r="F56" i="12"/>
  <c r="F60" i="12" s="1"/>
  <c r="BX34" i="5"/>
  <c r="J110" i="12"/>
  <c r="N110" i="12"/>
  <c r="G91" i="12"/>
  <c r="G92" i="12"/>
  <c r="G88" i="12"/>
  <c r="G93" i="12"/>
  <c r="G89" i="12"/>
  <c r="G94" i="12"/>
  <c r="G90" i="12"/>
  <c r="G86" i="12"/>
  <c r="E87" i="12"/>
  <c r="E96" i="12" s="1"/>
  <c r="E91" i="12"/>
  <c r="E95" i="12"/>
  <c r="E88" i="12"/>
  <c r="C14" i="7"/>
  <c r="BL9" i="5" l="1"/>
  <c r="BL106" i="5"/>
  <c r="BC169" i="5"/>
  <c r="BC21" i="5"/>
  <c r="BN149" i="5"/>
  <c r="BN82" i="5"/>
  <c r="BO93" i="5"/>
  <c r="BB5" i="5"/>
  <c r="BB137" i="5"/>
  <c r="BB162" i="5"/>
  <c r="BB42" i="5"/>
  <c r="BC147" i="5"/>
  <c r="BC154" i="5"/>
  <c r="AV200" i="5"/>
  <c r="BB41" i="5"/>
  <c r="BO62" i="5"/>
  <c r="BC153" i="5"/>
  <c r="BB169" i="5"/>
  <c r="BZ169" i="5" s="1"/>
  <c r="BB66" i="5"/>
  <c r="BC133" i="5"/>
  <c r="BA200" i="5"/>
  <c r="E16" i="9"/>
  <c r="BL169" i="5"/>
  <c r="AX182" i="5"/>
  <c r="AX183" i="5" s="1"/>
  <c r="BB138" i="5"/>
  <c r="BZ138" i="5" s="1"/>
  <c r="G16" i="9"/>
  <c r="AS191" i="5"/>
  <c r="AS192" i="5" s="1"/>
  <c r="BP109" i="5"/>
  <c r="BD51" i="5"/>
  <c r="BB163" i="5"/>
  <c r="BO10" i="5"/>
  <c r="BO50" i="5"/>
  <c r="BN78" i="5"/>
  <c r="BB122" i="5"/>
  <c r="BC138" i="5"/>
  <c r="BN19" i="5"/>
  <c r="BZ19" i="5" s="1"/>
  <c r="BP67" i="5"/>
  <c r="BX67" i="5" s="1"/>
  <c r="BN114" i="5"/>
  <c r="AT192" i="5"/>
  <c r="BZ21" i="5"/>
  <c r="BO25" i="5"/>
  <c r="BN57" i="5"/>
  <c r="BO105" i="5"/>
  <c r="BB98" i="5"/>
  <c r="BO165" i="5"/>
  <c r="BC170" i="5"/>
  <c r="AU192" i="5"/>
  <c r="BP47" i="5"/>
  <c r="CB47" i="5" s="1"/>
  <c r="BC109" i="5"/>
  <c r="BN109" i="5"/>
  <c r="BP169" i="5"/>
  <c r="CB169" i="5" s="1"/>
  <c r="BB73" i="5"/>
  <c r="BZ73" i="5" s="1"/>
  <c r="BO121" i="5"/>
  <c r="BO137" i="5"/>
  <c r="BC66" i="5"/>
  <c r="BD77" i="5"/>
  <c r="BL77" i="5" s="1"/>
  <c r="BB35" i="5"/>
  <c r="BB21" i="5"/>
  <c r="BP133" i="5"/>
  <c r="CB133" i="5" s="1"/>
  <c r="BP122" i="5"/>
  <c r="BC73" i="5"/>
  <c r="BC26" i="5"/>
  <c r="BO98" i="5"/>
  <c r="BP154" i="5"/>
  <c r="CB154" i="5" s="1"/>
  <c r="BB175" i="5"/>
  <c r="BP5" i="5"/>
  <c r="BD82" i="5"/>
  <c r="BL82" i="5" s="1"/>
  <c r="BZ66" i="5"/>
  <c r="BB26" i="5"/>
  <c r="BZ26" i="5" s="1"/>
  <c r="AA11" i="13"/>
  <c r="J11" i="13"/>
  <c r="G39" i="13"/>
  <c r="AB11" i="13"/>
  <c r="AB45" i="13" s="1"/>
  <c r="BD19" i="5"/>
  <c r="CB19" i="5" s="1"/>
  <c r="AS182" i="5"/>
  <c r="AS183" i="5" s="1"/>
  <c r="BL35" i="5"/>
  <c r="BN47" i="5"/>
  <c r="BC5" i="5"/>
  <c r="BD5" i="5"/>
  <c r="BD109" i="5"/>
  <c r="BL109" i="5" s="1"/>
  <c r="BD105" i="5"/>
  <c r="CB105" i="5" s="1"/>
  <c r="BN51" i="5"/>
  <c r="BO67" i="5"/>
  <c r="BN37" i="5"/>
  <c r="BZ37" i="5" s="1"/>
  <c r="BD34" i="5"/>
  <c r="CB34" i="5" s="1"/>
  <c r="BL62" i="5"/>
  <c r="BX77" i="5"/>
  <c r="BZ42" i="5"/>
  <c r="F67" i="13"/>
  <c r="BZ57" i="5"/>
  <c r="BL67" i="5"/>
  <c r="BP37" i="5"/>
  <c r="BD37" i="5"/>
  <c r="BL37" i="5" s="1"/>
  <c r="CI54" i="5"/>
  <c r="BY54" i="5"/>
  <c r="CD54" i="5"/>
  <c r="BV54" i="5"/>
  <c r="BU54" i="5"/>
  <c r="CF54" i="5"/>
  <c r="CE54" i="5"/>
  <c r="CK54" i="5"/>
  <c r="BT54" i="5"/>
  <c r="BS54" i="5"/>
  <c r="BR54" i="5"/>
  <c r="BQ54" i="5"/>
  <c r="BM54" i="5"/>
  <c r="BW54" i="5"/>
  <c r="CA54" i="5"/>
  <c r="CC54" i="5"/>
  <c r="BK54" i="5"/>
  <c r="BH54" i="5"/>
  <c r="BE54" i="5"/>
  <c r="BJ54" i="5"/>
  <c r="BG54" i="5"/>
  <c r="BD54" i="5"/>
  <c r="BI54" i="5"/>
  <c r="BF54" i="5"/>
  <c r="AZ54" i="5"/>
  <c r="BA54" i="5"/>
  <c r="BP54" i="5" s="1"/>
  <c r="AY54" i="5"/>
  <c r="AV54" i="5"/>
  <c r="BO54" i="5" s="1"/>
  <c r="AU54" i="5"/>
  <c r="BB54" i="5" s="1"/>
  <c r="BY134" i="5"/>
  <c r="CA134" i="5"/>
  <c r="BV134" i="5"/>
  <c r="BU134" i="5"/>
  <c r="CD134" i="5"/>
  <c r="BT134" i="5"/>
  <c r="BS134" i="5"/>
  <c r="BR134" i="5"/>
  <c r="BQ134" i="5"/>
  <c r="BM134" i="5"/>
  <c r="CI134" i="5"/>
  <c r="CF134" i="5"/>
  <c r="CK134" i="5"/>
  <c r="CE134" i="5"/>
  <c r="CC134" i="5"/>
  <c r="BW134" i="5"/>
  <c r="BJ134" i="5"/>
  <c r="BG134" i="5"/>
  <c r="BD134" i="5"/>
  <c r="BK134" i="5"/>
  <c r="BI134" i="5"/>
  <c r="BH134" i="5"/>
  <c r="BA134" i="5"/>
  <c r="BP134" i="5" s="1"/>
  <c r="AY134" i="5"/>
  <c r="BF134" i="5"/>
  <c r="AZ134" i="5"/>
  <c r="BE134" i="5"/>
  <c r="AV134" i="5"/>
  <c r="BO134" i="5" s="1"/>
  <c r="AU134" i="5"/>
  <c r="BB134" i="5" s="1"/>
  <c r="BP121" i="5"/>
  <c r="BD121" i="5"/>
  <c r="BL121" i="5" s="1"/>
  <c r="CJ15" i="5"/>
  <c r="CA15" i="5"/>
  <c r="BX15" i="5"/>
  <c r="CK15" i="5"/>
  <c r="BK15" i="5"/>
  <c r="BJ15" i="5"/>
  <c r="CE15" i="5"/>
  <c r="CF15" i="5"/>
  <c r="CD15" i="5"/>
  <c r="CI15" i="5"/>
  <c r="CH15" i="5"/>
  <c r="CC15" i="5"/>
  <c r="BZ15" i="5"/>
  <c r="BW15" i="5"/>
  <c r="CG15" i="5"/>
  <c r="BY15" i="5"/>
  <c r="BU15" i="5"/>
  <c r="BT15" i="5"/>
  <c r="BI15" i="5"/>
  <c r="BH15" i="5"/>
  <c r="BG15" i="5"/>
  <c r="BF15" i="5"/>
  <c r="BE15" i="5"/>
  <c r="BD15" i="5"/>
  <c r="BA15" i="5"/>
  <c r="BP15" i="5" s="1"/>
  <c r="AZ15" i="5"/>
  <c r="BM15" i="5"/>
  <c r="BQ15" i="5"/>
  <c r="BN15" i="5"/>
  <c r="BV15" i="5"/>
  <c r="BS15" i="5"/>
  <c r="BR15" i="5"/>
  <c r="BL15" i="5"/>
  <c r="AY15" i="5"/>
  <c r="AV15" i="5"/>
  <c r="BC15" i="5" s="1"/>
  <c r="AU15" i="5"/>
  <c r="BB15" i="5" s="1"/>
  <c r="CK87" i="5"/>
  <c r="CD87" i="5"/>
  <c r="CF87" i="5"/>
  <c r="CE87" i="5"/>
  <c r="CA87" i="5"/>
  <c r="CI87" i="5"/>
  <c r="BW87" i="5"/>
  <c r="BV87" i="5"/>
  <c r="BK87" i="5"/>
  <c r="CC87" i="5"/>
  <c r="BT87" i="5"/>
  <c r="BJ87" i="5"/>
  <c r="BI87" i="5"/>
  <c r="BH87" i="5"/>
  <c r="BG87" i="5"/>
  <c r="BF87" i="5"/>
  <c r="BE87" i="5"/>
  <c r="BD87" i="5"/>
  <c r="BA87" i="5"/>
  <c r="BP87" i="5" s="1"/>
  <c r="BU87" i="5"/>
  <c r="BR87" i="5"/>
  <c r="BQ87" i="5"/>
  <c r="BS87" i="5"/>
  <c r="BY87" i="5"/>
  <c r="BM87" i="5"/>
  <c r="AZ87" i="5"/>
  <c r="AY87" i="5"/>
  <c r="AV87" i="5"/>
  <c r="BO87" i="5" s="1"/>
  <c r="AU87" i="5"/>
  <c r="BB87" i="5" s="1"/>
  <c r="CJ159" i="5"/>
  <c r="CI159" i="5"/>
  <c r="CE159" i="5"/>
  <c r="CG159" i="5"/>
  <c r="CF159" i="5"/>
  <c r="BZ159" i="5"/>
  <c r="BY159" i="5"/>
  <c r="CC159" i="5"/>
  <c r="CK159" i="5"/>
  <c r="CA159" i="5"/>
  <c r="BK159" i="5"/>
  <c r="BX159" i="5"/>
  <c r="BW159" i="5"/>
  <c r="CH159" i="5"/>
  <c r="CD159" i="5"/>
  <c r="BV159" i="5"/>
  <c r="BS159" i="5"/>
  <c r="BR159" i="5"/>
  <c r="BJ159" i="5"/>
  <c r="BI159" i="5"/>
  <c r="BH159" i="5"/>
  <c r="BG159" i="5"/>
  <c r="BF159" i="5"/>
  <c r="BE159" i="5"/>
  <c r="BD159" i="5"/>
  <c r="BA159" i="5"/>
  <c r="BU159" i="5"/>
  <c r="BL159" i="5"/>
  <c r="BQ159" i="5"/>
  <c r="BT159" i="5"/>
  <c r="BM159" i="5"/>
  <c r="BP159" i="5"/>
  <c r="AZ159" i="5"/>
  <c r="AY159" i="5"/>
  <c r="AV159" i="5"/>
  <c r="BC159" i="5" s="1"/>
  <c r="AU159" i="5"/>
  <c r="BN159" i="5" s="1"/>
  <c r="BP90" i="5"/>
  <c r="BD90" i="5"/>
  <c r="BL90" i="5" s="1"/>
  <c r="CK16" i="5"/>
  <c r="CE16" i="5"/>
  <c r="CD16" i="5"/>
  <c r="CC16" i="5"/>
  <c r="CI16" i="5"/>
  <c r="CF16" i="5"/>
  <c r="CA16" i="5"/>
  <c r="BV16" i="5"/>
  <c r="BW16" i="5"/>
  <c r="BS16" i="5"/>
  <c r="BQ16" i="5"/>
  <c r="BY16" i="5"/>
  <c r="BT16" i="5"/>
  <c r="BR16" i="5"/>
  <c r="BM16" i="5"/>
  <c r="BU16" i="5"/>
  <c r="BK16" i="5"/>
  <c r="BI16" i="5"/>
  <c r="BF16" i="5"/>
  <c r="BH16" i="5"/>
  <c r="BJ16" i="5"/>
  <c r="BG16" i="5"/>
  <c r="AY16" i="5"/>
  <c r="AZ16" i="5"/>
  <c r="BE16" i="5"/>
  <c r="BD16" i="5"/>
  <c r="BA16" i="5"/>
  <c r="BP16" i="5" s="1"/>
  <c r="AV16" i="5"/>
  <c r="BO16" i="5" s="1"/>
  <c r="AU16" i="5"/>
  <c r="BN16" i="5" s="1"/>
  <c r="CK80" i="5"/>
  <c r="CF80" i="5"/>
  <c r="CE80" i="5"/>
  <c r="CD80" i="5"/>
  <c r="CC80" i="5"/>
  <c r="CA80" i="5"/>
  <c r="BV80" i="5"/>
  <c r="BS80" i="5"/>
  <c r="BQ80" i="5"/>
  <c r="BT80" i="5"/>
  <c r="BR80" i="5"/>
  <c r="CI80" i="5"/>
  <c r="BU80" i="5"/>
  <c r="BY80" i="5"/>
  <c r="BW80" i="5"/>
  <c r="BM80" i="5"/>
  <c r="BK80" i="5"/>
  <c r="BH80" i="5"/>
  <c r="BJ80" i="5"/>
  <c r="BG80" i="5"/>
  <c r="BI80" i="5"/>
  <c r="BF80" i="5"/>
  <c r="AZ80" i="5"/>
  <c r="AY80" i="5"/>
  <c r="BD80" i="5"/>
  <c r="BA80" i="5"/>
  <c r="BP80" i="5" s="1"/>
  <c r="BE80" i="5"/>
  <c r="AV80" i="5"/>
  <c r="BO80" i="5" s="1"/>
  <c r="AU80" i="5"/>
  <c r="BN80" i="5" s="1"/>
  <c r="CK144" i="5"/>
  <c r="CF144" i="5"/>
  <c r="CE144" i="5"/>
  <c r="CD144" i="5"/>
  <c r="CJ144" i="5"/>
  <c r="CH144" i="5"/>
  <c r="CG144" i="5"/>
  <c r="CI144" i="5"/>
  <c r="CA144" i="5"/>
  <c r="BX144" i="5"/>
  <c r="BZ144" i="5"/>
  <c r="BV144" i="5"/>
  <c r="BS144" i="5"/>
  <c r="BQ144" i="5"/>
  <c r="BT144" i="5"/>
  <c r="BR144" i="5"/>
  <c r="BY144" i="5"/>
  <c r="CC144" i="5"/>
  <c r="BW144" i="5"/>
  <c r="BM144" i="5"/>
  <c r="BU144" i="5"/>
  <c r="BI144" i="5"/>
  <c r="BF144" i="5"/>
  <c r="BL144" i="5"/>
  <c r="BH144" i="5"/>
  <c r="BJ144" i="5"/>
  <c r="BK144" i="5"/>
  <c r="BG144" i="5"/>
  <c r="AZ144" i="5"/>
  <c r="AY144" i="5"/>
  <c r="BE144" i="5"/>
  <c r="BD144" i="5"/>
  <c r="BA144" i="5"/>
  <c r="BP144" i="5" s="1"/>
  <c r="AV144" i="5"/>
  <c r="BO144" i="5" s="1"/>
  <c r="AU144" i="5"/>
  <c r="BB144" i="5" s="1"/>
  <c r="BP83" i="5"/>
  <c r="BC162" i="5"/>
  <c r="BO162" i="5"/>
  <c r="AX180" i="5"/>
  <c r="AX181" i="5" s="1"/>
  <c r="BO42" i="5"/>
  <c r="BP170" i="5"/>
  <c r="BD170" i="5"/>
  <c r="BL170" i="5" s="1"/>
  <c r="CJ124" i="5"/>
  <c r="CF124" i="5"/>
  <c r="CD124" i="5"/>
  <c r="CK124" i="5"/>
  <c r="CH124" i="5"/>
  <c r="CE124" i="5"/>
  <c r="BZ124" i="5"/>
  <c r="CI124" i="5"/>
  <c r="BU124" i="5"/>
  <c r="CG124" i="5"/>
  <c r="BY124" i="5"/>
  <c r="BV124" i="5"/>
  <c r="BL124" i="5"/>
  <c r="CC124" i="5"/>
  <c r="BS124" i="5"/>
  <c r="BX124" i="5"/>
  <c r="BK124" i="5"/>
  <c r="BW124" i="5"/>
  <c r="CA124" i="5"/>
  <c r="BR124" i="5"/>
  <c r="BQ124" i="5"/>
  <c r="BT124" i="5"/>
  <c r="BH124" i="5"/>
  <c r="BM124" i="5"/>
  <c r="BE124" i="5"/>
  <c r="BJ124" i="5"/>
  <c r="AZ124" i="5"/>
  <c r="AY124" i="5"/>
  <c r="BG124" i="5"/>
  <c r="BI124" i="5"/>
  <c r="BF124" i="5"/>
  <c r="BA124" i="5"/>
  <c r="BP124" i="5" s="1"/>
  <c r="BD124" i="5"/>
  <c r="AV124" i="5"/>
  <c r="BC124" i="5" s="1"/>
  <c r="AU124" i="5"/>
  <c r="BN124" i="5" s="1"/>
  <c r="BC82" i="5"/>
  <c r="BO82" i="5"/>
  <c r="BO90" i="5"/>
  <c r="BC90" i="5"/>
  <c r="CI81" i="5"/>
  <c r="CE81" i="5"/>
  <c r="CC81" i="5"/>
  <c r="CK81" i="5"/>
  <c r="BY81" i="5"/>
  <c r="CF81" i="5"/>
  <c r="BV81" i="5"/>
  <c r="BU81" i="5"/>
  <c r="BW81" i="5"/>
  <c r="CA81" i="5"/>
  <c r="CD81" i="5"/>
  <c r="BS81" i="5"/>
  <c r="BK81" i="5"/>
  <c r="BT81" i="5"/>
  <c r="BQ81" i="5"/>
  <c r="BR81" i="5"/>
  <c r="BM81" i="5"/>
  <c r="BH81" i="5"/>
  <c r="BE81" i="5"/>
  <c r="BJ81" i="5"/>
  <c r="BG81" i="5"/>
  <c r="BI81" i="5"/>
  <c r="BF81" i="5"/>
  <c r="AY81" i="5"/>
  <c r="BD81" i="5"/>
  <c r="BA81" i="5"/>
  <c r="BP81" i="5" s="1"/>
  <c r="AZ81" i="5"/>
  <c r="AV81" i="5"/>
  <c r="BO81" i="5" s="1"/>
  <c r="AU81" i="5"/>
  <c r="BN81" i="5" s="1"/>
  <c r="CI59" i="5"/>
  <c r="CF59" i="5"/>
  <c r="CE59" i="5"/>
  <c r="CA59" i="5"/>
  <c r="CK59" i="5"/>
  <c r="BT59" i="5"/>
  <c r="BS59" i="5"/>
  <c r="BR59" i="5"/>
  <c r="BQ59" i="5"/>
  <c r="BM59" i="5"/>
  <c r="CD59" i="5"/>
  <c r="BV59" i="5"/>
  <c r="BW59" i="5"/>
  <c r="BU59" i="5"/>
  <c r="CC59" i="5"/>
  <c r="BY59" i="5"/>
  <c r="BJ59" i="5"/>
  <c r="BI59" i="5"/>
  <c r="BH59" i="5"/>
  <c r="BG59" i="5"/>
  <c r="BF59" i="5"/>
  <c r="BE59" i="5"/>
  <c r="BD59" i="5"/>
  <c r="BA59" i="5"/>
  <c r="BP59" i="5" s="1"/>
  <c r="BK59" i="5"/>
  <c r="AY59" i="5"/>
  <c r="AZ59" i="5"/>
  <c r="AV59" i="5"/>
  <c r="BC59" i="5" s="1"/>
  <c r="AU59" i="5"/>
  <c r="BN59" i="5" s="1"/>
  <c r="CJ60" i="5"/>
  <c r="CG60" i="5"/>
  <c r="CF60" i="5"/>
  <c r="CD60" i="5"/>
  <c r="CH60" i="5"/>
  <c r="CC60" i="5"/>
  <c r="CI60" i="5"/>
  <c r="BZ60" i="5"/>
  <c r="BU60" i="5"/>
  <c r="BX60" i="5"/>
  <c r="BW60" i="5"/>
  <c r="CE60" i="5"/>
  <c r="CK60" i="5"/>
  <c r="CA60" i="5"/>
  <c r="BS60" i="5"/>
  <c r="BL60" i="5"/>
  <c r="BT60" i="5"/>
  <c r="BQ60" i="5"/>
  <c r="BK60" i="5"/>
  <c r="BM60" i="5"/>
  <c r="BR60" i="5"/>
  <c r="BY60" i="5"/>
  <c r="BV60" i="5"/>
  <c r="BG60" i="5"/>
  <c r="BI60" i="5"/>
  <c r="BF60" i="5"/>
  <c r="AZ60" i="5"/>
  <c r="AY60" i="5"/>
  <c r="BH60" i="5"/>
  <c r="BE60" i="5"/>
  <c r="BJ60" i="5"/>
  <c r="BD60" i="5"/>
  <c r="BA60" i="5"/>
  <c r="BP60" i="5" s="1"/>
  <c r="AV60" i="5"/>
  <c r="BO60" i="5" s="1"/>
  <c r="AU60" i="5"/>
  <c r="BN60" i="5" s="1"/>
  <c r="I11" i="12"/>
  <c r="I39" i="12" s="1"/>
  <c r="AB39" i="12" s="1"/>
  <c r="G5" i="9"/>
  <c r="CI97" i="5"/>
  <c r="CD97" i="5"/>
  <c r="CK97" i="5"/>
  <c r="BY97" i="5"/>
  <c r="CA97" i="5"/>
  <c r="BW97" i="5"/>
  <c r="BV97" i="5"/>
  <c r="BU97" i="5"/>
  <c r="CE97" i="5"/>
  <c r="BR97" i="5"/>
  <c r="CF97" i="5"/>
  <c r="CC97" i="5"/>
  <c r="BQ97" i="5"/>
  <c r="BM97" i="5"/>
  <c r="BS97" i="5"/>
  <c r="BT97" i="5"/>
  <c r="BK97" i="5"/>
  <c r="BH97" i="5"/>
  <c r="BE97" i="5"/>
  <c r="BJ97" i="5"/>
  <c r="BG97" i="5"/>
  <c r="BI97" i="5"/>
  <c r="AZ97" i="5"/>
  <c r="BF97" i="5"/>
  <c r="BD97" i="5"/>
  <c r="BA97" i="5"/>
  <c r="BP97" i="5" s="1"/>
  <c r="AY97" i="5"/>
  <c r="AV97" i="5"/>
  <c r="BC97" i="5" s="1"/>
  <c r="AU97" i="5"/>
  <c r="BN97" i="5" s="1"/>
  <c r="CH18" i="5"/>
  <c r="CI18" i="5"/>
  <c r="CF18" i="5"/>
  <c r="CJ18" i="5"/>
  <c r="CG18" i="5"/>
  <c r="CC18" i="5"/>
  <c r="BW18" i="5"/>
  <c r="BX18" i="5"/>
  <c r="CE18" i="5"/>
  <c r="BU18" i="5"/>
  <c r="BK18" i="5"/>
  <c r="BJ18" i="5"/>
  <c r="BZ18" i="5"/>
  <c r="CA18" i="5"/>
  <c r="BY18" i="5"/>
  <c r="CD18" i="5"/>
  <c r="CK18" i="5"/>
  <c r="BR18" i="5"/>
  <c r="BT18" i="5"/>
  <c r="BM18" i="5"/>
  <c r="BV18" i="5"/>
  <c r="BS18" i="5"/>
  <c r="BQ18" i="5"/>
  <c r="BL18" i="5"/>
  <c r="BG18" i="5"/>
  <c r="BD18" i="5"/>
  <c r="BI18" i="5"/>
  <c r="BA18" i="5"/>
  <c r="BP18" i="5" s="1"/>
  <c r="BF18" i="5"/>
  <c r="BH18" i="5"/>
  <c r="BE18" i="5"/>
  <c r="AZ18" i="5"/>
  <c r="AY18" i="5"/>
  <c r="AV18" i="5"/>
  <c r="BO18" i="5" s="1"/>
  <c r="AU18" i="5"/>
  <c r="BN18" i="5" s="1"/>
  <c r="BP57" i="5"/>
  <c r="BD57" i="5"/>
  <c r="BL57" i="5" s="1"/>
  <c r="CI91" i="5"/>
  <c r="CK91" i="5"/>
  <c r="CC91" i="5"/>
  <c r="CA91" i="5"/>
  <c r="CE91" i="5"/>
  <c r="CD91" i="5"/>
  <c r="BT91" i="5"/>
  <c r="BS91" i="5"/>
  <c r="BR91" i="5"/>
  <c r="BQ91" i="5"/>
  <c r="BP91" i="5"/>
  <c r="BM91" i="5"/>
  <c r="CF91" i="5"/>
  <c r="BV91" i="5"/>
  <c r="BY91" i="5"/>
  <c r="BU91" i="5"/>
  <c r="BW91" i="5"/>
  <c r="BJ91" i="5"/>
  <c r="BI91" i="5"/>
  <c r="BH91" i="5"/>
  <c r="BG91" i="5"/>
  <c r="BF91" i="5"/>
  <c r="BE91" i="5"/>
  <c r="BD91" i="5"/>
  <c r="BA91" i="5"/>
  <c r="BK91" i="5"/>
  <c r="AY91" i="5"/>
  <c r="AZ91" i="5"/>
  <c r="AV91" i="5"/>
  <c r="BC91" i="5" s="1"/>
  <c r="AU91" i="5"/>
  <c r="BN91" i="5" s="1"/>
  <c r="CK171" i="5"/>
  <c r="CG171" i="5"/>
  <c r="CC171" i="5"/>
  <c r="CA171" i="5"/>
  <c r="CI171" i="5"/>
  <c r="CE171" i="5"/>
  <c r="BU171" i="5"/>
  <c r="BT171" i="5"/>
  <c r="BS171" i="5"/>
  <c r="BR171" i="5"/>
  <c r="BQ171" i="5"/>
  <c r="BM171" i="5"/>
  <c r="CD171" i="5"/>
  <c r="BW171" i="5"/>
  <c r="CF171" i="5"/>
  <c r="BY171" i="5"/>
  <c r="BV171" i="5"/>
  <c r="BJ171" i="5"/>
  <c r="BI171" i="5"/>
  <c r="BH171" i="5"/>
  <c r="BG171" i="5"/>
  <c r="BF171" i="5"/>
  <c r="BE171" i="5"/>
  <c r="BD171" i="5"/>
  <c r="BA171" i="5"/>
  <c r="BP171" i="5" s="1"/>
  <c r="BK171" i="5"/>
  <c r="AZ171" i="5"/>
  <c r="AV171" i="5"/>
  <c r="BC171" i="5" s="1"/>
  <c r="AU171" i="5"/>
  <c r="BN171" i="5" s="1"/>
  <c r="AY171" i="5"/>
  <c r="CF12" i="5"/>
  <c r="CE12" i="5"/>
  <c r="CC12" i="5"/>
  <c r="CA12" i="5"/>
  <c r="CK12" i="5"/>
  <c r="CD12" i="5"/>
  <c r="BW12" i="5"/>
  <c r="BV12" i="5"/>
  <c r="BY12" i="5"/>
  <c r="BR12" i="5"/>
  <c r="CI12" i="5"/>
  <c r="BM12" i="5"/>
  <c r="BJ12" i="5"/>
  <c r="BQ12" i="5"/>
  <c r="BU12" i="5"/>
  <c r="BS12" i="5"/>
  <c r="BT12" i="5"/>
  <c r="BF12" i="5"/>
  <c r="BH12" i="5"/>
  <c r="BE12" i="5"/>
  <c r="AY12" i="5"/>
  <c r="BG12" i="5"/>
  <c r="BD12" i="5"/>
  <c r="BK12" i="5"/>
  <c r="BI12" i="5"/>
  <c r="BA12" i="5"/>
  <c r="BP12" i="5" s="1"/>
  <c r="AZ12" i="5"/>
  <c r="AV12" i="5"/>
  <c r="BO12" i="5" s="1"/>
  <c r="AU12" i="5"/>
  <c r="BB12" i="5" s="1"/>
  <c r="CF76" i="5"/>
  <c r="CC76" i="5"/>
  <c r="CK76" i="5"/>
  <c r="CA76" i="5"/>
  <c r="BW76" i="5"/>
  <c r="CE76" i="5"/>
  <c r="BV76" i="5"/>
  <c r="CI76" i="5"/>
  <c r="BY76" i="5"/>
  <c r="BR76" i="5"/>
  <c r="BU76" i="5"/>
  <c r="BM76" i="5"/>
  <c r="BS76" i="5"/>
  <c r="BQ76" i="5"/>
  <c r="BK76" i="5"/>
  <c r="CD76" i="5"/>
  <c r="BT76" i="5"/>
  <c r="BJ76" i="5"/>
  <c r="BG76" i="5"/>
  <c r="BI76" i="5"/>
  <c r="AZ76" i="5"/>
  <c r="AY76" i="5"/>
  <c r="BH76" i="5"/>
  <c r="BE76" i="5"/>
  <c r="BA76" i="5"/>
  <c r="BP76" i="5" s="1"/>
  <c r="BD76" i="5"/>
  <c r="BF76" i="5"/>
  <c r="AV76" i="5"/>
  <c r="BC76" i="5" s="1"/>
  <c r="AU76" i="5"/>
  <c r="BN76" i="5" s="1"/>
  <c r="CF140" i="5"/>
  <c r="CK140" i="5"/>
  <c r="CE140" i="5"/>
  <c r="CA140" i="5"/>
  <c r="BW140" i="5"/>
  <c r="BV140" i="5"/>
  <c r="BY140" i="5"/>
  <c r="CC140" i="5"/>
  <c r="CI140" i="5"/>
  <c r="BR140" i="5"/>
  <c r="BU140" i="5"/>
  <c r="BM140" i="5"/>
  <c r="BT140" i="5"/>
  <c r="CD140" i="5"/>
  <c r="BS140" i="5"/>
  <c r="BQ140" i="5"/>
  <c r="BH140" i="5"/>
  <c r="BE140" i="5"/>
  <c r="AZ140" i="5"/>
  <c r="AY140" i="5"/>
  <c r="BJ140" i="5"/>
  <c r="BK140" i="5"/>
  <c r="BG140" i="5"/>
  <c r="BI140" i="5"/>
  <c r="BD140" i="5"/>
  <c r="BA140" i="5"/>
  <c r="BP140" i="5" s="1"/>
  <c r="BF140" i="5"/>
  <c r="AV140" i="5"/>
  <c r="BO140" i="5" s="1"/>
  <c r="AU140" i="5"/>
  <c r="BB140" i="5" s="1"/>
  <c r="BB133" i="5"/>
  <c r="BN133" i="5"/>
  <c r="CB122" i="5"/>
  <c r="BX122" i="5"/>
  <c r="BO149" i="5"/>
  <c r="BC149" i="5"/>
  <c r="BP26" i="5"/>
  <c r="BD26" i="5"/>
  <c r="BL26" i="5" s="1"/>
  <c r="CK53" i="5"/>
  <c r="CI53" i="5"/>
  <c r="CE53" i="5"/>
  <c r="CC53" i="5"/>
  <c r="BW53" i="5"/>
  <c r="CA53" i="5"/>
  <c r="BU53" i="5"/>
  <c r="CF53" i="5"/>
  <c r="BT53" i="5"/>
  <c r="BR53" i="5"/>
  <c r="BY53" i="5"/>
  <c r="BV53" i="5"/>
  <c r="BS53" i="5"/>
  <c r="BQ53" i="5"/>
  <c r="CD53" i="5"/>
  <c r="BM53" i="5"/>
  <c r="BK53" i="5"/>
  <c r="BH53" i="5"/>
  <c r="BE53" i="5"/>
  <c r="BJ53" i="5"/>
  <c r="BG53" i="5"/>
  <c r="BI53" i="5"/>
  <c r="BF53" i="5"/>
  <c r="AZ53" i="5"/>
  <c r="BD53" i="5"/>
  <c r="BA53" i="5"/>
  <c r="BP53" i="5" s="1"/>
  <c r="AY53" i="5"/>
  <c r="AV53" i="5"/>
  <c r="BO53" i="5" s="1"/>
  <c r="AU53" i="5"/>
  <c r="BN53" i="5" s="1"/>
  <c r="BP42" i="5"/>
  <c r="BD42" i="5"/>
  <c r="BL42" i="5" s="1"/>
  <c r="CK99" i="5"/>
  <c r="CE99" i="5"/>
  <c r="CI99" i="5"/>
  <c r="CA99" i="5"/>
  <c r="BY99" i="5"/>
  <c r="CC99" i="5"/>
  <c r="BW99" i="5"/>
  <c r="BT99" i="5"/>
  <c r="BS99" i="5"/>
  <c r="BR99" i="5"/>
  <c r="BQ99" i="5"/>
  <c r="BM99" i="5"/>
  <c r="BU99" i="5"/>
  <c r="CD99" i="5"/>
  <c r="CF99" i="5"/>
  <c r="BJ99" i="5"/>
  <c r="BI99" i="5"/>
  <c r="BH99" i="5"/>
  <c r="BG99" i="5"/>
  <c r="BF99" i="5"/>
  <c r="BE99" i="5"/>
  <c r="BD99" i="5"/>
  <c r="BA99" i="5"/>
  <c r="BP99" i="5" s="1"/>
  <c r="BV99" i="5"/>
  <c r="BK99" i="5"/>
  <c r="AZ99" i="5"/>
  <c r="AY99" i="5"/>
  <c r="AV99" i="5"/>
  <c r="BC99" i="5" s="1"/>
  <c r="AU99" i="5"/>
  <c r="BN99" i="5" s="1"/>
  <c r="CF20" i="5"/>
  <c r="CK20" i="5"/>
  <c r="CE20" i="5"/>
  <c r="CD20" i="5"/>
  <c r="BY20" i="5"/>
  <c r="CA20" i="5"/>
  <c r="CI20" i="5"/>
  <c r="BU20" i="5"/>
  <c r="BT20" i="5"/>
  <c r="CC20" i="5"/>
  <c r="BW20" i="5"/>
  <c r="BQ20" i="5"/>
  <c r="BK20" i="5"/>
  <c r="BV20" i="5"/>
  <c r="BJ20" i="5"/>
  <c r="BR20" i="5"/>
  <c r="BS20" i="5"/>
  <c r="BI20" i="5"/>
  <c r="BG20" i="5"/>
  <c r="BE20" i="5"/>
  <c r="BH20" i="5"/>
  <c r="BF20" i="5"/>
  <c r="BD20" i="5"/>
  <c r="AY20" i="5"/>
  <c r="BM20" i="5"/>
  <c r="BA20" i="5"/>
  <c r="BP20" i="5" s="1"/>
  <c r="AZ20" i="5"/>
  <c r="AV20" i="5"/>
  <c r="BC20" i="5" s="1"/>
  <c r="AU20" i="5"/>
  <c r="BN20" i="5" s="1"/>
  <c r="CH84" i="5"/>
  <c r="CK84" i="5"/>
  <c r="CF84" i="5"/>
  <c r="CG84" i="5"/>
  <c r="CI84" i="5"/>
  <c r="CC84" i="5"/>
  <c r="BX84" i="5"/>
  <c r="CE84" i="5"/>
  <c r="CD84" i="5"/>
  <c r="BY84" i="5"/>
  <c r="BZ84" i="5"/>
  <c r="BW84" i="5"/>
  <c r="BU84" i="5"/>
  <c r="CJ84" i="5"/>
  <c r="CA84" i="5"/>
  <c r="BV84" i="5"/>
  <c r="BK84" i="5"/>
  <c r="BQ84" i="5"/>
  <c r="BR84" i="5"/>
  <c r="BT84" i="5"/>
  <c r="BI84" i="5"/>
  <c r="BG84" i="5"/>
  <c r="BE84" i="5"/>
  <c r="BS84" i="5"/>
  <c r="BM84" i="5"/>
  <c r="BL84" i="5"/>
  <c r="BJ84" i="5"/>
  <c r="BH84" i="5"/>
  <c r="BF84" i="5"/>
  <c r="BD84" i="5"/>
  <c r="AZ84" i="5"/>
  <c r="AY84" i="5"/>
  <c r="BA84" i="5"/>
  <c r="BP84" i="5" s="1"/>
  <c r="BC84" i="5"/>
  <c r="AV84" i="5"/>
  <c r="BO84" i="5" s="1"/>
  <c r="AU84" i="5"/>
  <c r="BB84" i="5" s="1"/>
  <c r="CK148" i="5"/>
  <c r="CF148" i="5"/>
  <c r="CI148" i="5"/>
  <c r="CE148" i="5"/>
  <c r="BY148" i="5"/>
  <c r="CC148" i="5"/>
  <c r="CA148" i="5"/>
  <c r="BU148" i="5"/>
  <c r="BT148" i="5"/>
  <c r="BQ148" i="5"/>
  <c r="BK148" i="5"/>
  <c r="BW148" i="5"/>
  <c r="CD148" i="5"/>
  <c r="BM148" i="5"/>
  <c r="BS148" i="5"/>
  <c r="BR148" i="5"/>
  <c r="BV148" i="5"/>
  <c r="BI148" i="5"/>
  <c r="BG148" i="5"/>
  <c r="BE148" i="5"/>
  <c r="BJ148" i="5"/>
  <c r="BH148" i="5"/>
  <c r="BF148" i="5"/>
  <c r="BD148" i="5"/>
  <c r="AZ148" i="5"/>
  <c r="AY148" i="5"/>
  <c r="BA148" i="5"/>
  <c r="BP148" i="5" s="1"/>
  <c r="AV148" i="5"/>
  <c r="BC148" i="5" s="1"/>
  <c r="AU148" i="5"/>
  <c r="BB148" i="5" s="1"/>
  <c r="BP25" i="5"/>
  <c r="BD25" i="5"/>
  <c r="BL25" i="5" s="1"/>
  <c r="CK85" i="5"/>
  <c r="CC85" i="5"/>
  <c r="BW85" i="5"/>
  <c r="BU85" i="5"/>
  <c r="CI85" i="5"/>
  <c r="BT85" i="5"/>
  <c r="BR85" i="5"/>
  <c r="BS85" i="5"/>
  <c r="BQ85" i="5"/>
  <c r="CD85" i="5"/>
  <c r="CF85" i="5"/>
  <c r="CE85" i="5"/>
  <c r="CA85" i="5"/>
  <c r="BV85" i="5"/>
  <c r="BM85" i="5"/>
  <c r="BY85" i="5"/>
  <c r="BK85" i="5"/>
  <c r="BI85" i="5"/>
  <c r="BH85" i="5"/>
  <c r="BJ85" i="5"/>
  <c r="BG85" i="5"/>
  <c r="BD85" i="5"/>
  <c r="BE85" i="5"/>
  <c r="AZ85" i="5"/>
  <c r="AY85" i="5"/>
  <c r="BA85" i="5"/>
  <c r="BP85" i="5" s="1"/>
  <c r="BF85" i="5"/>
  <c r="AV85" i="5"/>
  <c r="BO85" i="5" s="1"/>
  <c r="AU85" i="5"/>
  <c r="BN85" i="5" s="1"/>
  <c r="BD137" i="5"/>
  <c r="BP137" i="5"/>
  <c r="CF14" i="5"/>
  <c r="CK14" i="5"/>
  <c r="CE14" i="5"/>
  <c r="CD14" i="5"/>
  <c r="BY14" i="5"/>
  <c r="CI14" i="5"/>
  <c r="BV14" i="5"/>
  <c r="BU14" i="5"/>
  <c r="BW14" i="5"/>
  <c r="CC14" i="5"/>
  <c r="CA14" i="5"/>
  <c r="BT14" i="5"/>
  <c r="BS14" i="5"/>
  <c r="BR14" i="5"/>
  <c r="BQ14" i="5"/>
  <c r="BM14" i="5"/>
  <c r="BJ14" i="5"/>
  <c r="BK14" i="5"/>
  <c r="BH14" i="5"/>
  <c r="BF14" i="5"/>
  <c r="BD14" i="5"/>
  <c r="BI14" i="5"/>
  <c r="BG14" i="5"/>
  <c r="BE14" i="5"/>
  <c r="AZ14" i="5"/>
  <c r="BA14" i="5"/>
  <c r="BP14" i="5" s="1"/>
  <c r="AY14" i="5"/>
  <c r="AV14" i="5"/>
  <c r="BO14" i="5" s="1"/>
  <c r="AU14" i="5"/>
  <c r="BN14" i="5" s="1"/>
  <c r="CG94" i="5"/>
  <c r="CK94" i="5"/>
  <c r="CJ94" i="5"/>
  <c r="CI94" i="5"/>
  <c r="CF94" i="5"/>
  <c r="CC94" i="5"/>
  <c r="BZ94" i="5"/>
  <c r="BY94" i="5"/>
  <c r="CH94" i="5"/>
  <c r="CA94" i="5"/>
  <c r="BW94" i="5"/>
  <c r="BV94" i="5"/>
  <c r="BU94" i="5"/>
  <c r="BL94" i="5"/>
  <c r="BT94" i="5"/>
  <c r="BS94" i="5"/>
  <c r="BR94" i="5"/>
  <c r="BQ94" i="5"/>
  <c r="BO94" i="5"/>
  <c r="BM94" i="5"/>
  <c r="CD94" i="5"/>
  <c r="BX94" i="5"/>
  <c r="BK94" i="5"/>
  <c r="CE94" i="5"/>
  <c r="BI94" i="5"/>
  <c r="BG94" i="5"/>
  <c r="BE94" i="5"/>
  <c r="BJ94" i="5"/>
  <c r="BH94" i="5"/>
  <c r="BF94" i="5"/>
  <c r="BD94" i="5"/>
  <c r="BA94" i="5"/>
  <c r="BP94" i="5" s="1"/>
  <c r="AY94" i="5"/>
  <c r="BC94" i="5"/>
  <c r="AZ94" i="5"/>
  <c r="AV94" i="5"/>
  <c r="AU94" i="5"/>
  <c r="BN94" i="5" s="1"/>
  <c r="CK158" i="5"/>
  <c r="CF158" i="5"/>
  <c r="BY158" i="5"/>
  <c r="CA158" i="5"/>
  <c r="BW158" i="5"/>
  <c r="BV158" i="5"/>
  <c r="CD158" i="5"/>
  <c r="CC158" i="5"/>
  <c r="BU158" i="5"/>
  <c r="BT158" i="5"/>
  <c r="BS158" i="5"/>
  <c r="BR158" i="5"/>
  <c r="BQ158" i="5"/>
  <c r="BM158" i="5"/>
  <c r="CE158" i="5"/>
  <c r="BK158" i="5"/>
  <c r="CI158" i="5"/>
  <c r="BI158" i="5"/>
  <c r="BG158" i="5"/>
  <c r="BE158" i="5"/>
  <c r="BJ158" i="5"/>
  <c r="BH158" i="5"/>
  <c r="BF158" i="5"/>
  <c r="BD158" i="5"/>
  <c r="AY158" i="5"/>
  <c r="BA158" i="5"/>
  <c r="BP158" i="5" s="1"/>
  <c r="AZ158" i="5"/>
  <c r="AV158" i="5"/>
  <c r="BC158" i="5" s="1"/>
  <c r="AU158" i="5"/>
  <c r="BB158" i="5" s="1"/>
  <c r="BP78" i="5"/>
  <c r="BX78" i="5" s="1"/>
  <c r="CK39" i="5"/>
  <c r="CC39" i="5"/>
  <c r="CA39" i="5"/>
  <c r="CI39" i="5"/>
  <c r="CF39" i="5"/>
  <c r="CD39" i="5"/>
  <c r="BU39" i="5"/>
  <c r="BK39" i="5"/>
  <c r="CE39" i="5"/>
  <c r="BW39" i="5"/>
  <c r="BT39" i="5"/>
  <c r="BY39" i="5"/>
  <c r="BV39" i="5"/>
  <c r="BS39" i="5"/>
  <c r="BJ39" i="5"/>
  <c r="BI39" i="5"/>
  <c r="BH39" i="5"/>
  <c r="BG39" i="5"/>
  <c r="BF39" i="5"/>
  <c r="BE39" i="5"/>
  <c r="BD39" i="5"/>
  <c r="BA39" i="5"/>
  <c r="BP39" i="5" s="1"/>
  <c r="AZ39" i="5"/>
  <c r="BR39" i="5"/>
  <c r="BQ39" i="5"/>
  <c r="BM39" i="5"/>
  <c r="AY39" i="5"/>
  <c r="AV39" i="5"/>
  <c r="BO39" i="5" s="1"/>
  <c r="AU39" i="5"/>
  <c r="BN39" i="5" s="1"/>
  <c r="CH111" i="5"/>
  <c r="CF111" i="5"/>
  <c r="CK111" i="5"/>
  <c r="CJ111" i="5"/>
  <c r="CE111" i="5"/>
  <c r="CC111" i="5"/>
  <c r="BX111" i="5"/>
  <c r="CD111" i="5"/>
  <c r="CG111" i="5"/>
  <c r="BK111" i="5"/>
  <c r="CA111" i="5"/>
  <c r="BW111" i="5"/>
  <c r="BY111" i="5"/>
  <c r="BV111" i="5"/>
  <c r="BZ111" i="5"/>
  <c r="BR111" i="5"/>
  <c r="BM111" i="5"/>
  <c r="BJ111" i="5"/>
  <c r="BI111" i="5"/>
  <c r="BH111" i="5"/>
  <c r="BG111" i="5"/>
  <c r="BF111" i="5"/>
  <c r="BE111" i="5"/>
  <c r="BD111" i="5"/>
  <c r="BA111" i="5"/>
  <c r="BP111" i="5" s="1"/>
  <c r="BT111" i="5"/>
  <c r="BU111" i="5"/>
  <c r="CI111" i="5"/>
  <c r="BS111" i="5"/>
  <c r="BQ111" i="5"/>
  <c r="BN111" i="5"/>
  <c r="BL111" i="5"/>
  <c r="AY111" i="5"/>
  <c r="AZ111" i="5"/>
  <c r="AV111" i="5"/>
  <c r="BO111" i="5" s="1"/>
  <c r="AU111" i="5"/>
  <c r="BB111" i="5" s="1"/>
  <c r="BP162" i="5"/>
  <c r="BD162" i="5"/>
  <c r="CE40" i="5"/>
  <c r="CD40" i="5"/>
  <c r="CC40" i="5"/>
  <c r="CI40" i="5"/>
  <c r="CA40" i="5"/>
  <c r="BW40" i="5"/>
  <c r="BY40" i="5"/>
  <c r="BV40" i="5"/>
  <c r="CF40" i="5"/>
  <c r="BU40" i="5"/>
  <c r="BR40" i="5"/>
  <c r="CK40" i="5"/>
  <c r="BJ40" i="5"/>
  <c r="BQ40" i="5"/>
  <c r="BM40" i="5"/>
  <c r="BT40" i="5"/>
  <c r="BS40" i="5"/>
  <c r="BF40" i="5"/>
  <c r="BK40" i="5"/>
  <c r="BH40" i="5"/>
  <c r="BE40" i="5"/>
  <c r="BA40" i="5"/>
  <c r="BP40" i="5" s="1"/>
  <c r="BG40" i="5"/>
  <c r="BD40" i="5"/>
  <c r="BI40" i="5"/>
  <c r="AZ40" i="5"/>
  <c r="AY40" i="5"/>
  <c r="AV40" i="5"/>
  <c r="BO40" i="5" s="1"/>
  <c r="AU40" i="5"/>
  <c r="BB40" i="5" s="1"/>
  <c r="CF104" i="5"/>
  <c r="CE104" i="5"/>
  <c r="CD104" i="5"/>
  <c r="CC104" i="5"/>
  <c r="CI104" i="5"/>
  <c r="BW104" i="5"/>
  <c r="BV104" i="5"/>
  <c r="CA104" i="5"/>
  <c r="CK104" i="5"/>
  <c r="BY104" i="5"/>
  <c r="BR104" i="5"/>
  <c r="BT104" i="5"/>
  <c r="BM104" i="5"/>
  <c r="BU104" i="5"/>
  <c r="BS104" i="5"/>
  <c r="BQ104" i="5"/>
  <c r="BJ104" i="5"/>
  <c r="BG104" i="5"/>
  <c r="BK104" i="5"/>
  <c r="BI104" i="5"/>
  <c r="BA104" i="5"/>
  <c r="BP104" i="5" s="1"/>
  <c r="BH104" i="5"/>
  <c r="BE104" i="5"/>
  <c r="AZ104" i="5"/>
  <c r="AY104" i="5"/>
  <c r="BF104" i="5"/>
  <c r="BD104" i="5"/>
  <c r="AV104" i="5"/>
  <c r="BO104" i="5" s="1"/>
  <c r="AU104" i="5"/>
  <c r="BN104" i="5" s="1"/>
  <c r="CH168" i="5"/>
  <c r="CG168" i="5"/>
  <c r="CF168" i="5"/>
  <c r="CE168" i="5"/>
  <c r="CD168" i="5"/>
  <c r="CI168" i="5"/>
  <c r="CK168" i="5"/>
  <c r="CJ168" i="5"/>
  <c r="BX168" i="5"/>
  <c r="CC168" i="5"/>
  <c r="BZ168" i="5"/>
  <c r="BY168" i="5"/>
  <c r="CA168" i="5"/>
  <c r="BV168" i="5"/>
  <c r="BU168" i="5"/>
  <c r="BW168" i="5"/>
  <c r="BR168" i="5"/>
  <c r="BM168" i="5"/>
  <c r="BT168" i="5"/>
  <c r="BL168" i="5"/>
  <c r="BS168" i="5"/>
  <c r="BQ168" i="5"/>
  <c r="BH168" i="5"/>
  <c r="BE168" i="5"/>
  <c r="BA168" i="5"/>
  <c r="BP168" i="5" s="1"/>
  <c r="BJ168" i="5"/>
  <c r="BG168" i="5"/>
  <c r="BK168" i="5"/>
  <c r="BI168" i="5"/>
  <c r="AZ168" i="5"/>
  <c r="AY168" i="5"/>
  <c r="BD168" i="5"/>
  <c r="BF168" i="5"/>
  <c r="AV168" i="5"/>
  <c r="BC168" i="5" s="1"/>
  <c r="AU168" i="5"/>
  <c r="BN168" i="5" s="1"/>
  <c r="BZ35" i="5"/>
  <c r="BD66" i="5"/>
  <c r="BL66" i="5" s="1"/>
  <c r="BZ175" i="5"/>
  <c r="CK139" i="5"/>
  <c r="CI139" i="5"/>
  <c r="CC139" i="5"/>
  <c r="CA139" i="5"/>
  <c r="BZ139" i="5"/>
  <c r="CD139" i="5"/>
  <c r="CH139" i="5"/>
  <c r="CG139" i="5"/>
  <c r="CE139" i="5"/>
  <c r="CJ139" i="5"/>
  <c r="BT139" i="5"/>
  <c r="BS139" i="5"/>
  <c r="BR139" i="5"/>
  <c r="BQ139" i="5"/>
  <c r="BM139" i="5"/>
  <c r="BU139" i="5"/>
  <c r="BY139" i="5"/>
  <c r="CF139" i="5"/>
  <c r="BW139" i="5"/>
  <c r="BV139" i="5"/>
  <c r="BX139" i="5"/>
  <c r="BL139" i="5"/>
  <c r="BJ139" i="5"/>
  <c r="BI139" i="5"/>
  <c r="BH139" i="5"/>
  <c r="BG139" i="5"/>
  <c r="BF139" i="5"/>
  <c r="BE139" i="5"/>
  <c r="BD139" i="5"/>
  <c r="BA139" i="5"/>
  <c r="BP139" i="5" s="1"/>
  <c r="BK139" i="5"/>
  <c r="AZ139" i="5"/>
  <c r="AY139" i="5"/>
  <c r="AV139" i="5"/>
  <c r="BO139" i="5" s="1"/>
  <c r="AU139" i="5"/>
  <c r="BN139" i="5" s="1"/>
  <c r="CK157" i="5"/>
  <c r="CH157" i="5"/>
  <c r="CG157" i="5"/>
  <c r="BX157" i="5"/>
  <c r="BW157" i="5"/>
  <c r="CI157" i="5"/>
  <c r="CF157" i="5"/>
  <c r="CJ157" i="5"/>
  <c r="BY157" i="5"/>
  <c r="CD157" i="5"/>
  <c r="CA157" i="5"/>
  <c r="CE157" i="5"/>
  <c r="BU157" i="5"/>
  <c r="CC157" i="5"/>
  <c r="BZ157" i="5"/>
  <c r="BT157" i="5"/>
  <c r="BL157" i="5"/>
  <c r="BV157" i="5"/>
  <c r="BQ157" i="5"/>
  <c r="BS157" i="5"/>
  <c r="BR157" i="5"/>
  <c r="BM157" i="5"/>
  <c r="BI157" i="5"/>
  <c r="BF157" i="5"/>
  <c r="BK157" i="5"/>
  <c r="BA157" i="5"/>
  <c r="BP157" i="5" s="1"/>
  <c r="BH157" i="5"/>
  <c r="BJ157" i="5"/>
  <c r="BG157" i="5"/>
  <c r="BD157" i="5"/>
  <c r="BE157" i="5"/>
  <c r="AZ157" i="5"/>
  <c r="AY157" i="5"/>
  <c r="AV157" i="5"/>
  <c r="BO157" i="5" s="1"/>
  <c r="AU157" i="5"/>
  <c r="BB157" i="5" s="1"/>
  <c r="CB67" i="5"/>
  <c r="CI113" i="5"/>
  <c r="CH113" i="5"/>
  <c r="CC113" i="5"/>
  <c r="BZ113" i="5"/>
  <c r="BY113" i="5"/>
  <c r="BV113" i="5"/>
  <c r="BU113" i="5"/>
  <c r="CK113" i="5"/>
  <c r="CG113" i="5"/>
  <c r="CJ113" i="5"/>
  <c r="CE113" i="5"/>
  <c r="CA113" i="5"/>
  <c r="CF113" i="5"/>
  <c r="CD113" i="5"/>
  <c r="BQ113" i="5"/>
  <c r="BL113" i="5"/>
  <c r="BW113" i="5"/>
  <c r="BR113" i="5"/>
  <c r="BT113" i="5"/>
  <c r="BM113" i="5"/>
  <c r="BX113" i="5"/>
  <c r="BS113" i="5"/>
  <c r="BI113" i="5"/>
  <c r="BH113" i="5"/>
  <c r="BK113" i="5"/>
  <c r="BJ113" i="5"/>
  <c r="BG113" i="5"/>
  <c r="BD113" i="5"/>
  <c r="BE113" i="5"/>
  <c r="AY113" i="5"/>
  <c r="BA113" i="5"/>
  <c r="BP113" i="5" s="1"/>
  <c r="AZ113" i="5"/>
  <c r="BF113" i="5"/>
  <c r="AV113" i="5"/>
  <c r="BO113" i="5" s="1"/>
  <c r="AU113" i="5"/>
  <c r="BN113" i="5" s="1"/>
  <c r="BN83" i="5"/>
  <c r="BB83" i="5"/>
  <c r="BO9" i="5"/>
  <c r="BP138" i="5"/>
  <c r="BD138" i="5"/>
  <c r="BL138" i="5" s="1"/>
  <c r="BX169" i="5"/>
  <c r="CB109" i="5"/>
  <c r="BX109" i="5"/>
  <c r="BX19" i="5"/>
  <c r="BD163" i="5"/>
  <c r="CB163" i="5" s="1"/>
  <c r="BO35" i="5"/>
  <c r="BC35" i="5"/>
  <c r="CI49" i="5"/>
  <c r="CF49" i="5"/>
  <c r="CC49" i="5"/>
  <c r="CK49" i="5"/>
  <c r="BY49" i="5"/>
  <c r="BV49" i="5"/>
  <c r="BU49" i="5"/>
  <c r="CD49" i="5"/>
  <c r="CA49" i="5"/>
  <c r="BT49" i="5"/>
  <c r="BQ49" i="5"/>
  <c r="CE49" i="5"/>
  <c r="BW49" i="5"/>
  <c r="BR49" i="5"/>
  <c r="BS49" i="5"/>
  <c r="BM49" i="5"/>
  <c r="BJ49" i="5"/>
  <c r="BG49" i="5"/>
  <c r="BK49" i="5"/>
  <c r="BD49" i="5"/>
  <c r="BI49" i="5"/>
  <c r="BF49" i="5"/>
  <c r="BH49" i="5"/>
  <c r="BA49" i="5"/>
  <c r="BP49" i="5" s="1"/>
  <c r="AY49" i="5"/>
  <c r="AZ49" i="5"/>
  <c r="BE49" i="5"/>
  <c r="AV49" i="5"/>
  <c r="BC49" i="5" s="1"/>
  <c r="AU49" i="5"/>
  <c r="BB49" i="5" s="1"/>
  <c r="CI161" i="5"/>
  <c r="CD161" i="5"/>
  <c r="CE161" i="5"/>
  <c r="CJ161" i="5"/>
  <c r="BY161" i="5"/>
  <c r="CA161" i="5"/>
  <c r="BX161" i="5"/>
  <c r="BW161" i="5"/>
  <c r="BV161" i="5"/>
  <c r="BL161" i="5"/>
  <c r="BZ161" i="5"/>
  <c r="CH161" i="5"/>
  <c r="CK161" i="5"/>
  <c r="CG161" i="5"/>
  <c r="CF161" i="5"/>
  <c r="BR161" i="5"/>
  <c r="BT161" i="5"/>
  <c r="BM161" i="5"/>
  <c r="BU161" i="5"/>
  <c r="CC161" i="5"/>
  <c r="BS161" i="5"/>
  <c r="BQ161" i="5"/>
  <c r="BJ161" i="5"/>
  <c r="BG161" i="5"/>
  <c r="BI161" i="5"/>
  <c r="BK161" i="5"/>
  <c r="BH161" i="5"/>
  <c r="BE161" i="5"/>
  <c r="BA161" i="5"/>
  <c r="AZ161" i="5"/>
  <c r="BF161" i="5"/>
  <c r="BD161" i="5"/>
  <c r="AV161" i="5"/>
  <c r="BO161" i="5" s="1"/>
  <c r="AU161" i="5"/>
  <c r="AY161" i="5"/>
  <c r="CI146" i="5"/>
  <c r="BW146" i="5"/>
  <c r="CK146" i="5"/>
  <c r="CD146" i="5"/>
  <c r="BU146" i="5"/>
  <c r="BK146" i="5"/>
  <c r="CE146" i="5"/>
  <c r="BY146" i="5"/>
  <c r="CC146" i="5"/>
  <c r="CF146" i="5"/>
  <c r="BV146" i="5"/>
  <c r="BR146" i="5"/>
  <c r="BS146" i="5"/>
  <c r="BM146" i="5"/>
  <c r="BQ146" i="5"/>
  <c r="CA146" i="5"/>
  <c r="BT146" i="5"/>
  <c r="BJ146" i="5"/>
  <c r="BG146" i="5"/>
  <c r="BI146" i="5"/>
  <c r="BA146" i="5"/>
  <c r="BP146" i="5" s="1"/>
  <c r="BH146" i="5"/>
  <c r="BE146" i="5"/>
  <c r="BF146" i="5"/>
  <c r="AY146" i="5"/>
  <c r="AZ146" i="5"/>
  <c r="BD146" i="5"/>
  <c r="AV146" i="5"/>
  <c r="BC146" i="5" s="1"/>
  <c r="AU146" i="5"/>
  <c r="BN146" i="5" s="1"/>
  <c r="CI27" i="5"/>
  <c r="CF27" i="5"/>
  <c r="CH27" i="5"/>
  <c r="CG27" i="5"/>
  <c r="CA27" i="5"/>
  <c r="CK27" i="5"/>
  <c r="CJ27" i="5"/>
  <c r="BZ27" i="5"/>
  <c r="BW27" i="5"/>
  <c r="BT27" i="5"/>
  <c r="BS27" i="5"/>
  <c r="BR27" i="5"/>
  <c r="BQ27" i="5"/>
  <c r="BM27" i="5"/>
  <c r="BY27" i="5"/>
  <c r="BV27" i="5"/>
  <c r="BU27" i="5"/>
  <c r="CD27" i="5"/>
  <c r="CC27" i="5"/>
  <c r="CE27" i="5"/>
  <c r="BJ27" i="5"/>
  <c r="BI27" i="5"/>
  <c r="BH27" i="5"/>
  <c r="BG27" i="5"/>
  <c r="BF27" i="5"/>
  <c r="BE27" i="5"/>
  <c r="BD27" i="5"/>
  <c r="BA27" i="5"/>
  <c r="BP27" i="5" s="1"/>
  <c r="AZ27" i="5"/>
  <c r="BK27" i="5"/>
  <c r="BL27" i="5"/>
  <c r="BX27" i="5"/>
  <c r="AY27" i="5"/>
  <c r="AV27" i="5"/>
  <c r="BO27" i="5" s="1"/>
  <c r="AU27" i="5"/>
  <c r="BN27" i="5" s="1"/>
  <c r="CI123" i="5"/>
  <c r="CE123" i="5"/>
  <c r="CK123" i="5"/>
  <c r="CC123" i="5"/>
  <c r="CA123" i="5"/>
  <c r="BT123" i="5"/>
  <c r="BS123" i="5"/>
  <c r="BR123" i="5"/>
  <c r="BQ123" i="5"/>
  <c r="BM123" i="5"/>
  <c r="BV123" i="5"/>
  <c r="CF123" i="5"/>
  <c r="BY123" i="5"/>
  <c r="CD123" i="5"/>
  <c r="BW123" i="5"/>
  <c r="BJ123" i="5"/>
  <c r="BI123" i="5"/>
  <c r="BH123" i="5"/>
  <c r="BG123" i="5"/>
  <c r="BF123" i="5"/>
  <c r="BE123" i="5"/>
  <c r="BD123" i="5"/>
  <c r="BA123" i="5"/>
  <c r="BP123" i="5" s="1"/>
  <c r="BU123" i="5"/>
  <c r="BK123" i="5"/>
  <c r="AY123" i="5"/>
  <c r="AZ123" i="5"/>
  <c r="AV123" i="5"/>
  <c r="BC123" i="5" s="1"/>
  <c r="AU123" i="5"/>
  <c r="BB123" i="5" s="1"/>
  <c r="CJ38" i="5"/>
  <c r="CD38" i="5"/>
  <c r="CK38" i="5"/>
  <c r="CH38" i="5"/>
  <c r="CF38" i="5"/>
  <c r="CE38" i="5"/>
  <c r="CC38" i="5"/>
  <c r="BY38" i="5"/>
  <c r="CG38" i="5"/>
  <c r="BV38" i="5"/>
  <c r="BU38" i="5"/>
  <c r="CI38" i="5"/>
  <c r="BX38" i="5"/>
  <c r="BZ38" i="5"/>
  <c r="BT38" i="5"/>
  <c r="BS38" i="5"/>
  <c r="BR38" i="5"/>
  <c r="BQ38" i="5"/>
  <c r="BM38" i="5"/>
  <c r="CA38" i="5"/>
  <c r="BL38" i="5"/>
  <c r="BK38" i="5"/>
  <c r="BW38" i="5"/>
  <c r="BH38" i="5"/>
  <c r="BE38" i="5"/>
  <c r="BG38" i="5"/>
  <c r="BJ38" i="5"/>
  <c r="BI38" i="5"/>
  <c r="BF38" i="5"/>
  <c r="AY38" i="5"/>
  <c r="BA38" i="5"/>
  <c r="BP38" i="5" s="1"/>
  <c r="BD38" i="5"/>
  <c r="AZ38" i="5"/>
  <c r="AV38" i="5"/>
  <c r="BC38" i="5" s="1"/>
  <c r="AU38" i="5"/>
  <c r="BN38" i="5" s="1"/>
  <c r="CI118" i="5"/>
  <c r="BY118" i="5"/>
  <c r="CA118" i="5"/>
  <c r="CF118" i="5"/>
  <c r="CE118" i="5"/>
  <c r="BV118" i="5"/>
  <c r="BU118" i="5"/>
  <c r="CC118" i="5"/>
  <c r="BW118" i="5"/>
  <c r="BT118" i="5"/>
  <c r="BS118" i="5"/>
  <c r="BR118" i="5"/>
  <c r="BQ118" i="5"/>
  <c r="BM118" i="5"/>
  <c r="CD118" i="5"/>
  <c r="CK118" i="5"/>
  <c r="BK118" i="5"/>
  <c r="BJ118" i="5"/>
  <c r="BG118" i="5"/>
  <c r="BI118" i="5"/>
  <c r="BH118" i="5"/>
  <c r="BE118" i="5"/>
  <c r="BF118" i="5"/>
  <c r="BA118" i="5"/>
  <c r="BP118" i="5" s="1"/>
  <c r="AZ118" i="5"/>
  <c r="BD118" i="5"/>
  <c r="AY118" i="5"/>
  <c r="AV118" i="5"/>
  <c r="BC118" i="5" s="1"/>
  <c r="AU118" i="5"/>
  <c r="BB118" i="5" s="1"/>
  <c r="BB62" i="5"/>
  <c r="BN62" i="5"/>
  <c r="BD78" i="5"/>
  <c r="BB105" i="5"/>
  <c r="BN105" i="5"/>
  <c r="BZ82" i="5"/>
  <c r="BO163" i="5"/>
  <c r="BC163" i="5"/>
  <c r="BD73" i="5"/>
  <c r="BL73" i="5" s="1"/>
  <c r="G11" i="12"/>
  <c r="E5" i="9"/>
  <c r="H5" i="9" s="1"/>
  <c r="CK58" i="5"/>
  <c r="CI58" i="5"/>
  <c r="CC58" i="5"/>
  <c r="CF58" i="5"/>
  <c r="CD58" i="5"/>
  <c r="BW58" i="5"/>
  <c r="CE58" i="5"/>
  <c r="CA58" i="5"/>
  <c r="BK58" i="5"/>
  <c r="BS58" i="5"/>
  <c r="BQ58" i="5"/>
  <c r="BT58" i="5"/>
  <c r="BR58" i="5"/>
  <c r="BY58" i="5"/>
  <c r="BV58" i="5"/>
  <c r="BM58" i="5"/>
  <c r="BU58" i="5"/>
  <c r="BI58" i="5"/>
  <c r="BF58" i="5"/>
  <c r="BH58" i="5"/>
  <c r="BJ58" i="5"/>
  <c r="BG58" i="5"/>
  <c r="AY58" i="5"/>
  <c r="BE58" i="5"/>
  <c r="BD58" i="5"/>
  <c r="AZ58" i="5"/>
  <c r="BA58" i="5"/>
  <c r="BP58" i="5" s="1"/>
  <c r="AV58" i="5"/>
  <c r="BO58" i="5" s="1"/>
  <c r="AU58" i="5"/>
  <c r="BB58" i="5" s="1"/>
  <c r="CF44" i="5"/>
  <c r="CE44" i="5"/>
  <c r="CI44" i="5"/>
  <c r="CD44" i="5"/>
  <c r="BW44" i="5"/>
  <c r="CK44" i="5"/>
  <c r="CC44" i="5"/>
  <c r="BV44" i="5"/>
  <c r="BY44" i="5"/>
  <c r="BU44" i="5"/>
  <c r="BJ44" i="5"/>
  <c r="BT44" i="5"/>
  <c r="BS44" i="5"/>
  <c r="BR44" i="5"/>
  <c r="BK44" i="5"/>
  <c r="BM44" i="5"/>
  <c r="CA44" i="5"/>
  <c r="BQ44" i="5"/>
  <c r="BI44" i="5"/>
  <c r="BF44" i="5"/>
  <c r="AZ44" i="5"/>
  <c r="AY44" i="5"/>
  <c r="BH44" i="5"/>
  <c r="BG44" i="5"/>
  <c r="BE44" i="5"/>
  <c r="BD44" i="5"/>
  <c r="BA44" i="5"/>
  <c r="BP44" i="5" s="1"/>
  <c r="AV44" i="5"/>
  <c r="BC44" i="5" s="1"/>
  <c r="AU44" i="5"/>
  <c r="BN44" i="5" s="1"/>
  <c r="CF108" i="5"/>
  <c r="CE108" i="5"/>
  <c r="CK108" i="5"/>
  <c r="CA108" i="5"/>
  <c r="CC108" i="5"/>
  <c r="BW108" i="5"/>
  <c r="CD108" i="5"/>
  <c r="BV108" i="5"/>
  <c r="CI108" i="5"/>
  <c r="BT108" i="5"/>
  <c r="BY108" i="5"/>
  <c r="BS108" i="5"/>
  <c r="BQ108" i="5"/>
  <c r="BU108" i="5"/>
  <c r="BK108" i="5"/>
  <c r="BR108" i="5"/>
  <c r="BM108" i="5"/>
  <c r="BH108" i="5"/>
  <c r="BJ108" i="5"/>
  <c r="BG108" i="5"/>
  <c r="AZ108" i="5"/>
  <c r="AY108" i="5"/>
  <c r="BI108" i="5"/>
  <c r="BF108" i="5"/>
  <c r="BA108" i="5"/>
  <c r="BP108" i="5" s="1"/>
  <c r="BD108" i="5"/>
  <c r="BE108" i="5"/>
  <c r="AV108" i="5"/>
  <c r="BC108" i="5" s="1"/>
  <c r="AU108" i="5"/>
  <c r="BB108" i="5" s="1"/>
  <c r="CF172" i="5"/>
  <c r="CK172" i="5"/>
  <c r="CE172" i="5"/>
  <c r="BZ172" i="5"/>
  <c r="CA172" i="5"/>
  <c r="BX172" i="5"/>
  <c r="CD172" i="5"/>
  <c r="CC172" i="5"/>
  <c r="CG172" i="5"/>
  <c r="BV172" i="5"/>
  <c r="CI172" i="5"/>
  <c r="BY172" i="5"/>
  <c r="CH172" i="5"/>
  <c r="BL172" i="5"/>
  <c r="BU172" i="5"/>
  <c r="CJ172" i="5"/>
  <c r="BT172" i="5"/>
  <c r="BR172" i="5"/>
  <c r="BQ172" i="5"/>
  <c r="BS172" i="5"/>
  <c r="BW172" i="5"/>
  <c r="BK172" i="5"/>
  <c r="BI172" i="5"/>
  <c r="BF172" i="5"/>
  <c r="AZ172" i="5"/>
  <c r="AY172" i="5"/>
  <c r="BH172" i="5"/>
  <c r="BJ172" i="5"/>
  <c r="BM172" i="5"/>
  <c r="BG172" i="5"/>
  <c r="BE172" i="5"/>
  <c r="BD172" i="5"/>
  <c r="BA172" i="5"/>
  <c r="BP172" i="5" s="1"/>
  <c r="AV172" i="5"/>
  <c r="BO172" i="5" s="1"/>
  <c r="AU172" i="5"/>
  <c r="BN172" i="5" s="1"/>
  <c r="CK29" i="5"/>
  <c r="CJ29" i="5"/>
  <c r="CG29" i="5"/>
  <c r="CI29" i="5"/>
  <c r="CD29" i="5"/>
  <c r="BW29" i="5"/>
  <c r="CH29" i="5"/>
  <c r="CF29" i="5"/>
  <c r="CA29" i="5"/>
  <c r="CE29" i="5"/>
  <c r="CC29" i="5"/>
  <c r="BZ29" i="5"/>
  <c r="BV29" i="5"/>
  <c r="BY29" i="5"/>
  <c r="BX29" i="5"/>
  <c r="BT29" i="5"/>
  <c r="BL29" i="5"/>
  <c r="BR29" i="5"/>
  <c r="BQ29" i="5"/>
  <c r="BU29" i="5"/>
  <c r="BS29" i="5"/>
  <c r="BM29" i="5"/>
  <c r="BK29" i="5"/>
  <c r="BI29" i="5"/>
  <c r="BJ29" i="5"/>
  <c r="BF29" i="5"/>
  <c r="BA29" i="5"/>
  <c r="BP29" i="5" s="1"/>
  <c r="BH29" i="5"/>
  <c r="BG29" i="5"/>
  <c r="AZ29" i="5"/>
  <c r="BE29" i="5"/>
  <c r="BD29" i="5"/>
  <c r="AY29" i="5"/>
  <c r="AV29" i="5"/>
  <c r="BO29" i="5" s="1"/>
  <c r="AU29" i="5"/>
  <c r="BB29" i="5" s="1"/>
  <c r="CK125" i="5"/>
  <c r="CG125" i="5"/>
  <c r="CD125" i="5"/>
  <c r="BW125" i="5"/>
  <c r="CF125" i="5"/>
  <c r="CI125" i="5"/>
  <c r="CC125" i="5"/>
  <c r="BY125" i="5"/>
  <c r="BV125" i="5"/>
  <c r="CE125" i="5"/>
  <c r="BR125" i="5"/>
  <c r="CA125" i="5"/>
  <c r="BM125" i="5"/>
  <c r="BQ125" i="5"/>
  <c r="BS125" i="5"/>
  <c r="BU125" i="5"/>
  <c r="BT125" i="5"/>
  <c r="BK125" i="5"/>
  <c r="BH125" i="5"/>
  <c r="BE125" i="5"/>
  <c r="BA125" i="5"/>
  <c r="BP125" i="5" s="1"/>
  <c r="BJ125" i="5"/>
  <c r="BG125" i="5"/>
  <c r="BI125" i="5"/>
  <c r="BF125" i="5"/>
  <c r="AY125" i="5"/>
  <c r="BD125" i="5"/>
  <c r="AZ125" i="5"/>
  <c r="AV125" i="5"/>
  <c r="BO125" i="5" s="1"/>
  <c r="AU125" i="5"/>
  <c r="BN125" i="5" s="1"/>
  <c r="BP21" i="5"/>
  <c r="BD21" i="5"/>
  <c r="BL21" i="5" s="1"/>
  <c r="CK71" i="5"/>
  <c r="CE71" i="5"/>
  <c r="CD71" i="5"/>
  <c r="BU71" i="5"/>
  <c r="BK71" i="5"/>
  <c r="CF71" i="5"/>
  <c r="CI71" i="5"/>
  <c r="BY71" i="5"/>
  <c r="BW71" i="5"/>
  <c r="BV71" i="5"/>
  <c r="CC71" i="5"/>
  <c r="BQ71" i="5"/>
  <c r="BS71" i="5"/>
  <c r="CA71" i="5"/>
  <c r="BT71" i="5"/>
  <c r="BJ71" i="5"/>
  <c r="BI71" i="5"/>
  <c r="BH71" i="5"/>
  <c r="BG71" i="5"/>
  <c r="BF71" i="5"/>
  <c r="BE71" i="5"/>
  <c r="BD71" i="5"/>
  <c r="BA71" i="5"/>
  <c r="BP71" i="5" s="1"/>
  <c r="BR71" i="5"/>
  <c r="BM71" i="5"/>
  <c r="AY71" i="5"/>
  <c r="AZ71" i="5"/>
  <c r="AV71" i="5"/>
  <c r="BO71" i="5" s="1"/>
  <c r="AU71" i="5"/>
  <c r="BN71" i="5" s="1"/>
  <c r="CK143" i="5"/>
  <c r="CF143" i="5"/>
  <c r="CI143" i="5"/>
  <c r="CC143" i="5"/>
  <c r="BK143" i="5"/>
  <c r="CD143" i="5"/>
  <c r="BW143" i="5"/>
  <c r="BV143" i="5"/>
  <c r="CA143" i="5"/>
  <c r="CE143" i="5"/>
  <c r="BY143" i="5"/>
  <c r="BT143" i="5"/>
  <c r="BJ143" i="5"/>
  <c r="BI143" i="5"/>
  <c r="BH143" i="5"/>
  <c r="BG143" i="5"/>
  <c r="BF143" i="5"/>
  <c r="BE143" i="5"/>
  <c r="BD143" i="5"/>
  <c r="BA143" i="5"/>
  <c r="BP143" i="5" s="1"/>
  <c r="BS143" i="5"/>
  <c r="BU143" i="5"/>
  <c r="BR143" i="5"/>
  <c r="BQ143" i="5"/>
  <c r="BM143" i="5"/>
  <c r="AY143" i="5"/>
  <c r="AZ143" i="5"/>
  <c r="AV143" i="5"/>
  <c r="BO143" i="5" s="1"/>
  <c r="AU143" i="5"/>
  <c r="BB143" i="5" s="1"/>
  <c r="CF64" i="5"/>
  <c r="CE64" i="5"/>
  <c r="CD64" i="5"/>
  <c r="CC64" i="5"/>
  <c r="CA64" i="5"/>
  <c r="CK64" i="5"/>
  <c r="CI64" i="5"/>
  <c r="BY64" i="5"/>
  <c r="BU64" i="5"/>
  <c r="BT64" i="5"/>
  <c r="BR64" i="5"/>
  <c r="BW64" i="5"/>
  <c r="BS64" i="5"/>
  <c r="BQ64" i="5"/>
  <c r="BV64" i="5"/>
  <c r="BM64" i="5"/>
  <c r="BK64" i="5"/>
  <c r="BJ64" i="5"/>
  <c r="BG64" i="5"/>
  <c r="BD64" i="5"/>
  <c r="BI64" i="5"/>
  <c r="BF64" i="5"/>
  <c r="BH64" i="5"/>
  <c r="AZ64" i="5"/>
  <c r="AY64" i="5"/>
  <c r="BA64" i="5"/>
  <c r="BP64" i="5" s="1"/>
  <c r="BE64" i="5"/>
  <c r="AV64" i="5"/>
  <c r="BO64" i="5" s="1"/>
  <c r="AU64" i="5"/>
  <c r="BB64" i="5" s="1"/>
  <c r="CF128" i="5"/>
  <c r="CE128" i="5"/>
  <c r="CD128" i="5"/>
  <c r="CC128" i="5"/>
  <c r="CH128" i="5"/>
  <c r="CG128" i="5"/>
  <c r="BX128" i="5"/>
  <c r="BZ128" i="5"/>
  <c r="CK128" i="5"/>
  <c r="BU128" i="5"/>
  <c r="BL128" i="5"/>
  <c r="CA128" i="5"/>
  <c r="BT128" i="5"/>
  <c r="BR128" i="5"/>
  <c r="BS128" i="5"/>
  <c r="BQ128" i="5"/>
  <c r="CI128" i="5"/>
  <c r="CJ128" i="5"/>
  <c r="BY128" i="5"/>
  <c r="BM128" i="5"/>
  <c r="BV128" i="5"/>
  <c r="BW128" i="5"/>
  <c r="BK128" i="5"/>
  <c r="BI128" i="5"/>
  <c r="BH128" i="5"/>
  <c r="BJ128" i="5"/>
  <c r="BG128" i="5"/>
  <c r="BD128" i="5"/>
  <c r="AZ128" i="5"/>
  <c r="AY128" i="5"/>
  <c r="BF128" i="5"/>
  <c r="BE128" i="5"/>
  <c r="BA128" i="5"/>
  <c r="BP128" i="5" s="1"/>
  <c r="AV128" i="5"/>
  <c r="BC128" i="5" s="1"/>
  <c r="AU128" i="5"/>
  <c r="BN128" i="5" s="1"/>
  <c r="BC37" i="5"/>
  <c r="BX82" i="5"/>
  <c r="CI65" i="5"/>
  <c r="CK65" i="5"/>
  <c r="CF65" i="5"/>
  <c r="BY65" i="5"/>
  <c r="BW65" i="5"/>
  <c r="BV65" i="5"/>
  <c r="BU65" i="5"/>
  <c r="CD65" i="5"/>
  <c r="BT65" i="5"/>
  <c r="CA65" i="5"/>
  <c r="BR65" i="5"/>
  <c r="CE65" i="5"/>
  <c r="BK65" i="5"/>
  <c r="CC65" i="5"/>
  <c r="BM65" i="5"/>
  <c r="BQ65" i="5"/>
  <c r="BS65" i="5"/>
  <c r="BH65" i="5"/>
  <c r="BJ65" i="5"/>
  <c r="BG65" i="5"/>
  <c r="BI65" i="5"/>
  <c r="BF65" i="5"/>
  <c r="AZ65" i="5"/>
  <c r="BA65" i="5"/>
  <c r="BP65" i="5" s="1"/>
  <c r="BE65" i="5"/>
  <c r="BD65" i="5"/>
  <c r="AY65" i="5"/>
  <c r="AV65" i="5"/>
  <c r="BO65" i="5" s="1"/>
  <c r="AU65" i="5"/>
  <c r="BN65" i="5" s="1"/>
  <c r="CI177" i="5"/>
  <c r="CJ177" i="5"/>
  <c r="BX177" i="5"/>
  <c r="CE177" i="5"/>
  <c r="CD177" i="5"/>
  <c r="BY177" i="5"/>
  <c r="BW177" i="5"/>
  <c r="BV177" i="5"/>
  <c r="BL177" i="5"/>
  <c r="CH177" i="5"/>
  <c r="CA177" i="5"/>
  <c r="CF177" i="5"/>
  <c r="CC177" i="5"/>
  <c r="BZ177" i="5"/>
  <c r="BQ177" i="5"/>
  <c r="CK177" i="5"/>
  <c r="CG177" i="5"/>
  <c r="BU177" i="5"/>
  <c r="BS177" i="5"/>
  <c r="BR177" i="5"/>
  <c r="BT177" i="5"/>
  <c r="BM177" i="5"/>
  <c r="BK177" i="5"/>
  <c r="BJ177" i="5"/>
  <c r="BG177" i="5"/>
  <c r="BD177" i="5"/>
  <c r="BI177" i="5"/>
  <c r="BH177" i="5"/>
  <c r="BF177" i="5"/>
  <c r="BA177" i="5"/>
  <c r="BP177" i="5" s="1"/>
  <c r="BE177" i="5"/>
  <c r="AZ177" i="5"/>
  <c r="AV177" i="5"/>
  <c r="BC177" i="5" s="1"/>
  <c r="AU177" i="5"/>
  <c r="BN177" i="5" s="1"/>
  <c r="AY177" i="5"/>
  <c r="AS180" i="5"/>
  <c r="AS181" i="5" s="1"/>
  <c r="CI2" i="5"/>
  <c r="CE2" i="5"/>
  <c r="CC2" i="5"/>
  <c r="CK2" i="5"/>
  <c r="CF2" i="5"/>
  <c r="BY2" i="5"/>
  <c r="BW2" i="5"/>
  <c r="CA2" i="5"/>
  <c r="BK2" i="5"/>
  <c r="BT2" i="5"/>
  <c r="CD2" i="5"/>
  <c r="BV2" i="5"/>
  <c r="BR2" i="5"/>
  <c r="BQ2" i="5"/>
  <c r="BS2" i="5"/>
  <c r="BM2" i="5"/>
  <c r="BU2" i="5"/>
  <c r="BH2" i="5"/>
  <c r="BJ2" i="5"/>
  <c r="BG2" i="5"/>
  <c r="BA2" i="5"/>
  <c r="BI2" i="5"/>
  <c r="BF2" i="5"/>
  <c r="BE2" i="5"/>
  <c r="BD2" i="5"/>
  <c r="AZ2" i="5"/>
  <c r="AV2" i="5"/>
  <c r="AU2" i="5"/>
  <c r="AY2" i="5"/>
  <c r="CK43" i="5"/>
  <c r="CJ43" i="5"/>
  <c r="CA43" i="5"/>
  <c r="CE43" i="5"/>
  <c r="CC43" i="5"/>
  <c r="CG43" i="5"/>
  <c r="BT43" i="5"/>
  <c r="BS43" i="5"/>
  <c r="BR43" i="5"/>
  <c r="BQ43" i="5"/>
  <c r="BM43" i="5"/>
  <c r="CH43" i="5"/>
  <c r="BU43" i="5"/>
  <c r="CD43" i="5"/>
  <c r="BY43" i="5"/>
  <c r="BX43" i="5"/>
  <c r="CF43" i="5"/>
  <c r="BW43" i="5"/>
  <c r="CI43" i="5"/>
  <c r="BZ43" i="5"/>
  <c r="BI43" i="5"/>
  <c r="BH43" i="5"/>
  <c r="BG43" i="5"/>
  <c r="BF43" i="5"/>
  <c r="BE43" i="5"/>
  <c r="BD43" i="5"/>
  <c r="BA43" i="5"/>
  <c r="BP43" i="5" s="1"/>
  <c r="BV43" i="5"/>
  <c r="BJ43" i="5"/>
  <c r="BL43" i="5"/>
  <c r="BK43" i="5"/>
  <c r="AZ43" i="5"/>
  <c r="AY43" i="5"/>
  <c r="AV43" i="5"/>
  <c r="BC43" i="5" s="1"/>
  <c r="AU43" i="5"/>
  <c r="BB43" i="5" s="1"/>
  <c r="CK131" i="5"/>
  <c r="CI131" i="5"/>
  <c r="CC131" i="5"/>
  <c r="CD131" i="5"/>
  <c r="CA131" i="5"/>
  <c r="BY131" i="5"/>
  <c r="CF131" i="5"/>
  <c r="BT131" i="5"/>
  <c r="BS131" i="5"/>
  <c r="BR131" i="5"/>
  <c r="BQ131" i="5"/>
  <c r="BN131" i="5"/>
  <c r="BM131" i="5"/>
  <c r="CE131" i="5"/>
  <c r="BW131" i="5"/>
  <c r="BK131" i="5"/>
  <c r="BJ131" i="5"/>
  <c r="BI131" i="5"/>
  <c r="BH131" i="5"/>
  <c r="BG131" i="5"/>
  <c r="BF131" i="5"/>
  <c r="BE131" i="5"/>
  <c r="BD131" i="5"/>
  <c r="BA131" i="5"/>
  <c r="BP131" i="5" s="1"/>
  <c r="BV131" i="5"/>
  <c r="BU131" i="5"/>
  <c r="AZ131" i="5"/>
  <c r="AY131" i="5"/>
  <c r="AV131" i="5"/>
  <c r="BC131" i="5" s="1"/>
  <c r="AU131" i="5"/>
  <c r="BB131" i="5" s="1"/>
  <c r="BP41" i="5"/>
  <c r="BD41" i="5"/>
  <c r="CF52" i="5"/>
  <c r="CK52" i="5"/>
  <c r="CA52" i="5"/>
  <c r="CE52" i="5"/>
  <c r="BY52" i="5"/>
  <c r="CC52" i="5"/>
  <c r="CD52" i="5"/>
  <c r="BK52" i="5"/>
  <c r="BJ52" i="5"/>
  <c r="CI52" i="5"/>
  <c r="BU52" i="5"/>
  <c r="BS52" i="5"/>
  <c r="BT52" i="5"/>
  <c r="BM52" i="5"/>
  <c r="BW52" i="5"/>
  <c r="BQ52" i="5"/>
  <c r="BR52" i="5"/>
  <c r="BI52" i="5"/>
  <c r="BG52" i="5"/>
  <c r="BE52" i="5"/>
  <c r="BV52" i="5"/>
  <c r="BH52" i="5"/>
  <c r="BF52" i="5"/>
  <c r="BD52" i="5"/>
  <c r="AZ52" i="5"/>
  <c r="AY52" i="5"/>
  <c r="BA52" i="5"/>
  <c r="BP52" i="5" s="1"/>
  <c r="AV52" i="5"/>
  <c r="BO52" i="5" s="1"/>
  <c r="AU52" i="5"/>
  <c r="BN52" i="5" s="1"/>
  <c r="CK116" i="5"/>
  <c r="CF116" i="5"/>
  <c r="CI116" i="5"/>
  <c r="CE116" i="5"/>
  <c r="CC116" i="5"/>
  <c r="BY116" i="5"/>
  <c r="CA116" i="5"/>
  <c r="CD116" i="5"/>
  <c r="BW116" i="5"/>
  <c r="BU116" i="5"/>
  <c r="BS116" i="5"/>
  <c r="BK116" i="5"/>
  <c r="BQ116" i="5"/>
  <c r="BT116" i="5"/>
  <c r="BM116" i="5"/>
  <c r="BI116" i="5"/>
  <c r="BG116" i="5"/>
  <c r="BE116" i="5"/>
  <c r="BV116" i="5"/>
  <c r="BR116" i="5"/>
  <c r="BJ116" i="5"/>
  <c r="BH116" i="5"/>
  <c r="BF116" i="5"/>
  <c r="BD116" i="5"/>
  <c r="AZ116" i="5"/>
  <c r="AY116" i="5"/>
  <c r="BA116" i="5"/>
  <c r="BP116" i="5" s="1"/>
  <c r="AV116" i="5"/>
  <c r="BC116" i="5" s="1"/>
  <c r="AU116" i="5"/>
  <c r="BB116" i="5" s="1"/>
  <c r="BP153" i="5"/>
  <c r="CB51" i="5"/>
  <c r="BZ109" i="5"/>
  <c r="BZ78" i="5"/>
  <c r="BD119" i="5"/>
  <c r="CB119" i="5" s="1"/>
  <c r="CK45" i="5"/>
  <c r="CI45" i="5"/>
  <c r="CF45" i="5"/>
  <c r="CD45" i="5"/>
  <c r="BW45" i="5"/>
  <c r="CA45" i="5"/>
  <c r="BY45" i="5"/>
  <c r="CC45" i="5"/>
  <c r="CE45" i="5"/>
  <c r="BV45" i="5"/>
  <c r="BS45" i="5"/>
  <c r="BU45" i="5"/>
  <c r="BR45" i="5"/>
  <c r="BK45" i="5"/>
  <c r="BJ45" i="5"/>
  <c r="BQ45" i="5"/>
  <c r="BM45" i="5"/>
  <c r="BT45" i="5"/>
  <c r="BG45" i="5"/>
  <c r="BI45" i="5"/>
  <c r="BF45" i="5"/>
  <c r="BH45" i="5"/>
  <c r="BE45" i="5"/>
  <c r="BA45" i="5"/>
  <c r="BP45" i="5" s="1"/>
  <c r="AZ45" i="5"/>
  <c r="AY45" i="5"/>
  <c r="BD45" i="5"/>
  <c r="AV45" i="5"/>
  <c r="BO45" i="5" s="1"/>
  <c r="AU45" i="5"/>
  <c r="BN45" i="5" s="1"/>
  <c r="CK141" i="5"/>
  <c r="CI141" i="5"/>
  <c r="CE141" i="5"/>
  <c r="CD141" i="5"/>
  <c r="BW141" i="5"/>
  <c r="BY141" i="5"/>
  <c r="CF141" i="5"/>
  <c r="CC141" i="5"/>
  <c r="BU141" i="5"/>
  <c r="BV141" i="5"/>
  <c r="CA141" i="5"/>
  <c r="BQ141" i="5"/>
  <c r="BR141" i="5"/>
  <c r="BT141" i="5"/>
  <c r="BM141" i="5"/>
  <c r="BS141" i="5"/>
  <c r="BI141" i="5"/>
  <c r="BH141" i="5"/>
  <c r="BJ141" i="5"/>
  <c r="BK141" i="5"/>
  <c r="BG141" i="5"/>
  <c r="BD141" i="5"/>
  <c r="BA141" i="5"/>
  <c r="BP141" i="5" s="1"/>
  <c r="BE141" i="5"/>
  <c r="AZ141" i="5"/>
  <c r="AY141" i="5"/>
  <c r="BF141" i="5"/>
  <c r="AV141" i="5"/>
  <c r="BO141" i="5" s="1"/>
  <c r="AU141" i="5"/>
  <c r="BB141" i="5" s="1"/>
  <c r="CF46" i="5"/>
  <c r="CK46" i="5"/>
  <c r="CI46" i="5"/>
  <c r="BY46" i="5"/>
  <c r="CC46" i="5"/>
  <c r="BV46" i="5"/>
  <c r="BU46" i="5"/>
  <c r="BT46" i="5"/>
  <c r="BS46" i="5"/>
  <c r="BR46" i="5"/>
  <c r="BQ46" i="5"/>
  <c r="BM46" i="5"/>
  <c r="CE46" i="5"/>
  <c r="BW46" i="5"/>
  <c r="CD46" i="5"/>
  <c r="CA46" i="5"/>
  <c r="BK46" i="5"/>
  <c r="BH46" i="5"/>
  <c r="BF46" i="5"/>
  <c r="BD46" i="5"/>
  <c r="BI46" i="5"/>
  <c r="BG46" i="5"/>
  <c r="BE46" i="5"/>
  <c r="BJ46" i="5"/>
  <c r="AZ46" i="5"/>
  <c r="BA46" i="5"/>
  <c r="BP46" i="5" s="1"/>
  <c r="AY46" i="5"/>
  <c r="AV46" i="5"/>
  <c r="BC46" i="5" s="1"/>
  <c r="AU46" i="5"/>
  <c r="BN46" i="5" s="1"/>
  <c r="CK126" i="5"/>
  <c r="CI126" i="5"/>
  <c r="CF126" i="5"/>
  <c r="CE126" i="5"/>
  <c r="BY126" i="5"/>
  <c r="CC126" i="5"/>
  <c r="CA126" i="5"/>
  <c r="CD126" i="5"/>
  <c r="BW126" i="5"/>
  <c r="BV126" i="5"/>
  <c r="BU126" i="5"/>
  <c r="BT126" i="5"/>
  <c r="BS126" i="5"/>
  <c r="BR126" i="5"/>
  <c r="BQ126" i="5"/>
  <c r="BM126" i="5"/>
  <c r="BK126" i="5"/>
  <c r="BI126" i="5"/>
  <c r="BG126" i="5"/>
  <c r="BE126" i="5"/>
  <c r="BJ126" i="5"/>
  <c r="BH126" i="5"/>
  <c r="BF126" i="5"/>
  <c r="BD126" i="5"/>
  <c r="AY126" i="5"/>
  <c r="BA126" i="5"/>
  <c r="BP126" i="5" s="1"/>
  <c r="AZ126" i="5"/>
  <c r="AV126" i="5"/>
  <c r="BO126" i="5" s="1"/>
  <c r="AU126" i="5"/>
  <c r="BN126" i="5" s="1"/>
  <c r="CK7" i="5"/>
  <c r="CC7" i="5"/>
  <c r="CI7" i="5"/>
  <c r="CE7" i="5"/>
  <c r="CD7" i="5"/>
  <c r="BY7" i="5"/>
  <c r="BU7" i="5"/>
  <c r="BK7" i="5"/>
  <c r="BJ7" i="5"/>
  <c r="CF7" i="5"/>
  <c r="CA7" i="5"/>
  <c r="BW7" i="5"/>
  <c r="BT7" i="5"/>
  <c r="BQ7" i="5"/>
  <c r="BI7" i="5"/>
  <c r="BH7" i="5"/>
  <c r="BG7" i="5"/>
  <c r="BF7" i="5"/>
  <c r="BE7" i="5"/>
  <c r="BD7" i="5"/>
  <c r="BA7" i="5"/>
  <c r="BP7" i="5" s="1"/>
  <c r="AZ7" i="5"/>
  <c r="BS7" i="5"/>
  <c r="BR7" i="5"/>
  <c r="BM7" i="5"/>
  <c r="BV7" i="5"/>
  <c r="AY7" i="5"/>
  <c r="AV7" i="5"/>
  <c r="BC7" i="5" s="1"/>
  <c r="AU7" i="5"/>
  <c r="BN7" i="5" s="1"/>
  <c r="CH79" i="5"/>
  <c r="CG79" i="5"/>
  <c r="CF79" i="5"/>
  <c r="CD79" i="5"/>
  <c r="CE79" i="5"/>
  <c r="CI79" i="5"/>
  <c r="CC79" i="5"/>
  <c r="BY79" i="5"/>
  <c r="BK79" i="5"/>
  <c r="CJ79" i="5"/>
  <c r="CA79" i="5"/>
  <c r="BX79" i="5"/>
  <c r="BU79" i="5"/>
  <c r="BT79" i="5"/>
  <c r="CK79" i="5"/>
  <c r="BZ79" i="5"/>
  <c r="BW79" i="5"/>
  <c r="BQ79" i="5"/>
  <c r="BS79" i="5"/>
  <c r="BJ79" i="5"/>
  <c r="BI79" i="5"/>
  <c r="BH79" i="5"/>
  <c r="BG79" i="5"/>
  <c r="BF79" i="5"/>
  <c r="BE79" i="5"/>
  <c r="BD79" i="5"/>
  <c r="BA79" i="5"/>
  <c r="BP79" i="5" s="1"/>
  <c r="BV79" i="5"/>
  <c r="BR79" i="5"/>
  <c r="BM79" i="5"/>
  <c r="BL79" i="5"/>
  <c r="AY79" i="5"/>
  <c r="AZ79" i="5"/>
  <c r="AV79" i="5"/>
  <c r="BC79" i="5" s="1"/>
  <c r="AU79" i="5"/>
  <c r="BN79" i="5" s="1"/>
  <c r="CI151" i="5"/>
  <c r="CD151" i="5"/>
  <c r="CC151" i="5"/>
  <c r="CA151" i="5"/>
  <c r="CK151" i="5"/>
  <c r="BW151" i="5"/>
  <c r="BV151" i="5"/>
  <c r="BK151" i="5"/>
  <c r="CE151" i="5"/>
  <c r="BY151" i="5"/>
  <c r="BT151" i="5"/>
  <c r="BR151" i="5"/>
  <c r="BJ151" i="5"/>
  <c r="BI151" i="5"/>
  <c r="BH151" i="5"/>
  <c r="BG151" i="5"/>
  <c r="BF151" i="5"/>
  <c r="BE151" i="5"/>
  <c r="BD151" i="5"/>
  <c r="BA151" i="5"/>
  <c r="BP151" i="5" s="1"/>
  <c r="BU151" i="5"/>
  <c r="BQ151" i="5"/>
  <c r="BM151" i="5"/>
  <c r="CF151" i="5"/>
  <c r="BS151" i="5"/>
  <c r="AZ151" i="5"/>
  <c r="AY151" i="5"/>
  <c r="AV151" i="5"/>
  <c r="BO151" i="5" s="1"/>
  <c r="AU151" i="5"/>
  <c r="BB151" i="5" s="1"/>
  <c r="CJ8" i="5"/>
  <c r="CG8" i="5"/>
  <c r="CI8" i="5"/>
  <c r="CE8" i="5"/>
  <c r="CD8" i="5"/>
  <c r="CC8" i="5"/>
  <c r="CF8" i="5"/>
  <c r="CH8" i="5"/>
  <c r="BW8" i="5"/>
  <c r="CA8" i="5"/>
  <c r="CK8" i="5"/>
  <c r="BZ8" i="5"/>
  <c r="BV8" i="5"/>
  <c r="BT8" i="5"/>
  <c r="BL8" i="5"/>
  <c r="BX8" i="5"/>
  <c r="BU8" i="5"/>
  <c r="BY8" i="5"/>
  <c r="BR8" i="5"/>
  <c r="BK8" i="5"/>
  <c r="BJ8" i="5"/>
  <c r="BQ8" i="5"/>
  <c r="BS8" i="5"/>
  <c r="BM8" i="5"/>
  <c r="BH8" i="5"/>
  <c r="BG8" i="5"/>
  <c r="BA8" i="5"/>
  <c r="BP8" i="5" s="1"/>
  <c r="BI8" i="5"/>
  <c r="BF8" i="5"/>
  <c r="AZ8" i="5"/>
  <c r="AY8" i="5"/>
  <c r="BE8" i="5"/>
  <c r="BD8" i="5"/>
  <c r="AV8" i="5"/>
  <c r="BO8" i="5" s="1"/>
  <c r="AU8" i="5"/>
  <c r="BB8" i="5" s="1"/>
  <c r="CI72" i="5"/>
  <c r="CF72" i="5"/>
  <c r="CE72" i="5"/>
  <c r="CD72" i="5"/>
  <c r="CC72" i="5"/>
  <c r="BW72" i="5"/>
  <c r="CK72" i="5"/>
  <c r="CA72" i="5"/>
  <c r="BY72" i="5"/>
  <c r="BU72" i="5"/>
  <c r="BT72" i="5"/>
  <c r="BQ72" i="5"/>
  <c r="BM72" i="5"/>
  <c r="BS72" i="5"/>
  <c r="BR72" i="5"/>
  <c r="BK72" i="5"/>
  <c r="BV72" i="5"/>
  <c r="BI72" i="5"/>
  <c r="BF72" i="5"/>
  <c r="BA72" i="5"/>
  <c r="BP72" i="5" s="1"/>
  <c r="BH72" i="5"/>
  <c r="BJ72" i="5"/>
  <c r="BG72" i="5"/>
  <c r="AZ72" i="5"/>
  <c r="AY72" i="5"/>
  <c r="BE72" i="5"/>
  <c r="BD72" i="5"/>
  <c r="AV72" i="5"/>
  <c r="BO72" i="5" s="1"/>
  <c r="AU72" i="5"/>
  <c r="BN72" i="5" s="1"/>
  <c r="CI136" i="5"/>
  <c r="CF136" i="5"/>
  <c r="CE136" i="5"/>
  <c r="CD136" i="5"/>
  <c r="CK136" i="5"/>
  <c r="CC136" i="5"/>
  <c r="BW136" i="5"/>
  <c r="CA136" i="5"/>
  <c r="BU136" i="5"/>
  <c r="BT136" i="5"/>
  <c r="BY136" i="5"/>
  <c r="BQ136" i="5"/>
  <c r="BS136" i="5"/>
  <c r="BV136" i="5"/>
  <c r="BM136" i="5"/>
  <c r="BR136" i="5"/>
  <c r="BK136" i="5"/>
  <c r="BH136" i="5"/>
  <c r="BJ136" i="5"/>
  <c r="BG136" i="5"/>
  <c r="BA136" i="5"/>
  <c r="BP136" i="5" s="1"/>
  <c r="BI136" i="5"/>
  <c r="BF136" i="5"/>
  <c r="AZ136" i="5"/>
  <c r="AY136" i="5"/>
  <c r="BD136" i="5"/>
  <c r="BE136" i="5"/>
  <c r="AV136" i="5"/>
  <c r="BC136" i="5" s="1"/>
  <c r="AU136" i="5"/>
  <c r="BB136" i="5" s="1"/>
  <c r="BP35" i="5"/>
  <c r="BP62" i="5"/>
  <c r="BX62" i="5" s="1"/>
  <c r="BD153" i="5"/>
  <c r="BL153" i="5" s="1"/>
  <c r="BP98" i="5"/>
  <c r="BZ122" i="5"/>
  <c r="BB147" i="5"/>
  <c r="BO114" i="5"/>
  <c r="BN154" i="5"/>
  <c r="BB93" i="5"/>
  <c r="BZ93" i="5" s="1"/>
  <c r="BO119" i="5"/>
  <c r="BD10" i="5"/>
  <c r="CB10" i="5" s="1"/>
  <c r="BB34" i="5"/>
  <c r="BZ34" i="5" s="1"/>
  <c r="BB50" i="5"/>
  <c r="BZ50" i="5" s="1"/>
  <c r="BB77" i="5"/>
  <c r="BZ77" i="5" s="1"/>
  <c r="CI89" i="5"/>
  <c r="CK89" i="5"/>
  <c r="CG89" i="5"/>
  <c r="BY89" i="5"/>
  <c r="CC89" i="5"/>
  <c r="BX89" i="5"/>
  <c r="CD89" i="5"/>
  <c r="BV89" i="5"/>
  <c r="BU89" i="5"/>
  <c r="BW89" i="5"/>
  <c r="CJ89" i="5"/>
  <c r="CH89" i="5"/>
  <c r="CF89" i="5"/>
  <c r="CE89" i="5"/>
  <c r="BZ89" i="5"/>
  <c r="BL89" i="5"/>
  <c r="CA89" i="5"/>
  <c r="BR89" i="5"/>
  <c r="BK89" i="5"/>
  <c r="BS89" i="5"/>
  <c r="BM89" i="5"/>
  <c r="BT89" i="5"/>
  <c r="BJ89" i="5"/>
  <c r="BH89" i="5"/>
  <c r="BF89" i="5"/>
  <c r="BD89" i="5"/>
  <c r="BQ89" i="5"/>
  <c r="BI89" i="5"/>
  <c r="BG89" i="5"/>
  <c r="BE89" i="5"/>
  <c r="AZ89" i="5"/>
  <c r="BA89" i="5"/>
  <c r="BP89" i="5" s="1"/>
  <c r="AY89" i="5"/>
  <c r="AV89" i="5"/>
  <c r="BO89" i="5" s="1"/>
  <c r="AU89" i="5"/>
  <c r="BB89" i="5" s="1"/>
  <c r="CK75" i="5"/>
  <c r="CE75" i="5"/>
  <c r="CA75" i="5"/>
  <c r="CC75" i="5"/>
  <c r="CD75" i="5"/>
  <c r="BT75" i="5"/>
  <c r="BS75" i="5"/>
  <c r="BR75" i="5"/>
  <c r="BQ75" i="5"/>
  <c r="BM75" i="5"/>
  <c r="BW75" i="5"/>
  <c r="BU75" i="5"/>
  <c r="BV75" i="5"/>
  <c r="CF75" i="5"/>
  <c r="CI75" i="5"/>
  <c r="BY75" i="5"/>
  <c r="BK75" i="5"/>
  <c r="BJ75" i="5"/>
  <c r="BI75" i="5"/>
  <c r="BH75" i="5"/>
  <c r="BG75" i="5"/>
  <c r="BF75" i="5"/>
  <c r="BE75" i="5"/>
  <c r="BD75" i="5"/>
  <c r="BA75" i="5"/>
  <c r="BP75" i="5" s="1"/>
  <c r="AZ75" i="5"/>
  <c r="AY75" i="5"/>
  <c r="AV75" i="5"/>
  <c r="BO75" i="5" s="1"/>
  <c r="AU75" i="5"/>
  <c r="BN75" i="5" s="1"/>
  <c r="CI155" i="5"/>
  <c r="CK155" i="5"/>
  <c r="CC155" i="5"/>
  <c r="CA155" i="5"/>
  <c r="CF155" i="5"/>
  <c r="BW155" i="5"/>
  <c r="BU155" i="5"/>
  <c r="BT155" i="5"/>
  <c r="BS155" i="5"/>
  <c r="BR155" i="5"/>
  <c r="BQ155" i="5"/>
  <c r="BM155" i="5"/>
  <c r="BY155" i="5"/>
  <c r="BV155" i="5"/>
  <c r="CE155" i="5"/>
  <c r="CD155" i="5"/>
  <c r="BJ155" i="5"/>
  <c r="BI155" i="5"/>
  <c r="BH155" i="5"/>
  <c r="BG155" i="5"/>
  <c r="BF155" i="5"/>
  <c r="BE155" i="5"/>
  <c r="BD155" i="5"/>
  <c r="BA155" i="5"/>
  <c r="BP155" i="5" s="1"/>
  <c r="BK155" i="5"/>
  <c r="AZ155" i="5"/>
  <c r="AV155" i="5"/>
  <c r="BO155" i="5" s="1"/>
  <c r="AU155" i="5"/>
  <c r="BN155" i="5" s="1"/>
  <c r="AY155" i="5"/>
  <c r="CF4" i="5"/>
  <c r="CI4" i="5"/>
  <c r="CE4" i="5"/>
  <c r="CA4" i="5"/>
  <c r="BW4" i="5"/>
  <c r="BV4" i="5"/>
  <c r="CC4" i="5"/>
  <c r="CK4" i="5"/>
  <c r="BU4" i="5"/>
  <c r="BJ4" i="5"/>
  <c r="BY4" i="5"/>
  <c r="CD4" i="5"/>
  <c r="BR4" i="5"/>
  <c r="BK4" i="5"/>
  <c r="BT4" i="5"/>
  <c r="BS4" i="5"/>
  <c r="BM4" i="5"/>
  <c r="BQ4" i="5"/>
  <c r="BH4" i="5"/>
  <c r="BF4" i="5"/>
  <c r="BD4" i="5"/>
  <c r="BI4" i="5"/>
  <c r="BG4" i="5"/>
  <c r="BE4" i="5"/>
  <c r="AY4" i="5"/>
  <c r="AZ4" i="5"/>
  <c r="BA4" i="5"/>
  <c r="BP4" i="5" s="1"/>
  <c r="AV4" i="5"/>
  <c r="BC4" i="5" s="1"/>
  <c r="AU4" i="5"/>
  <c r="BB4" i="5" s="1"/>
  <c r="CI68" i="5"/>
  <c r="CF68" i="5"/>
  <c r="CE68" i="5"/>
  <c r="CD68" i="5"/>
  <c r="CC68" i="5"/>
  <c r="CK68" i="5"/>
  <c r="BV68" i="5"/>
  <c r="BY68" i="5"/>
  <c r="BW68" i="5"/>
  <c r="BR68" i="5"/>
  <c r="CA68" i="5"/>
  <c r="BK68" i="5"/>
  <c r="BM68" i="5"/>
  <c r="BQ68" i="5"/>
  <c r="BS68" i="5"/>
  <c r="BU68" i="5"/>
  <c r="BJ68" i="5"/>
  <c r="BH68" i="5"/>
  <c r="BF68" i="5"/>
  <c r="BD68" i="5"/>
  <c r="BT68" i="5"/>
  <c r="BI68" i="5"/>
  <c r="BG68" i="5"/>
  <c r="BE68" i="5"/>
  <c r="AZ68" i="5"/>
  <c r="AY68" i="5"/>
  <c r="BA68" i="5"/>
  <c r="BP68" i="5" s="1"/>
  <c r="AV68" i="5"/>
  <c r="BO68" i="5" s="1"/>
  <c r="AU68" i="5"/>
  <c r="BB68" i="5" s="1"/>
  <c r="CI132" i="5"/>
  <c r="CF132" i="5"/>
  <c r="CE132" i="5"/>
  <c r="CK132" i="5"/>
  <c r="BW132" i="5"/>
  <c r="BV132" i="5"/>
  <c r="CD132" i="5"/>
  <c r="CA132" i="5"/>
  <c r="BY132" i="5"/>
  <c r="BR132" i="5"/>
  <c r="BK132" i="5"/>
  <c r="CC132" i="5"/>
  <c r="BU132" i="5"/>
  <c r="BM132" i="5"/>
  <c r="BJ132" i="5"/>
  <c r="BH132" i="5"/>
  <c r="BF132" i="5"/>
  <c r="BD132" i="5"/>
  <c r="BS132" i="5"/>
  <c r="BQ132" i="5"/>
  <c r="BT132" i="5"/>
  <c r="BI132" i="5"/>
  <c r="BG132" i="5"/>
  <c r="BE132" i="5"/>
  <c r="AZ132" i="5"/>
  <c r="AY132" i="5"/>
  <c r="BA132" i="5"/>
  <c r="BP132" i="5" s="1"/>
  <c r="AV132" i="5"/>
  <c r="BC132" i="5" s="1"/>
  <c r="AU132" i="5"/>
  <c r="BN132" i="5" s="1"/>
  <c r="CK61" i="5"/>
  <c r="CA61" i="5"/>
  <c r="BW61" i="5"/>
  <c r="CF61" i="5"/>
  <c r="CC61" i="5"/>
  <c r="CD61" i="5"/>
  <c r="CE61" i="5"/>
  <c r="BY61" i="5"/>
  <c r="BV61" i="5"/>
  <c r="BU61" i="5"/>
  <c r="CI61" i="5"/>
  <c r="BR61" i="5"/>
  <c r="BS61" i="5"/>
  <c r="BM61" i="5"/>
  <c r="BT61" i="5"/>
  <c r="BQ61" i="5"/>
  <c r="BK61" i="5"/>
  <c r="BJ61" i="5"/>
  <c r="BG61" i="5"/>
  <c r="BD61" i="5"/>
  <c r="BI61" i="5"/>
  <c r="BA61" i="5"/>
  <c r="BP61" i="5" s="1"/>
  <c r="BH61" i="5"/>
  <c r="BE61" i="5"/>
  <c r="BF61" i="5"/>
  <c r="AY61" i="5"/>
  <c r="AZ61" i="5"/>
  <c r="AV61" i="5"/>
  <c r="BC61" i="5" s="1"/>
  <c r="AU61" i="5"/>
  <c r="BN61" i="5" s="1"/>
  <c r="CK173" i="5"/>
  <c r="CJ173" i="5"/>
  <c r="CI173" i="5"/>
  <c r="CF173" i="5"/>
  <c r="CE173" i="5"/>
  <c r="CD173" i="5"/>
  <c r="CH173" i="5"/>
  <c r="CG173" i="5"/>
  <c r="CC173" i="5"/>
  <c r="BZ173" i="5"/>
  <c r="BY173" i="5"/>
  <c r="CA173" i="5"/>
  <c r="BX173" i="5"/>
  <c r="BL173" i="5"/>
  <c r="BW173" i="5"/>
  <c r="BS173" i="5"/>
  <c r="BQ173" i="5"/>
  <c r="BK173" i="5"/>
  <c r="BV173" i="5"/>
  <c r="BT173" i="5"/>
  <c r="BR173" i="5"/>
  <c r="BM173" i="5"/>
  <c r="BU173" i="5"/>
  <c r="BG173" i="5"/>
  <c r="BI173" i="5"/>
  <c r="BF173" i="5"/>
  <c r="BH173" i="5"/>
  <c r="BE173" i="5"/>
  <c r="BJ173" i="5"/>
  <c r="BA173" i="5"/>
  <c r="BP173" i="5" s="1"/>
  <c r="BD173" i="5"/>
  <c r="AZ173" i="5"/>
  <c r="AY173" i="5"/>
  <c r="AV173" i="5"/>
  <c r="BC173" i="5" s="1"/>
  <c r="AU173" i="5"/>
  <c r="BN173" i="5" s="1"/>
  <c r="CK70" i="5"/>
  <c r="CI70" i="5"/>
  <c r="CC70" i="5"/>
  <c r="BY70" i="5"/>
  <c r="CA70" i="5"/>
  <c r="CD70" i="5"/>
  <c r="BV70" i="5"/>
  <c r="BU70" i="5"/>
  <c r="BW70" i="5"/>
  <c r="BT70" i="5"/>
  <c r="BS70" i="5"/>
  <c r="BR70" i="5"/>
  <c r="BQ70" i="5"/>
  <c r="BM70" i="5"/>
  <c r="CE70" i="5"/>
  <c r="CF70" i="5"/>
  <c r="BK70" i="5"/>
  <c r="BI70" i="5"/>
  <c r="BH70" i="5"/>
  <c r="BJ70" i="5"/>
  <c r="BG70" i="5"/>
  <c r="BD70" i="5"/>
  <c r="AY70" i="5"/>
  <c r="BF70" i="5"/>
  <c r="BE70" i="5"/>
  <c r="BA70" i="5"/>
  <c r="BP70" i="5" s="1"/>
  <c r="AZ70" i="5"/>
  <c r="AV70" i="5"/>
  <c r="BO70" i="5" s="1"/>
  <c r="AU70" i="5"/>
  <c r="BN70" i="5" s="1"/>
  <c r="CH142" i="5"/>
  <c r="CG142" i="5"/>
  <c r="CD142" i="5"/>
  <c r="CC142" i="5"/>
  <c r="BY142" i="5"/>
  <c r="CA142" i="5"/>
  <c r="CK142" i="5"/>
  <c r="BV142" i="5"/>
  <c r="BU142" i="5"/>
  <c r="CF142" i="5"/>
  <c r="CE142" i="5"/>
  <c r="BW142" i="5"/>
  <c r="BL142" i="5"/>
  <c r="BT142" i="5"/>
  <c r="BS142" i="5"/>
  <c r="BR142" i="5"/>
  <c r="BQ142" i="5"/>
  <c r="BM142" i="5"/>
  <c r="CI142" i="5"/>
  <c r="BX142" i="5"/>
  <c r="CJ142" i="5"/>
  <c r="BZ142" i="5"/>
  <c r="BK142" i="5"/>
  <c r="BJ142" i="5"/>
  <c r="BH142" i="5"/>
  <c r="BF142" i="5"/>
  <c r="BD142" i="5"/>
  <c r="BI142" i="5"/>
  <c r="BG142" i="5"/>
  <c r="BE142" i="5"/>
  <c r="AZ142" i="5"/>
  <c r="BA142" i="5"/>
  <c r="BP142" i="5" s="1"/>
  <c r="AY142" i="5"/>
  <c r="AV142" i="5"/>
  <c r="BO142" i="5" s="1"/>
  <c r="AU142" i="5"/>
  <c r="BB142" i="5" s="1"/>
  <c r="CF23" i="5"/>
  <c r="CD23" i="5"/>
  <c r="CI23" i="5"/>
  <c r="CE23" i="5"/>
  <c r="BW23" i="5"/>
  <c r="BV23" i="5"/>
  <c r="BK23" i="5"/>
  <c r="BJ23" i="5"/>
  <c r="CA23" i="5"/>
  <c r="BY23" i="5"/>
  <c r="BU23" i="5"/>
  <c r="BT23" i="5"/>
  <c r="CK23" i="5"/>
  <c r="CC23" i="5"/>
  <c r="BQ23" i="5"/>
  <c r="BS23" i="5"/>
  <c r="BI23" i="5"/>
  <c r="BH23" i="5"/>
  <c r="BG23" i="5"/>
  <c r="BF23" i="5"/>
  <c r="BE23" i="5"/>
  <c r="BD23" i="5"/>
  <c r="BA23" i="5"/>
  <c r="BP23" i="5" s="1"/>
  <c r="AZ23" i="5"/>
  <c r="BR23" i="5"/>
  <c r="BM23" i="5"/>
  <c r="AY23" i="5"/>
  <c r="AV23" i="5"/>
  <c r="BO23" i="5" s="1"/>
  <c r="AU23" i="5"/>
  <c r="BB23" i="5" s="1"/>
  <c r="CI95" i="5"/>
  <c r="CK95" i="5"/>
  <c r="CE95" i="5"/>
  <c r="CC95" i="5"/>
  <c r="BY95" i="5"/>
  <c r="BK95" i="5"/>
  <c r="CD95" i="5"/>
  <c r="CF95" i="5"/>
  <c r="BW95" i="5"/>
  <c r="CA95" i="5"/>
  <c r="BV95" i="5"/>
  <c r="BS95" i="5"/>
  <c r="BU95" i="5"/>
  <c r="BT95" i="5"/>
  <c r="BJ95" i="5"/>
  <c r="BI95" i="5"/>
  <c r="BH95" i="5"/>
  <c r="BG95" i="5"/>
  <c r="BF95" i="5"/>
  <c r="BE95" i="5"/>
  <c r="BD95" i="5"/>
  <c r="BA95" i="5"/>
  <c r="BP95" i="5" s="1"/>
  <c r="BR95" i="5"/>
  <c r="BQ95" i="5"/>
  <c r="BM95" i="5"/>
  <c r="AZ95" i="5"/>
  <c r="AY95" i="5"/>
  <c r="AV95" i="5"/>
  <c r="BC95" i="5" s="1"/>
  <c r="AU95" i="5"/>
  <c r="BB95" i="5" s="1"/>
  <c r="CK167" i="5"/>
  <c r="CH167" i="5"/>
  <c r="CG167" i="5"/>
  <c r="CI167" i="5"/>
  <c r="CD167" i="5"/>
  <c r="CC167" i="5"/>
  <c r="BW167" i="5"/>
  <c r="BK167" i="5"/>
  <c r="CF167" i="5"/>
  <c r="BX167" i="5"/>
  <c r="BZ167" i="5"/>
  <c r="BY167" i="5"/>
  <c r="CJ167" i="5"/>
  <c r="CE167" i="5"/>
  <c r="CA167" i="5"/>
  <c r="BS167" i="5"/>
  <c r="BU167" i="5"/>
  <c r="BL167" i="5"/>
  <c r="BJ167" i="5"/>
  <c r="BI167" i="5"/>
  <c r="BH167" i="5"/>
  <c r="BG167" i="5"/>
  <c r="BF167" i="5"/>
  <c r="BE167" i="5"/>
  <c r="BD167" i="5"/>
  <c r="BA167" i="5"/>
  <c r="BP167" i="5" s="1"/>
  <c r="BM167" i="5"/>
  <c r="BV167" i="5"/>
  <c r="BQ167" i="5"/>
  <c r="BT167" i="5"/>
  <c r="BR167" i="5"/>
  <c r="AZ167" i="5"/>
  <c r="AY167" i="5"/>
  <c r="AV167" i="5"/>
  <c r="BO167" i="5" s="1"/>
  <c r="AU167" i="5"/>
  <c r="BN167" i="5" s="1"/>
  <c r="CE24" i="5"/>
  <c r="CD24" i="5"/>
  <c r="CC24" i="5"/>
  <c r="CH24" i="5"/>
  <c r="BZ24" i="5"/>
  <c r="CI24" i="5"/>
  <c r="CA24" i="5"/>
  <c r="CF24" i="5"/>
  <c r="BY24" i="5"/>
  <c r="CJ24" i="5"/>
  <c r="BL24" i="5"/>
  <c r="CK24" i="5"/>
  <c r="BX24" i="5"/>
  <c r="BU24" i="5"/>
  <c r="CG24" i="5"/>
  <c r="BT24" i="5"/>
  <c r="BS24" i="5"/>
  <c r="BV24" i="5"/>
  <c r="BN24" i="5"/>
  <c r="BK24" i="5"/>
  <c r="BQ24" i="5"/>
  <c r="BR24" i="5"/>
  <c r="BM24" i="5"/>
  <c r="BW24" i="5"/>
  <c r="BJ24" i="5"/>
  <c r="BH24" i="5"/>
  <c r="BE24" i="5"/>
  <c r="AZ24" i="5"/>
  <c r="BG24" i="5"/>
  <c r="BI24" i="5"/>
  <c r="BF24" i="5"/>
  <c r="BA24" i="5"/>
  <c r="BP24" i="5" s="1"/>
  <c r="AY24" i="5"/>
  <c r="BD24" i="5"/>
  <c r="AV24" i="5"/>
  <c r="BC24" i="5" s="1"/>
  <c r="AU24" i="5"/>
  <c r="BB24" i="5" s="1"/>
  <c r="CF88" i="5"/>
  <c r="CE88" i="5"/>
  <c r="CD88" i="5"/>
  <c r="CC88" i="5"/>
  <c r="CI88" i="5"/>
  <c r="BY88" i="5"/>
  <c r="CA88" i="5"/>
  <c r="BS88" i="5"/>
  <c r="BV88" i="5"/>
  <c r="BK88" i="5"/>
  <c r="BQ88" i="5"/>
  <c r="CK88" i="5"/>
  <c r="BT88" i="5"/>
  <c r="BW88" i="5"/>
  <c r="BU88" i="5"/>
  <c r="BR88" i="5"/>
  <c r="BM88" i="5"/>
  <c r="BG88" i="5"/>
  <c r="BI88" i="5"/>
  <c r="BF88" i="5"/>
  <c r="BH88" i="5"/>
  <c r="BE88" i="5"/>
  <c r="BJ88" i="5"/>
  <c r="BA88" i="5"/>
  <c r="BP88" i="5" s="1"/>
  <c r="AZ88" i="5"/>
  <c r="AY88" i="5"/>
  <c r="BD88" i="5"/>
  <c r="AV88" i="5"/>
  <c r="BC88" i="5" s="1"/>
  <c r="AU88" i="5"/>
  <c r="BN88" i="5" s="1"/>
  <c r="CF152" i="5"/>
  <c r="CE152" i="5"/>
  <c r="CD152" i="5"/>
  <c r="CH152" i="5"/>
  <c r="CG152" i="5"/>
  <c r="CJ152" i="5"/>
  <c r="BX152" i="5"/>
  <c r="CI152" i="5"/>
  <c r="BY152" i="5"/>
  <c r="CC152" i="5"/>
  <c r="BZ152" i="5"/>
  <c r="CK152" i="5"/>
  <c r="CA152" i="5"/>
  <c r="BV152" i="5"/>
  <c r="BS152" i="5"/>
  <c r="BW152" i="5"/>
  <c r="BU152" i="5"/>
  <c r="BT152" i="5"/>
  <c r="BK152" i="5"/>
  <c r="BL152" i="5"/>
  <c r="BR152" i="5"/>
  <c r="BQ152" i="5"/>
  <c r="BH152" i="5"/>
  <c r="BE152" i="5"/>
  <c r="BJ152" i="5"/>
  <c r="BG152" i="5"/>
  <c r="BM152" i="5"/>
  <c r="BI152" i="5"/>
  <c r="BF152" i="5"/>
  <c r="BA152" i="5"/>
  <c r="BP152" i="5" s="1"/>
  <c r="AZ152" i="5"/>
  <c r="AY152" i="5"/>
  <c r="BD152" i="5"/>
  <c r="AV152" i="5"/>
  <c r="BO152" i="5" s="1"/>
  <c r="AU152" i="5"/>
  <c r="BB152" i="5" s="1"/>
  <c r="BO78" i="5"/>
  <c r="BB153" i="5"/>
  <c r="BZ153" i="5" s="1"/>
  <c r="BC106" i="5"/>
  <c r="BN106" i="5"/>
  <c r="BZ106" i="5" s="1"/>
  <c r="BC122" i="5"/>
  <c r="BD147" i="5"/>
  <c r="CB147" i="5" s="1"/>
  <c r="BP149" i="5"/>
  <c r="CB149" i="5" s="1"/>
  <c r="BB9" i="5"/>
  <c r="BZ9" i="5" s="1"/>
  <c r="BN10" i="5"/>
  <c r="BO175" i="5"/>
  <c r="CK69" i="5"/>
  <c r="CF69" i="5"/>
  <c r="CD69" i="5"/>
  <c r="BX69" i="5"/>
  <c r="BZ69" i="5"/>
  <c r="BW69" i="5"/>
  <c r="CE69" i="5"/>
  <c r="CA69" i="5"/>
  <c r="CI69" i="5"/>
  <c r="CC69" i="5"/>
  <c r="BY69" i="5"/>
  <c r="BV69" i="5"/>
  <c r="BL69" i="5"/>
  <c r="BU69" i="5"/>
  <c r="BS69" i="5"/>
  <c r="BQ69" i="5"/>
  <c r="CG69" i="5"/>
  <c r="BT69" i="5"/>
  <c r="BR69" i="5"/>
  <c r="CH69" i="5"/>
  <c r="CJ69" i="5"/>
  <c r="BM69" i="5"/>
  <c r="BH69" i="5"/>
  <c r="BE69" i="5"/>
  <c r="BJ69" i="5"/>
  <c r="BK69" i="5"/>
  <c r="BG69" i="5"/>
  <c r="BI69" i="5"/>
  <c r="AY69" i="5"/>
  <c r="BF69" i="5"/>
  <c r="BA69" i="5"/>
  <c r="BP69" i="5" s="1"/>
  <c r="AZ69" i="5"/>
  <c r="BD69" i="5"/>
  <c r="AV69" i="5"/>
  <c r="BC69" i="5" s="1"/>
  <c r="AU69" i="5"/>
  <c r="BN69" i="5" s="1"/>
  <c r="BY6" i="5"/>
  <c r="CA6" i="5"/>
  <c r="CD6" i="5"/>
  <c r="BV6" i="5"/>
  <c r="BU6" i="5"/>
  <c r="CE6" i="5"/>
  <c r="CC6" i="5"/>
  <c r="BT6" i="5"/>
  <c r="BS6" i="5"/>
  <c r="BR6" i="5"/>
  <c r="BQ6" i="5"/>
  <c r="BM6" i="5"/>
  <c r="CI6" i="5"/>
  <c r="CK6" i="5"/>
  <c r="CF6" i="5"/>
  <c r="BW6" i="5"/>
  <c r="BK6" i="5"/>
  <c r="BG6" i="5"/>
  <c r="BJ6" i="5"/>
  <c r="BD6" i="5"/>
  <c r="BI6" i="5"/>
  <c r="BF6" i="5"/>
  <c r="BH6" i="5"/>
  <c r="BA6" i="5"/>
  <c r="BP6" i="5" s="1"/>
  <c r="AY6" i="5"/>
  <c r="BE6" i="5"/>
  <c r="AZ6" i="5"/>
  <c r="AV6" i="5"/>
  <c r="BO6" i="5" s="1"/>
  <c r="AU6" i="5"/>
  <c r="BN6" i="5" s="1"/>
  <c r="CI86" i="5"/>
  <c r="CE86" i="5"/>
  <c r="BY86" i="5"/>
  <c r="CA86" i="5"/>
  <c r="BV86" i="5"/>
  <c r="BU86" i="5"/>
  <c r="CK86" i="5"/>
  <c r="CF86" i="5"/>
  <c r="BT86" i="5"/>
  <c r="BS86" i="5"/>
  <c r="BR86" i="5"/>
  <c r="BQ86" i="5"/>
  <c r="BM86" i="5"/>
  <c r="BW86" i="5"/>
  <c r="CD86" i="5"/>
  <c r="CC86" i="5"/>
  <c r="BI86" i="5"/>
  <c r="BF86" i="5"/>
  <c r="BH86" i="5"/>
  <c r="BJ86" i="5"/>
  <c r="BK86" i="5"/>
  <c r="BG86" i="5"/>
  <c r="BE86" i="5"/>
  <c r="AZ86" i="5"/>
  <c r="BD86" i="5"/>
  <c r="AY86" i="5"/>
  <c r="BA86" i="5"/>
  <c r="BP86" i="5" s="1"/>
  <c r="AV86" i="5"/>
  <c r="BC86" i="5" s="1"/>
  <c r="AU86" i="5"/>
  <c r="BB86" i="5" s="1"/>
  <c r="CI150" i="5"/>
  <c r="CE150" i="5"/>
  <c r="BY150" i="5"/>
  <c r="CF150" i="5"/>
  <c r="CA150" i="5"/>
  <c r="BV150" i="5"/>
  <c r="BU150" i="5"/>
  <c r="CD150" i="5"/>
  <c r="BT150" i="5"/>
  <c r="BS150" i="5"/>
  <c r="BR150" i="5"/>
  <c r="BQ150" i="5"/>
  <c r="BM150" i="5"/>
  <c r="BW150" i="5"/>
  <c r="CK150" i="5"/>
  <c r="CC150" i="5"/>
  <c r="BH150" i="5"/>
  <c r="BK150" i="5"/>
  <c r="BJ150" i="5"/>
  <c r="BG150" i="5"/>
  <c r="BI150" i="5"/>
  <c r="BF150" i="5"/>
  <c r="BD150" i="5"/>
  <c r="AZ150" i="5"/>
  <c r="BA150" i="5"/>
  <c r="BP150" i="5" s="1"/>
  <c r="BE150" i="5"/>
  <c r="AY150" i="5"/>
  <c r="AV150" i="5"/>
  <c r="BO150" i="5" s="1"/>
  <c r="AU150" i="5"/>
  <c r="BN150" i="5" s="1"/>
  <c r="CI31" i="5"/>
  <c r="CE31" i="5"/>
  <c r="CF31" i="5"/>
  <c r="BY31" i="5"/>
  <c r="BK31" i="5"/>
  <c r="BJ31" i="5"/>
  <c r="CC31" i="5"/>
  <c r="CA31" i="5"/>
  <c r="CK31" i="5"/>
  <c r="BS31" i="5"/>
  <c r="CD31" i="5"/>
  <c r="BV31" i="5"/>
  <c r="BW31" i="5"/>
  <c r="BQ31" i="5"/>
  <c r="BI31" i="5"/>
  <c r="BH31" i="5"/>
  <c r="BG31" i="5"/>
  <c r="BF31" i="5"/>
  <c r="BE31" i="5"/>
  <c r="BD31" i="5"/>
  <c r="BA31" i="5"/>
  <c r="BP31" i="5" s="1"/>
  <c r="AZ31" i="5"/>
  <c r="BT31" i="5"/>
  <c r="BR31" i="5"/>
  <c r="BU31" i="5"/>
  <c r="BM31" i="5"/>
  <c r="AY31" i="5"/>
  <c r="AV31" i="5"/>
  <c r="BC31" i="5" s="1"/>
  <c r="AU31" i="5"/>
  <c r="BN31" i="5" s="1"/>
  <c r="CK103" i="5"/>
  <c r="CC103" i="5"/>
  <c r="CE103" i="5"/>
  <c r="CD103" i="5"/>
  <c r="CA103" i="5"/>
  <c r="BU103" i="5"/>
  <c r="BK103" i="5"/>
  <c r="BW103" i="5"/>
  <c r="CI103" i="5"/>
  <c r="CF103" i="5"/>
  <c r="BV103" i="5"/>
  <c r="BY103" i="5"/>
  <c r="BS103" i="5"/>
  <c r="BR103" i="5"/>
  <c r="BJ103" i="5"/>
  <c r="BI103" i="5"/>
  <c r="BH103" i="5"/>
  <c r="BG103" i="5"/>
  <c r="BF103" i="5"/>
  <c r="BE103" i="5"/>
  <c r="BD103" i="5"/>
  <c r="BA103" i="5"/>
  <c r="BP103" i="5" s="1"/>
  <c r="BQ103" i="5"/>
  <c r="BM103" i="5"/>
  <c r="BT103" i="5"/>
  <c r="AY103" i="5"/>
  <c r="AZ103" i="5"/>
  <c r="AV103" i="5"/>
  <c r="BO103" i="5" s="1"/>
  <c r="AU103" i="5"/>
  <c r="BB103" i="5" s="1"/>
  <c r="CE32" i="5"/>
  <c r="CD32" i="5"/>
  <c r="CC32" i="5"/>
  <c r="CF32" i="5"/>
  <c r="CK32" i="5"/>
  <c r="CA32" i="5"/>
  <c r="BW32" i="5"/>
  <c r="BU32" i="5"/>
  <c r="BV32" i="5"/>
  <c r="BT32" i="5"/>
  <c r="BR32" i="5"/>
  <c r="BS32" i="5"/>
  <c r="BQ32" i="5"/>
  <c r="CI32" i="5"/>
  <c r="BM32" i="5"/>
  <c r="BY32" i="5"/>
  <c r="BK32" i="5"/>
  <c r="BG32" i="5"/>
  <c r="BI32" i="5"/>
  <c r="BJ32" i="5"/>
  <c r="BF32" i="5"/>
  <c r="BH32" i="5"/>
  <c r="BE32" i="5"/>
  <c r="AY32" i="5"/>
  <c r="AZ32" i="5"/>
  <c r="BD32" i="5"/>
  <c r="BA32" i="5"/>
  <c r="BP32" i="5" s="1"/>
  <c r="AV32" i="5"/>
  <c r="BO32" i="5" s="1"/>
  <c r="AU32" i="5"/>
  <c r="BN32" i="5" s="1"/>
  <c r="CG96" i="5"/>
  <c r="CF96" i="5"/>
  <c r="CE96" i="5"/>
  <c r="CD96" i="5"/>
  <c r="CC96" i="5"/>
  <c r="CJ96" i="5"/>
  <c r="CH96" i="5"/>
  <c r="BZ96" i="5"/>
  <c r="CI96" i="5"/>
  <c r="BU96" i="5"/>
  <c r="BT96" i="5"/>
  <c r="BR96" i="5"/>
  <c r="BX96" i="5"/>
  <c r="BV96" i="5"/>
  <c r="BS96" i="5"/>
  <c r="BQ96" i="5"/>
  <c r="CK96" i="5"/>
  <c r="BY96" i="5"/>
  <c r="BM96" i="5"/>
  <c r="BW96" i="5"/>
  <c r="BL96" i="5"/>
  <c r="BK96" i="5"/>
  <c r="CA96" i="5"/>
  <c r="BH96" i="5"/>
  <c r="BE96" i="5"/>
  <c r="BJ96" i="5"/>
  <c r="BG96" i="5"/>
  <c r="BI96" i="5"/>
  <c r="BF96" i="5"/>
  <c r="AZ96" i="5"/>
  <c r="AY96" i="5"/>
  <c r="BD96" i="5"/>
  <c r="BA96" i="5"/>
  <c r="BP96" i="5" s="1"/>
  <c r="AV96" i="5"/>
  <c r="BC96" i="5" s="1"/>
  <c r="AU96" i="5"/>
  <c r="BN96" i="5" s="1"/>
  <c r="CF160" i="5"/>
  <c r="CE160" i="5"/>
  <c r="CD160" i="5"/>
  <c r="CK160" i="5"/>
  <c r="CC160" i="5"/>
  <c r="BW160" i="5"/>
  <c r="CI160" i="5"/>
  <c r="BV160" i="5"/>
  <c r="BT160" i="5"/>
  <c r="BR160" i="5"/>
  <c r="BU160" i="5"/>
  <c r="BS160" i="5"/>
  <c r="BQ160" i="5"/>
  <c r="CA160" i="5"/>
  <c r="BM160" i="5"/>
  <c r="BY160" i="5"/>
  <c r="BK160" i="5"/>
  <c r="BG160" i="5"/>
  <c r="BI160" i="5"/>
  <c r="BF160" i="5"/>
  <c r="BH160" i="5"/>
  <c r="BE160" i="5"/>
  <c r="BJ160" i="5"/>
  <c r="AZ160" i="5"/>
  <c r="AY160" i="5"/>
  <c r="BD160" i="5"/>
  <c r="BA160" i="5"/>
  <c r="BP160" i="5" s="1"/>
  <c r="AV160" i="5"/>
  <c r="BC160" i="5" s="1"/>
  <c r="AU160" i="5"/>
  <c r="BN160" i="5" s="1"/>
  <c r="BC51" i="5"/>
  <c r="BC83" i="5"/>
  <c r="BC47" i="5"/>
  <c r="BP106" i="5"/>
  <c r="BB165" i="5"/>
  <c r="BB90" i="5"/>
  <c r="BZ90" i="5" s="1"/>
  <c r="BC34" i="5"/>
  <c r="BC77" i="5"/>
  <c r="BP175" i="5"/>
  <c r="BX175" i="5" s="1"/>
  <c r="BP9" i="5"/>
  <c r="BN121" i="5"/>
  <c r="BZ121" i="5" s="1"/>
  <c r="CI17" i="5"/>
  <c r="CK17" i="5"/>
  <c r="CE17" i="5"/>
  <c r="BY17" i="5"/>
  <c r="CF17" i="5"/>
  <c r="BV17" i="5"/>
  <c r="BU17" i="5"/>
  <c r="CD17" i="5"/>
  <c r="BW17" i="5"/>
  <c r="CC17" i="5"/>
  <c r="BS17" i="5"/>
  <c r="CA17" i="5"/>
  <c r="BK17" i="5"/>
  <c r="BR17" i="5"/>
  <c r="BT17" i="5"/>
  <c r="BM17" i="5"/>
  <c r="BQ17" i="5"/>
  <c r="BJ17" i="5"/>
  <c r="BG17" i="5"/>
  <c r="BI17" i="5"/>
  <c r="BF17" i="5"/>
  <c r="BH17" i="5"/>
  <c r="BE17" i="5"/>
  <c r="AY17" i="5"/>
  <c r="AZ17" i="5"/>
  <c r="BD17" i="5"/>
  <c r="BA17" i="5"/>
  <c r="BP17" i="5" s="1"/>
  <c r="AV17" i="5"/>
  <c r="BO17" i="5" s="1"/>
  <c r="AU17" i="5"/>
  <c r="BN17" i="5" s="1"/>
  <c r="CI129" i="5"/>
  <c r="CK129" i="5"/>
  <c r="CE129" i="5"/>
  <c r="BY129" i="5"/>
  <c r="CA129" i="5"/>
  <c r="BW129" i="5"/>
  <c r="BV129" i="5"/>
  <c r="BU129" i="5"/>
  <c r="CC129" i="5"/>
  <c r="CF129" i="5"/>
  <c r="CD129" i="5"/>
  <c r="BT129" i="5"/>
  <c r="BM129" i="5"/>
  <c r="BQ129" i="5"/>
  <c r="BS129" i="5"/>
  <c r="BR129" i="5"/>
  <c r="BI129" i="5"/>
  <c r="BK129" i="5"/>
  <c r="BF129" i="5"/>
  <c r="BH129" i="5"/>
  <c r="BJ129" i="5"/>
  <c r="BG129" i="5"/>
  <c r="AZ129" i="5"/>
  <c r="BE129" i="5"/>
  <c r="AY129" i="5"/>
  <c r="BA129" i="5"/>
  <c r="BP129" i="5" s="1"/>
  <c r="BD129" i="5"/>
  <c r="AV129" i="5"/>
  <c r="BC129" i="5" s="1"/>
  <c r="AU129" i="5"/>
  <c r="BN129" i="5" s="1"/>
  <c r="CJ74" i="5"/>
  <c r="CH74" i="5"/>
  <c r="CK74" i="5"/>
  <c r="CF74" i="5"/>
  <c r="BW74" i="5"/>
  <c r="CI74" i="5"/>
  <c r="CC74" i="5"/>
  <c r="BY74" i="5"/>
  <c r="CG74" i="5"/>
  <c r="CE74" i="5"/>
  <c r="BK74" i="5"/>
  <c r="BT74" i="5"/>
  <c r="BR74" i="5"/>
  <c r="BS74" i="5"/>
  <c r="BQ74" i="5"/>
  <c r="BX74" i="5"/>
  <c r="BM74" i="5"/>
  <c r="CD74" i="5"/>
  <c r="CA74" i="5"/>
  <c r="BV74" i="5"/>
  <c r="BZ74" i="5"/>
  <c r="BU74" i="5"/>
  <c r="BL74" i="5"/>
  <c r="BG74" i="5"/>
  <c r="BI74" i="5"/>
  <c r="BF74" i="5"/>
  <c r="BH74" i="5"/>
  <c r="BE74" i="5"/>
  <c r="BJ74" i="5"/>
  <c r="BD74" i="5"/>
  <c r="AZ74" i="5"/>
  <c r="AY74" i="5"/>
  <c r="BA74" i="5"/>
  <c r="BP74" i="5" s="1"/>
  <c r="AV74" i="5"/>
  <c r="BC74" i="5" s="1"/>
  <c r="AU74" i="5"/>
  <c r="BB74" i="5" s="1"/>
  <c r="CJ3" i="5"/>
  <c r="CE3" i="5"/>
  <c r="CC3" i="5"/>
  <c r="CA3" i="5"/>
  <c r="BZ3" i="5"/>
  <c r="CG3" i="5"/>
  <c r="CF3" i="5"/>
  <c r="BY3" i="5"/>
  <c r="BT3" i="5"/>
  <c r="BS3" i="5"/>
  <c r="BR3" i="5"/>
  <c r="BQ3" i="5"/>
  <c r="BM3" i="5"/>
  <c r="BL3" i="5"/>
  <c r="CH3" i="5"/>
  <c r="CK3" i="5"/>
  <c r="BV3" i="5"/>
  <c r="BU3" i="5"/>
  <c r="BX3" i="5"/>
  <c r="BK3" i="5"/>
  <c r="BI3" i="5"/>
  <c r="BH3" i="5"/>
  <c r="BG3" i="5"/>
  <c r="BF3" i="5"/>
  <c r="BE3" i="5"/>
  <c r="BD3" i="5"/>
  <c r="BA3" i="5"/>
  <c r="BP3" i="5" s="1"/>
  <c r="AZ3" i="5"/>
  <c r="CI3" i="5"/>
  <c r="CD3" i="5"/>
  <c r="BW3" i="5"/>
  <c r="BJ3" i="5"/>
  <c r="AY3" i="5"/>
  <c r="AV3" i="5"/>
  <c r="BO3" i="5" s="1"/>
  <c r="AU3" i="5"/>
  <c r="BN3" i="5" s="1"/>
  <c r="CK107" i="5"/>
  <c r="CJ107" i="5"/>
  <c r="CG107" i="5"/>
  <c r="CI107" i="5"/>
  <c r="CA107" i="5"/>
  <c r="CF107" i="5"/>
  <c r="CH107" i="5"/>
  <c r="CE107" i="5"/>
  <c r="BZ107" i="5"/>
  <c r="BY107" i="5"/>
  <c r="BT107" i="5"/>
  <c r="BS107" i="5"/>
  <c r="BR107" i="5"/>
  <c r="BQ107" i="5"/>
  <c r="BM107" i="5"/>
  <c r="CC107" i="5"/>
  <c r="BU107" i="5"/>
  <c r="CD107" i="5"/>
  <c r="BX107" i="5"/>
  <c r="BV107" i="5"/>
  <c r="BW107" i="5"/>
  <c r="BL107" i="5"/>
  <c r="BJ107" i="5"/>
  <c r="BI107" i="5"/>
  <c r="BH107" i="5"/>
  <c r="BG107" i="5"/>
  <c r="BF107" i="5"/>
  <c r="BE107" i="5"/>
  <c r="BD107" i="5"/>
  <c r="BA107" i="5"/>
  <c r="BP107" i="5" s="1"/>
  <c r="BK107" i="5"/>
  <c r="AZ107" i="5"/>
  <c r="AY107" i="5"/>
  <c r="AV107" i="5"/>
  <c r="BO107" i="5" s="1"/>
  <c r="AU107" i="5"/>
  <c r="BN107" i="5" s="1"/>
  <c r="CF28" i="5"/>
  <c r="CE28" i="5"/>
  <c r="CC28" i="5"/>
  <c r="CA28" i="5"/>
  <c r="CD28" i="5"/>
  <c r="BU28" i="5"/>
  <c r="CI28" i="5"/>
  <c r="BV28" i="5"/>
  <c r="BY28" i="5"/>
  <c r="CK28" i="5"/>
  <c r="BQ28" i="5"/>
  <c r="BR28" i="5"/>
  <c r="BW28" i="5"/>
  <c r="BK28" i="5"/>
  <c r="BT28" i="5"/>
  <c r="BS28" i="5"/>
  <c r="BJ28" i="5"/>
  <c r="BM28" i="5"/>
  <c r="BI28" i="5"/>
  <c r="BF28" i="5"/>
  <c r="BH28" i="5"/>
  <c r="AY28" i="5"/>
  <c r="BG28" i="5"/>
  <c r="BD28" i="5"/>
  <c r="BE28" i="5"/>
  <c r="AZ28" i="5"/>
  <c r="BA28" i="5"/>
  <c r="BP28" i="5" s="1"/>
  <c r="AV28" i="5"/>
  <c r="BO28" i="5" s="1"/>
  <c r="AU28" i="5"/>
  <c r="BB28" i="5" s="1"/>
  <c r="CF92" i="5"/>
  <c r="CE92" i="5"/>
  <c r="BY92" i="5"/>
  <c r="BU92" i="5"/>
  <c r="CC92" i="5"/>
  <c r="CA92" i="5"/>
  <c r="BW92" i="5"/>
  <c r="CD92" i="5"/>
  <c r="BT92" i="5"/>
  <c r="CI92" i="5"/>
  <c r="BQ92" i="5"/>
  <c r="CK92" i="5"/>
  <c r="BM92" i="5"/>
  <c r="BV92" i="5"/>
  <c r="BK92" i="5"/>
  <c r="CG92" i="5"/>
  <c r="BS92" i="5"/>
  <c r="BR92" i="5"/>
  <c r="BJ92" i="5"/>
  <c r="BG92" i="5"/>
  <c r="BD92" i="5"/>
  <c r="AZ92" i="5"/>
  <c r="AY92" i="5"/>
  <c r="BI92" i="5"/>
  <c r="BH92" i="5"/>
  <c r="BF92" i="5"/>
  <c r="BA92" i="5"/>
  <c r="BP92" i="5" s="1"/>
  <c r="BE92" i="5"/>
  <c r="AV92" i="5"/>
  <c r="BC92" i="5" s="1"/>
  <c r="AU92" i="5"/>
  <c r="BN92" i="5" s="1"/>
  <c r="CF156" i="5"/>
  <c r="CI156" i="5"/>
  <c r="CK156" i="5"/>
  <c r="CD156" i="5"/>
  <c r="CC156" i="5"/>
  <c r="CE156" i="5"/>
  <c r="CA156" i="5"/>
  <c r="BU156" i="5"/>
  <c r="BY156" i="5"/>
  <c r="BW156" i="5"/>
  <c r="BQ156" i="5"/>
  <c r="BS156" i="5"/>
  <c r="BR156" i="5"/>
  <c r="BM156" i="5"/>
  <c r="BT156" i="5"/>
  <c r="BV156" i="5"/>
  <c r="BK156" i="5"/>
  <c r="BI156" i="5"/>
  <c r="BH156" i="5"/>
  <c r="AZ156" i="5"/>
  <c r="AY156" i="5"/>
  <c r="BJ156" i="5"/>
  <c r="BG156" i="5"/>
  <c r="BD156" i="5"/>
  <c r="BB156" i="5"/>
  <c r="BF156" i="5"/>
  <c r="BE156" i="5"/>
  <c r="BA156" i="5"/>
  <c r="BP156" i="5" s="1"/>
  <c r="AV156" i="5"/>
  <c r="BC156" i="5" s="1"/>
  <c r="AU156" i="5"/>
  <c r="BN156" i="5" s="1"/>
  <c r="CK101" i="5"/>
  <c r="CF101" i="5"/>
  <c r="CC101" i="5"/>
  <c r="BW101" i="5"/>
  <c r="CI101" i="5"/>
  <c r="CE101" i="5"/>
  <c r="CA101" i="5"/>
  <c r="BV101" i="5"/>
  <c r="BY101" i="5"/>
  <c r="BS101" i="5"/>
  <c r="BQ101" i="5"/>
  <c r="BT101" i="5"/>
  <c r="BR101" i="5"/>
  <c r="CD101" i="5"/>
  <c r="BU101" i="5"/>
  <c r="BM101" i="5"/>
  <c r="BK101" i="5"/>
  <c r="BI101" i="5"/>
  <c r="BF101" i="5"/>
  <c r="BH101" i="5"/>
  <c r="BJ101" i="5"/>
  <c r="BG101" i="5"/>
  <c r="AY101" i="5"/>
  <c r="BD101" i="5"/>
  <c r="AZ101" i="5"/>
  <c r="BE101" i="5"/>
  <c r="BA101" i="5"/>
  <c r="BP101" i="5" s="1"/>
  <c r="AV101" i="5"/>
  <c r="BO101" i="5" s="1"/>
  <c r="AU101" i="5"/>
  <c r="BB101" i="5" s="1"/>
  <c r="CG22" i="5"/>
  <c r="CI22" i="5"/>
  <c r="CK22" i="5"/>
  <c r="BY22" i="5"/>
  <c r="CH22" i="5"/>
  <c r="CC22" i="5"/>
  <c r="CJ22" i="5"/>
  <c r="CD22" i="5"/>
  <c r="BV22" i="5"/>
  <c r="BU22" i="5"/>
  <c r="BZ22" i="5"/>
  <c r="BT22" i="5"/>
  <c r="BS22" i="5"/>
  <c r="BR22" i="5"/>
  <c r="BQ22" i="5"/>
  <c r="BM22" i="5"/>
  <c r="CF22" i="5"/>
  <c r="CA22" i="5"/>
  <c r="BW22" i="5"/>
  <c r="BX22" i="5"/>
  <c r="BL22" i="5"/>
  <c r="CE22" i="5"/>
  <c r="BK22" i="5"/>
  <c r="BJ22" i="5"/>
  <c r="BH22" i="5"/>
  <c r="BG22" i="5"/>
  <c r="BI22" i="5"/>
  <c r="BF22" i="5"/>
  <c r="BD22" i="5"/>
  <c r="BA22" i="5"/>
  <c r="BP22" i="5" s="1"/>
  <c r="AZ22" i="5"/>
  <c r="AY22" i="5"/>
  <c r="BE22" i="5"/>
  <c r="AV22" i="5"/>
  <c r="BC22" i="5" s="1"/>
  <c r="AU22" i="5"/>
  <c r="BB22" i="5" s="1"/>
  <c r="CI102" i="5"/>
  <c r="CJ102" i="5"/>
  <c r="CF102" i="5"/>
  <c r="BY102" i="5"/>
  <c r="BX102" i="5"/>
  <c r="CA102" i="5"/>
  <c r="BZ102" i="5"/>
  <c r="CC102" i="5"/>
  <c r="BV102" i="5"/>
  <c r="BU102" i="5"/>
  <c r="CD102" i="5"/>
  <c r="CK102" i="5"/>
  <c r="BT102" i="5"/>
  <c r="BS102" i="5"/>
  <c r="BR102" i="5"/>
  <c r="BQ102" i="5"/>
  <c r="BM102" i="5"/>
  <c r="BL102" i="5"/>
  <c r="CE102" i="5"/>
  <c r="BW102" i="5"/>
  <c r="CH102" i="5"/>
  <c r="CG102" i="5"/>
  <c r="BK102" i="5"/>
  <c r="BG102" i="5"/>
  <c r="BI102" i="5"/>
  <c r="BF102" i="5"/>
  <c r="BH102" i="5"/>
  <c r="BE102" i="5"/>
  <c r="BJ102" i="5"/>
  <c r="AY102" i="5"/>
  <c r="BD102" i="5"/>
  <c r="AZ102" i="5"/>
  <c r="BA102" i="5"/>
  <c r="BP102" i="5" s="1"/>
  <c r="AV102" i="5"/>
  <c r="BC102" i="5" s="1"/>
  <c r="AU102" i="5"/>
  <c r="BN102" i="5" s="1"/>
  <c r="BY166" i="5"/>
  <c r="CD166" i="5"/>
  <c r="CA166" i="5"/>
  <c r="CI166" i="5"/>
  <c r="CE166" i="5"/>
  <c r="BW166" i="5"/>
  <c r="BV166" i="5"/>
  <c r="BU166" i="5"/>
  <c r="BT166" i="5"/>
  <c r="BS166" i="5"/>
  <c r="BR166" i="5"/>
  <c r="BQ166" i="5"/>
  <c r="BM166" i="5"/>
  <c r="CK166" i="5"/>
  <c r="CF166" i="5"/>
  <c r="CC166" i="5"/>
  <c r="BK166" i="5"/>
  <c r="BH166" i="5"/>
  <c r="BE166" i="5"/>
  <c r="BJ166" i="5"/>
  <c r="BG166" i="5"/>
  <c r="BI166" i="5"/>
  <c r="BF166" i="5"/>
  <c r="BA166" i="5"/>
  <c r="BP166" i="5" s="1"/>
  <c r="AZ166" i="5"/>
  <c r="BD166" i="5"/>
  <c r="AV166" i="5"/>
  <c r="BC166" i="5" s="1"/>
  <c r="AU166" i="5"/>
  <c r="BB166" i="5" s="1"/>
  <c r="AY166" i="5"/>
  <c r="CF55" i="5"/>
  <c r="CE55" i="5"/>
  <c r="CK55" i="5"/>
  <c r="BW55" i="5"/>
  <c r="BV55" i="5"/>
  <c r="BK55" i="5"/>
  <c r="BY55" i="5"/>
  <c r="CD55" i="5"/>
  <c r="CC55" i="5"/>
  <c r="CA55" i="5"/>
  <c r="BR55" i="5"/>
  <c r="BM55" i="5"/>
  <c r="BJ55" i="5"/>
  <c r="BI55" i="5"/>
  <c r="BH55" i="5"/>
  <c r="BG55" i="5"/>
  <c r="BF55" i="5"/>
  <c r="BE55" i="5"/>
  <c r="BD55" i="5"/>
  <c r="BA55" i="5"/>
  <c r="BP55" i="5" s="1"/>
  <c r="BU55" i="5"/>
  <c r="BT55" i="5"/>
  <c r="BS55" i="5"/>
  <c r="BQ55" i="5"/>
  <c r="CI55" i="5"/>
  <c r="AZ55" i="5"/>
  <c r="AY55" i="5"/>
  <c r="AV55" i="5"/>
  <c r="BO55" i="5" s="1"/>
  <c r="AU55" i="5"/>
  <c r="BB55" i="5" s="1"/>
  <c r="CI127" i="5"/>
  <c r="BY127" i="5"/>
  <c r="CD127" i="5"/>
  <c r="BW127" i="5"/>
  <c r="BK127" i="5"/>
  <c r="CE127" i="5"/>
  <c r="CK127" i="5"/>
  <c r="BU127" i="5"/>
  <c r="CA127" i="5"/>
  <c r="CF127" i="5"/>
  <c r="BV127" i="5"/>
  <c r="CC127" i="5"/>
  <c r="BQ127" i="5"/>
  <c r="BT127" i="5"/>
  <c r="BS127" i="5"/>
  <c r="BJ127" i="5"/>
  <c r="BI127" i="5"/>
  <c r="BH127" i="5"/>
  <c r="BG127" i="5"/>
  <c r="BF127" i="5"/>
  <c r="BE127" i="5"/>
  <c r="BD127" i="5"/>
  <c r="BA127" i="5"/>
  <c r="BP127" i="5" s="1"/>
  <c r="BR127" i="5"/>
  <c r="BM127" i="5"/>
  <c r="AZ127" i="5"/>
  <c r="AY127" i="5"/>
  <c r="AV127" i="5"/>
  <c r="BC127" i="5" s="1"/>
  <c r="AU127" i="5"/>
  <c r="BB127" i="5" s="1"/>
  <c r="CE48" i="5"/>
  <c r="CD48" i="5"/>
  <c r="CC48" i="5"/>
  <c r="CK48" i="5"/>
  <c r="CA48" i="5"/>
  <c r="CF48" i="5"/>
  <c r="CI48" i="5"/>
  <c r="BV48" i="5"/>
  <c r="BS48" i="5"/>
  <c r="BQ48" i="5"/>
  <c r="BU48" i="5"/>
  <c r="BT48" i="5"/>
  <c r="BR48" i="5"/>
  <c r="BY48" i="5"/>
  <c r="BW48" i="5"/>
  <c r="BM48" i="5"/>
  <c r="BJ48" i="5"/>
  <c r="BK48" i="5"/>
  <c r="BG48" i="5"/>
  <c r="BD48" i="5"/>
  <c r="BI48" i="5"/>
  <c r="BF48" i="5"/>
  <c r="BH48" i="5"/>
  <c r="BE48" i="5"/>
  <c r="AZ48" i="5"/>
  <c r="AY48" i="5"/>
  <c r="BA48" i="5"/>
  <c r="BP48" i="5" s="1"/>
  <c r="AV48" i="5"/>
  <c r="BO48" i="5" s="1"/>
  <c r="AU48" i="5"/>
  <c r="BN48" i="5" s="1"/>
  <c r="CF112" i="5"/>
  <c r="CE112" i="5"/>
  <c r="CD112" i="5"/>
  <c r="CC112" i="5"/>
  <c r="CK112" i="5"/>
  <c r="CA112" i="5"/>
  <c r="BW112" i="5"/>
  <c r="BY112" i="5"/>
  <c r="BV112" i="5"/>
  <c r="BU112" i="5"/>
  <c r="BS112" i="5"/>
  <c r="BQ112" i="5"/>
  <c r="BT112" i="5"/>
  <c r="BR112" i="5"/>
  <c r="CI112" i="5"/>
  <c r="BM112" i="5"/>
  <c r="BH112" i="5"/>
  <c r="BE112" i="5"/>
  <c r="BK112" i="5"/>
  <c r="BJ112" i="5"/>
  <c r="BG112" i="5"/>
  <c r="BI112" i="5"/>
  <c r="AZ112" i="5"/>
  <c r="AY112" i="5"/>
  <c r="BD112" i="5"/>
  <c r="BA112" i="5"/>
  <c r="BP112" i="5" s="1"/>
  <c r="BF112" i="5"/>
  <c r="AV112" i="5"/>
  <c r="BC112" i="5" s="1"/>
  <c r="AU112" i="5"/>
  <c r="BB112" i="5" s="1"/>
  <c r="CJ176" i="5"/>
  <c r="CH176" i="5"/>
  <c r="CF176" i="5"/>
  <c r="CE176" i="5"/>
  <c r="CD176" i="5"/>
  <c r="CK176" i="5"/>
  <c r="CG176" i="5"/>
  <c r="BZ176" i="5"/>
  <c r="CA176" i="5"/>
  <c r="BX176" i="5"/>
  <c r="BV176" i="5"/>
  <c r="BY176" i="5"/>
  <c r="BU176" i="5"/>
  <c r="BS176" i="5"/>
  <c r="BQ176" i="5"/>
  <c r="BT176" i="5"/>
  <c r="BR176" i="5"/>
  <c r="CI176" i="5"/>
  <c r="CC176" i="5"/>
  <c r="BW176" i="5"/>
  <c r="BM176" i="5"/>
  <c r="BK176" i="5"/>
  <c r="BJ176" i="5"/>
  <c r="BG176" i="5"/>
  <c r="BI176" i="5"/>
  <c r="BL176" i="5"/>
  <c r="BH176" i="5"/>
  <c r="BE176" i="5"/>
  <c r="AZ176" i="5"/>
  <c r="AY176" i="5"/>
  <c r="BF176" i="5"/>
  <c r="BA176" i="5"/>
  <c r="BP176" i="5" s="1"/>
  <c r="BD176" i="5"/>
  <c r="AV176" i="5"/>
  <c r="BC176" i="5" s="1"/>
  <c r="AU176" i="5"/>
  <c r="BN176" i="5" s="1"/>
  <c r="BO19" i="5"/>
  <c r="BB25" i="5"/>
  <c r="BZ25" i="5" s="1"/>
  <c r="BC57" i="5"/>
  <c r="BZ98" i="5"/>
  <c r="BD165" i="5"/>
  <c r="CB165" i="5" s="1"/>
  <c r="BC41" i="5"/>
  <c r="BP114" i="5"/>
  <c r="BB170" i="5"/>
  <c r="BZ170" i="5" s="1"/>
  <c r="BP93" i="5"/>
  <c r="BN119" i="5"/>
  <c r="CI33" i="5"/>
  <c r="CJ33" i="5"/>
  <c r="CK33" i="5"/>
  <c r="CF33" i="5"/>
  <c r="CD33" i="5"/>
  <c r="BX33" i="5"/>
  <c r="CC33" i="5"/>
  <c r="CA33" i="5"/>
  <c r="BZ33" i="5"/>
  <c r="BY33" i="5"/>
  <c r="BW33" i="5"/>
  <c r="BV33" i="5"/>
  <c r="BU33" i="5"/>
  <c r="CE33" i="5"/>
  <c r="CG33" i="5"/>
  <c r="BL33" i="5"/>
  <c r="CH33" i="5"/>
  <c r="BR33" i="5"/>
  <c r="BT33" i="5"/>
  <c r="BS33" i="5"/>
  <c r="BM33" i="5"/>
  <c r="BJ33" i="5"/>
  <c r="BK33" i="5"/>
  <c r="BQ33" i="5"/>
  <c r="BG33" i="5"/>
  <c r="BD33" i="5"/>
  <c r="BI33" i="5"/>
  <c r="BF33" i="5"/>
  <c r="BH33" i="5"/>
  <c r="BE33" i="5"/>
  <c r="BA33" i="5"/>
  <c r="BP33" i="5" s="1"/>
  <c r="AZ33" i="5"/>
  <c r="AY33" i="5"/>
  <c r="AV33" i="5"/>
  <c r="BO33" i="5" s="1"/>
  <c r="AU33" i="5"/>
  <c r="BN33" i="5" s="1"/>
  <c r="CI145" i="5"/>
  <c r="CE145" i="5"/>
  <c r="CF145" i="5"/>
  <c r="CC145" i="5"/>
  <c r="BY145" i="5"/>
  <c r="CD145" i="5"/>
  <c r="BV145" i="5"/>
  <c r="BU145" i="5"/>
  <c r="CA145" i="5"/>
  <c r="BW145" i="5"/>
  <c r="BS145" i="5"/>
  <c r="CK145" i="5"/>
  <c r="BK145" i="5"/>
  <c r="BQ145" i="5"/>
  <c r="BR145" i="5"/>
  <c r="BT145" i="5"/>
  <c r="BM145" i="5"/>
  <c r="BG145" i="5"/>
  <c r="BI145" i="5"/>
  <c r="BF145" i="5"/>
  <c r="BH145" i="5"/>
  <c r="BE145" i="5"/>
  <c r="BJ145" i="5"/>
  <c r="AY145" i="5"/>
  <c r="AZ145" i="5"/>
  <c r="BD145" i="5"/>
  <c r="BA145" i="5"/>
  <c r="BP145" i="5" s="1"/>
  <c r="AV145" i="5"/>
  <c r="BO145" i="5" s="1"/>
  <c r="AU145" i="5"/>
  <c r="BB145" i="5" s="1"/>
  <c r="CK130" i="5"/>
  <c r="CG130" i="5"/>
  <c r="CF130" i="5"/>
  <c r="BW130" i="5"/>
  <c r="CC130" i="5"/>
  <c r="CJ130" i="5"/>
  <c r="CI130" i="5"/>
  <c r="CD130" i="5"/>
  <c r="CA130" i="5"/>
  <c r="BZ130" i="5"/>
  <c r="BV130" i="5"/>
  <c r="BK130" i="5"/>
  <c r="BX130" i="5"/>
  <c r="BY130" i="5"/>
  <c r="BS130" i="5"/>
  <c r="CE130" i="5"/>
  <c r="CH130" i="5"/>
  <c r="BU130" i="5"/>
  <c r="BR130" i="5"/>
  <c r="BM130" i="5"/>
  <c r="BQ130" i="5"/>
  <c r="BL130" i="5"/>
  <c r="BT130" i="5"/>
  <c r="BG130" i="5"/>
  <c r="BI130" i="5"/>
  <c r="BF130" i="5"/>
  <c r="BH130" i="5"/>
  <c r="BE130" i="5"/>
  <c r="BJ130" i="5"/>
  <c r="BA130" i="5"/>
  <c r="BP130" i="5" s="1"/>
  <c r="BD130" i="5"/>
  <c r="AZ130" i="5"/>
  <c r="AY130" i="5"/>
  <c r="AV130" i="5"/>
  <c r="BO130" i="5" s="1"/>
  <c r="AU130" i="5"/>
  <c r="BN130" i="5" s="1"/>
  <c r="CK11" i="5"/>
  <c r="CD11" i="5"/>
  <c r="CA11" i="5"/>
  <c r="CE11" i="5"/>
  <c r="CC11" i="5"/>
  <c r="CI11" i="5"/>
  <c r="BT11" i="5"/>
  <c r="BS11" i="5"/>
  <c r="BR11" i="5"/>
  <c r="BQ11" i="5"/>
  <c r="BM11" i="5"/>
  <c r="BU11" i="5"/>
  <c r="BV11" i="5"/>
  <c r="BW11" i="5"/>
  <c r="BI11" i="5"/>
  <c r="BH11" i="5"/>
  <c r="BG11" i="5"/>
  <c r="BF11" i="5"/>
  <c r="BE11" i="5"/>
  <c r="BD11" i="5"/>
  <c r="BA11" i="5"/>
  <c r="BP11" i="5" s="1"/>
  <c r="AZ11" i="5"/>
  <c r="BK11" i="5"/>
  <c r="CF11" i="5"/>
  <c r="BY11" i="5"/>
  <c r="BJ11" i="5"/>
  <c r="AY11" i="5"/>
  <c r="AV11" i="5"/>
  <c r="BO11" i="5" s="1"/>
  <c r="AU11" i="5"/>
  <c r="BN11" i="5" s="1"/>
  <c r="CI115" i="5"/>
  <c r="CF115" i="5"/>
  <c r="CD115" i="5"/>
  <c r="CA115" i="5"/>
  <c r="BW115" i="5"/>
  <c r="BT115" i="5"/>
  <c r="BS115" i="5"/>
  <c r="BR115" i="5"/>
  <c r="BQ115" i="5"/>
  <c r="BM115" i="5"/>
  <c r="CC115" i="5"/>
  <c r="CE115" i="5"/>
  <c r="CK115" i="5"/>
  <c r="BY115" i="5"/>
  <c r="BV115" i="5"/>
  <c r="BU115" i="5"/>
  <c r="BJ115" i="5"/>
  <c r="BI115" i="5"/>
  <c r="BH115" i="5"/>
  <c r="BG115" i="5"/>
  <c r="BF115" i="5"/>
  <c r="BE115" i="5"/>
  <c r="BD115" i="5"/>
  <c r="BA115" i="5"/>
  <c r="BP115" i="5" s="1"/>
  <c r="BK115" i="5"/>
  <c r="AY115" i="5"/>
  <c r="AZ115" i="5"/>
  <c r="AV115" i="5"/>
  <c r="BO115" i="5" s="1"/>
  <c r="AU115" i="5"/>
  <c r="BB115" i="5" s="1"/>
  <c r="CF36" i="5"/>
  <c r="CI36" i="5"/>
  <c r="CH36" i="5"/>
  <c r="CG36" i="5"/>
  <c r="CE36" i="5"/>
  <c r="BX36" i="5"/>
  <c r="BY36" i="5"/>
  <c r="CD36" i="5"/>
  <c r="BW36" i="5"/>
  <c r="BT36" i="5"/>
  <c r="BJ36" i="5"/>
  <c r="CA36" i="5"/>
  <c r="BZ36" i="5"/>
  <c r="CC36" i="5"/>
  <c r="BK36" i="5"/>
  <c r="CJ36" i="5"/>
  <c r="BR36" i="5"/>
  <c r="CK36" i="5"/>
  <c r="BM36" i="5"/>
  <c r="BV36" i="5"/>
  <c r="BH36" i="5"/>
  <c r="BF36" i="5"/>
  <c r="BD36" i="5"/>
  <c r="BQ36" i="5"/>
  <c r="BU36" i="5"/>
  <c r="BS36" i="5"/>
  <c r="BI36" i="5"/>
  <c r="BG36" i="5"/>
  <c r="BE36" i="5"/>
  <c r="BL36" i="5"/>
  <c r="AY36" i="5"/>
  <c r="BA36" i="5"/>
  <c r="BP36" i="5" s="1"/>
  <c r="AZ36" i="5"/>
  <c r="AV36" i="5"/>
  <c r="BC36" i="5" s="1"/>
  <c r="AU36" i="5"/>
  <c r="BN36" i="5" s="1"/>
  <c r="CJ100" i="5"/>
  <c r="CI100" i="5"/>
  <c r="CH100" i="5"/>
  <c r="CF100" i="5"/>
  <c r="CG100" i="5"/>
  <c r="CE100" i="5"/>
  <c r="CD100" i="5"/>
  <c r="CK100" i="5"/>
  <c r="BX100" i="5"/>
  <c r="BZ100" i="5"/>
  <c r="CA100" i="5"/>
  <c r="BY100" i="5"/>
  <c r="BU100" i="5"/>
  <c r="CC100" i="5"/>
  <c r="BT100" i="5"/>
  <c r="BK100" i="5"/>
  <c r="BV100" i="5"/>
  <c r="BL100" i="5"/>
  <c r="BQ100" i="5"/>
  <c r="BS100" i="5"/>
  <c r="BR100" i="5"/>
  <c r="BJ100" i="5"/>
  <c r="BH100" i="5"/>
  <c r="BF100" i="5"/>
  <c r="BD100" i="5"/>
  <c r="BM100" i="5"/>
  <c r="BW100" i="5"/>
  <c r="BI100" i="5"/>
  <c r="BG100" i="5"/>
  <c r="BE100" i="5"/>
  <c r="AZ100" i="5"/>
  <c r="AY100" i="5"/>
  <c r="BA100" i="5"/>
  <c r="BP100" i="5" s="1"/>
  <c r="AV100" i="5"/>
  <c r="BO100" i="5" s="1"/>
  <c r="AU100" i="5"/>
  <c r="BN100" i="5" s="1"/>
  <c r="CI164" i="5"/>
  <c r="CF164" i="5"/>
  <c r="CH164" i="5"/>
  <c r="CG164" i="5"/>
  <c r="BX164" i="5"/>
  <c r="CC164" i="5"/>
  <c r="CK164" i="5"/>
  <c r="CJ164" i="5"/>
  <c r="CD164" i="5"/>
  <c r="BZ164" i="5"/>
  <c r="BY164" i="5"/>
  <c r="CA164" i="5"/>
  <c r="BL164" i="5"/>
  <c r="BW164" i="5"/>
  <c r="CE164" i="5"/>
  <c r="BT164" i="5"/>
  <c r="BV164" i="5"/>
  <c r="BK164" i="5"/>
  <c r="BS164" i="5"/>
  <c r="BQ164" i="5"/>
  <c r="BU164" i="5"/>
  <c r="BJ164" i="5"/>
  <c r="BH164" i="5"/>
  <c r="BF164" i="5"/>
  <c r="BD164" i="5"/>
  <c r="BR164" i="5"/>
  <c r="BM164" i="5"/>
  <c r="BI164" i="5"/>
  <c r="BG164" i="5"/>
  <c r="BE164" i="5"/>
  <c r="AZ164" i="5"/>
  <c r="AY164" i="5"/>
  <c r="BA164" i="5"/>
  <c r="BP164" i="5" s="1"/>
  <c r="AV164" i="5"/>
  <c r="BO164" i="5" s="1"/>
  <c r="AU164" i="5"/>
  <c r="BN164" i="5" s="1"/>
  <c r="CK13" i="5"/>
  <c r="CI13" i="5"/>
  <c r="CF13" i="5"/>
  <c r="CD13" i="5"/>
  <c r="BW13" i="5"/>
  <c r="BZ13" i="5"/>
  <c r="BY13" i="5"/>
  <c r="CH13" i="5"/>
  <c r="CG13" i="5"/>
  <c r="BX13" i="5"/>
  <c r="CE13" i="5"/>
  <c r="BU13" i="5"/>
  <c r="CJ13" i="5"/>
  <c r="CC13" i="5"/>
  <c r="BV13" i="5"/>
  <c r="BQ13" i="5"/>
  <c r="BS13" i="5"/>
  <c r="BL13" i="5"/>
  <c r="BT13" i="5"/>
  <c r="BK13" i="5"/>
  <c r="CA13" i="5"/>
  <c r="BR13" i="5"/>
  <c r="BM13" i="5"/>
  <c r="BI13" i="5"/>
  <c r="BF13" i="5"/>
  <c r="BH13" i="5"/>
  <c r="AZ13" i="5"/>
  <c r="BJ13" i="5"/>
  <c r="BG13" i="5"/>
  <c r="BD13" i="5"/>
  <c r="BA13" i="5"/>
  <c r="BP13" i="5" s="1"/>
  <c r="BE13" i="5"/>
  <c r="AY13" i="5"/>
  <c r="AV13" i="5"/>
  <c r="BO13" i="5" s="1"/>
  <c r="AU13" i="5"/>
  <c r="BN13" i="5" s="1"/>
  <c r="CK117" i="5"/>
  <c r="CG117" i="5"/>
  <c r="CE117" i="5"/>
  <c r="CF117" i="5"/>
  <c r="CJ117" i="5"/>
  <c r="BW117" i="5"/>
  <c r="CC117" i="5"/>
  <c r="CD117" i="5"/>
  <c r="CH117" i="5"/>
  <c r="BL117" i="5"/>
  <c r="BX117" i="5"/>
  <c r="BU117" i="5"/>
  <c r="BV117" i="5"/>
  <c r="BT117" i="5"/>
  <c r="BR117" i="5"/>
  <c r="BS117" i="5"/>
  <c r="BQ117" i="5"/>
  <c r="CI117" i="5"/>
  <c r="BY117" i="5"/>
  <c r="BZ117" i="5"/>
  <c r="BM117" i="5"/>
  <c r="CA117" i="5"/>
  <c r="BK117" i="5"/>
  <c r="BG117" i="5"/>
  <c r="BI117" i="5"/>
  <c r="BF117" i="5"/>
  <c r="BH117" i="5"/>
  <c r="BE117" i="5"/>
  <c r="BJ117" i="5"/>
  <c r="AZ117" i="5"/>
  <c r="BD117" i="5"/>
  <c r="AY117" i="5"/>
  <c r="BA117" i="5"/>
  <c r="BP117" i="5" s="1"/>
  <c r="AV117" i="5"/>
  <c r="BO117" i="5" s="1"/>
  <c r="AU117" i="5"/>
  <c r="BN117" i="5" s="1"/>
  <c r="CK30" i="5"/>
  <c r="CC30" i="5"/>
  <c r="CA30" i="5"/>
  <c r="BY30" i="5"/>
  <c r="CE30" i="5"/>
  <c r="BW30" i="5"/>
  <c r="BV30" i="5"/>
  <c r="BU30" i="5"/>
  <c r="CD30" i="5"/>
  <c r="BT30" i="5"/>
  <c r="BS30" i="5"/>
  <c r="BR30" i="5"/>
  <c r="BQ30" i="5"/>
  <c r="BM30" i="5"/>
  <c r="CF30" i="5"/>
  <c r="CI30" i="5"/>
  <c r="BK30" i="5"/>
  <c r="BJ30" i="5"/>
  <c r="BI30" i="5"/>
  <c r="BG30" i="5"/>
  <c r="BE30" i="5"/>
  <c r="BH30" i="5"/>
  <c r="BF30" i="5"/>
  <c r="BD30" i="5"/>
  <c r="AZ30" i="5"/>
  <c r="AY30" i="5"/>
  <c r="BA30" i="5"/>
  <c r="BP30" i="5" s="1"/>
  <c r="AV30" i="5"/>
  <c r="BC30" i="5" s="1"/>
  <c r="AU30" i="5"/>
  <c r="BN30" i="5" s="1"/>
  <c r="CD110" i="5"/>
  <c r="BY110" i="5"/>
  <c r="CA110" i="5"/>
  <c r="BV110" i="5"/>
  <c r="BU110" i="5"/>
  <c r="CI110" i="5"/>
  <c r="BT110" i="5"/>
  <c r="BS110" i="5"/>
  <c r="BR110" i="5"/>
  <c r="BQ110" i="5"/>
  <c r="BM110" i="5"/>
  <c r="CK110" i="5"/>
  <c r="CE110" i="5"/>
  <c r="BW110" i="5"/>
  <c r="CC110" i="5"/>
  <c r="BK110" i="5"/>
  <c r="CF110" i="5"/>
  <c r="BJ110" i="5"/>
  <c r="BH110" i="5"/>
  <c r="BF110" i="5"/>
  <c r="BD110" i="5"/>
  <c r="BI110" i="5"/>
  <c r="BG110" i="5"/>
  <c r="BE110" i="5"/>
  <c r="BA110" i="5"/>
  <c r="BP110" i="5" s="1"/>
  <c r="AZ110" i="5"/>
  <c r="AY110" i="5"/>
  <c r="AV110" i="5"/>
  <c r="BO110" i="5" s="1"/>
  <c r="AU110" i="5"/>
  <c r="BN110" i="5" s="1"/>
  <c r="CG174" i="5"/>
  <c r="CH174" i="5"/>
  <c r="CK174" i="5"/>
  <c r="BY174" i="5"/>
  <c r="CA174" i="5"/>
  <c r="CF174" i="5"/>
  <c r="BW174" i="5"/>
  <c r="BV174" i="5"/>
  <c r="CJ174" i="5"/>
  <c r="CI174" i="5"/>
  <c r="BU174" i="5"/>
  <c r="BT174" i="5"/>
  <c r="BS174" i="5"/>
  <c r="BR174" i="5"/>
  <c r="BQ174" i="5"/>
  <c r="BO174" i="5"/>
  <c r="BM174" i="5"/>
  <c r="CC174" i="5"/>
  <c r="BZ174" i="5"/>
  <c r="CE174" i="5"/>
  <c r="CD174" i="5"/>
  <c r="BK174" i="5"/>
  <c r="BJ174" i="5"/>
  <c r="BH174" i="5"/>
  <c r="BF174" i="5"/>
  <c r="BD174" i="5"/>
  <c r="BX174" i="5"/>
  <c r="BL174" i="5"/>
  <c r="BI174" i="5"/>
  <c r="BG174" i="5"/>
  <c r="BE174" i="5"/>
  <c r="BC174" i="5"/>
  <c r="AZ174" i="5"/>
  <c r="BA174" i="5"/>
  <c r="BP174" i="5" s="1"/>
  <c r="AY174" i="5"/>
  <c r="AV174" i="5"/>
  <c r="AU174" i="5"/>
  <c r="BB174" i="5" s="1"/>
  <c r="CI63" i="5"/>
  <c r="CK63" i="5"/>
  <c r="CE63" i="5"/>
  <c r="CC63" i="5"/>
  <c r="BY63" i="5"/>
  <c r="BK63" i="5"/>
  <c r="CA63" i="5"/>
  <c r="BU63" i="5"/>
  <c r="CD63" i="5"/>
  <c r="BT63" i="5"/>
  <c r="BQ63" i="5"/>
  <c r="CF63" i="5"/>
  <c r="BV63" i="5"/>
  <c r="BJ63" i="5"/>
  <c r="BI63" i="5"/>
  <c r="BH63" i="5"/>
  <c r="BG63" i="5"/>
  <c r="BF63" i="5"/>
  <c r="BE63" i="5"/>
  <c r="BD63" i="5"/>
  <c r="BA63" i="5"/>
  <c r="BP63" i="5" s="1"/>
  <c r="BW63" i="5"/>
  <c r="BM63" i="5"/>
  <c r="BS63" i="5"/>
  <c r="BR63" i="5"/>
  <c r="AZ63" i="5"/>
  <c r="AY63" i="5"/>
  <c r="AV63" i="5"/>
  <c r="BC63" i="5" s="1"/>
  <c r="AU63" i="5"/>
  <c r="BB63" i="5" s="1"/>
  <c r="CK135" i="5"/>
  <c r="CE135" i="5"/>
  <c r="CF135" i="5"/>
  <c r="CD135" i="5"/>
  <c r="CC135" i="5"/>
  <c r="BY135" i="5"/>
  <c r="BU135" i="5"/>
  <c r="BK135" i="5"/>
  <c r="CI135" i="5"/>
  <c r="BW135" i="5"/>
  <c r="CA135" i="5"/>
  <c r="BT135" i="5"/>
  <c r="BQ135" i="5"/>
  <c r="BV135" i="5"/>
  <c r="BJ135" i="5"/>
  <c r="BI135" i="5"/>
  <c r="BH135" i="5"/>
  <c r="BG135" i="5"/>
  <c r="BF135" i="5"/>
  <c r="BE135" i="5"/>
  <c r="BD135" i="5"/>
  <c r="BA135" i="5"/>
  <c r="BP135" i="5" s="1"/>
  <c r="BR135" i="5"/>
  <c r="BS135" i="5"/>
  <c r="BM135" i="5"/>
  <c r="AY135" i="5"/>
  <c r="AZ135" i="5"/>
  <c r="AV135" i="5"/>
  <c r="BC135" i="5" s="1"/>
  <c r="AU135" i="5"/>
  <c r="BN135" i="5" s="1"/>
  <c r="CE56" i="5"/>
  <c r="CD56" i="5"/>
  <c r="CC56" i="5"/>
  <c r="CI56" i="5"/>
  <c r="CA56" i="5"/>
  <c r="BY56" i="5"/>
  <c r="BW56" i="5"/>
  <c r="BU56" i="5"/>
  <c r="CK56" i="5"/>
  <c r="CF56" i="5"/>
  <c r="BQ56" i="5"/>
  <c r="BR56" i="5"/>
  <c r="BM56" i="5"/>
  <c r="BT56" i="5"/>
  <c r="BS56" i="5"/>
  <c r="BV56" i="5"/>
  <c r="BK56" i="5"/>
  <c r="BI56" i="5"/>
  <c r="BF56" i="5"/>
  <c r="BH56" i="5"/>
  <c r="BJ56" i="5"/>
  <c r="BG56" i="5"/>
  <c r="BD56" i="5"/>
  <c r="BA56" i="5"/>
  <c r="BP56" i="5" s="1"/>
  <c r="AZ56" i="5"/>
  <c r="AY56" i="5"/>
  <c r="BE56" i="5"/>
  <c r="AV56" i="5"/>
  <c r="BO56" i="5" s="1"/>
  <c r="AU56" i="5"/>
  <c r="BB56" i="5" s="1"/>
  <c r="CF120" i="5"/>
  <c r="CE120" i="5"/>
  <c r="CD120" i="5"/>
  <c r="CC120" i="5"/>
  <c r="CK120" i="5"/>
  <c r="CG120" i="5"/>
  <c r="BY120" i="5"/>
  <c r="CI120" i="5"/>
  <c r="CA120" i="5"/>
  <c r="BU120" i="5"/>
  <c r="BT120" i="5"/>
  <c r="BW120" i="5"/>
  <c r="BQ120" i="5"/>
  <c r="BV120" i="5"/>
  <c r="BS120" i="5"/>
  <c r="BR120" i="5"/>
  <c r="BM120" i="5"/>
  <c r="BJ120" i="5"/>
  <c r="BG120" i="5"/>
  <c r="BD120" i="5"/>
  <c r="BI120" i="5"/>
  <c r="BK120" i="5"/>
  <c r="BH120" i="5"/>
  <c r="BA120" i="5"/>
  <c r="BP120" i="5" s="1"/>
  <c r="AZ120" i="5"/>
  <c r="AY120" i="5"/>
  <c r="BF120" i="5"/>
  <c r="BE120" i="5"/>
  <c r="AV120" i="5"/>
  <c r="BO120" i="5" s="1"/>
  <c r="AU120" i="5"/>
  <c r="BB120" i="5" s="1"/>
  <c r="BZ114" i="5"/>
  <c r="BP50" i="5"/>
  <c r="BZ67" i="5"/>
  <c r="G96" i="12"/>
  <c r="F67" i="12"/>
  <c r="D14" i="7"/>
  <c r="BO146" i="5" l="1"/>
  <c r="BB168" i="5"/>
  <c r="BB36" i="5"/>
  <c r="CB124" i="5"/>
  <c r="BC68" i="5"/>
  <c r="BO79" i="5"/>
  <c r="BO38" i="5"/>
  <c r="AC11" i="13"/>
  <c r="BB3" i="5"/>
  <c r="CB74" i="5"/>
  <c r="BL54" i="5"/>
  <c r="CB22" i="5"/>
  <c r="BC107" i="5"/>
  <c r="BC3" i="5"/>
  <c r="BO44" i="5"/>
  <c r="BB17" i="5"/>
  <c r="BZ17" i="5" s="1"/>
  <c r="BB32" i="5"/>
  <c r="BO31" i="5"/>
  <c r="BO61" i="5"/>
  <c r="BN68" i="5"/>
  <c r="BB45" i="5"/>
  <c r="BO108" i="5"/>
  <c r="BN157" i="5"/>
  <c r="BO173" i="5"/>
  <c r="BB124" i="5"/>
  <c r="BB13" i="5"/>
  <c r="BB6" i="5"/>
  <c r="BC58" i="5"/>
  <c r="BC113" i="5"/>
  <c r="BB88" i="5"/>
  <c r="BZ88" i="5" s="1"/>
  <c r="BO88" i="5"/>
  <c r="BO132" i="5"/>
  <c r="BC64" i="5"/>
  <c r="H16" i="9"/>
  <c r="BO43" i="5"/>
  <c r="BO135" i="5"/>
  <c r="BC110" i="5"/>
  <c r="BO74" i="5"/>
  <c r="BO160" i="5"/>
  <c r="BO96" i="5"/>
  <c r="BB173" i="5"/>
  <c r="BB38" i="5"/>
  <c r="BX53" i="5"/>
  <c r="BO22" i="5"/>
  <c r="CB96" i="5"/>
  <c r="BL34" i="5"/>
  <c r="CB113" i="5"/>
  <c r="BO129" i="5"/>
  <c r="BB75" i="5"/>
  <c r="BB177" i="5"/>
  <c r="BB113" i="5"/>
  <c r="BN152" i="5"/>
  <c r="BB61" i="5"/>
  <c r="CB168" i="5"/>
  <c r="BB14" i="5"/>
  <c r="BN74" i="5"/>
  <c r="BN123" i="5"/>
  <c r="BB117" i="5"/>
  <c r="BC45" i="5"/>
  <c r="CB43" i="5"/>
  <c r="BC39" i="5"/>
  <c r="BC14" i="5"/>
  <c r="BN112" i="5"/>
  <c r="BB160" i="5"/>
  <c r="BO116" i="5"/>
  <c r="AZ182" i="5"/>
  <c r="AZ183" i="5" s="1"/>
  <c r="BN144" i="5"/>
  <c r="BC80" i="5"/>
  <c r="F10" i="13"/>
  <c r="D15" i="9"/>
  <c r="D18" i="9" s="1"/>
  <c r="D21" i="9" s="1"/>
  <c r="CB82" i="5"/>
  <c r="BN136" i="5"/>
  <c r="BZ136" i="5" s="1"/>
  <c r="BB7" i="5"/>
  <c r="BZ7" i="5" s="1"/>
  <c r="BC126" i="5"/>
  <c r="BO131" i="5"/>
  <c r="BC65" i="5"/>
  <c r="BO128" i="5"/>
  <c r="BP161" i="5"/>
  <c r="BA182" i="5"/>
  <c r="BA183" i="5" s="1"/>
  <c r="BC140" i="5"/>
  <c r="BN140" i="5"/>
  <c r="BZ140" i="5" s="1"/>
  <c r="BL59" i="5"/>
  <c r="BO15" i="5"/>
  <c r="BL19" i="5"/>
  <c r="BO102" i="5"/>
  <c r="BO92" i="5"/>
  <c r="BO86" i="5"/>
  <c r="BB30" i="5"/>
  <c r="BC100" i="5"/>
  <c r="BN115" i="5"/>
  <c r="BN145" i="5"/>
  <c r="BC117" i="5"/>
  <c r="BB164" i="5"/>
  <c r="BB130" i="5"/>
  <c r="BC33" i="5"/>
  <c r="BN55" i="5"/>
  <c r="BZ55" i="5" s="1"/>
  <c r="BC55" i="5"/>
  <c r="BL17" i="5"/>
  <c r="BB96" i="5"/>
  <c r="BC103" i="5"/>
  <c r="BN103" i="5"/>
  <c r="BZ103" i="5" s="1"/>
  <c r="BB150" i="5"/>
  <c r="BZ150" i="5" s="1"/>
  <c r="BC152" i="5"/>
  <c r="BB167" i="5"/>
  <c r="BO95" i="5"/>
  <c r="BX71" i="5"/>
  <c r="CB29" i="5"/>
  <c r="BZ62" i="5"/>
  <c r="BE182" i="5"/>
  <c r="BE183" i="5" s="1"/>
  <c r="CK182" i="5"/>
  <c r="CK183" i="5" s="1"/>
  <c r="BO168" i="5"/>
  <c r="BN84" i="5"/>
  <c r="BB20" i="5"/>
  <c r="BO99" i="5"/>
  <c r="BC53" i="5"/>
  <c r="BC12" i="5"/>
  <c r="BX171" i="5"/>
  <c r="BO91" i="5"/>
  <c r="BC18" i="5"/>
  <c r="CB5" i="5"/>
  <c r="BC48" i="5"/>
  <c r="BB135" i="5"/>
  <c r="BC164" i="5"/>
  <c r="BB100" i="5"/>
  <c r="BO36" i="5"/>
  <c r="BN127" i="5"/>
  <c r="BB107" i="5"/>
  <c r="BZ32" i="5"/>
  <c r="BO69" i="5"/>
  <c r="BC167" i="5"/>
  <c r="BO136" i="5"/>
  <c r="BC72" i="5"/>
  <c r="BB79" i="5"/>
  <c r="AY191" i="5"/>
  <c r="AY192" i="5" s="1"/>
  <c r="AY193" i="5"/>
  <c r="AY194" i="5" s="1"/>
  <c r="AV193" i="5"/>
  <c r="AV194" i="5" s="1"/>
  <c r="AV191" i="5"/>
  <c r="AV192" i="5" s="1"/>
  <c r="BO177" i="5"/>
  <c r="CB128" i="5"/>
  <c r="AY182" i="5"/>
  <c r="AY183" i="5" s="1"/>
  <c r="BB171" i="5"/>
  <c r="BB91" i="5"/>
  <c r="BZ91" i="5" s="1"/>
  <c r="BC144" i="5"/>
  <c r="AA39" i="13"/>
  <c r="J39" i="13"/>
  <c r="BN64" i="5"/>
  <c r="BZ64" i="5" s="1"/>
  <c r="CB172" i="5"/>
  <c r="BL44" i="5"/>
  <c r="BN161" i="5"/>
  <c r="AU182" i="5"/>
  <c r="AU183" i="5" s="1"/>
  <c r="BB139" i="5"/>
  <c r="BB104" i="5"/>
  <c r="BZ104" i="5" s="1"/>
  <c r="BB155" i="5"/>
  <c r="BZ123" i="5"/>
  <c r="BC161" i="5"/>
  <c r="AV182" i="5"/>
  <c r="AV183" i="5" s="1"/>
  <c r="BO148" i="5"/>
  <c r="CB84" i="5"/>
  <c r="BN12" i="5"/>
  <c r="BZ12" i="5" s="1"/>
  <c r="BO59" i="5"/>
  <c r="BL87" i="5"/>
  <c r="BL134" i="5"/>
  <c r="CB117" i="5"/>
  <c r="BC130" i="5"/>
  <c r="BB176" i="5"/>
  <c r="BC155" i="5"/>
  <c r="BN89" i="5"/>
  <c r="BB72" i="5"/>
  <c r="BZ72" i="5" s="1"/>
  <c r="BN143" i="5"/>
  <c r="BZ143" i="5" s="1"/>
  <c r="CB118" i="5"/>
  <c r="BO123" i="5"/>
  <c r="BZ171" i="5"/>
  <c r="BB80" i="5"/>
  <c r="BC101" i="5"/>
  <c r="BB129" i="5"/>
  <c r="BZ129" i="5" s="1"/>
  <c r="BZ75" i="5"/>
  <c r="BZ45" i="5"/>
  <c r="BN116" i="5"/>
  <c r="BZ116" i="5" s="1"/>
  <c r="BB52" i="5"/>
  <c r="BN43" i="5"/>
  <c r="BN108" i="5"/>
  <c r="CB27" i="5"/>
  <c r="BL40" i="5"/>
  <c r="BX39" i="5"/>
  <c r="BL158" i="5"/>
  <c r="BL99" i="5"/>
  <c r="CB144" i="5"/>
  <c r="CB77" i="5"/>
  <c r="BX135" i="5"/>
  <c r="BY182" i="5"/>
  <c r="BY183" i="5" s="1"/>
  <c r="BZ160" i="5"/>
  <c r="CB89" i="5"/>
  <c r="BL64" i="5"/>
  <c r="BL71" i="5"/>
  <c r="CB125" i="5"/>
  <c r="BH182" i="5"/>
  <c r="BH183" i="5" s="1"/>
  <c r="BU182" i="5"/>
  <c r="BU183" i="5" s="1"/>
  <c r="BZ83" i="5"/>
  <c r="BL14" i="5"/>
  <c r="BZ20" i="5"/>
  <c r="CB60" i="5"/>
  <c r="BX54" i="5"/>
  <c r="BL131" i="5"/>
  <c r="BL58" i="5"/>
  <c r="BK182" i="5"/>
  <c r="BK183" i="5" s="1"/>
  <c r="CE182" i="5"/>
  <c r="CE183" i="5" s="1"/>
  <c r="BL148" i="5"/>
  <c r="BL53" i="5"/>
  <c r="BL91" i="5"/>
  <c r="CC182" i="5"/>
  <c r="CC183" i="5" s="1"/>
  <c r="BX150" i="5"/>
  <c r="BX95" i="5"/>
  <c r="BX151" i="5"/>
  <c r="CB13" i="5"/>
  <c r="CB69" i="5"/>
  <c r="BL143" i="5"/>
  <c r="BL146" i="5"/>
  <c r="BI182" i="5"/>
  <c r="BI183" i="5" s="1"/>
  <c r="BM182" i="5"/>
  <c r="BM183" i="5" s="1"/>
  <c r="CD182" i="5"/>
  <c r="CD183" i="5" s="1"/>
  <c r="CB137" i="5"/>
  <c r="BL140" i="5"/>
  <c r="CB171" i="5"/>
  <c r="BL52" i="5"/>
  <c r="CB177" i="5"/>
  <c r="BL125" i="5"/>
  <c r="BD182" i="5"/>
  <c r="BD183" i="5" s="1"/>
  <c r="BG182" i="5"/>
  <c r="BG183" i="5" s="1"/>
  <c r="BT182" i="5"/>
  <c r="BT183" i="5" s="1"/>
  <c r="BV182" i="5"/>
  <c r="BV183" i="5" s="1"/>
  <c r="CI182" i="5"/>
  <c r="CI183" i="5" s="1"/>
  <c r="CB157" i="5"/>
  <c r="BL85" i="5"/>
  <c r="BL97" i="5"/>
  <c r="F75" i="13"/>
  <c r="F80" i="13" s="1"/>
  <c r="CB24" i="5"/>
  <c r="CB130" i="5"/>
  <c r="CB176" i="5"/>
  <c r="BZ156" i="5"/>
  <c r="BX103" i="5"/>
  <c r="BX70" i="5"/>
  <c r="BZ155" i="5"/>
  <c r="BX7" i="5"/>
  <c r="BL141" i="5"/>
  <c r="BL108" i="5"/>
  <c r="BF182" i="5"/>
  <c r="BF183" i="5" s="1"/>
  <c r="BJ182" i="5"/>
  <c r="BJ183" i="5" s="1"/>
  <c r="BR182" i="5"/>
  <c r="BR183" i="5" s="1"/>
  <c r="BW182" i="5"/>
  <c r="BW183" i="5" s="1"/>
  <c r="CB158" i="5"/>
  <c r="BX158" i="5"/>
  <c r="CB14" i="5"/>
  <c r="CB53" i="5"/>
  <c r="BX87" i="5"/>
  <c r="BL32" i="5"/>
  <c r="BX46" i="5"/>
  <c r="BZ135" i="5"/>
  <c r="CB164" i="5"/>
  <c r="CB100" i="5"/>
  <c r="CB36" i="5"/>
  <c r="BX55" i="5"/>
  <c r="BL92" i="5"/>
  <c r="CB152" i="5"/>
  <c r="CB173" i="5"/>
  <c r="CB8" i="5"/>
  <c r="CB116" i="5"/>
  <c r="BX143" i="5"/>
  <c r="BQ182" i="5"/>
  <c r="BQ183" i="5" s="1"/>
  <c r="CF182" i="5"/>
  <c r="CF183" i="5" s="1"/>
  <c r="CB139" i="5"/>
  <c r="BL12" i="5"/>
  <c r="BX30" i="5"/>
  <c r="BX63" i="5"/>
  <c r="CB33" i="5"/>
  <c r="CB107" i="5"/>
  <c r="BL72" i="5"/>
  <c r="BX126" i="5"/>
  <c r="BL123" i="5"/>
  <c r="CB161" i="5"/>
  <c r="BP182" i="5"/>
  <c r="BP183" i="5" s="1"/>
  <c r="BS182" i="5"/>
  <c r="BS183" i="5" s="1"/>
  <c r="CA182" i="5"/>
  <c r="CA183" i="5" s="1"/>
  <c r="CB20" i="5"/>
  <c r="BL81" i="5"/>
  <c r="BX134" i="5"/>
  <c r="CB115" i="5"/>
  <c r="BX115" i="5"/>
  <c r="CB145" i="5"/>
  <c r="BX145" i="5"/>
  <c r="BX88" i="5"/>
  <c r="CB88" i="5"/>
  <c r="CB52" i="5"/>
  <c r="BX52" i="5"/>
  <c r="CB99" i="5"/>
  <c r="BX99" i="5"/>
  <c r="CB81" i="5"/>
  <c r="BX81" i="5"/>
  <c r="CB11" i="5"/>
  <c r="BX11" i="5"/>
  <c r="BX48" i="5"/>
  <c r="CB48" i="5"/>
  <c r="BX28" i="5"/>
  <c r="CB28" i="5"/>
  <c r="CB61" i="5"/>
  <c r="BX61" i="5"/>
  <c r="CB72" i="5"/>
  <c r="BX72" i="5"/>
  <c r="CB148" i="5"/>
  <c r="BX148" i="5"/>
  <c r="CB56" i="5"/>
  <c r="BX56" i="5"/>
  <c r="BX112" i="5"/>
  <c r="CB112" i="5"/>
  <c r="BX75" i="5"/>
  <c r="CB75" i="5"/>
  <c r="CB64" i="5"/>
  <c r="BX64" i="5"/>
  <c r="CB104" i="5"/>
  <c r="BX104" i="5"/>
  <c r="CB129" i="5"/>
  <c r="BX129" i="5"/>
  <c r="BX4" i="5"/>
  <c r="CB4" i="5"/>
  <c r="CB45" i="5"/>
  <c r="BX45" i="5"/>
  <c r="BX131" i="5"/>
  <c r="CB131" i="5"/>
  <c r="BX65" i="5"/>
  <c r="CB65" i="5"/>
  <c r="CB44" i="5"/>
  <c r="BX44" i="5"/>
  <c r="CB32" i="5"/>
  <c r="BX32" i="5"/>
  <c r="CB49" i="5"/>
  <c r="BX49" i="5"/>
  <c r="CB12" i="5"/>
  <c r="BX12" i="5"/>
  <c r="CB16" i="5"/>
  <c r="BX16" i="5"/>
  <c r="CB97" i="5"/>
  <c r="BX97" i="5"/>
  <c r="CB160" i="5"/>
  <c r="BX160" i="5"/>
  <c r="CB108" i="5"/>
  <c r="BX108" i="5"/>
  <c r="CB123" i="5"/>
  <c r="BX123" i="5"/>
  <c r="CB40" i="5"/>
  <c r="BX40" i="5"/>
  <c r="BC120" i="5"/>
  <c r="BN63" i="5"/>
  <c r="BZ63" i="5" s="1"/>
  <c r="BN174" i="5"/>
  <c r="BB110" i="5"/>
  <c r="BZ110" i="5" s="1"/>
  <c r="BO30" i="5"/>
  <c r="BZ145" i="5"/>
  <c r="BB33" i="5"/>
  <c r="BO112" i="5"/>
  <c r="BN22" i="5"/>
  <c r="BL101" i="5"/>
  <c r="BB92" i="5"/>
  <c r="BZ92" i="5" s="1"/>
  <c r="BL28" i="5"/>
  <c r="BN28" i="5"/>
  <c r="BZ28" i="5" s="1"/>
  <c r="BX31" i="5"/>
  <c r="BN86" i="5"/>
  <c r="BZ86" i="5" s="1"/>
  <c r="BB69" i="5"/>
  <c r="BN95" i="5"/>
  <c r="BZ95" i="5" s="1"/>
  <c r="BC23" i="5"/>
  <c r="BB70" i="5"/>
  <c r="BZ70" i="5" s="1"/>
  <c r="BB132" i="5"/>
  <c r="BZ132" i="5" s="1"/>
  <c r="CB132" i="5"/>
  <c r="BX132" i="5"/>
  <c r="BL136" i="5"/>
  <c r="BC8" i="5"/>
  <c r="CB79" i="5"/>
  <c r="CB7" i="5"/>
  <c r="BL7" i="5"/>
  <c r="BC141" i="5"/>
  <c r="BZ131" i="5"/>
  <c r="AU180" i="5"/>
  <c r="AU181" i="5" s="1"/>
  <c r="BA180" i="5"/>
  <c r="BA181" i="5" s="1"/>
  <c r="BN2" i="5"/>
  <c r="BK180" i="5"/>
  <c r="BK181" i="5" s="1"/>
  <c r="CI180" i="5"/>
  <c r="CI181" i="5" s="1"/>
  <c r="BB128" i="5"/>
  <c r="BC125" i="5"/>
  <c r="BN29" i="5"/>
  <c r="CB146" i="5"/>
  <c r="BX146" i="5"/>
  <c r="CB85" i="5"/>
  <c r="BX85" i="5"/>
  <c r="BO97" i="5"/>
  <c r="BB60" i="5"/>
  <c r="BB81" i="5"/>
  <c r="BZ81" i="5" s="1"/>
  <c r="BL16" i="5"/>
  <c r="BC16" i="5"/>
  <c r="CB90" i="5"/>
  <c r="BX90" i="5"/>
  <c r="CB87" i="5"/>
  <c r="CB54" i="5"/>
  <c r="CB114" i="5"/>
  <c r="BX114" i="5"/>
  <c r="BO176" i="5"/>
  <c r="BX9" i="5"/>
  <c r="CB9" i="5"/>
  <c r="CB86" i="5"/>
  <c r="BL86" i="5"/>
  <c r="BZ6" i="5"/>
  <c r="CB95" i="5"/>
  <c r="BL95" i="5"/>
  <c r="CB23" i="5"/>
  <c r="BL23" i="5"/>
  <c r="BX68" i="5"/>
  <c r="CB68" i="5"/>
  <c r="BN4" i="5"/>
  <c r="BZ4" i="5" s="1"/>
  <c r="BX155" i="5"/>
  <c r="CB155" i="5"/>
  <c r="CB98" i="5"/>
  <c r="BX98" i="5"/>
  <c r="AV180" i="5"/>
  <c r="AV181" i="5" s="1"/>
  <c r="BC2" i="5"/>
  <c r="BS180" i="5"/>
  <c r="BS181" i="5" s="1"/>
  <c r="F10" i="12"/>
  <c r="D4" i="9"/>
  <c r="D7" i="9" s="1"/>
  <c r="D10" i="9" s="1"/>
  <c r="BZ108" i="5"/>
  <c r="BN49" i="5"/>
  <c r="BZ49" i="5" s="1"/>
  <c r="BC40" i="5"/>
  <c r="CB39" i="5"/>
  <c r="CB94" i="5"/>
  <c r="BB99" i="5"/>
  <c r="BZ99" i="5" s="1"/>
  <c r="BB97" i="5"/>
  <c r="BZ97" i="5" s="1"/>
  <c r="BL80" i="5"/>
  <c r="CB15" i="5"/>
  <c r="CB134" i="5"/>
  <c r="BC54" i="5"/>
  <c r="BN120" i="5"/>
  <c r="BZ120" i="5" s="1"/>
  <c r="BX110" i="5"/>
  <c r="BO127" i="5"/>
  <c r="CB156" i="5"/>
  <c r="BX156" i="5"/>
  <c r="CB17" i="5"/>
  <c r="BX17" i="5"/>
  <c r="BX86" i="5"/>
  <c r="BC6" i="5"/>
  <c r="CB6" i="5"/>
  <c r="BL6" i="5"/>
  <c r="BX23" i="5"/>
  <c r="CB70" i="5"/>
  <c r="BL70" i="5"/>
  <c r="BZ68" i="5"/>
  <c r="BN8" i="5"/>
  <c r="CB46" i="5"/>
  <c r="BL46" i="5"/>
  <c r="BN141" i="5"/>
  <c r="BZ141" i="5" s="1"/>
  <c r="CB153" i="5"/>
  <c r="BX153" i="5"/>
  <c r="BC52" i="5"/>
  <c r="CB41" i="5"/>
  <c r="AZ180" i="5"/>
  <c r="AZ181" i="5" s="1"/>
  <c r="BG180" i="5"/>
  <c r="BG181" i="5" s="1"/>
  <c r="BQ180" i="5"/>
  <c r="BQ181" i="5" s="1"/>
  <c r="BW180" i="5"/>
  <c r="BW181" i="5" s="1"/>
  <c r="BB71" i="5"/>
  <c r="BZ71" i="5" s="1"/>
  <c r="BC29" i="5"/>
  <c r="BN118" i="5"/>
  <c r="BZ118" i="5" s="1"/>
  <c r="CB66" i="5"/>
  <c r="BO49" i="5"/>
  <c r="BC157" i="5"/>
  <c r="BN40" i="5"/>
  <c r="BZ40" i="5" s="1"/>
  <c r="BN158" i="5"/>
  <c r="BZ158" i="5" s="1"/>
  <c r="BC85" i="5"/>
  <c r="BO20" i="5"/>
  <c r="CB26" i="5"/>
  <c r="BX26" i="5"/>
  <c r="CB62" i="5"/>
  <c r="CB91" i="5"/>
  <c r="BX91" i="5"/>
  <c r="BC60" i="5"/>
  <c r="BO124" i="5"/>
  <c r="CB170" i="5"/>
  <c r="BX170" i="5"/>
  <c r="CB83" i="5"/>
  <c r="BX83" i="5"/>
  <c r="BB16" i="5"/>
  <c r="BZ16" i="5" s="1"/>
  <c r="BN54" i="5"/>
  <c r="BZ54" i="5" s="1"/>
  <c r="CB37" i="5"/>
  <c r="BX37" i="5"/>
  <c r="BO63" i="5"/>
  <c r="BC56" i="5"/>
  <c r="BN56" i="5"/>
  <c r="BZ56" i="5" s="1"/>
  <c r="CB135" i="5"/>
  <c r="BL135" i="5"/>
  <c r="BB11" i="5"/>
  <c r="BZ11" i="5" s="1"/>
  <c r="BC145" i="5"/>
  <c r="BZ112" i="5"/>
  <c r="BL56" i="5"/>
  <c r="BC13" i="5"/>
  <c r="BC11" i="5"/>
  <c r="CB166" i="5"/>
  <c r="BL166" i="5"/>
  <c r="BN166" i="5"/>
  <c r="BZ166" i="5" s="1"/>
  <c r="BZ182" i="5" s="1"/>
  <c r="BZ183" i="5" s="1"/>
  <c r="BL156" i="5"/>
  <c r="BO156" i="5"/>
  <c r="BC28" i="5"/>
  <c r="BC17" i="5"/>
  <c r="BC32" i="5"/>
  <c r="CB103" i="5"/>
  <c r="BL103" i="5"/>
  <c r="CB150" i="5"/>
  <c r="BL150" i="5"/>
  <c r="BO24" i="5"/>
  <c r="CB167" i="5"/>
  <c r="BN23" i="5"/>
  <c r="BZ23" i="5" s="1"/>
  <c r="CB142" i="5"/>
  <c r="BC70" i="5"/>
  <c r="BL68" i="5"/>
  <c r="BO4" i="5"/>
  <c r="BL155" i="5"/>
  <c r="BC75" i="5"/>
  <c r="BO7" i="5"/>
  <c r="BB126" i="5"/>
  <c r="BZ126" i="5" s="1"/>
  <c r="BB46" i="5"/>
  <c r="BZ46" i="5" s="1"/>
  <c r="BX116" i="5"/>
  <c r="BL116" i="5"/>
  <c r="BD180" i="5"/>
  <c r="BD181" i="5" s="1"/>
  <c r="BJ180" i="5"/>
  <c r="BJ181" i="5" s="1"/>
  <c r="BO2" i="5"/>
  <c r="BY180" i="5"/>
  <c r="BY181" i="5" s="1"/>
  <c r="BC71" i="5"/>
  <c r="BB125" i="5"/>
  <c r="BZ125" i="5" s="1"/>
  <c r="BB172" i="5"/>
  <c r="BB44" i="5"/>
  <c r="BZ44" i="5" s="1"/>
  <c r="BO118" i="5"/>
  <c r="BB161" i="5"/>
  <c r="BX125" i="5"/>
  <c r="CB162" i="5"/>
  <c r="BC111" i="5"/>
  <c r="BO158" i="5"/>
  <c r="CB25" i="5"/>
  <c r="BX25" i="5"/>
  <c r="CB175" i="5"/>
  <c r="BB76" i="5"/>
  <c r="BZ76" i="5" s="1"/>
  <c r="BO76" i="5"/>
  <c r="BO159" i="5"/>
  <c r="BC134" i="5"/>
  <c r="BN134" i="5"/>
  <c r="BZ134" i="5" s="1"/>
  <c r="CB110" i="5"/>
  <c r="BL110" i="5"/>
  <c r="CB30" i="5"/>
  <c r="BL30" i="5"/>
  <c r="BL11" i="5"/>
  <c r="BB48" i="5"/>
  <c r="BZ48" i="5" s="1"/>
  <c r="CB55" i="5"/>
  <c r="BL55" i="5"/>
  <c r="BO166" i="5"/>
  <c r="CB92" i="5"/>
  <c r="BX92" i="5"/>
  <c r="BB31" i="5"/>
  <c r="BZ31" i="5" s="1"/>
  <c r="BC142" i="5"/>
  <c r="BL132" i="5"/>
  <c r="BL4" i="5"/>
  <c r="BL75" i="5"/>
  <c r="BX35" i="5"/>
  <c r="CB35" i="5"/>
  <c r="CB126" i="5"/>
  <c r="BL126" i="5"/>
  <c r="BO46" i="5"/>
  <c r="BZ52" i="5"/>
  <c r="BE180" i="5"/>
  <c r="BE181" i="5" s="1"/>
  <c r="BH180" i="5"/>
  <c r="BH181" i="5" s="1"/>
  <c r="BR180" i="5"/>
  <c r="BR181" i="5" s="1"/>
  <c r="CF180" i="5"/>
  <c r="CF181" i="5" s="1"/>
  <c r="BB65" i="5"/>
  <c r="BZ65" i="5" s="1"/>
  <c r="BC143" i="5"/>
  <c r="CB71" i="5"/>
  <c r="CB21" i="5"/>
  <c r="BX21" i="5"/>
  <c r="BN58" i="5"/>
  <c r="BZ58" i="5" s="1"/>
  <c r="J11" i="12"/>
  <c r="G39" i="12"/>
  <c r="AB11" i="12"/>
  <c r="AB45" i="12" s="1"/>
  <c r="AA11" i="12"/>
  <c r="CB78" i="5"/>
  <c r="BL78" i="5"/>
  <c r="BX118" i="5"/>
  <c r="BB146" i="5"/>
  <c r="BZ146" i="5" s="1"/>
  <c r="BL49" i="5"/>
  <c r="CB73" i="5"/>
  <c r="CB111" i="5"/>
  <c r="BL39" i="5"/>
  <c r="BN148" i="5"/>
  <c r="BZ148" i="5" s="1"/>
  <c r="CB76" i="5"/>
  <c r="BX76" i="5"/>
  <c r="BB18" i="5"/>
  <c r="BB59" i="5"/>
  <c r="BZ59" i="5" s="1"/>
  <c r="BC81" i="5"/>
  <c r="BN87" i="5"/>
  <c r="BZ87" i="5" s="1"/>
  <c r="CB121" i="5"/>
  <c r="BX121" i="5"/>
  <c r="CB63" i="5"/>
  <c r="BL63" i="5"/>
  <c r="BZ115" i="5"/>
  <c r="BL48" i="5"/>
  <c r="BZ127" i="5"/>
  <c r="BX166" i="5"/>
  <c r="BN101" i="5"/>
  <c r="BZ101" i="5" s="1"/>
  <c r="BL129" i="5"/>
  <c r="BX6" i="5"/>
  <c r="BL88" i="5"/>
  <c r="BN142" i="5"/>
  <c r="BC89" i="5"/>
  <c r="CB136" i="5"/>
  <c r="BX136" i="5"/>
  <c r="BN151" i="5"/>
  <c r="BZ151" i="5" s="1"/>
  <c r="CB141" i="5"/>
  <c r="BX141" i="5"/>
  <c r="BL45" i="5"/>
  <c r="BB2" i="5"/>
  <c r="BP2" i="5"/>
  <c r="BV180" i="5"/>
  <c r="BV181" i="5" s="1"/>
  <c r="CK180" i="5"/>
  <c r="CK181" i="5" s="1"/>
  <c r="CB143" i="5"/>
  <c r="CB58" i="5"/>
  <c r="BB27" i="5"/>
  <c r="CB138" i="5"/>
  <c r="BX138" i="5"/>
  <c r="BB94" i="5"/>
  <c r="BX14" i="5"/>
  <c r="CB42" i="5"/>
  <c r="BX42" i="5"/>
  <c r="BO171" i="5"/>
  <c r="CB18" i="5"/>
  <c r="BB159" i="5"/>
  <c r="BL120" i="5"/>
  <c r="BX120" i="5"/>
  <c r="CB120" i="5"/>
  <c r="BC115" i="5"/>
  <c r="BL145" i="5"/>
  <c r="BL112" i="5"/>
  <c r="BX127" i="5"/>
  <c r="CB3" i="5"/>
  <c r="CB31" i="5"/>
  <c r="BL31" i="5"/>
  <c r="BL61" i="5"/>
  <c r="BZ61" i="5"/>
  <c r="BC151" i="5"/>
  <c r="BL2" i="5"/>
  <c r="BF180" i="5"/>
  <c r="BF181" i="5" s="1"/>
  <c r="BU180" i="5"/>
  <c r="BU181" i="5" s="1"/>
  <c r="CD180" i="5"/>
  <c r="CD181" i="5" s="1"/>
  <c r="CC180" i="5"/>
  <c r="CC181" i="5" s="1"/>
  <c r="BC172" i="5"/>
  <c r="BC182" i="5" s="1"/>
  <c r="BC183" i="5" s="1"/>
  <c r="CB38" i="5"/>
  <c r="BC27" i="5"/>
  <c r="BC139" i="5"/>
  <c r="BL104" i="5"/>
  <c r="BC104" i="5"/>
  <c r="BB85" i="5"/>
  <c r="BZ85" i="5" s="1"/>
  <c r="BB53" i="5"/>
  <c r="BZ53" i="5" s="1"/>
  <c r="CB140" i="5"/>
  <c r="BX140" i="5"/>
  <c r="BL76" i="5"/>
  <c r="BX57" i="5"/>
  <c r="CB57" i="5"/>
  <c r="CB59" i="5"/>
  <c r="BX59" i="5"/>
  <c r="BZ80" i="5"/>
  <c r="BZ30" i="5"/>
  <c r="CB174" i="5"/>
  <c r="BB102" i="5"/>
  <c r="CB101" i="5"/>
  <c r="BX101" i="5"/>
  <c r="CB50" i="5"/>
  <c r="BX50" i="5"/>
  <c r="BL115" i="5"/>
  <c r="CB93" i="5"/>
  <c r="BX93" i="5"/>
  <c r="CB127" i="5"/>
  <c r="BL127" i="5"/>
  <c r="CB102" i="5"/>
  <c r="CB106" i="5"/>
  <c r="BX106" i="5"/>
  <c r="BL160" i="5"/>
  <c r="BC150" i="5"/>
  <c r="CA180" i="5"/>
  <c r="CA181" i="5" s="1"/>
  <c r="CB151" i="5"/>
  <c r="BL151" i="5"/>
  <c r="AY180" i="5"/>
  <c r="AY181" i="5" s="1"/>
  <c r="BI180" i="5"/>
  <c r="BI181" i="5" s="1"/>
  <c r="BM180" i="5"/>
  <c r="BM181" i="5" s="1"/>
  <c r="BT180" i="5"/>
  <c r="BT181" i="5" s="1"/>
  <c r="CE180" i="5"/>
  <c r="CE181" i="5" s="1"/>
  <c r="BL65" i="5"/>
  <c r="BL118" i="5"/>
  <c r="BB39" i="5"/>
  <c r="BZ39" i="5" s="1"/>
  <c r="BZ14" i="5"/>
  <c r="BX20" i="5"/>
  <c r="BL20" i="5"/>
  <c r="BL171" i="5"/>
  <c r="BL182" i="5" s="1"/>
  <c r="BL183" i="5" s="1"/>
  <c r="CB80" i="5"/>
  <c r="BX80" i="5"/>
  <c r="CB159" i="5"/>
  <c r="BC87" i="5"/>
  <c r="BX58" i="5"/>
  <c r="F75" i="12"/>
  <c r="F80" i="12" s="1"/>
  <c r="M33" i="8"/>
  <c r="L33" i="8"/>
  <c r="J33" i="8"/>
  <c r="I33" i="8"/>
  <c r="H33" i="8"/>
  <c r="M32" i="8"/>
  <c r="L32" i="8"/>
  <c r="I32" i="8"/>
  <c r="H32" i="8"/>
  <c r="BO182" i="5" l="1"/>
  <c r="BO183" i="5" s="1"/>
  <c r="BX182" i="5"/>
  <c r="BX183" i="5" s="1"/>
  <c r="L10" i="13"/>
  <c r="J15" i="9"/>
  <c r="G15" i="9"/>
  <c r="I10" i="13"/>
  <c r="F13" i="13"/>
  <c r="F16" i="13" s="1"/>
  <c r="F38" i="13"/>
  <c r="F41" i="13" s="1"/>
  <c r="AZ193" i="5"/>
  <c r="AZ194" i="5" s="1"/>
  <c r="AZ191" i="5"/>
  <c r="AZ192" i="5" s="1"/>
  <c r="AW193" i="5"/>
  <c r="AW194" i="5" s="1"/>
  <c r="AW191" i="5"/>
  <c r="AX191" i="5"/>
  <c r="J8" i="11" s="1"/>
  <c r="AX193" i="5"/>
  <c r="AC39" i="13"/>
  <c r="AA45" i="13"/>
  <c r="AC45" i="13" s="1"/>
  <c r="G12" i="13"/>
  <c r="E17" i="9"/>
  <c r="F17" i="9"/>
  <c r="H12" i="13"/>
  <c r="H40" i="13" s="1"/>
  <c r="BB182" i="5"/>
  <c r="BB183" i="5" s="1"/>
  <c r="G10" i="13"/>
  <c r="E15" i="9"/>
  <c r="I15" i="9"/>
  <c r="K10" i="13"/>
  <c r="L12" i="13"/>
  <c r="J17" i="9"/>
  <c r="G17" i="9"/>
  <c r="I12" i="13"/>
  <c r="M12" i="13"/>
  <c r="M40" i="13" s="1"/>
  <c r="K17" i="9"/>
  <c r="CB182" i="5"/>
  <c r="CB183" i="5" s="1"/>
  <c r="BN182" i="5"/>
  <c r="BN183" i="5" s="1"/>
  <c r="I12" i="12"/>
  <c r="I40" i="12" s="1"/>
  <c r="G6" i="9"/>
  <c r="BB180" i="5"/>
  <c r="BB181" i="5" s="1"/>
  <c r="G12" i="12"/>
  <c r="E6" i="9"/>
  <c r="BC180" i="5"/>
  <c r="BC181" i="5" s="1"/>
  <c r="BN180" i="5"/>
  <c r="BN181" i="5" s="1"/>
  <c r="BZ2" i="5"/>
  <c r="BZ180" i="5" s="1"/>
  <c r="BZ181" i="5" s="1"/>
  <c r="G10" i="12"/>
  <c r="E4" i="9"/>
  <c r="BL180" i="5"/>
  <c r="BL181" i="5" s="1"/>
  <c r="K10" i="12"/>
  <c r="I4" i="9"/>
  <c r="F38" i="12"/>
  <c r="F41" i="12" s="1"/>
  <c r="F13" i="12"/>
  <c r="F16" i="12" s="1"/>
  <c r="BX2" i="5"/>
  <c r="BP180" i="5"/>
  <c r="BP181" i="5" s="1"/>
  <c r="CB2" i="5"/>
  <c r="CB180" i="5" s="1"/>
  <c r="CB181" i="5" s="1"/>
  <c r="J39" i="12"/>
  <c r="AA39" i="12"/>
  <c r="L12" i="12"/>
  <c r="L40" i="12" s="1"/>
  <c r="J6" i="9"/>
  <c r="BO180" i="5"/>
  <c r="BO181" i="5" s="1"/>
  <c r="M12" i="12"/>
  <c r="K6" i="9"/>
  <c r="AC11" i="12"/>
  <c r="J32" i="8"/>
  <c r="N33" i="8"/>
  <c r="N32" i="8"/>
  <c r="N103" i="8"/>
  <c r="J100" i="8"/>
  <c r="AX194" i="5" l="1"/>
  <c r="J11" i="11" s="1"/>
  <c r="J10" i="11"/>
  <c r="BX180" i="5"/>
  <c r="BX181" i="5" s="1"/>
  <c r="BA191" i="5"/>
  <c r="M8" i="11" s="1"/>
  <c r="BA193" i="5"/>
  <c r="F15" i="9"/>
  <c r="H10" i="13"/>
  <c r="J10" i="13" s="1"/>
  <c r="AX192" i="5"/>
  <c r="F43" i="13"/>
  <c r="F44" i="13"/>
  <c r="F45" i="13"/>
  <c r="AA10" i="13"/>
  <c r="G13" i="13"/>
  <c r="G38" i="13"/>
  <c r="I13" i="13"/>
  <c r="I40" i="13"/>
  <c r="L17" i="9"/>
  <c r="F18" i="9"/>
  <c r="I38" i="13"/>
  <c r="L13" i="13"/>
  <c r="N12" i="13"/>
  <c r="L40" i="13"/>
  <c r="N40" i="13" s="1"/>
  <c r="H17" i="9"/>
  <c r="AW192" i="5"/>
  <c r="G18" i="9"/>
  <c r="G40" i="13"/>
  <c r="J12" i="13"/>
  <c r="J18" i="9"/>
  <c r="E18" i="9"/>
  <c r="H15" i="9"/>
  <c r="L38" i="13"/>
  <c r="L10" i="12"/>
  <c r="J4" i="9"/>
  <c r="L6" i="9"/>
  <c r="F43" i="12"/>
  <c r="F44" i="12"/>
  <c r="F45" i="12"/>
  <c r="F6" i="9"/>
  <c r="H12" i="12"/>
  <c r="H40" i="12" s="1"/>
  <c r="AC39" i="12"/>
  <c r="AA45" i="12"/>
  <c r="AC45" i="12" s="1"/>
  <c r="G40" i="12"/>
  <c r="F4" i="9"/>
  <c r="H10" i="12"/>
  <c r="G4" i="9"/>
  <c r="G7" i="9" s="1"/>
  <c r="I10" i="12"/>
  <c r="E7" i="9"/>
  <c r="N12" i="12"/>
  <c r="M40" i="12"/>
  <c r="N40" i="12" s="1"/>
  <c r="AA10" i="12"/>
  <c r="G38" i="12"/>
  <c r="G13" i="12"/>
  <c r="J104" i="8"/>
  <c r="N101" i="8"/>
  <c r="N102" i="8"/>
  <c r="N104" i="8"/>
  <c r="N105" i="8"/>
  <c r="N106" i="8"/>
  <c r="N107" i="8"/>
  <c r="N108" i="8"/>
  <c r="N109" i="8"/>
  <c r="J101" i="8"/>
  <c r="J102" i="8"/>
  <c r="J103" i="8"/>
  <c r="J105" i="8"/>
  <c r="J106" i="8"/>
  <c r="J107" i="8"/>
  <c r="J108" i="8"/>
  <c r="J109" i="8"/>
  <c r="N100" i="8"/>
  <c r="BA194" i="5" l="1"/>
  <c r="M11" i="11" s="1"/>
  <c r="M10" i="11"/>
  <c r="AX196" i="5"/>
  <c r="J9" i="11"/>
  <c r="J40" i="12"/>
  <c r="J40" i="13"/>
  <c r="J10" i="12"/>
  <c r="H18" i="9"/>
  <c r="E20" i="9" s="1"/>
  <c r="G41" i="13"/>
  <c r="AA38" i="13"/>
  <c r="H13" i="13"/>
  <c r="H38" i="13"/>
  <c r="H41" i="13" s="1"/>
  <c r="L41" i="13"/>
  <c r="I41" i="13"/>
  <c r="BA192" i="5"/>
  <c r="H4" i="9"/>
  <c r="F7" i="9"/>
  <c r="J12" i="12"/>
  <c r="H38" i="12"/>
  <c r="H41" i="12" s="1"/>
  <c r="H13" i="12"/>
  <c r="I38" i="12"/>
  <c r="I13" i="12"/>
  <c r="H6" i="9"/>
  <c r="J7" i="9"/>
  <c r="G41" i="12"/>
  <c r="AA38" i="12"/>
  <c r="L38" i="12"/>
  <c r="L13" i="12"/>
  <c r="N110" i="8"/>
  <c r="J110" i="8"/>
  <c r="M40" i="8"/>
  <c r="M110" i="8"/>
  <c r="L110" i="8"/>
  <c r="I110" i="8"/>
  <c r="H110" i="8"/>
  <c r="D101" i="8"/>
  <c r="D102" i="8"/>
  <c r="D103" i="8"/>
  <c r="D104" i="8"/>
  <c r="D105" i="8"/>
  <c r="D106" i="8"/>
  <c r="D107" i="8"/>
  <c r="D108" i="8"/>
  <c r="D109" i="8"/>
  <c r="D100" i="8"/>
  <c r="C101" i="8"/>
  <c r="C102" i="8"/>
  <c r="C103" i="8"/>
  <c r="C104" i="8"/>
  <c r="C105" i="8"/>
  <c r="C106" i="8"/>
  <c r="C107" i="8"/>
  <c r="C108" i="8"/>
  <c r="C109" i="8"/>
  <c r="C100" i="8"/>
  <c r="A102" i="8"/>
  <c r="A103" i="8"/>
  <c r="A104" i="8"/>
  <c r="A105" i="8"/>
  <c r="A106" i="8"/>
  <c r="A107" i="8"/>
  <c r="A108" i="8"/>
  <c r="A109" i="8"/>
  <c r="A110" i="8"/>
  <c r="A101" i="8"/>
  <c r="A100" i="8"/>
  <c r="AA11" i="8"/>
  <c r="AB10" i="8"/>
  <c r="AA10" i="8"/>
  <c r="M9" i="11" l="1"/>
  <c r="BA196" i="5"/>
  <c r="J13" i="11"/>
  <c r="AX206" i="5"/>
  <c r="J23" i="11" s="1"/>
  <c r="J13" i="12"/>
  <c r="H15" i="12" s="1"/>
  <c r="H16" i="12" s="1"/>
  <c r="G20" i="9"/>
  <c r="G21" i="9" s="1"/>
  <c r="E21" i="9"/>
  <c r="F20" i="9"/>
  <c r="F21" i="9" s="1"/>
  <c r="AA44" i="13"/>
  <c r="J13" i="13"/>
  <c r="G15" i="13" s="1"/>
  <c r="J38" i="13"/>
  <c r="J41" i="13" s="1"/>
  <c r="G51" i="13" s="1"/>
  <c r="H7" i="9"/>
  <c r="E9" i="9" s="1"/>
  <c r="E10" i="9" s="1"/>
  <c r="G15" i="12"/>
  <c r="L41" i="12"/>
  <c r="J38" i="12"/>
  <c r="J41" i="12" s="1"/>
  <c r="AA44" i="12"/>
  <c r="I41" i="12"/>
  <c r="AC10" i="8"/>
  <c r="E73" i="8"/>
  <c r="E72" i="8"/>
  <c r="M13" i="11" l="1"/>
  <c r="BA206" i="5"/>
  <c r="M23" i="11" s="1"/>
  <c r="I51" i="13"/>
  <c r="I43" i="13" s="1"/>
  <c r="H51" i="13"/>
  <c r="H15" i="13"/>
  <c r="H16" i="13" s="1"/>
  <c r="G16" i="13"/>
  <c r="I15" i="13"/>
  <c r="I16" i="13" s="1"/>
  <c r="I51" i="12"/>
  <c r="I52" i="12" s="1"/>
  <c r="I56" i="12" s="1"/>
  <c r="I60" i="12" s="1"/>
  <c r="G43" i="13"/>
  <c r="G52" i="13"/>
  <c r="G56" i="13" s="1"/>
  <c r="G60" i="13" s="1"/>
  <c r="H20" i="9"/>
  <c r="H21" i="9" s="1"/>
  <c r="G9" i="9"/>
  <c r="G10" i="9" s="1"/>
  <c r="G51" i="12"/>
  <c r="G43" i="12" s="1"/>
  <c r="H51" i="12"/>
  <c r="H52" i="12" s="1"/>
  <c r="H56" i="12" s="1"/>
  <c r="H60" i="12" s="1"/>
  <c r="F9" i="9"/>
  <c r="F10" i="9" s="1"/>
  <c r="G16" i="12"/>
  <c r="I15" i="12"/>
  <c r="I16" i="12" s="1"/>
  <c r="J79" i="8"/>
  <c r="J78" i="8"/>
  <c r="J77" i="8"/>
  <c r="J51" i="13" l="1"/>
  <c r="J52" i="13" s="1"/>
  <c r="J56" i="13" s="1"/>
  <c r="J60" i="13" s="1"/>
  <c r="J67" i="13" s="1"/>
  <c r="G73" i="13" s="1"/>
  <c r="I73" i="13" s="1"/>
  <c r="J73" i="13" s="1"/>
  <c r="H52" i="13"/>
  <c r="H56" i="13" s="1"/>
  <c r="H60" i="13" s="1"/>
  <c r="H67" i="13" s="1"/>
  <c r="H43" i="13"/>
  <c r="J43" i="13" s="1"/>
  <c r="I52" i="13"/>
  <c r="I56" i="13" s="1"/>
  <c r="I60" i="13" s="1"/>
  <c r="I43" i="12"/>
  <c r="G44" i="13"/>
  <c r="J15" i="13"/>
  <c r="J16" i="13" s="1"/>
  <c r="H43" i="12"/>
  <c r="I44" i="13"/>
  <c r="G52" i="12"/>
  <c r="G56" i="12" s="1"/>
  <c r="G60" i="12" s="1"/>
  <c r="G67" i="12" s="1"/>
  <c r="J51" i="12"/>
  <c r="J52" i="12" s="1"/>
  <c r="J56" i="12" s="1"/>
  <c r="J60" i="12" s="1"/>
  <c r="J67" i="12" s="1"/>
  <c r="G72" i="12" s="1"/>
  <c r="H9" i="9"/>
  <c r="H10" i="9" s="1"/>
  <c r="I44" i="12"/>
  <c r="I67" i="12"/>
  <c r="I45" i="12" s="1"/>
  <c r="H67" i="12"/>
  <c r="H44" i="12"/>
  <c r="J15" i="12"/>
  <c r="J16" i="12" s="1"/>
  <c r="E5" i="7"/>
  <c r="J43" i="12" l="1"/>
  <c r="H68" i="13"/>
  <c r="J68" i="13" s="1"/>
  <c r="K43" i="13"/>
  <c r="G72" i="13"/>
  <c r="I69" i="12"/>
  <c r="J69" i="12" s="1"/>
  <c r="L86" i="12" s="1"/>
  <c r="G73" i="12"/>
  <c r="G75" i="12" s="1"/>
  <c r="G80" i="12" s="1"/>
  <c r="H44" i="13"/>
  <c r="J44" i="13" s="1"/>
  <c r="K44" i="13" s="1"/>
  <c r="H68" i="12"/>
  <c r="J68" i="12" s="1"/>
  <c r="K43" i="12"/>
  <c r="K45" i="12"/>
  <c r="N94" i="13"/>
  <c r="N87" i="13"/>
  <c r="N89" i="13"/>
  <c r="N93" i="13"/>
  <c r="N95" i="13"/>
  <c r="N86" i="13"/>
  <c r="N90" i="13"/>
  <c r="N88" i="13"/>
  <c r="N91" i="13"/>
  <c r="N92" i="13"/>
  <c r="J93" i="13"/>
  <c r="J94" i="13"/>
  <c r="J91" i="13"/>
  <c r="J87" i="13"/>
  <c r="J88" i="13"/>
  <c r="J90" i="13"/>
  <c r="J86" i="13"/>
  <c r="J95" i="13"/>
  <c r="J92" i="13"/>
  <c r="J89" i="13"/>
  <c r="H45" i="13"/>
  <c r="H75" i="13"/>
  <c r="H80" i="13" s="1"/>
  <c r="L16" i="13"/>
  <c r="J21" i="9"/>
  <c r="G44" i="12"/>
  <c r="J89" i="12"/>
  <c r="J91" i="12"/>
  <c r="J87" i="12"/>
  <c r="J88" i="12"/>
  <c r="J90" i="12"/>
  <c r="J93" i="12"/>
  <c r="J92" i="12"/>
  <c r="J94" i="12"/>
  <c r="J86" i="12"/>
  <c r="J95" i="12"/>
  <c r="L94" i="12"/>
  <c r="H45" i="12"/>
  <c r="H75" i="12"/>
  <c r="H80" i="12" s="1"/>
  <c r="L16" i="12"/>
  <c r="J10" i="9"/>
  <c r="J44" i="12"/>
  <c r="K44" i="12" s="1"/>
  <c r="G45" i="12"/>
  <c r="H63" i="8"/>
  <c r="L92" i="12" l="1"/>
  <c r="L89" i="12"/>
  <c r="L93" i="12"/>
  <c r="L88" i="12"/>
  <c r="I73" i="12"/>
  <c r="L90" i="12"/>
  <c r="N96" i="13"/>
  <c r="L95" i="12"/>
  <c r="L87" i="12"/>
  <c r="L91" i="12"/>
  <c r="J96" i="13"/>
  <c r="J45" i="12"/>
  <c r="K46" i="12" s="1"/>
  <c r="J96" i="12"/>
  <c r="G8" i="8"/>
  <c r="L96" i="12" l="1"/>
  <c r="J73" i="12"/>
  <c r="E51" i="8"/>
  <c r="N92" i="12" l="1"/>
  <c r="N93" i="12"/>
  <c r="N94" i="12"/>
  <c r="N86" i="12"/>
  <c r="N95" i="12"/>
  <c r="N87" i="12"/>
  <c r="N88" i="12"/>
  <c r="N89" i="12"/>
  <c r="N91" i="12"/>
  <c r="N90" i="12"/>
  <c r="K50" i="8"/>
  <c r="K8" i="8"/>
  <c r="H15" i="8"/>
  <c r="N96" i="12" l="1"/>
  <c r="I84" i="8"/>
  <c r="N64" i="8" l="1"/>
  <c r="N63" i="8"/>
  <c r="N62" i="8"/>
  <c r="N55" i="8"/>
  <c r="N59" i="8"/>
  <c r="N58" i="8"/>
  <c r="M8" i="8" l="1"/>
  <c r="L8" i="8"/>
  <c r="C13" i="7" l="1"/>
  <c r="C12" i="7"/>
  <c r="G63" i="13" s="1"/>
  <c r="I71" i="8"/>
  <c r="I63" i="13" l="1"/>
  <c r="I67" i="13" s="1"/>
  <c r="I45" i="13" s="1"/>
  <c r="G67" i="13"/>
  <c r="I21" i="8"/>
  <c r="I22" i="8"/>
  <c r="I23" i="8"/>
  <c r="I24" i="8"/>
  <c r="I25" i="8"/>
  <c r="I26" i="8"/>
  <c r="I27" i="8"/>
  <c r="I28" i="8"/>
  <c r="I29" i="8"/>
  <c r="I30" i="8"/>
  <c r="I34" i="8"/>
  <c r="I35" i="8"/>
  <c r="I20" i="8"/>
  <c r="M21" i="8"/>
  <c r="M22" i="8"/>
  <c r="M23" i="8"/>
  <c r="M24" i="8"/>
  <c r="M25" i="8"/>
  <c r="M26" i="8"/>
  <c r="M27" i="8"/>
  <c r="M28" i="8"/>
  <c r="M29" i="8"/>
  <c r="M30" i="8"/>
  <c r="M34" i="8"/>
  <c r="M35" i="8"/>
  <c r="M39" i="8"/>
  <c r="M20" i="8"/>
  <c r="G75" i="13" l="1"/>
  <c r="G80" i="13" s="1"/>
  <c r="G45" i="13"/>
  <c r="J45" i="13" s="1"/>
  <c r="D12" i="7"/>
  <c r="I72" i="12" l="1"/>
  <c r="I72" i="13"/>
  <c r="J72" i="13" s="1"/>
  <c r="K45" i="13"/>
  <c r="K46" i="13"/>
  <c r="C15" i="8"/>
  <c r="J72" i="12" l="1"/>
  <c r="I75" i="12"/>
  <c r="I80" i="12" s="1"/>
  <c r="M94" i="13"/>
  <c r="M86" i="13"/>
  <c r="M87" i="13"/>
  <c r="M88" i="13"/>
  <c r="M92" i="13"/>
  <c r="M93" i="13"/>
  <c r="M89" i="13"/>
  <c r="M90" i="13"/>
  <c r="M95" i="13"/>
  <c r="M91" i="13"/>
  <c r="J8" i="8"/>
  <c r="I8" i="8"/>
  <c r="H8" i="8"/>
  <c r="M87" i="12" l="1"/>
  <c r="M88" i="12"/>
  <c r="M95" i="12"/>
  <c r="M90" i="12"/>
  <c r="M86" i="12"/>
  <c r="M94" i="12"/>
  <c r="M89" i="12"/>
  <c r="M91" i="12"/>
  <c r="M93" i="12"/>
  <c r="M92" i="12"/>
  <c r="J75" i="12"/>
  <c r="J80" i="12" s="1"/>
  <c r="M96" i="13"/>
  <c r="J21" i="8"/>
  <c r="J22" i="8"/>
  <c r="J23" i="8"/>
  <c r="J24" i="8"/>
  <c r="J25" i="8"/>
  <c r="J26" i="8"/>
  <c r="J27" i="8"/>
  <c r="J28" i="8"/>
  <c r="J30" i="8"/>
  <c r="J34" i="8"/>
  <c r="J35" i="8"/>
  <c r="L21" i="8"/>
  <c r="N21" i="8" s="1"/>
  <c r="L22" i="8"/>
  <c r="L23" i="8"/>
  <c r="N23" i="8" s="1"/>
  <c r="L24" i="8"/>
  <c r="N24" i="8" s="1"/>
  <c r="L25" i="8"/>
  <c r="L26" i="8"/>
  <c r="N26" i="8" s="1"/>
  <c r="L27" i="8"/>
  <c r="N27" i="8" s="1"/>
  <c r="L28" i="8"/>
  <c r="L29" i="8"/>
  <c r="N29" i="8" s="1"/>
  <c r="L30" i="8"/>
  <c r="L34" i="8"/>
  <c r="N34" i="8" s="1"/>
  <c r="L35" i="8"/>
  <c r="N35" i="8" s="1"/>
  <c r="L39" i="8"/>
  <c r="L20" i="8"/>
  <c r="E26" i="7"/>
  <c r="E25" i="7"/>
  <c r="E24" i="7"/>
  <c r="E22" i="7"/>
  <c r="E21" i="7"/>
  <c r="E20" i="7"/>
  <c r="E15" i="7"/>
  <c r="I74" i="8"/>
  <c r="D13" i="7"/>
  <c r="AB11" i="8" s="1"/>
  <c r="AC11" i="8" s="1"/>
  <c r="E11" i="7"/>
  <c r="E10" i="7"/>
  <c r="E9" i="7"/>
  <c r="E8" i="7"/>
  <c r="E7" i="7"/>
  <c r="E6" i="7"/>
  <c r="D4" i="7"/>
  <c r="H21" i="8"/>
  <c r="H22" i="8"/>
  <c r="H23" i="8"/>
  <c r="H24" i="8"/>
  <c r="H25" i="8"/>
  <c r="H26" i="8"/>
  <c r="H27" i="8"/>
  <c r="H28" i="8"/>
  <c r="H29" i="8"/>
  <c r="J29" i="8" s="1"/>
  <c r="H30" i="8"/>
  <c r="H34" i="8"/>
  <c r="H35" i="8"/>
  <c r="H20" i="8"/>
  <c r="J20" i="8" s="1"/>
  <c r="M96" i="12" l="1"/>
  <c r="CH7" i="5"/>
  <c r="CH23" i="5"/>
  <c r="CH31" i="5"/>
  <c r="CH39" i="5"/>
  <c r="CH55" i="5"/>
  <c r="CH63" i="5"/>
  <c r="CH71" i="5"/>
  <c r="CH87" i="5"/>
  <c r="CH95" i="5"/>
  <c r="CH103" i="5"/>
  <c r="CH127" i="5"/>
  <c r="CH135" i="5"/>
  <c r="CH143" i="5"/>
  <c r="CH151" i="5"/>
  <c r="CH175" i="5"/>
  <c r="CH53" i="5"/>
  <c r="CH101" i="5"/>
  <c r="CH141" i="5"/>
  <c r="CH16" i="5"/>
  <c r="CH32" i="5"/>
  <c r="CH40" i="5"/>
  <c r="CH48" i="5"/>
  <c r="CH56" i="5"/>
  <c r="CH64" i="5"/>
  <c r="CH72" i="5"/>
  <c r="CH80" i="5"/>
  <c r="CH88" i="5"/>
  <c r="CH104" i="5"/>
  <c r="CH112" i="5"/>
  <c r="CH120" i="5"/>
  <c r="CJ120" i="5" s="1"/>
  <c r="CH136" i="5"/>
  <c r="CH160" i="5"/>
  <c r="CH61" i="5"/>
  <c r="CH9" i="5"/>
  <c r="CH17" i="5"/>
  <c r="CH25" i="5"/>
  <c r="CH49" i="5"/>
  <c r="CH57" i="5"/>
  <c r="CH65" i="5"/>
  <c r="CH73" i="5"/>
  <c r="CH81" i="5"/>
  <c r="CH97" i="5"/>
  <c r="CH121" i="5"/>
  <c r="CH129" i="5"/>
  <c r="CH145" i="5"/>
  <c r="CH153" i="5"/>
  <c r="CH169" i="5"/>
  <c r="CH85" i="5"/>
  <c r="CH26" i="5"/>
  <c r="CH34" i="5"/>
  <c r="CH42" i="5"/>
  <c r="CH50" i="5"/>
  <c r="CH58" i="5"/>
  <c r="CH66" i="5"/>
  <c r="CH82" i="5"/>
  <c r="CH90" i="5"/>
  <c r="CH98" i="5"/>
  <c r="CH106" i="5"/>
  <c r="CH114" i="5"/>
  <c r="CJ114" i="5" s="1"/>
  <c r="CH122" i="5"/>
  <c r="CH138" i="5"/>
  <c r="CH146" i="5"/>
  <c r="CH170" i="5"/>
  <c r="CH2" i="5"/>
  <c r="CH11" i="5"/>
  <c r="CH19" i="5"/>
  <c r="CH35" i="5"/>
  <c r="CH59" i="5"/>
  <c r="CH67" i="5"/>
  <c r="CH75" i="5"/>
  <c r="CH83" i="5"/>
  <c r="CH91" i="5"/>
  <c r="CH99" i="5"/>
  <c r="CH115" i="5"/>
  <c r="CH123" i="5"/>
  <c r="CH131" i="5"/>
  <c r="CH155" i="5"/>
  <c r="CH171" i="5"/>
  <c r="CJ171" i="5" s="1"/>
  <c r="CH21" i="5"/>
  <c r="CH77" i="5"/>
  <c r="CH125" i="5"/>
  <c r="CJ125" i="5" s="1"/>
  <c r="CH4" i="5"/>
  <c r="CH12" i="5"/>
  <c r="CH20" i="5"/>
  <c r="CH28" i="5"/>
  <c r="CH44" i="5"/>
  <c r="CH52" i="5"/>
  <c r="CH68" i="5"/>
  <c r="CH76" i="5"/>
  <c r="CH92" i="5"/>
  <c r="CJ92" i="5" s="1"/>
  <c r="CH108" i="5"/>
  <c r="CH116" i="5"/>
  <c r="CH132" i="5"/>
  <c r="CH140" i="5"/>
  <c r="CH148" i="5"/>
  <c r="CH156" i="5"/>
  <c r="CH37" i="5"/>
  <c r="CH109" i="5"/>
  <c r="CH6" i="5"/>
  <c r="CH14" i="5"/>
  <c r="CH30" i="5"/>
  <c r="CH46" i="5"/>
  <c r="CH54" i="5"/>
  <c r="CH62" i="5"/>
  <c r="CH70" i="5"/>
  <c r="CH78" i="5"/>
  <c r="CH86" i="5"/>
  <c r="CH110" i="5"/>
  <c r="CH118" i="5"/>
  <c r="CH126" i="5"/>
  <c r="CH134" i="5"/>
  <c r="CH150" i="5"/>
  <c r="CH158" i="5"/>
  <c r="CH166" i="5"/>
  <c r="CH182" i="5" s="1"/>
  <c r="CH183" i="5" s="1"/>
  <c r="CH45" i="5"/>
  <c r="CH93" i="5"/>
  <c r="CG11" i="5"/>
  <c r="CJ11" i="5" s="1"/>
  <c r="CG19" i="5"/>
  <c r="CG35" i="5"/>
  <c r="CG59" i="5"/>
  <c r="CG67" i="5"/>
  <c r="CG75" i="5"/>
  <c r="CJ75" i="5" s="1"/>
  <c r="CG83" i="5"/>
  <c r="CG91" i="5"/>
  <c r="CG99" i="5"/>
  <c r="CJ99" i="5" s="1"/>
  <c r="CG115" i="5"/>
  <c r="CG123" i="5"/>
  <c r="CG131" i="5"/>
  <c r="CG155" i="5"/>
  <c r="CG4" i="5"/>
  <c r="CJ4" i="5" s="1"/>
  <c r="CG12" i="5"/>
  <c r="CJ12" i="5" s="1"/>
  <c r="CG20" i="5"/>
  <c r="CJ20" i="5" s="1"/>
  <c r="CG28" i="5"/>
  <c r="CJ28" i="5" s="1"/>
  <c r="CG44" i="5"/>
  <c r="CJ44" i="5" s="1"/>
  <c r="CG52" i="5"/>
  <c r="CJ52" i="5" s="1"/>
  <c r="CG68" i="5"/>
  <c r="CJ68" i="5" s="1"/>
  <c r="CG76" i="5"/>
  <c r="CJ76" i="5" s="1"/>
  <c r="CG108" i="5"/>
  <c r="CG116" i="5"/>
  <c r="CG132" i="5"/>
  <c r="CG140" i="5"/>
  <c r="CJ140" i="5" s="1"/>
  <c r="CG148" i="5"/>
  <c r="CG156" i="5"/>
  <c r="CG21" i="5"/>
  <c r="CG37" i="5"/>
  <c r="CJ37" i="5" s="1"/>
  <c r="CG45" i="5"/>
  <c r="CG53" i="5"/>
  <c r="CG61" i="5"/>
  <c r="CG77" i="5"/>
  <c r="CG85" i="5"/>
  <c r="CG93" i="5"/>
  <c r="CJ93" i="5" s="1"/>
  <c r="CG101" i="5"/>
  <c r="CG109" i="5"/>
  <c r="CG141" i="5"/>
  <c r="CJ141" i="5" s="1"/>
  <c r="CG6" i="5"/>
  <c r="CJ6" i="5" s="1"/>
  <c r="CG14" i="5"/>
  <c r="CJ14" i="5" s="1"/>
  <c r="CG30" i="5"/>
  <c r="CJ30" i="5" s="1"/>
  <c r="CG46" i="5"/>
  <c r="CJ46" i="5" s="1"/>
  <c r="CG54" i="5"/>
  <c r="CJ54" i="5" s="1"/>
  <c r="CG62" i="5"/>
  <c r="CJ62" i="5" s="1"/>
  <c r="CG70" i="5"/>
  <c r="CG78" i="5"/>
  <c r="CJ78" i="5" s="1"/>
  <c r="CG86" i="5"/>
  <c r="CJ86" i="5" s="1"/>
  <c r="CG110" i="5"/>
  <c r="CJ110" i="5" s="1"/>
  <c r="CG118" i="5"/>
  <c r="CJ118" i="5" s="1"/>
  <c r="CG126" i="5"/>
  <c r="CJ126" i="5" s="1"/>
  <c r="CG134" i="5"/>
  <c r="CJ134" i="5" s="1"/>
  <c r="CG150" i="5"/>
  <c r="CJ150" i="5" s="1"/>
  <c r="CG158" i="5"/>
  <c r="CJ158" i="5" s="1"/>
  <c r="CG166" i="5"/>
  <c r="CG7" i="5"/>
  <c r="CG23" i="5"/>
  <c r="CJ23" i="5" s="1"/>
  <c r="CG31" i="5"/>
  <c r="CG39" i="5"/>
  <c r="CG55" i="5"/>
  <c r="CG63" i="5"/>
  <c r="CJ63" i="5" s="1"/>
  <c r="CG71" i="5"/>
  <c r="CG87" i="5"/>
  <c r="CG95" i="5"/>
  <c r="CG103" i="5"/>
  <c r="CJ103" i="5" s="1"/>
  <c r="CG127" i="5"/>
  <c r="CG135" i="5"/>
  <c r="CJ135" i="5" s="1"/>
  <c r="CG143" i="5"/>
  <c r="CG151" i="5"/>
  <c r="CJ151" i="5" s="1"/>
  <c r="CG175" i="5"/>
  <c r="CG16" i="5"/>
  <c r="CG32" i="5"/>
  <c r="CG40" i="5"/>
  <c r="CG48" i="5"/>
  <c r="CJ48" i="5" s="1"/>
  <c r="CG56" i="5"/>
  <c r="CG64" i="5"/>
  <c r="CG72" i="5"/>
  <c r="CG80" i="5"/>
  <c r="CG88" i="5"/>
  <c r="CG104" i="5"/>
  <c r="CG112" i="5"/>
  <c r="CG136" i="5"/>
  <c r="CG160" i="5"/>
  <c r="CG9" i="5"/>
  <c r="CJ9" i="5" s="1"/>
  <c r="CG17" i="5"/>
  <c r="CG25" i="5"/>
  <c r="CG49" i="5"/>
  <c r="CG57" i="5"/>
  <c r="CJ57" i="5" s="1"/>
  <c r="CG65" i="5"/>
  <c r="CG73" i="5"/>
  <c r="CG81" i="5"/>
  <c r="CG97" i="5"/>
  <c r="CJ97" i="5" s="1"/>
  <c r="CG121" i="5"/>
  <c r="CG129" i="5"/>
  <c r="CG145" i="5"/>
  <c r="CG153" i="5"/>
  <c r="CJ153" i="5" s="1"/>
  <c r="CG169" i="5"/>
  <c r="CG26" i="5"/>
  <c r="CJ26" i="5" s="1"/>
  <c r="CG34" i="5"/>
  <c r="CJ34" i="5" s="1"/>
  <c r="CG42" i="5"/>
  <c r="CG50" i="5"/>
  <c r="CG58" i="5"/>
  <c r="CG66" i="5"/>
  <c r="CJ66" i="5" s="1"/>
  <c r="CG82" i="5"/>
  <c r="CG90" i="5"/>
  <c r="CG98" i="5"/>
  <c r="CJ98" i="5" s="1"/>
  <c r="CG106" i="5"/>
  <c r="CJ106" i="5" s="1"/>
  <c r="CG122" i="5"/>
  <c r="CJ122" i="5" s="1"/>
  <c r="CG138" i="5"/>
  <c r="CG146" i="5"/>
  <c r="CJ146" i="5" s="1"/>
  <c r="CG170" i="5"/>
  <c r="CG2" i="5"/>
  <c r="D19" i="7"/>
  <c r="G4" i="7"/>
  <c r="E14" i="7"/>
  <c r="E13" i="7"/>
  <c r="N28" i="8"/>
  <c r="N25" i="8"/>
  <c r="N20" i="8"/>
  <c r="N30" i="8"/>
  <c r="N22" i="8"/>
  <c r="C4" i="7"/>
  <c r="E16" i="7"/>
  <c r="E12" i="7"/>
  <c r="CJ50" i="5" l="1"/>
  <c r="CJ131" i="5"/>
  <c r="CJ59" i="5"/>
  <c r="CJ39" i="5"/>
  <c r="CJ104" i="5"/>
  <c r="CJ32" i="5"/>
  <c r="CJ116" i="5"/>
  <c r="CJ129" i="5"/>
  <c r="CJ25" i="5"/>
  <c r="CJ80" i="5"/>
  <c r="CJ121" i="5"/>
  <c r="CJ17" i="5"/>
  <c r="CJ88" i="5"/>
  <c r="CJ123" i="5"/>
  <c r="CJ35" i="5"/>
  <c r="CJ16" i="5"/>
  <c r="CJ42" i="5"/>
  <c r="CJ31" i="5"/>
  <c r="CJ127" i="5"/>
  <c r="CJ58" i="5"/>
  <c r="CJ166" i="5"/>
  <c r="CJ182" i="5" s="1"/>
  <c r="CJ183" i="5" s="1"/>
  <c r="CG182" i="5"/>
  <c r="CG183" i="5" s="1"/>
  <c r="CJ64" i="5"/>
  <c r="CJ156" i="5"/>
  <c r="CJ160" i="5"/>
  <c r="CJ85" i="5"/>
  <c r="CJ77" i="5"/>
  <c r="CJ73" i="5"/>
  <c r="CJ90" i="5"/>
  <c r="CJ53" i="5"/>
  <c r="CJ87" i="5"/>
  <c r="CH180" i="5"/>
  <c r="CH181" i="5" s="1"/>
  <c r="CJ91" i="5"/>
  <c r="CJ2" i="5"/>
  <c r="CG180" i="5"/>
  <c r="CG181" i="5" s="1"/>
  <c r="CJ45" i="5"/>
  <c r="CJ108" i="5"/>
  <c r="CJ70" i="5"/>
  <c r="CJ72" i="5"/>
  <c r="CJ101" i="5"/>
  <c r="CJ143" i="5"/>
  <c r="CJ55" i="5"/>
  <c r="CJ81" i="5"/>
  <c r="CJ112" i="5"/>
  <c r="CJ40" i="5"/>
  <c r="CJ61" i="5"/>
  <c r="CJ95" i="5"/>
  <c r="CJ7" i="5"/>
  <c r="CJ145" i="5"/>
  <c r="CJ49" i="5"/>
  <c r="CJ71" i="5"/>
  <c r="CJ138" i="5"/>
  <c r="CJ21" i="5"/>
  <c r="CJ56" i="5"/>
  <c r="CJ148" i="5"/>
  <c r="CJ115" i="5"/>
  <c r="CJ19" i="5"/>
  <c r="CJ65" i="5"/>
  <c r="CJ132" i="5"/>
  <c r="CJ136" i="5"/>
  <c r="CJ169" i="5"/>
  <c r="CJ82" i="5"/>
  <c r="CJ83" i="5"/>
  <c r="CJ170" i="5"/>
  <c r="CJ175" i="5"/>
  <c r="CJ109" i="5"/>
  <c r="CJ155" i="5"/>
  <c r="CJ67" i="5"/>
  <c r="C19" i="7"/>
  <c r="F4" i="7"/>
  <c r="E4" i="7"/>
  <c r="E19" i="7" s="1"/>
  <c r="G38" i="8"/>
  <c r="AA38" i="8" s="1"/>
  <c r="F38" i="8"/>
  <c r="E84" i="8"/>
  <c r="G84" i="8"/>
  <c r="CJ180" i="5" l="1"/>
  <c r="CJ181" i="5" s="1"/>
  <c r="M10" i="12" s="1"/>
  <c r="M10" i="13"/>
  <c r="K15" i="9"/>
  <c r="AA44" i="8"/>
  <c r="H96" i="8"/>
  <c r="K4" i="9" l="1"/>
  <c r="K7" i="9" s="1"/>
  <c r="M13" i="13"/>
  <c r="M38" i="13"/>
  <c r="AB10" i="13"/>
  <c r="AC10" i="13" s="1"/>
  <c r="N10" i="13"/>
  <c r="N13" i="13" s="1"/>
  <c r="L15" i="9"/>
  <c r="L18" i="9" s="1"/>
  <c r="K18" i="9"/>
  <c r="N10" i="12"/>
  <c r="N13" i="12" s="1"/>
  <c r="M13" i="12"/>
  <c r="M38" i="12"/>
  <c r="AB10" i="12"/>
  <c r="AC10" i="12" s="1"/>
  <c r="G93" i="8"/>
  <c r="G90" i="8"/>
  <c r="G95" i="8"/>
  <c r="G86" i="8"/>
  <c r="G92" i="8"/>
  <c r="G91" i="8"/>
  <c r="G89" i="8"/>
  <c r="G87" i="8"/>
  <c r="G94" i="8"/>
  <c r="G88" i="8"/>
  <c r="J10" i="8"/>
  <c r="N10" i="8"/>
  <c r="J11" i="8"/>
  <c r="J12" i="8"/>
  <c r="N12" i="8"/>
  <c r="F13" i="8"/>
  <c r="F16" i="8" s="1"/>
  <c r="G13" i="8"/>
  <c r="H13" i="8"/>
  <c r="I13" i="8"/>
  <c r="L13" i="8"/>
  <c r="M13" i="8"/>
  <c r="C38" i="8"/>
  <c r="H38" i="8"/>
  <c r="I38" i="8"/>
  <c r="C39" i="8"/>
  <c r="F39" i="8"/>
  <c r="G39" i="8"/>
  <c r="AA39" i="8" s="1"/>
  <c r="H39" i="8"/>
  <c r="I39" i="8"/>
  <c r="AB39" i="8" s="1"/>
  <c r="AB45" i="8" s="1"/>
  <c r="C40" i="8"/>
  <c r="F40" i="8"/>
  <c r="G40" i="8"/>
  <c r="H40" i="8"/>
  <c r="I40" i="8"/>
  <c r="F51" i="8"/>
  <c r="F52" i="8" s="1"/>
  <c r="J54" i="8"/>
  <c r="J55" i="8"/>
  <c r="J58" i="8"/>
  <c r="J59" i="8"/>
  <c r="J62" i="8"/>
  <c r="J64" i="8"/>
  <c r="J70" i="8"/>
  <c r="J71" i="8"/>
  <c r="F96" i="8"/>
  <c r="E86" i="8" s="1"/>
  <c r="I96" i="8"/>
  <c r="L4" i="9" l="1"/>
  <c r="L7" i="9" s="1"/>
  <c r="M41" i="13"/>
  <c r="AB38" i="13"/>
  <c r="N38" i="13"/>
  <c r="M41" i="12"/>
  <c r="N41" i="12" s="1"/>
  <c r="AB38" i="12"/>
  <c r="N38" i="12"/>
  <c r="AC39" i="8"/>
  <c r="AA45" i="8"/>
  <c r="AC45" i="8" s="1"/>
  <c r="J13" i="8"/>
  <c r="N13" i="8"/>
  <c r="E95" i="8"/>
  <c r="E87" i="8"/>
  <c r="E94" i="8"/>
  <c r="E93" i="8"/>
  <c r="E92" i="8"/>
  <c r="E91" i="8"/>
  <c r="E90" i="8"/>
  <c r="E89" i="8"/>
  <c r="E88" i="8"/>
  <c r="F41" i="8"/>
  <c r="F43" i="8" s="1"/>
  <c r="I41" i="8"/>
  <c r="J38" i="8"/>
  <c r="H41" i="8"/>
  <c r="J40" i="8"/>
  <c r="J39" i="8"/>
  <c r="I50" i="8"/>
  <c r="G66" i="8"/>
  <c r="C80" i="8"/>
  <c r="J50" i="8"/>
  <c r="H66" i="8"/>
  <c r="I66" i="8"/>
  <c r="C51" i="8"/>
  <c r="C56" i="8"/>
  <c r="M50" i="8"/>
  <c r="G50" i="8"/>
  <c r="L50" i="8"/>
  <c r="C60" i="8"/>
  <c r="J66" i="8"/>
  <c r="C67" i="8"/>
  <c r="A83" i="8"/>
  <c r="F56" i="8"/>
  <c r="F60" i="8" s="1"/>
  <c r="C75" i="8"/>
  <c r="H50" i="8"/>
  <c r="G41" i="8"/>
  <c r="AB44" i="13" l="1"/>
  <c r="AC44" i="13" s="1"/>
  <c r="AC38" i="13"/>
  <c r="N41" i="13"/>
  <c r="I69" i="13"/>
  <c r="AB44" i="12"/>
  <c r="AC44" i="12" s="1"/>
  <c r="AC38" i="12"/>
  <c r="F44" i="8"/>
  <c r="H16" i="8"/>
  <c r="G15" i="8"/>
  <c r="G16" i="8" s="1"/>
  <c r="E96" i="8"/>
  <c r="G96" i="8"/>
  <c r="J41" i="8"/>
  <c r="F67" i="8"/>
  <c r="F75" i="8" s="1"/>
  <c r="J69" i="13" l="1"/>
  <c r="I75" i="13"/>
  <c r="I80" i="13" s="1"/>
  <c r="F45" i="8"/>
  <c r="G51" i="8"/>
  <c r="G52" i="8" s="1"/>
  <c r="G56" i="8" s="1"/>
  <c r="G60" i="8" s="1"/>
  <c r="I15" i="8"/>
  <c r="I16" i="8" s="1"/>
  <c r="I51" i="8"/>
  <c r="I43" i="8" s="1"/>
  <c r="H51" i="8"/>
  <c r="H43" i="8" s="1"/>
  <c r="L93" i="13" l="1"/>
  <c r="L88" i="13"/>
  <c r="L92" i="13"/>
  <c r="L95" i="13"/>
  <c r="L87" i="13"/>
  <c r="L94" i="13"/>
  <c r="L91" i="13"/>
  <c r="L89" i="13"/>
  <c r="L86" i="13"/>
  <c r="L90" i="13"/>
  <c r="J75" i="13"/>
  <c r="J80" i="13" s="1"/>
  <c r="F80" i="8"/>
  <c r="J15" i="8"/>
  <c r="J16" i="8" s="1"/>
  <c r="L16" i="8" s="1"/>
  <c r="J51" i="8"/>
  <c r="J52" i="8" s="1"/>
  <c r="J56" i="8" s="1"/>
  <c r="J60" i="8" s="1"/>
  <c r="G43" i="8"/>
  <c r="H52" i="8"/>
  <c r="H56" i="8" s="1"/>
  <c r="H60" i="8" s="1"/>
  <c r="H44" i="8" s="1"/>
  <c r="I52" i="8"/>
  <c r="I56" i="8" s="1"/>
  <c r="I60" i="8" s="1"/>
  <c r="I44" i="8" s="1"/>
  <c r="L96" i="13" l="1"/>
  <c r="H67" i="8"/>
  <c r="H45" i="8" s="1"/>
  <c r="J43" i="8"/>
  <c r="K43" i="8" s="1"/>
  <c r="G44" i="8"/>
  <c r="J44" i="8" l="1"/>
  <c r="K44" i="8" s="1"/>
  <c r="J74" i="8"/>
  <c r="L38" i="8" l="1"/>
  <c r="N39" i="8"/>
  <c r="L40" i="8"/>
  <c r="L41" i="8" l="1"/>
  <c r="M38" i="8"/>
  <c r="N40" i="8"/>
  <c r="M41" i="8" l="1"/>
  <c r="N41" i="8" s="1"/>
  <c r="AB38" i="8"/>
  <c r="N38" i="8"/>
  <c r="AB44" i="8" l="1"/>
  <c r="AC44" i="8" s="1"/>
  <c r="AC38" i="8"/>
  <c r="J67" i="8" l="1"/>
  <c r="G63" i="8"/>
  <c r="G72" i="8" l="1"/>
  <c r="G73" i="8"/>
  <c r="I69" i="8"/>
  <c r="H68" i="8"/>
  <c r="H75" i="8" s="1"/>
  <c r="G67" i="8"/>
  <c r="I63" i="8"/>
  <c r="I67" i="8" s="1"/>
  <c r="J69" i="8" l="1"/>
  <c r="L93" i="8" s="1"/>
  <c r="G45" i="8"/>
  <c r="G75" i="8"/>
  <c r="I73" i="8"/>
  <c r="J73" i="8" s="1"/>
  <c r="H80" i="8"/>
  <c r="J68" i="8"/>
  <c r="I45" i="8"/>
  <c r="J45" i="8" l="1"/>
  <c r="K46" i="8" s="1"/>
  <c r="L88" i="8"/>
  <c r="L87" i="8"/>
  <c r="L94" i="8"/>
  <c r="L92" i="8"/>
  <c r="L95" i="8"/>
  <c r="L91" i="8"/>
  <c r="L90" i="8"/>
  <c r="L86" i="8"/>
  <c r="L89" i="8"/>
  <c r="N86" i="8"/>
  <c r="N88" i="8"/>
  <c r="N94" i="8"/>
  <c r="N91" i="8"/>
  <c r="N90" i="8"/>
  <c r="N93" i="8"/>
  <c r="N95" i="8"/>
  <c r="N89" i="8"/>
  <c r="N87" i="8"/>
  <c r="N92" i="8"/>
  <c r="J94" i="8"/>
  <c r="J90" i="8"/>
  <c r="J95" i="8"/>
  <c r="J87" i="8"/>
  <c r="J91" i="8"/>
  <c r="J93" i="8"/>
  <c r="J86" i="8"/>
  <c r="J92" i="8"/>
  <c r="J88" i="8"/>
  <c r="J89" i="8"/>
  <c r="I72" i="8"/>
  <c r="G80" i="8"/>
  <c r="K45" i="8" l="1"/>
  <c r="L96" i="8"/>
  <c r="I75" i="8"/>
  <c r="I80" i="8" s="1"/>
  <c r="N96" i="8"/>
  <c r="J96" i="8"/>
  <c r="J72" i="8"/>
  <c r="M86" i="8" l="1"/>
  <c r="J75" i="8"/>
  <c r="J80" i="8" s="1"/>
  <c r="M87" i="8"/>
  <c r="M94" i="8"/>
  <c r="M91" i="8"/>
  <c r="M95" i="8"/>
  <c r="M92" i="8"/>
  <c r="M90" i="8"/>
  <c r="M88" i="8"/>
  <c r="M89" i="8"/>
  <c r="M93" i="8"/>
  <c r="M9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4FEBDCF4-DE95-4001-BE28-14C9B76C13D7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D1AAE294-F304-48BC-B55E-45C9D026566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60696E0-80FB-4145-8829-87BB674D5AE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99E8E5F-6ACC-4608-AF28-C19F64CF86D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260CEA2-DD22-4C8A-A119-42CE70ED06B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EB0FBA7-0501-4EFF-8BD0-D0880B784AD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7B55E25-68FF-4363-844E-4D05D81D4A5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C8870B0-D5DF-4780-8BCE-D92B92D09CD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DFE2FEC9-E5E8-40E9-9F4A-4BCB99E8F88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90AE785-58D0-44B8-AE62-05EA3ADE151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9706E6E-F62C-455A-8A6A-9395C796593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59CB326-0F0D-4C6A-8061-22704F6D3EC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0AB77A9-6696-4F75-89E3-BBEA4531A7A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9E9A4D0-9860-4DAF-8660-199B1C062657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AC4604A-8453-456E-BF70-8448177405D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FC28B1C-7A20-4139-903A-5CD44A0E19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1CFF6E8-54B4-4CD2-88DD-A26AA1942ED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974A485-1C3C-4569-B4F6-A3B7A29B006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8BDA168-485B-4166-9ADF-8B61E4F1ACF2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C97948E-1DBD-4FE0-8B4A-8A47FFCD537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070714BA-0C76-4293-B185-CD9FD8DB628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<sst xmlns="http://schemas.openxmlformats.org/spreadsheetml/2006/main" count="4444" uniqueCount="887">
  <si>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</si>
  <si>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</si>
  <si>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</si>
  <si>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</si>
  <si>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</si>
  <si>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</si>
  <si>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</si>
  <si>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</si>
  <si>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</si>
  <si>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</si>
  <si>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</si>
  <si>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</si>
  <si>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</si>
  <si>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Please explain any changes to the allocation of the bucket funds within the detail level</t>
  </si>
  <si>
    <t>TOTAL</t>
  </si>
  <si>
    <t>10.62 CEC Group</t>
  </si>
  <si>
    <t xml:space="preserve">10.61 CEC </t>
  </si>
  <si>
    <t>10.12 Variable</t>
  </si>
  <si>
    <t>10.11 Health</t>
  </si>
  <si>
    <t>Fund Split</t>
  </si>
  <si>
    <t xml:space="preserve">Total </t>
  </si>
  <si>
    <t xml:space="preserve"> Total </t>
  </si>
  <si>
    <t>TOTAL REQUEST</t>
  </si>
  <si>
    <t xml:space="preserve"> </t>
  </si>
  <si>
    <t>Fund Detail</t>
  </si>
  <si>
    <t>Line Items:</t>
  </si>
  <si>
    <t>PROGRAM MAINTENANCE</t>
  </si>
  <si>
    <t>CEC for Elected Officials &amp; Commissioners</t>
  </si>
  <si>
    <t>CEC for Group Positions</t>
  </si>
  <si>
    <t>Annualization</t>
  </si>
  <si>
    <t>Change in Variable Benefits Costs</t>
  </si>
  <si>
    <t>Change in Health Benefit Costs</t>
  </si>
  <si>
    <t>BASE</t>
  </si>
  <si>
    <t>FTP</t>
  </si>
  <si>
    <t>Base Reduction</t>
  </si>
  <si>
    <t>Removal of One-Time Expenditures</t>
  </si>
  <si>
    <t xml:space="preserve">Transfer between programs </t>
  </si>
  <si>
    <t>Base Adjustments:</t>
  </si>
  <si>
    <t>ESTIMATED EXPENDITURES</t>
  </si>
  <si>
    <t>Transfer between programs</t>
  </si>
  <si>
    <t>FTP or Fund Adjustment</t>
  </si>
  <si>
    <t>Expenditure Adjustments:</t>
  </si>
  <si>
    <t>TOTAL APPROPRIATION</t>
  </si>
  <si>
    <t>Supplemental</t>
  </si>
  <si>
    <t>Reappropriation</t>
  </si>
  <si>
    <t>Appropriation Adjustments:</t>
  </si>
  <si>
    <t>Rounded Appropriation</t>
  </si>
  <si>
    <t>ORIGINAL APPROPRIATION</t>
  </si>
  <si>
    <t>Total Benefit Change</t>
  </si>
  <si>
    <t>Original Appropriation</t>
  </si>
  <si>
    <t>DU</t>
  </si>
  <si>
    <t>Est. Expend</t>
  </si>
  <si>
    <t>Orig. Approp</t>
  </si>
  <si>
    <t>Adjusted Over or (Under) Funding:</t>
  </si>
  <si>
    <t>Estimated Salary and Benefits</t>
  </si>
  <si>
    <t>Estimated Salary Needs:</t>
  </si>
  <si>
    <t>Other Adjustments:</t>
  </si>
  <si>
    <t>Add Funded / Subtract Unfunded - Vacant or Authorized - Positions:</t>
  </si>
  <si>
    <t>Adjustments to Wage &amp; Salary:</t>
  </si>
  <si>
    <t>Est Difference</t>
  </si>
  <si>
    <t>Unadjusted Over or (Under) Funded:</t>
  </si>
  <si>
    <t>TOTAL FROM WSR</t>
  </si>
  <si>
    <t>Elected Officials &amp; Full Time Commissioners</t>
  </si>
  <si>
    <t>Board &amp; Group Positions</t>
  </si>
  <si>
    <t>Permanent Positions</t>
  </si>
  <si>
    <t>Totals from Wage and Salary Report (WSR):</t>
  </si>
  <si>
    <t>TOTAL BENEFIT CHANGES</t>
  </si>
  <si>
    <t>Indicator Code</t>
  </si>
  <si>
    <t>DESCRIPTION</t>
  </si>
  <si>
    <t>CLASS CODE</t>
  </si>
  <si>
    <t>PCN</t>
  </si>
  <si>
    <t>Revision #:</t>
  </si>
  <si>
    <t>Revision Date:</t>
  </si>
  <si>
    <t>Fund Name:</t>
  </si>
  <si>
    <t>Original Request Date:</t>
  </si>
  <si>
    <t>Fiscal Year:</t>
  </si>
  <si>
    <t>Agency Number:</t>
  </si>
  <si>
    <t>Agency/Department:</t>
  </si>
  <si>
    <t>Fund Detail 4</t>
  </si>
  <si>
    <t>Fund Detail 1</t>
  </si>
  <si>
    <t>Fund Detail 2</t>
  </si>
  <si>
    <t>Fund Detail 3</t>
  </si>
  <si>
    <t>Fund Detail 5</t>
  </si>
  <si>
    <t>Fund Detail 6</t>
  </si>
  <si>
    <t>Fund Detail 7</t>
  </si>
  <si>
    <t>Fund Detail 8</t>
  </si>
  <si>
    <t>Fund Detail 9</t>
  </si>
  <si>
    <t>Fund Detail 10</t>
  </si>
  <si>
    <t>Fund Name</t>
  </si>
  <si>
    <t>ORIGINAL APPROPRIATION (Adjusted)</t>
  </si>
  <si>
    <t>Part Time Health Costs</t>
  </si>
  <si>
    <t>RETIREMENT RATES</t>
  </si>
  <si>
    <t>R1</t>
  </si>
  <si>
    <t>Regular Retirement</t>
  </si>
  <si>
    <t>R2</t>
  </si>
  <si>
    <t>Police/Fire Retirement</t>
  </si>
  <si>
    <t>R4</t>
  </si>
  <si>
    <t>Former Public Safety (1985)</t>
  </si>
  <si>
    <t>R5</t>
  </si>
  <si>
    <t xml:space="preserve">Dept of Labor </t>
  </si>
  <si>
    <t>R6</t>
  </si>
  <si>
    <t>Judges Retirement</t>
  </si>
  <si>
    <t>R7</t>
  </si>
  <si>
    <t>Optional Retirement</t>
  </si>
  <si>
    <t>R8</t>
  </si>
  <si>
    <t>Type (G/D/F)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</si>
  <si>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</si>
  <si>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</si>
  <si>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</si>
  <si>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</si>
  <si>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</si>
  <si>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</si>
  <si>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</si>
  <si>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</si>
  <si>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</si>
  <si>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</si>
  <si>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</si>
  <si>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</si>
  <si>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Total Benefits</t>
  </si>
  <si>
    <t>Variable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</si>
  <si>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</si>
  <si>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</si>
  <si>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</si>
  <si>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</si>
  <si>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</si>
  <si>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</si>
  <si>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</si>
  <si>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</si>
  <si>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Fund Number-
Fund Detail</t>
  </si>
  <si>
    <t>Filled</t>
  </si>
  <si>
    <t>Total</t>
  </si>
  <si>
    <t>Filled and Adjustments</t>
  </si>
  <si>
    <t>Adjustments Only</t>
  </si>
  <si>
    <t>Percent of Filled Positions</t>
  </si>
  <si>
    <t>FTI  = EMPLOYEE FTE = (PAY PERIOD HOURS/80)  * FTE PCT OF YEAR * POSITION DISTRIBUTION %</t>
  </si>
  <si>
    <t>FTP = POSITION FTE = (PAY PERIOD HOURS/80) * FTE PCT OF YEAR * POSITION DISTRIBUTION %</t>
  </si>
  <si>
    <t>Table Below Is To Be Used For Fund Shift Requests (If Needed) - Shifts Should Align With BDS Entries And Net To $0</t>
  </si>
  <si>
    <t>10.19 Benefit Fund Shift</t>
  </si>
  <si>
    <t>10.69 CEC 
Fund Shift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</si>
  <si>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</si>
  <si>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</si>
  <si>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</si>
  <si>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</si>
  <si>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</si>
  <si>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</si>
  <si>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</si>
  <si>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</si>
  <si>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</si>
  <si>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</si>
  <si>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</si>
  <si>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</si>
  <si>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</si>
  <si>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</si>
  <si>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</si>
  <si>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</si>
  <si>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</si>
  <si>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</si>
  <si>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</si>
  <si>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</si>
  <si>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</si>
  <si>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</si>
  <si>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</si>
  <si>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</si>
  <si>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</si>
  <si>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</si>
  <si>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</si>
  <si>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</si>
  <si>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</si>
  <si>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</si>
  <si>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</si>
  <si>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</si>
  <si>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</si>
  <si>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</si>
  <si>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</si>
  <si>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</si>
  <si>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</si>
  <si>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</si>
  <si>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</si>
  <si>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</si>
  <si>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</si>
  <si>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</si>
  <si>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</si>
  <si>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</si>
  <si>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</si>
  <si>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</si>
  <si>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</si>
  <si>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</si>
  <si>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</si>
  <si>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951</t>
  </si>
  <si>
    <t>3459</t>
  </si>
  <si>
    <t xml:space="preserve">NURSE, REGISTERED   </t>
  </si>
  <si>
    <t>0290</t>
  </si>
  <si>
    <t>00</t>
  </si>
  <si>
    <t>HDAA</t>
  </si>
  <si>
    <t>002</t>
  </si>
  <si>
    <t>07606</t>
  </si>
  <si>
    <t>L</t>
  </si>
  <si>
    <t>F</t>
  </si>
  <si>
    <t>CR</t>
  </si>
  <si>
    <t>KONO, KRISTINE A.</t>
  </si>
  <si>
    <t>KONO</t>
  </si>
  <si>
    <t>KRISTINE</t>
  </si>
  <si>
    <t>A</t>
  </si>
  <si>
    <t xml:space="preserve">HL   </t>
  </si>
  <si>
    <t>H</t>
  </si>
  <si>
    <t>FS</t>
  </si>
  <si>
    <t>E</t>
  </si>
  <si>
    <t>N</t>
  </si>
  <si>
    <t>Y</t>
  </si>
  <si>
    <t xml:space="preserve">    </t>
  </si>
  <si>
    <t>3446</t>
  </si>
  <si>
    <t>NURSE, REGISTERED MA</t>
  </si>
  <si>
    <t>07572</t>
  </si>
  <si>
    <t>V</t>
  </si>
  <si>
    <t>5277</t>
  </si>
  <si>
    <t xml:space="preserve">CUSTOMER SVC REP 1  </t>
  </si>
  <si>
    <t>008</t>
  </si>
  <si>
    <t>01121</t>
  </si>
  <si>
    <t>G</t>
  </si>
  <si>
    <t>KRAMER, KALLY A.</t>
  </si>
  <si>
    <t>KRAMER</t>
  </si>
  <si>
    <t>KALLY</t>
  </si>
  <si>
    <t xml:space="preserve">HG   </t>
  </si>
  <si>
    <t>9020</t>
  </si>
  <si>
    <t xml:space="preserve">GROUP POSITION      </t>
  </si>
  <si>
    <t>001</t>
  </si>
  <si>
    <t>90000</t>
  </si>
  <si>
    <t>NG</t>
  </si>
  <si>
    <t>2052</t>
  </si>
  <si>
    <t xml:space="preserve">ENV HLTH SPEC 2     </t>
  </si>
  <si>
    <t>005</t>
  </si>
  <si>
    <t>07547</t>
  </si>
  <si>
    <t>K</t>
  </si>
  <si>
    <t>COLLING, MATHEW B.</t>
  </si>
  <si>
    <t>COLLING</t>
  </si>
  <si>
    <t>MATHEW</t>
  </si>
  <si>
    <t>B</t>
  </si>
  <si>
    <t xml:space="preserve">HK   </t>
  </si>
  <si>
    <t>3458</t>
  </si>
  <si>
    <t xml:space="preserve">RUSH, LASKA </t>
  </si>
  <si>
    <t>RUSH</t>
  </si>
  <si>
    <t>LASKA</t>
  </si>
  <si>
    <t xml:space="preserve">              </t>
  </si>
  <si>
    <t>PT</t>
  </si>
  <si>
    <t>3440</t>
  </si>
  <si>
    <t>PUBLIC HEALTH PRG MG</t>
  </si>
  <si>
    <t>07515</t>
  </si>
  <si>
    <t>5276</t>
  </si>
  <si>
    <t>003</t>
  </si>
  <si>
    <t xml:space="preserve">DOBBINS, DAWN </t>
  </si>
  <si>
    <t>DOBBINS</t>
  </si>
  <si>
    <t>DAWN</t>
  </si>
  <si>
    <t>9019</t>
  </si>
  <si>
    <t>2051</t>
  </si>
  <si>
    <t>004</t>
  </si>
  <si>
    <t xml:space="preserve">DERRY, SHEENA </t>
  </si>
  <si>
    <t>DERRY</t>
  </si>
  <si>
    <t>SHEENA</t>
  </si>
  <si>
    <t>07546</t>
  </si>
  <si>
    <t xml:space="preserve">HJ   </t>
  </si>
  <si>
    <t>3457</t>
  </si>
  <si>
    <t xml:space="preserve">POLLARD, ROSALIE </t>
  </si>
  <si>
    <t>POLLARD</t>
  </si>
  <si>
    <t>ROSALIE</t>
  </si>
  <si>
    <t>3403</t>
  </si>
  <si>
    <t>HEALTH EDUCATION SPE</t>
  </si>
  <si>
    <t>02355</t>
  </si>
  <si>
    <t>5230</t>
  </si>
  <si>
    <t xml:space="preserve">TECH RECORDS SPEC 1 </t>
  </si>
  <si>
    <t>01104</t>
  </si>
  <si>
    <t>CL</t>
  </si>
  <si>
    <t xml:space="preserve">CAMBARERI, MICHAEL </t>
  </si>
  <si>
    <t>CAMBARERI</t>
  </si>
  <si>
    <t>MICHAEL</t>
  </si>
  <si>
    <t xml:space="preserve">HH   </t>
  </si>
  <si>
    <t>9008</t>
  </si>
  <si>
    <t>2050</t>
  </si>
  <si>
    <t>007</t>
  </si>
  <si>
    <t>KETNER, ERIK P.</t>
  </si>
  <si>
    <t>KETNER</t>
  </si>
  <si>
    <t>ERIK</t>
  </si>
  <si>
    <t>P</t>
  </si>
  <si>
    <t xml:space="preserve">HN   </t>
  </si>
  <si>
    <t>3456</t>
  </si>
  <si>
    <t>NURSE, LICENSED PRAC</t>
  </si>
  <si>
    <t>07676</t>
  </si>
  <si>
    <t>I</t>
  </si>
  <si>
    <t>BERG, DENISE L.</t>
  </si>
  <si>
    <t>BERG</t>
  </si>
  <si>
    <t>DENISE</t>
  </si>
  <si>
    <t xml:space="preserve">HI   </t>
  </si>
  <si>
    <t>3318</t>
  </si>
  <si>
    <t>D</t>
  </si>
  <si>
    <t>5227</t>
  </si>
  <si>
    <t xml:space="preserve">ADMIN ASST 1        </t>
  </si>
  <si>
    <t>01235</t>
  </si>
  <si>
    <t>MATTHEWS, CHRISTOPHER B.</t>
  </si>
  <si>
    <t>MATTHEWS</t>
  </si>
  <si>
    <t>CHRISTOPHER</t>
  </si>
  <si>
    <t>2013</t>
  </si>
  <si>
    <t xml:space="preserve">ENV HLTH SPEC 1     </t>
  </si>
  <si>
    <t>J</t>
  </si>
  <si>
    <t>RAWLINGS, CODY M.</t>
  </si>
  <si>
    <t>RAWLINGS</t>
  </si>
  <si>
    <t>CODY</t>
  </si>
  <si>
    <t>M</t>
  </si>
  <si>
    <t>3455</t>
  </si>
  <si>
    <t xml:space="preserve">BARTH, DANIELLE </t>
  </si>
  <si>
    <t>BARTH</t>
  </si>
  <si>
    <t>DANIELLE</t>
  </si>
  <si>
    <t>3308</t>
  </si>
  <si>
    <t>5222</t>
  </si>
  <si>
    <t xml:space="preserve">JACKSON, TONI </t>
  </si>
  <si>
    <t>JACKSON</t>
  </si>
  <si>
    <t>TONI</t>
  </si>
  <si>
    <t>9006</t>
  </si>
  <si>
    <t>2012</t>
  </si>
  <si>
    <t xml:space="preserve">ZWINK, TONY </t>
  </si>
  <si>
    <t>ZWINK</t>
  </si>
  <si>
    <t>TONY</t>
  </si>
  <si>
    <t>3447</t>
  </si>
  <si>
    <t>MELLEM, MICHELLE M.</t>
  </si>
  <si>
    <t>MELLEM</t>
  </si>
  <si>
    <t>MICHELLE</t>
  </si>
  <si>
    <t>3301</t>
  </si>
  <si>
    <t>5221</t>
  </si>
  <si>
    <t xml:space="preserve">CLINICAL ASST       </t>
  </si>
  <si>
    <t>07664</t>
  </si>
  <si>
    <t xml:space="preserve">VESELIK, MILDRED </t>
  </si>
  <si>
    <t>VESELIK</t>
  </si>
  <si>
    <t>MILDRED</t>
  </si>
  <si>
    <t>9005</t>
  </si>
  <si>
    <t>2011</t>
  </si>
  <si>
    <t xml:space="preserve">KOERNER, COREY </t>
  </si>
  <si>
    <t>KOERNER</t>
  </si>
  <si>
    <t>COREY</t>
  </si>
  <si>
    <t>3443</t>
  </si>
  <si>
    <t>GAVIN, KRISTINA M.</t>
  </si>
  <si>
    <t>GAVIN</t>
  </si>
  <si>
    <t>KRISTINA</t>
  </si>
  <si>
    <t>5126</t>
  </si>
  <si>
    <t>VILLELLI, ANGIE S.</t>
  </si>
  <si>
    <t>VILLELLI</t>
  </si>
  <si>
    <t>ANGIE</t>
  </si>
  <si>
    <t>S</t>
  </si>
  <si>
    <t>9004</t>
  </si>
  <si>
    <t>2010</t>
  </si>
  <si>
    <t xml:space="preserve">ENV HLTH SPEC SR    </t>
  </si>
  <si>
    <t>07548</t>
  </si>
  <si>
    <t>GRAY, JENNY R.</t>
  </si>
  <si>
    <t>GRAY</t>
  </si>
  <si>
    <t>JENNY</t>
  </si>
  <si>
    <t>R</t>
  </si>
  <si>
    <t>3402</t>
  </si>
  <si>
    <t>HARDER, LINDA R.</t>
  </si>
  <si>
    <t>HARDER</t>
  </si>
  <si>
    <t>LINDA</t>
  </si>
  <si>
    <t>3200</t>
  </si>
  <si>
    <t>006</t>
  </si>
  <si>
    <t>5111</t>
  </si>
  <si>
    <t>OFFICE SERVICES SUPV</t>
  </si>
  <si>
    <t>01100</t>
  </si>
  <si>
    <t>KENYON, PENNY H.</t>
  </si>
  <si>
    <t>KENYON</t>
  </si>
  <si>
    <t>PENNY</t>
  </si>
  <si>
    <t>9003</t>
  </si>
  <si>
    <t xml:space="preserve">ADMIN ASST 2        </t>
  </si>
  <si>
    <t>01231</t>
  </si>
  <si>
    <t>2008</t>
  </si>
  <si>
    <t>CERISE, AMANDA J.</t>
  </si>
  <si>
    <t>CERISE</t>
  </si>
  <si>
    <t>AMANDA</t>
  </si>
  <si>
    <t>3400</t>
  </si>
  <si>
    <t>NURSE, ADVANCED PRAC</t>
  </si>
  <si>
    <t>07584</t>
  </si>
  <si>
    <t>FIEDLER, MARY R.</t>
  </si>
  <si>
    <t>FIEDLER</t>
  </si>
  <si>
    <t>MARY</t>
  </si>
  <si>
    <t>REGINA</t>
  </si>
  <si>
    <t>2021</t>
  </si>
  <si>
    <t>EPIDEMIOLOGIST, STAF</t>
  </si>
  <si>
    <t>07232</t>
  </si>
  <si>
    <t>5110</t>
  </si>
  <si>
    <t>01101</t>
  </si>
  <si>
    <t>ALBERTS, AMY L.</t>
  </si>
  <si>
    <t>ALBERTS</t>
  </si>
  <si>
    <t>AMY</t>
  </si>
  <si>
    <t>9002</t>
  </si>
  <si>
    <t>VOLUNTEER SRVCS COOR</t>
  </si>
  <si>
    <t>07940</t>
  </si>
  <si>
    <t>2005</t>
  </si>
  <si>
    <t xml:space="preserve">BENNETT, VICTORIA </t>
  </si>
  <si>
    <t>BENNETT</t>
  </si>
  <si>
    <t>VICTORIA</t>
  </si>
  <si>
    <t>3314</t>
  </si>
  <si>
    <t>WILLIAMS, WENDY J.</t>
  </si>
  <si>
    <t>WILLIAMS</t>
  </si>
  <si>
    <t>WENDY</t>
  </si>
  <si>
    <t>J BAKER</t>
  </si>
  <si>
    <t>5109</t>
  </si>
  <si>
    <t>BLANKENSHIP, CHERYL A.</t>
  </si>
  <si>
    <t>BLANKENSHIP</t>
  </si>
  <si>
    <t>CHERYL</t>
  </si>
  <si>
    <t>9001</t>
  </si>
  <si>
    <t>2004</t>
  </si>
  <si>
    <t xml:space="preserve">BENNETT, DANELL </t>
  </si>
  <si>
    <t>DANELL</t>
  </si>
  <si>
    <t>3312</t>
  </si>
  <si>
    <t>CLARKE, MARY E.</t>
  </si>
  <si>
    <t>CLARKE</t>
  </si>
  <si>
    <t>5108</t>
  </si>
  <si>
    <t xml:space="preserve">BROTHERS, TINA </t>
  </si>
  <si>
    <t>BROTHERS</t>
  </si>
  <si>
    <t>TINA</t>
  </si>
  <si>
    <t>8156</t>
  </si>
  <si>
    <t>02356</t>
  </si>
  <si>
    <t>8158</t>
  </si>
  <si>
    <t xml:space="preserve">TAYLOR, ANDREW </t>
  </si>
  <si>
    <t>TAYLOR</t>
  </si>
  <si>
    <t>ANDREW</t>
  </si>
  <si>
    <t>2003</t>
  </si>
  <si>
    <t>BARTON, JAMIE R.</t>
  </si>
  <si>
    <t>BARTON</t>
  </si>
  <si>
    <t>JAMIE</t>
  </si>
  <si>
    <t>3310</t>
  </si>
  <si>
    <t>OWENS, ROBIN G.</t>
  </si>
  <si>
    <t>OWENS</t>
  </si>
  <si>
    <t>ROBIN</t>
  </si>
  <si>
    <t>5102</t>
  </si>
  <si>
    <t>OSIER, AMBERINA G.</t>
  </si>
  <si>
    <t>OSIER</t>
  </si>
  <si>
    <t>AMBERINA</t>
  </si>
  <si>
    <t>8157</t>
  </si>
  <si>
    <t xml:space="preserve">MANGAN, ARIA </t>
  </si>
  <si>
    <t>MANGAN</t>
  </si>
  <si>
    <t>ARIA</t>
  </si>
  <si>
    <t>2002</t>
  </si>
  <si>
    <t>07514</t>
  </si>
  <si>
    <t>REHNBORG, MARY M.</t>
  </si>
  <si>
    <t>REHNBORG</t>
  </si>
  <si>
    <t xml:space="preserve">HM   </t>
  </si>
  <si>
    <t>3305</t>
  </si>
  <si>
    <t>DAY, BOBBI J.</t>
  </si>
  <si>
    <t>DAY</t>
  </si>
  <si>
    <t>BOBBI</t>
  </si>
  <si>
    <t>5101</t>
  </si>
  <si>
    <t>GORDON, CRYSTAL L.</t>
  </si>
  <si>
    <t>GORDON</t>
  </si>
  <si>
    <t>CRYSTAL</t>
  </si>
  <si>
    <t>8155</t>
  </si>
  <si>
    <t>8154</t>
  </si>
  <si>
    <t xml:space="preserve">WILHELMI, KAILA </t>
  </si>
  <si>
    <t>WILHELMI</t>
  </si>
  <si>
    <t>KAILA</t>
  </si>
  <si>
    <t>2001</t>
  </si>
  <si>
    <t>JOHNSEN, RYAN K.</t>
  </si>
  <si>
    <t>JOHNSEN</t>
  </si>
  <si>
    <t>RYAN</t>
  </si>
  <si>
    <t>3304</t>
  </si>
  <si>
    <t xml:space="preserve">MCELWAIN, IVY </t>
  </si>
  <si>
    <t>MCELWAIN</t>
  </si>
  <si>
    <t>IVY</t>
  </si>
  <si>
    <t>5058</t>
  </si>
  <si>
    <t xml:space="preserve">CUSTOMER SVC REP 2  </t>
  </si>
  <si>
    <t>01120</t>
  </si>
  <si>
    <t xml:space="preserve">EVANS, BRENDA </t>
  </si>
  <si>
    <t>EVANS</t>
  </si>
  <si>
    <t>BRENDA</t>
  </si>
  <si>
    <t>8153</t>
  </si>
  <si>
    <t>PATTERSON, GARY L.</t>
  </si>
  <si>
    <t>PATTERSON</t>
  </si>
  <si>
    <t>GARY</t>
  </si>
  <si>
    <t>1901</t>
  </si>
  <si>
    <t>HIRTLE, AMY P.</t>
  </si>
  <si>
    <t>HIRTLE</t>
  </si>
  <si>
    <t>3300</t>
  </si>
  <si>
    <t>GHIRARDUZZI, TINA M.</t>
  </si>
  <si>
    <t>GHIRARDUZZI</t>
  </si>
  <si>
    <t>5056</t>
  </si>
  <si>
    <t xml:space="preserve">HUMAN RESOURCE SPEC </t>
  </si>
  <si>
    <t>05141</t>
  </si>
  <si>
    <t>KENNEY, MASHELLE A.</t>
  </si>
  <si>
    <t>KENNEY</t>
  </si>
  <si>
    <t>MASHELLE</t>
  </si>
  <si>
    <t>ANNE</t>
  </si>
  <si>
    <t>8152</t>
  </si>
  <si>
    <t>8151</t>
  </si>
  <si>
    <t xml:space="preserve">KERSHAW, KARYN </t>
  </si>
  <si>
    <t>KERSHAW</t>
  </si>
  <si>
    <t>KARYN</t>
  </si>
  <si>
    <t>1900</t>
  </si>
  <si>
    <t xml:space="preserve">PROJECT MANAGER 1   </t>
  </si>
  <si>
    <t>05567</t>
  </si>
  <si>
    <t>ORLANDO, KELSEY E.</t>
  </si>
  <si>
    <t>ORLANDO</t>
  </si>
  <si>
    <t>KELSEY</t>
  </si>
  <si>
    <t>3206</t>
  </si>
  <si>
    <t>NURSE, REGISTERED SE</t>
  </si>
  <si>
    <t>07574</t>
  </si>
  <si>
    <t>YARNELL, KARIANNE K.</t>
  </si>
  <si>
    <t>YARNELL</t>
  </si>
  <si>
    <t>KARIANNE</t>
  </si>
  <si>
    <t>5055</t>
  </si>
  <si>
    <t xml:space="preserve">MILBRATH, MICHAELA </t>
  </si>
  <si>
    <t>MILBRATH</t>
  </si>
  <si>
    <t>MICHAELA</t>
  </si>
  <si>
    <t>7102</t>
  </si>
  <si>
    <t>7100</t>
  </si>
  <si>
    <t>DUEROCK, ANNETTE M.</t>
  </si>
  <si>
    <t>DUEROCK</t>
  </si>
  <si>
    <t>ANNETTE</t>
  </si>
  <si>
    <t>MARIE</t>
  </si>
  <si>
    <t>1652</t>
  </si>
  <si>
    <t>PERRY, DANIEL J.</t>
  </si>
  <si>
    <t>PERRY</t>
  </si>
  <si>
    <t>DANIEL</t>
  </si>
  <si>
    <t>3201</t>
  </si>
  <si>
    <t>RICHARDSON, CYNTHIA R.</t>
  </si>
  <si>
    <t>RICHARDSON</t>
  </si>
  <si>
    <t>CYNTHIA</t>
  </si>
  <si>
    <t>5054</t>
  </si>
  <si>
    <t xml:space="preserve">GOSS, KURTIS </t>
  </si>
  <si>
    <t>GOSS</t>
  </si>
  <si>
    <t>KURTIS</t>
  </si>
  <si>
    <t>7000</t>
  </si>
  <si>
    <t>6109</t>
  </si>
  <si>
    <t>KINSEY, ATHENA A.</t>
  </si>
  <si>
    <t>KINSEY</t>
  </si>
  <si>
    <t>ATHENA</t>
  </si>
  <si>
    <t>1501</t>
  </si>
  <si>
    <t>MANAGEMENT ASSISTANT</t>
  </si>
  <si>
    <t>05272</t>
  </si>
  <si>
    <t>AINSWORTH, JILL C.</t>
  </si>
  <si>
    <t>AINSWORTH</t>
  </si>
  <si>
    <t>JILL</t>
  </si>
  <si>
    <t>C</t>
  </si>
  <si>
    <t>3152</t>
  </si>
  <si>
    <t xml:space="preserve">ARNOLD, KATELIN </t>
  </si>
  <si>
    <t>ARNOLD</t>
  </si>
  <si>
    <t>KATELIN</t>
  </si>
  <si>
    <t>5053</t>
  </si>
  <si>
    <t xml:space="preserve">TECH RECORDS SPEC 2 </t>
  </si>
  <si>
    <t>01103</t>
  </si>
  <si>
    <t>POULSON, DONNA M.</t>
  </si>
  <si>
    <t>POULSON</t>
  </si>
  <si>
    <t>DONNA</t>
  </si>
  <si>
    <t>6110</t>
  </si>
  <si>
    <t>6102</t>
  </si>
  <si>
    <t xml:space="preserve">EBERLEIN, HEATHER </t>
  </si>
  <si>
    <t>EBERLEIN</t>
  </si>
  <si>
    <t>HEATHER</t>
  </si>
  <si>
    <t>1251</t>
  </si>
  <si>
    <t>PEPPIN, JASON D.</t>
  </si>
  <si>
    <t>PEPPIN</t>
  </si>
  <si>
    <t>JASON</t>
  </si>
  <si>
    <t>DOUGLAS</t>
  </si>
  <si>
    <t>3151</t>
  </si>
  <si>
    <t xml:space="preserve">BARNES, CINDY </t>
  </si>
  <si>
    <t>BARNES</t>
  </si>
  <si>
    <t>CINDY</t>
  </si>
  <si>
    <t>5052</t>
  </si>
  <si>
    <t>RONDO, KRISTEN R.</t>
  </si>
  <si>
    <t>RONDO</t>
  </si>
  <si>
    <t>KRISTEN</t>
  </si>
  <si>
    <t>6106</t>
  </si>
  <si>
    <t>6100</t>
  </si>
  <si>
    <t>HOY, KITTY L.</t>
  </si>
  <si>
    <t>HOY</t>
  </si>
  <si>
    <t>KITTY</t>
  </si>
  <si>
    <t>1008</t>
  </si>
  <si>
    <t>FINANCIAL TECHNICIAN</t>
  </si>
  <si>
    <t>04248</t>
  </si>
  <si>
    <t>GIBBON, JENNIFER M.</t>
  </si>
  <si>
    <t>GIBBON</t>
  </si>
  <si>
    <t>JENNIFER</t>
  </si>
  <si>
    <t>3001</t>
  </si>
  <si>
    <t>PUBLIC HLTH DIV ADMN</t>
  </si>
  <si>
    <t>21327</t>
  </si>
  <si>
    <t>NR</t>
  </si>
  <si>
    <t>DUFFY, DONALD J.</t>
  </si>
  <si>
    <t>DUFFY</t>
  </si>
  <si>
    <t>DONALD</t>
  </si>
  <si>
    <t>00000</t>
  </si>
  <si>
    <t>5051</t>
  </si>
  <si>
    <t>LANDINGHAM, AUDREY A.</t>
  </si>
  <si>
    <t>LANDINGHAM</t>
  </si>
  <si>
    <t>AUDREY</t>
  </si>
  <si>
    <t>6002</t>
  </si>
  <si>
    <t>6003</t>
  </si>
  <si>
    <t xml:space="preserve">NELSON, MELANIE </t>
  </si>
  <si>
    <t>NELSON</t>
  </si>
  <si>
    <t>MELANIE</t>
  </si>
  <si>
    <t>9991</t>
  </si>
  <si>
    <t xml:space="preserve">DIST 1 BD OF HEALTH </t>
  </si>
  <si>
    <t>51334</t>
  </si>
  <si>
    <t>1007</t>
  </si>
  <si>
    <t>NASH, PAMELA L.</t>
  </si>
  <si>
    <t>NASH</t>
  </si>
  <si>
    <t>PAMELA</t>
  </si>
  <si>
    <t>2401</t>
  </si>
  <si>
    <t>RENO, ANGELA R.</t>
  </si>
  <si>
    <t>RENO</t>
  </si>
  <si>
    <t>ANGELA</t>
  </si>
  <si>
    <t>4255</t>
  </si>
  <si>
    <t>REG DIETITIAN, PUBLI</t>
  </si>
  <si>
    <t>02134</t>
  </si>
  <si>
    <t>JENKINS, NANCI G.</t>
  </si>
  <si>
    <t>JENKINS</t>
  </si>
  <si>
    <t>NANCI</t>
  </si>
  <si>
    <t>5704</t>
  </si>
  <si>
    <t>5709</t>
  </si>
  <si>
    <t>LEE, JEFFREY R.</t>
  </si>
  <si>
    <t>LEE</t>
  </si>
  <si>
    <t>JEFFREY</t>
  </si>
  <si>
    <t>9702</t>
  </si>
  <si>
    <t xml:space="preserve">PUBLIC INFO OFCR    </t>
  </si>
  <si>
    <t>05578</t>
  </si>
  <si>
    <t>1006</t>
  </si>
  <si>
    <t>FINANCIAL SPECIALIST</t>
  </si>
  <si>
    <t>04246</t>
  </si>
  <si>
    <t xml:space="preserve">DEWIN, NICHOLAS </t>
  </si>
  <si>
    <t>DEWIN</t>
  </si>
  <si>
    <t>NICHOLAS</t>
  </si>
  <si>
    <t>4253</t>
  </si>
  <si>
    <t>REG DIETITIAN, PUB H</t>
  </si>
  <si>
    <t>02133</t>
  </si>
  <si>
    <t>MONROE, MARY E.</t>
  </si>
  <si>
    <t>MONROE</t>
  </si>
  <si>
    <t>5231</t>
  </si>
  <si>
    <t>5707</t>
  </si>
  <si>
    <t xml:space="preserve">TRAINING SPEC       </t>
  </si>
  <si>
    <t>05122</t>
  </si>
  <si>
    <t xml:space="preserve">WALKER, MORGAN </t>
  </si>
  <si>
    <t>WALKER</t>
  </si>
  <si>
    <t>MORGAN</t>
  </si>
  <si>
    <t>9048</t>
  </si>
  <si>
    <t>1005</t>
  </si>
  <si>
    <t xml:space="preserve">MAINT CRAFTSMAN SR  </t>
  </si>
  <si>
    <t>06632</t>
  </si>
  <si>
    <t>MILLSAP, RANDY J.</t>
  </si>
  <si>
    <t>MILLSAP</t>
  </si>
  <si>
    <t>RANDY</t>
  </si>
  <si>
    <t>2300</t>
  </si>
  <si>
    <t>KEATING, KRISTINA L.</t>
  </si>
  <si>
    <t>KEATING</t>
  </si>
  <si>
    <t>4252</t>
  </si>
  <si>
    <t>BEGG, TRACY A.</t>
  </si>
  <si>
    <t>BEGG</t>
  </si>
  <si>
    <t>TRACY</t>
  </si>
  <si>
    <t>5228</t>
  </si>
  <si>
    <t>5706</t>
  </si>
  <si>
    <t>SCHMIDT, CHRISTINE M.</t>
  </si>
  <si>
    <t>SCHMIDT</t>
  </si>
  <si>
    <t>CHRISTINE</t>
  </si>
  <si>
    <t>9038</t>
  </si>
  <si>
    <t>1004</t>
  </si>
  <si>
    <t>RIGHELLO, JOSEPH D.</t>
  </si>
  <si>
    <t>RIGHELLO</t>
  </si>
  <si>
    <t>JOSEPH</t>
  </si>
  <si>
    <t xml:space="preserve">HO   </t>
  </si>
  <si>
    <t>2202</t>
  </si>
  <si>
    <t xml:space="preserve">ENV SCIENCES SPEC   </t>
  </si>
  <si>
    <t>07551</t>
  </si>
  <si>
    <t>STORES, LINDSAY J.</t>
  </si>
  <si>
    <t>STORES</t>
  </si>
  <si>
    <t>LINDSAY</t>
  </si>
  <si>
    <t>4251</t>
  </si>
  <si>
    <t>YOUNG, KIMBERLY J.</t>
  </si>
  <si>
    <t>YOUNG</t>
  </si>
  <si>
    <t>KIMBERLY</t>
  </si>
  <si>
    <t>5107</t>
  </si>
  <si>
    <t>5703</t>
  </si>
  <si>
    <t xml:space="preserve">PLANNER             </t>
  </si>
  <si>
    <t>03666</t>
  </si>
  <si>
    <t>ANDERSON, ALANA J.</t>
  </si>
  <si>
    <t>ANDERSON</t>
  </si>
  <si>
    <t>ALANA</t>
  </si>
  <si>
    <t>9028</t>
  </si>
  <si>
    <t xml:space="preserve">THERAPIST           </t>
  </si>
  <si>
    <t>07727</t>
  </si>
  <si>
    <t>1002</t>
  </si>
  <si>
    <t xml:space="preserve">FINANCIAL MANAGER   </t>
  </si>
  <si>
    <t>04242</t>
  </si>
  <si>
    <t>CRUMMER, CHRISTINE A.</t>
  </si>
  <si>
    <t>CRUMMER</t>
  </si>
  <si>
    <t>2201</t>
  </si>
  <si>
    <t>SIEGFORD, TED N.</t>
  </si>
  <si>
    <t>SIEGFORD</t>
  </si>
  <si>
    <t>TED</t>
  </si>
  <si>
    <t>4003</t>
  </si>
  <si>
    <t xml:space="preserve">THERAPY TECH        </t>
  </si>
  <si>
    <t>07763</t>
  </si>
  <si>
    <t>OLSEN, ERIC V.</t>
  </si>
  <si>
    <t>OLSEN</t>
  </si>
  <si>
    <t>ERIC</t>
  </si>
  <si>
    <t>5702</t>
  </si>
  <si>
    <t>SWENDIG, NANETTE M.</t>
  </si>
  <si>
    <t>SWENDIG</t>
  </si>
  <si>
    <t>NANETTE</t>
  </si>
  <si>
    <t>9027</t>
  </si>
  <si>
    <t>1001</t>
  </si>
  <si>
    <t>DIRECTOR DIST HEALTH</t>
  </si>
  <si>
    <t>21360</t>
  </si>
  <si>
    <t>BLODGETT-WHALEN, LORA M.</t>
  </si>
  <si>
    <t>BLODGETT-WHALEN</t>
  </si>
  <si>
    <t>LORA</t>
  </si>
  <si>
    <t>2200</t>
  </si>
  <si>
    <t>GUARDIPEE, JASON A.</t>
  </si>
  <si>
    <t>GUARDIPEE</t>
  </si>
  <si>
    <t>4002</t>
  </si>
  <si>
    <t>STAFFORD, LAURIE J.</t>
  </si>
  <si>
    <t>STAFFORD</t>
  </si>
  <si>
    <t>LAURIE</t>
  </si>
  <si>
    <t>5106</t>
  </si>
  <si>
    <t>5701</t>
  </si>
  <si>
    <t>MECHIKOFF, NICHOLAS J.</t>
  </si>
  <si>
    <t>MECHIKOFF</t>
  </si>
  <si>
    <t>9026</t>
  </si>
  <si>
    <t>2109</t>
  </si>
  <si>
    <t>TONYAN, SARAH R.</t>
  </si>
  <si>
    <t>TONYAN</t>
  </si>
  <si>
    <t>SARAH</t>
  </si>
  <si>
    <t>4001</t>
  </si>
  <si>
    <t xml:space="preserve">AYLWARD, DONNAMARIE </t>
  </si>
  <si>
    <t>AYLWARD</t>
  </si>
  <si>
    <t>DONNAMARIE</t>
  </si>
  <si>
    <t>5103</t>
  </si>
  <si>
    <t>5700</t>
  </si>
  <si>
    <t xml:space="preserve">YAO, KAREN </t>
  </si>
  <si>
    <t>YAO</t>
  </si>
  <si>
    <t>KAREN</t>
  </si>
  <si>
    <t>2106</t>
  </si>
  <si>
    <t>FRENCH, TIMOTHY S.</t>
  </si>
  <si>
    <t>FRENCH</t>
  </si>
  <si>
    <t>TIMOTHY</t>
  </si>
  <si>
    <t>4000</t>
  </si>
  <si>
    <t>WATKINS, COLEEN K.</t>
  </si>
  <si>
    <t>WATKINS</t>
  </si>
  <si>
    <t>COLEEN</t>
  </si>
  <si>
    <t>5057</t>
  </si>
  <si>
    <t>5286</t>
  </si>
  <si>
    <t>CUSTER, AMRA L.</t>
  </si>
  <si>
    <t>CUSTER</t>
  </si>
  <si>
    <t>AMRA</t>
  </si>
  <si>
    <t>9025</t>
  </si>
  <si>
    <t>2105</t>
  </si>
  <si>
    <t>GOSS, STEPHANIE E.</t>
  </si>
  <si>
    <t>STEPHANIE</t>
  </si>
  <si>
    <t>3503</t>
  </si>
  <si>
    <t xml:space="preserve">MEDICAL ASST        </t>
  </si>
  <si>
    <t>07615</t>
  </si>
  <si>
    <t xml:space="preserve">COOK, KAITLIN </t>
  </si>
  <si>
    <t>COOK</t>
  </si>
  <si>
    <t>KAITLIN</t>
  </si>
  <si>
    <t>4801</t>
  </si>
  <si>
    <t xml:space="preserve">COMMUNITY RESOURCES </t>
  </si>
  <si>
    <t>07944</t>
  </si>
  <si>
    <t>5282</t>
  </si>
  <si>
    <t>BALDWIN, MICHELLE L.</t>
  </si>
  <si>
    <t>BALDWIN</t>
  </si>
  <si>
    <t>LAUREL</t>
  </si>
  <si>
    <t>9024</t>
  </si>
  <si>
    <t>2103</t>
  </si>
  <si>
    <t>LOVELAND, JERROD A.</t>
  </si>
  <si>
    <t>LOVELAND</t>
  </si>
  <si>
    <t>JERROD</t>
  </si>
  <si>
    <t>3500</t>
  </si>
  <si>
    <t>MEDICAL ASST, REGIST</t>
  </si>
  <si>
    <t>07616</t>
  </si>
  <si>
    <t>DAVIS, JENNIFER L.</t>
  </si>
  <si>
    <t>DAVIS</t>
  </si>
  <si>
    <t>4254</t>
  </si>
  <si>
    <t>02132</t>
  </si>
  <si>
    <t>5280</t>
  </si>
  <si>
    <t>CALHOUN, ANN M.</t>
  </si>
  <si>
    <t>CALHOUN</t>
  </si>
  <si>
    <t>ANN</t>
  </si>
  <si>
    <t>9023</t>
  </si>
  <si>
    <t>2055</t>
  </si>
  <si>
    <t xml:space="preserve">RIEHLE, JOSHUA </t>
  </si>
  <si>
    <t>RIEHLE</t>
  </si>
  <si>
    <t>JOSHUA</t>
  </si>
  <si>
    <t>3461</t>
  </si>
  <si>
    <t xml:space="preserve">CHRISMAN, KELSEY </t>
  </si>
  <si>
    <t>CHRISMAN</t>
  </si>
  <si>
    <t>3501</t>
  </si>
  <si>
    <t>5279</t>
  </si>
  <si>
    <t>AUGER, ERIKA L.</t>
  </si>
  <si>
    <t>AUGER</t>
  </si>
  <si>
    <t>ERIKA</t>
  </si>
  <si>
    <t>9022</t>
  </si>
  <si>
    <t xml:space="preserve">TEMPORARY EMPLOYEES </t>
  </si>
  <si>
    <t>95000</t>
  </si>
  <si>
    <t>2054</t>
  </si>
  <si>
    <t>KOLBERG, KATHRYN J.</t>
  </si>
  <si>
    <t>KOLBERG</t>
  </si>
  <si>
    <t>KATHRYN</t>
  </si>
  <si>
    <t>3460</t>
  </si>
  <si>
    <t xml:space="preserve">BOHANNON, LACEY </t>
  </si>
  <si>
    <t>BOHANNON</t>
  </si>
  <si>
    <t>LACEY</t>
  </si>
  <si>
    <t>3452</t>
  </si>
  <si>
    <t>5278</t>
  </si>
  <si>
    <t xml:space="preserve">CRANE, SERENA </t>
  </si>
  <si>
    <t>CRANE</t>
  </si>
  <si>
    <t>SERENA</t>
  </si>
  <si>
    <t>9021</t>
  </si>
  <si>
    <t>2053</t>
  </si>
  <si>
    <t>WADE, VALERIE T.</t>
  </si>
  <si>
    <t>WADE</t>
  </si>
  <si>
    <t>VALERIE</t>
  </si>
  <si>
    <t>T</t>
  </si>
  <si>
    <t>0499</t>
  </si>
  <si>
    <t>ÿÿÿÿ</t>
  </si>
  <si>
    <t>ÿÿ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</si>
  <si>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</si>
  <si>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</si>
  <si>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</si>
  <si>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</si>
  <si>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</si>
  <si>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</si>
  <si>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</si>
  <si>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</si>
  <si>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</si>
  <si>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</si>
  <si>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</si>
  <si>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</si>
  <si>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</si>
  <si>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</si>
  <si>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</si>
  <si>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</si>
  <si>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</si>
  <si>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</si>
  <si>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</si>
  <si>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</si>
  <si>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</si>
  <si>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</si>
  <si>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</si>
  <si>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</si>
  <si>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</si>
  <si>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</si>
  <si>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</si>
  <si>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</si>
  <si>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</si>
  <si>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</si>
  <si>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</si>
  <si>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</si>
  <si>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</si>
  <si>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</si>
  <si>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</si>
  <si>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</si>
  <si>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</si>
  <si>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</si>
  <si>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</si>
  <si>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</si>
  <si>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</si>
  <si>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</si>
  <si>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</si>
  <si>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</si>
  <si>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</si>
  <si>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</si>
  <si>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</si>
  <si>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</si>
  <si>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HDAA 0290</t>
  </si>
  <si>
    <t>Public Health Districts</t>
  </si>
  <si>
    <t>Public Health Trust</t>
  </si>
  <si>
    <t>29000</t>
  </si>
  <si>
    <t>Public Health Districts, Public Health Trust   HDAA-0290</t>
  </si>
  <si>
    <t>HDAA 0499</t>
  </si>
  <si>
    <t>Idaho Millennium Income</t>
  </si>
  <si>
    <t>49900</t>
  </si>
  <si>
    <t>Public Health Districts, Idaho Millennium Income   HDAA-0499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</si>
  <si>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</si>
  <si>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</si>
  <si>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</si>
  <si>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</si>
  <si>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</si>
  <si>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</si>
  <si>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</si>
  <si>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0290-00</t>
  </si>
  <si>
    <t>Fund-0290</t>
  </si>
  <si>
    <t>0499-00</t>
  </si>
  <si>
    <t>Fund-0499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</si>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</sst>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.00\ ;\(0.00\);0.0\ "/>
    <numFmt numFmtId="169" formatCode="00000;;00000"/>
    <numFmt numFmtId="170" formatCode="0000;;"/>
    <numFmt numFmtId="171" formatCode="0.0%"/>
    <numFmt numFmtId="172" formatCode="0.0000%"/>
    <numFmt numFmtId="173" formatCode="#,##0_);[Red]\(#,##0\);0\ "/>
    <numFmt numFmtId="174" formatCode="#,##0.000000000_);[Red]\(#,##0.000000000\)"/>
    <numFmt numFmtId="175" formatCode="#,##0.00000000_);[Red]\(#,##0.00000000\)"/>
    <numFmt numFmtId="176" formatCode="0\ ;\(0\);0\ "/>
    <numFmt numFmtId="177" formatCode="#,##0.000_);[Red]\(#,##0.000\)"/>
    <numFmt numFmtId="178" formatCode="0000\-00;;"/>
    <numFmt numFmtId="179" formatCode="00;;"/>
    <numFmt numFmtId="180" formatCode="0000.000;;"/>
    <numFmt numFmtId="181" formatCode="0.00000_);[Red]\(0.00000\)"/>
    <numFmt numFmtId="182" formatCode="0.000000"/>
    <numFmt numFmtId="183" formatCode="0.0000_);[Red]\(0.0000\)"/>
    <numFmt numFmtId="184" formatCode="#0"/>
    <numFmt numFmtId="185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sz val="9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Helv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Times New Roman"/>
      <family val="1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3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2" fillId="0" borderId="0" xfId="1" applyFont="1"/>
    <xf numFmtId="166" fontId="2" fillId="0" borderId="0" xfId="1" applyFont="1" applyBorder="1"/>
    <xf numFmtId="0" fontId="8" fillId="0" borderId="0" xfId="7" applyFont="1" applyBorder="1" applyProtection="1"/>
    <xf numFmtId="38" fontId="8" fillId="0" borderId="0" xfId="7" applyNumberFormat="1" applyFont="1" applyBorder="1" applyProtection="1"/>
    <xf numFmtId="168" fontId="8" fillId="0" borderId="0" xfId="7" applyNumberFormat="1" applyFont="1" applyProtection="1"/>
    <xf numFmtId="38" fontId="8" fillId="0" borderId="0" xfId="7" applyNumberFormat="1" applyFont="1" applyProtection="1"/>
    <xf numFmtId="0" fontId="8" fillId="0" borderId="0" xfId="7" applyFont="1" applyAlignment="1" applyProtection="1">
      <alignment horizontal="center"/>
    </xf>
    <xf numFmtId="169" fontId="8" fillId="0" borderId="0" xfId="7" applyNumberFormat="1" applyFont="1" applyAlignment="1" applyProtection="1">
      <alignment horizontal="center"/>
    </xf>
    <xf numFmtId="0" fontId="8" fillId="0" borderId="0" xfId="7" applyFont="1" applyProtection="1"/>
    <xf numFmtId="170" fontId="8" fillId="0" borderId="0" xfId="7" applyNumberFormat="1" applyFont="1" applyAlignment="1" applyProtection="1">
      <alignment horizontal="center"/>
    </xf>
    <xf numFmtId="2" fontId="8" fillId="0" borderId="0" xfId="7" applyNumberFormat="1" applyFont="1" applyProtection="1"/>
    <xf numFmtId="0" fontId="0" fillId="0" borderId="0" xfId="0" applyFont="1"/>
    <xf numFmtId="166" fontId="2" fillId="0" borderId="0" xfId="1" applyFont="1" applyAlignment="1">
      <alignment vertical="top"/>
    </xf>
    <xf numFmtId="166" fontId="2" fillId="0" borderId="0" xfId="1" applyFont="1" applyBorder="1" applyAlignment="1">
      <alignment vertical="top"/>
    </xf>
    <xf numFmtId="166" fontId="2" fillId="0" borderId="0" xfId="1" applyFont="1" applyFill="1" applyBorder="1" applyAlignment="1">
      <alignment vertical="top"/>
    </xf>
    <xf numFmtId="3" fontId="11" fillId="3" borderId="17" xfId="7" applyNumberFormat="1" applyFont="1" applyFill="1" applyBorder="1" applyAlignment="1" applyProtection="1">
      <alignment horizontal="center" vertical="top"/>
    </xf>
    <xf numFmtId="171" fontId="11" fillId="3" borderId="17" xfId="6" applyNumberFormat="1" applyFont="1" applyFill="1" applyBorder="1" applyAlignment="1" applyProtection="1">
      <alignment horizontal="center" vertical="top"/>
    </xf>
    <xf numFmtId="166" fontId="2" fillId="0" borderId="0" xfId="1" applyFont="1" applyFill="1" applyBorder="1"/>
    <xf numFmtId="171" fontId="3" fillId="4" borderId="20" xfId="6" applyNumberFormat="1" applyFont="1" applyFill="1" applyBorder="1" applyAlignment="1" applyProtection="1">
      <alignment horizontal="center"/>
    </xf>
    <xf numFmtId="3" fontId="3" fillId="4" borderId="19" xfId="7" applyNumberFormat="1" applyFont="1" applyFill="1" applyBorder="1" applyAlignment="1" applyProtection="1">
      <alignment horizontal="center"/>
    </xf>
    <xf numFmtId="3" fontId="3" fillId="4" borderId="21" xfId="7" applyNumberFormat="1" applyFont="1" applyFill="1" applyBorder="1" applyAlignment="1" applyProtection="1">
      <alignment horizontal="center"/>
    </xf>
    <xf numFmtId="3" fontId="3" fillId="4" borderId="4" xfId="7" applyNumberFormat="1" applyFont="1" applyFill="1" applyBorder="1" applyAlignment="1" applyProtection="1">
      <alignment horizontal="center"/>
    </xf>
    <xf numFmtId="171" fontId="3" fillId="3" borderId="20" xfId="6" applyNumberFormat="1" applyFont="1" applyFill="1" applyBorder="1" applyAlignment="1" applyProtection="1">
      <alignment horizontal="center"/>
    </xf>
    <xf numFmtId="3" fontId="3" fillId="4" borderId="23" xfId="7" applyNumberFormat="1" applyFont="1" applyFill="1" applyBorder="1" applyAlignment="1" applyProtection="1">
      <alignment horizontal="center"/>
    </xf>
    <xf numFmtId="0" fontId="3" fillId="0" borderId="28" xfId="7" applyFont="1" applyBorder="1" applyAlignment="1" applyProtection="1">
      <alignment horizontal="center"/>
    </xf>
    <xf numFmtId="0" fontId="3" fillId="0" borderId="0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center"/>
    </xf>
    <xf numFmtId="0" fontId="8" fillId="0" borderId="0" xfId="7" applyFont="1" applyBorder="1" applyAlignment="1" applyProtection="1"/>
    <xf numFmtId="0" fontId="8" fillId="0" borderId="10" xfId="7" applyFont="1" applyBorder="1" applyAlignment="1" applyProtection="1"/>
    <xf numFmtId="0" fontId="3" fillId="0" borderId="27" xfId="7" applyFont="1" applyBorder="1" applyProtection="1"/>
    <xf numFmtId="0" fontId="3" fillId="0" borderId="1" xfId="7" applyFont="1" applyBorder="1" applyProtection="1"/>
    <xf numFmtId="38" fontId="11" fillId="3" borderId="2" xfId="7" applyNumberFormat="1" applyFont="1" applyFill="1" applyBorder="1" applyProtection="1"/>
    <xf numFmtId="40" fontId="11" fillId="3" borderId="2" xfId="7" applyNumberFormat="1" applyFont="1" applyFill="1" applyBorder="1" applyAlignment="1" applyProtection="1">
      <alignment horizontal="center"/>
    </xf>
    <xf numFmtId="0" fontId="3" fillId="0" borderId="31" xfId="7" applyFont="1" applyBorder="1" applyAlignment="1" applyProtection="1">
      <alignment horizontal="center"/>
    </xf>
    <xf numFmtId="170" fontId="11" fillId="0" borderId="32" xfId="7" applyNumberFormat="1" applyFont="1" applyBorder="1" applyAlignment="1" applyProtection="1"/>
    <xf numFmtId="170" fontId="11" fillId="0" borderId="4" xfId="7" applyNumberFormat="1" applyFont="1" applyBorder="1" applyAlignment="1" applyProtection="1"/>
    <xf numFmtId="49" fontId="3" fillId="0" borderId="32" xfId="7" applyNumberFormat="1" applyFont="1" applyBorder="1" applyAlignment="1" applyProtection="1">
      <alignment horizontal="center"/>
    </xf>
    <xf numFmtId="2" fontId="11" fillId="0" borderId="2" xfId="7" applyNumberFormat="1" applyFont="1" applyBorder="1" applyProtection="1"/>
    <xf numFmtId="0" fontId="3" fillId="0" borderId="33" xfId="7" applyFont="1" applyBorder="1" applyProtection="1"/>
    <xf numFmtId="0" fontId="3" fillId="0" borderId="0" xfId="7" applyFont="1" applyBorder="1" applyProtection="1"/>
    <xf numFmtId="38" fontId="3" fillId="4" borderId="2" xfId="7" applyNumberFormat="1" applyFont="1" applyFill="1" applyBorder="1" applyProtection="1"/>
    <xf numFmtId="40" fontId="3" fillId="4" borderId="2" xfId="7" applyNumberFormat="1" applyFont="1" applyFill="1" applyBorder="1" applyAlignment="1" applyProtection="1">
      <alignment horizontal="center"/>
    </xf>
    <xf numFmtId="0" fontId="3" fillId="4" borderId="2" xfId="7" applyFont="1" applyFill="1" applyBorder="1" applyAlignment="1" applyProtection="1">
      <alignment horizontal="center"/>
    </xf>
    <xf numFmtId="49" fontId="3" fillId="4" borderId="2" xfId="7" applyNumberFormat="1" applyFont="1" applyFill="1" applyBorder="1" applyAlignment="1" applyProtection="1">
      <alignment horizontal="center"/>
    </xf>
    <xf numFmtId="2" fontId="3" fillId="4" borderId="2" xfId="7" applyNumberFormat="1" applyFont="1" applyFill="1" applyBorder="1" applyProtection="1"/>
    <xf numFmtId="38" fontId="3" fillId="0" borderId="3" xfId="7" applyNumberFormat="1" applyFont="1" applyFill="1" applyBorder="1" applyProtection="1"/>
    <xf numFmtId="40" fontId="3" fillId="0" borderId="3" xfId="7" applyNumberFormat="1" applyFont="1" applyFill="1" applyBorder="1" applyAlignment="1" applyProtection="1">
      <alignment horizontal="center"/>
    </xf>
    <xf numFmtId="0" fontId="3" fillId="2" borderId="18" xfId="7" applyFont="1" applyFill="1" applyBorder="1" applyAlignment="1" applyProtection="1">
      <alignment horizontal="center" wrapText="1" shrinkToFit="1"/>
    </xf>
    <xf numFmtId="49" fontId="3" fillId="0" borderId="33" xfId="7" applyNumberFormat="1" applyFont="1" applyBorder="1" applyAlignment="1" applyProtection="1">
      <alignment horizontal="center"/>
    </xf>
    <xf numFmtId="2" fontId="3" fillId="0" borderId="3" xfId="7" applyNumberFormat="1" applyFont="1" applyBorder="1" applyProtection="1"/>
    <xf numFmtId="38" fontId="11" fillId="3" borderId="18" xfId="7" applyNumberFormat="1" applyFont="1" applyFill="1" applyBorder="1" applyProtection="1"/>
    <xf numFmtId="40" fontId="11" fillId="3" borderId="18" xfId="7" applyNumberFormat="1" applyFont="1" applyFill="1" applyBorder="1" applyAlignment="1" applyProtection="1">
      <alignment horizontal="center"/>
    </xf>
    <xf numFmtId="0" fontId="3" fillId="0" borderId="26" xfId="7" applyFont="1" applyBorder="1" applyAlignment="1" applyProtection="1">
      <alignment horizontal="center"/>
    </xf>
    <xf numFmtId="170" fontId="11" fillId="0" borderId="34" xfId="7" applyNumberFormat="1" applyFont="1" applyBorder="1" applyAlignment="1" applyProtection="1"/>
    <xf numFmtId="170" fontId="11" fillId="0" borderId="19" xfId="7" applyNumberFormat="1" applyFont="1" applyBorder="1" applyAlignment="1" applyProtection="1"/>
    <xf numFmtId="49" fontId="3" fillId="0" borderId="34" xfId="7" applyNumberFormat="1" applyFont="1" applyBorder="1" applyAlignment="1" applyProtection="1">
      <alignment horizontal="center"/>
    </xf>
    <xf numFmtId="2" fontId="11" fillId="0" borderId="18" xfId="7" applyNumberFormat="1" applyFont="1" applyBorder="1" applyProtection="1"/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38" fontId="11" fillId="3" borderId="3" xfId="7" applyNumberFormat="1" applyFont="1" applyFill="1" applyBorder="1" applyProtection="1"/>
    <xf numFmtId="170" fontId="3" fillId="0" borderId="33" xfId="7" applyNumberFormat="1" applyFont="1" applyBorder="1" applyAlignment="1" applyProtection="1">
      <alignment horizontal="left" indent="2"/>
    </xf>
    <xf numFmtId="170" fontId="3" fillId="0" borderId="26" xfId="7" applyNumberFormat="1" applyFont="1" applyBorder="1" applyAlignment="1" applyProtection="1">
      <alignment horizontal="left" indent="2"/>
    </xf>
    <xf numFmtId="38" fontId="3" fillId="4" borderId="3" xfId="7" applyNumberFormat="1" applyFont="1" applyFill="1" applyBorder="1" applyProtection="1"/>
    <xf numFmtId="38" fontId="11" fillId="3" borderId="25" xfId="7" applyNumberFormat="1" applyFont="1" applyFill="1" applyBorder="1" applyProtection="1"/>
    <xf numFmtId="40" fontId="11" fillId="3" borderId="25" xfId="7" applyNumberFormat="1" applyFont="1" applyFill="1" applyBorder="1" applyAlignment="1" applyProtection="1">
      <alignment horizontal="center"/>
    </xf>
    <xf numFmtId="0" fontId="3" fillId="0" borderId="3" xfId="7" applyFont="1" applyBorder="1" applyAlignment="1" applyProtection="1">
      <alignment horizontal="center"/>
    </xf>
    <xf numFmtId="170" fontId="11" fillId="0" borderId="33" xfId="7" applyNumberFormat="1" applyFont="1" applyBorder="1" applyAlignment="1" applyProtection="1"/>
    <xf numFmtId="170" fontId="11" fillId="0" borderId="26" xfId="7" applyNumberFormat="1" applyFont="1" applyBorder="1" applyAlignment="1" applyProtection="1"/>
    <xf numFmtId="2" fontId="11" fillId="0" borderId="3" xfId="7" applyNumberFormat="1" applyFont="1" applyBorder="1" applyProtection="1"/>
    <xf numFmtId="0" fontId="8" fillId="0" borderId="0" xfId="7" applyFont="1" applyFill="1" applyProtection="1"/>
    <xf numFmtId="0" fontId="8" fillId="0" borderId="0" xfId="7" applyFont="1" applyFill="1" applyBorder="1" applyProtection="1"/>
    <xf numFmtId="0" fontId="3" fillId="0" borderId="33" xfId="7" applyFont="1" applyFill="1" applyBorder="1" applyProtection="1"/>
    <xf numFmtId="0" fontId="3" fillId="0" borderId="0" xfId="7" applyFont="1" applyFill="1" applyBorder="1" applyProtection="1"/>
    <xf numFmtId="0" fontId="14" fillId="0" borderId="0" xfId="7" applyFont="1" applyBorder="1" applyAlignment="1" applyProtection="1">
      <alignment horizontal="center"/>
    </xf>
    <xf numFmtId="40" fontId="14" fillId="0" borderId="18" xfId="7" applyNumberFormat="1" applyFont="1" applyBorder="1" applyAlignment="1" applyProtection="1">
      <alignment horizontal="center"/>
    </xf>
    <xf numFmtId="0" fontId="3" fillId="0" borderId="3" xfId="7" applyFont="1" applyFill="1" applyBorder="1" applyAlignment="1" applyProtection="1">
      <alignment horizontal="center"/>
    </xf>
    <xf numFmtId="0" fontId="3" fillId="0" borderId="3" xfId="7" applyFont="1" applyFill="1" applyBorder="1" applyProtection="1"/>
    <xf numFmtId="0" fontId="3" fillId="6" borderId="33" xfId="7" applyFont="1" applyFill="1" applyBorder="1" applyProtection="1"/>
    <xf numFmtId="0" fontId="3" fillId="6" borderId="26" xfId="7" applyFont="1" applyFill="1" applyBorder="1" applyProtection="1"/>
    <xf numFmtId="38" fontId="11" fillId="6" borderId="3" xfId="7" applyNumberFormat="1" applyFont="1" applyFill="1" applyBorder="1" applyProtection="1"/>
    <xf numFmtId="40" fontId="3" fillId="6" borderId="3" xfId="7" applyNumberFormat="1" applyFont="1" applyFill="1" applyBorder="1" applyAlignment="1" applyProtection="1">
      <alignment horizontal="center"/>
    </xf>
    <xf numFmtId="0" fontId="3" fillId="6" borderId="3" xfId="7" applyFont="1" applyFill="1" applyBorder="1" applyAlignment="1" applyProtection="1">
      <alignment horizontal="center"/>
    </xf>
    <xf numFmtId="0" fontId="3" fillId="6" borderId="3" xfId="7" applyFont="1" applyFill="1" applyBorder="1" applyProtection="1"/>
    <xf numFmtId="38" fontId="3" fillId="3" borderId="35" xfId="7" applyNumberFormat="1" applyFont="1" applyFill="1" applyBorder="1" applyProtection="1"/>
    <xf numFmtId="38" fontId="3" fillId="4" borderId="36" xfId="7" applyNumberFormat="1" applyFont="1" applyFill="1" applyBorder="1" applyProtection="1"/>
    <xf numFmtId="40" fontId="3" fillId="4" borderId="36" xfId="7" applyNumberFormat="1" applyFont="1" applyFill="1" applyBorder="1" applyAlignment="1" applyProtection="1">
      <alignment horizontal="center"/>
    </xf>
    <xf numFmtId="0" fontId="3" fillId="0" borderId="37" xfId="7" applyFont="1" applyBorder="1" applyProtection="1"/>
    <xf numFmtId="38" fontId="3" fillId="0" borderId="2" xfId="7" applyNumberFormat="1" applyFont="1" applyFill="1" applyBorder="1" applyProtection="1"/>
    <xf numFmtId="40" fontId="3" fillId="0" borderId="2" xfId="7" applyNumberFormat="1" applyFont="1" applyFill="1" applyBorder="1" applyAlignment="1" applyProtection="1">
      <alignment horizontal="center"/>
    </xf>
    <xf numFmtId="0" fontId="3" fillId="0" borderId="33" xfId="7" applyFont="1" applyBorder="1" applyAlignment="1" applyProtection="1">
      <alignment horizontal="center"/>
    </xf>
    <xf numFmtId="38" fontId="3" fillId="3" borderId="19" xfId="7" applyNumberFormat="1" applyFont="1" applyFill="1" applyBorder="1" applyProtection="1"/>
    <xf numFmtId="38" fontId="3" fillId="4" borderId="18" xfId="7" applyNumberFormat="1" applyFont="1" applyFill="1" applyBorder="1" applyProtection="1"/>
    <xf numFmtId="38" fontId="3" fillId="3" borderId="4" xfId="7" applyNumberFormat="1" applyFont="1" applyFill="1" applyBorder="1" applyProtection="1"/>
    <xf numFmtId="38" fontId="3" fillId="0" borderId="4" xfId="7" applyNumberFormat="1" applyFont="1" applyFill="1" applyBorder="1" applyProtection="1"/>
    <xf numFmtId="38" fontId="8" fillId="0" borderId="3" xfId="7" applyNumberFormat="1" applyFont="1" applyBorder="1" applyProtection="1"/>
    <xf numFmtId="38" fontId="3" fillId="0" borderId="25" xfId="7" applyNumberFormat="1" applyFont="1" applyFill="1" applyBorder="1" applyProtection="1"/>
    <xf numFmtId="40" fontId="3" fillId="0" borderId="25" xfId="7" applyNumberFormat="1" applyFont="1" applyFill="1" applyBorder="1" applyAlignment="1" applyProtection="1">
      <alignment horizontal="center"/>
    </xf>
    <xf numFmtId="38" fontId="3" fillId="0" borderId="3" xfId="7" applyNumberFormat="1" applyFont="1" applyBorder="1" applyProtection="1"/>
    <xf numFmtId="38" fontId="11" fillId="3" borderId="27" xfId="7" applyNumberFormat="1" applyFont="1" applyFill="1" applyBorder="1" applyProtection="1"/>
    <xf numFmtId="40" fontId="11" fillId="3" borderId="27" xfId="7" applyNumberFormat="1" applyFont="1" applyFill="1" applyBorder="1" applyAlignment="1" applyProtection="1">
      <alignment horizontal="center"/>
    </xf>
    <xf numFmtId="173" fontId="11" fillId="0" borderId="33" xfId="7" applyNumberFormat="1" applyFont="1" applyFill="1" applyBorder="1" applyProtection="1"/>
    <xf numFmtId="170" fontId="11" fillId="0" borderId="33" xfId="7" applyNumberFormat="1" applyFont="1" applyBorder="1" applyAlignment="1" applyProtection="1">
      <alignment horizontal="right"/>
    </xf>
    <xf numFmtId="38" fontId="11" fillId="3" borderId="32" xfId="7" applyNumberFormat="1" applyFont="1" applyFill="1" applyBorder="1" applyProtection="1"/>
    <xf numFmtId="173" fontId="11" fillId="3" borderId="27" xfId="7" applyNumberFormat="1" applyFont="1" applyFill="1" applyBorder="1" applyAlignment="1" applyProtection="1">
      <alignment horizontal="center"/>
    </xf>
    <xf numFmtId="3" fontId="14" fillId="0" borderId="2" xfId="7" applyNumberFormat="1" applyFont="1" applyBorder="1" applyAlignment="1" applyProtection="1">
      <alignment horizontal="center" wrapText="1"/>
    </xf>
    <xf numFmtId="0" fontId="14" fillId="0" borderId="2" xfId="7" applyFont="1" applyBorder="1" applyAlignment="1" applyProtection="1">
      <alignment horizontal="center" wrapText="1"/>
    </xf>
    <xf numFmtId="40" fontId="14" fillId="0" borderId="2" xfId="7" applyNumberFormat="1" applyFont="1" applyBorder="1" applyAlignment="1" applyProtection="1">
      <alignment horizontal="center" wrapText="1"/>
    </xf>
    <xf numFmtId="0" fontId="8" fillId="0" borderId="2" xfId="7" applyFont="1" applyBorder="1" applyProtection="1"/>
    <xf numFmtId="170" fontId="15" fillId="6" borderId="33" xfId="7" applyNumberFormat="1" applyFont="1" applyFill="1" applyBorder="1" applyAlignment="1" applyProtection="1">
      <alignment horizontal="left" vertical="top" wrapText="1"/>
      <protection locked="0"/>
    </xf>
    <xf numFmtId="170" fontId="15" fillId="6" borderId="0" xfId="7" applyNumberFormat="1" applyFont="1" applyFill="1" applyBorder="1" applyAlignment="1" applyProtection="1">
      <alignment horizontal="left" vertical="top" wrapText="1"/>
      <protection locked="0"/>
    </xf>
    <xf numFmtId="49" fontId="3" fillId="7" borderId="0" xfId="7" applyNumberFormat="1" applyFont="1" applyFill="1" applyBorder="1" applyAlignment="1" applyProtection="1">
      <alignment horizontal="center"/>
    </xf>
    <xf numFmtId="40" fontId="3" fillId="7" borderId="33" xfId="7" applyNumberFormat="1" applyFont="1" applyFill="1" applyBorder="1" applyAlignment="1" applyProtection="1"/>
    <xf numFmtId="49" fontId="3" fillId="7" borderId="33" xfId="7" applyNumberFormat="1" applyFont="1" applyFill="1" applyBorder="1" applyAlignment="1" applyProtection="1">
      <alignment horizontal="center"/>
    </xf>
    <xf numFmtId="49" fontId="3" fillId="7" borderId="27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31" xfId="7" applyNumberFormat="1" applyFont="1" applyFill="1" applyBorder="1" applyAlignment="1" applyProtection="1">
      <alignment horizontal="center"/>
    </xf>
    <xf numFmtId="49" fontId="3" fillId="1" borderId="26" xfId="7" applyNumberFormat="1" applyFont="1" applyFill="1" applyBorder="1" applyAlignment="1" applyProtection="1">
      <alignment horizontal="center"/>
    </xf>
    <xf numFmtId="38" fontId="3" fillId="0" borderId="3" xfId="7" applyNumberFormat="1" applyFont="1" applyBorder="1" applyAlignment="1" applyProtection="1">
      <alignment horizontal="right"/>
    </xf>
    <xf numFmtId="40" fontId="3" fillId="0" borderId="3" xfId="7" applyNumberFormat="1" applyFont="1" applyBorder="1" applyAlignment="1" applyProtection="1">
      <alignment horizontal="center"/>
    </xf>
    <xf numFmtId="1" fontId="11" fillId="0" borderId="3" xfId="7" applyNumberFormat="1" applyFont="1" applyBorder="1" applyAlignment="1" applyProtection="1">
      <alignment horizontal="center"/>
    </xf>
    <xf numFmtId="0" fontId="8" fillId="0" borderId="1" xfId="7" applyFont="1" applyBorder="1" applyProtection="1"/>
    <xf numFmtId="49" fontId="3" fillId="4" borderId="27" xfId="7" applyNumberFormat="1" applyFont="1" applyFill="1" applyBorder="1" applyAlignment="1" applyProtection="1">
      <alignment horizontal="left"/>
    </xf>
    <xf numFmtId="49" fontId="3" fillId="4" borderId="25" xfId="7" applyNumberFormat="1" applyFont="1" applyFill="1" applyBorder="1" applyAlignment="1" applyProtection="1">
      <alignment horizontal="left"/>
    </xf>
    <xf numFmtId="49" fontId="3" fillId="4" borderId="2" xfId="7" applyNumberFormat="1" applyFont="1" applyFill="1" applyBorder="1" applyAlignment="1" applyProtection="1">
      <alignment horizontal="left"/>
    </xf>
    <xf numFmtId="49" fontId="3" fillId="1" borderId="31" xfId="7" applyNumberFormat="1" applyFont="1" applyFill="1" applyBorder="1" applyAlignment="1" applyProtection="1">
      <alignment horizontal="center"/>
    </xf>
    <xf numFmtId="49" fontId="3" fillId="4" borderId="1" xfId="7" applyNumberFormat="1" applyFont="1" applyFill="1" applyBorder="1" applyAlignment="1" applyProtection="1">
      <alignment horizontal="center"/>
    </xf>
    <xf numFmtId="49" fontId="3" fillId="4" borderId="25" xfId="7" applyNumberFormat="1" applyFont="1" applyFill="1" applyBorder="1" applyAlignment="1" applyProtection="1">
      <alignment horizontal="center"/>
    </xf>
    <xf numFmtId="49" fontId="3" fillId="4" borderId="25" xfId="7" applyNumberFormat="1" applyFont="1" applyFill="1" applyBorder="1" applyProtection="1"/>
    <xf numFmtId="49" fontId="3" fillId="4" borderId="2" xfId="7" applyNumberFormat="1" applyFont="1" applyFill="1" applyBorder="1" applyProtection="1"/>
    <xf numFmtId="171" fontId="3" fillId="0" borderId="3" xfId="6" applyNumberFormat="1" applyFont="1" applyBorder="1" applyAlignment="1" applyProtection="1">
      <alignment horizontal="right"/>
    </xf>
    <xf numFmtId="170" fontId="18" fillId="3" borderId="4" xfId="7" applyNumberFormat="1" applyFont="1" applyFill="1" applyBorder="1" applyAlignment="1" applyProtection="1">
      <alignment vertical="center"/>
      <protection locked="0"/>
    </xf>
    <xf numFmtId="49" fontId="3" fillId="1" borderId="3" xfId="7" applyNumberFormat="1" applyFont="1" applyFill="1" applyBorder="1" applyAlignment="1" applyProtection="1">
      <alignment horizontal="center"/>
    </xf>
    <xf numFmtId="49" fontId="3" fillId="1" borderId="19" xfId="7" applyNumberFormat="1" applyFont="1" applyFill="1" applyBorder="1" applyAlignment="1" applyProtection="1">
      <alignment horizontal="center"/>
    </xf>
    <xf numFmtId="166" fontId="2" fillId="0" borderId="0" xfId="1" applyFont="1" applyAlignment="1">
      <alignment wrapText="1"/>
    </xf>
    <xf numFmtId="166" fontId="2" fillId="0" borderId="0" xfId="1" applyFont="1" applyBorder="1" applyAlignment="1">
      <alignment wrapText="1"/>
    </xf>
    <xf numFmtId="38" fontId="11" fillId="0" borderId="2" xfId="7" applyNumberFormat="1" applyFont="1" applyBorder="1" applyAlignment="1" applyProtection="1">
      <alignment horizontal="center" wrapText="1"/>
    </xf>
    <xf numFmtId="168" fontId="11" fillId="0" borderId="2" xfId="7" applyNumberFormat="1" applyFont="1" applyBorder="1" applyAlignment="1" applyProtection="1">
      <alignment horizontal="center" wrapText="1"/>
    </xf>
    <xf numFmtId="0" fontId="11" fillId="0" borderId="19" xfId="7" applyFont="1" applyBorder="1" applyAlignment="1" applyProtection="1">
      <alignment horizontal="center" wrapText="1"/>
    </xf>
    <xf numFmtId="0" fontId="11" fillId="0" borderId="31" xfId="7" applyFont="1" applyBorder="1" applyAlignment="1" applyProtection="1">
      <alignment horizontal="center" wrapText="1"/>
    </xf>
    <xf numFmtId="170" fontId="11" fillId="0" borderId="2" xfId="7" applyNumberFormat="1" applyFont="1" applyBorder="1" applyAlignment="1" applyProtection="1">
      <alignment horizontal="center" wrapText="1"/>
    </xf>
    <xf numFmtId="168" fontId="8" fillId="0" borderId="33" xfId="7" applyNumberFormat="1" applyFont="1" applyBorder="1" applyProtection="1"/>
    <xf numFmtId="178" fontId="8" fillId="0" borderId="0" xfId="7" applyNumberFormat="1" applyFont="1" applyBorder="1" applyProtection="1"/>
    <xf numFmtId="0" fontId="8" fillId="0" borderId="0" xfId="7" applyFont="1" applyBorder="1" applyAlignment="1" applyProtection="1">
      <alignment horizontal="right"/>
    </xf>
    <xf numFmtId="0" fontId="8" fillId="0" borderId="1" xfId="7" applyFont="1" applyBorder="1" applyAlignment="1" applyProtection="1">
      <alignment horizontal="right"/>
    </xf>
    <xf numFmtId="0" fontId="8" fillId="0" borderId="0" xfId="7" applyFont="1" applyBorder="1" applyAlignment="1" applyProtection="1">
      <alignment horizontal="center"/>
    </xf>
    <xf numFmtId="169" fontId="8" fillId="0" borderId="1" xfId="7" applyNumberFormat="1" applyFont="1" applyBorder="1" applyAlignment="1" applyProtection="1">
      <alignment horizontal="center"/>
    </xf>
    <xf numFmtId="0" fontId="8" fillId="0" borderId="1" xfId="7" applyFont="1" applyBorder="1" applyAlignment="1" applyProtection="1">
      <alignment horizontal="center"/>
    </xf>
    <xf numFmtId="179" fontId="8" fillId="0" borderId="26" xfId="7" applyNumberFormat="1" applyFont="1" applyBorder="1" applyProtection="1"/>
    <xf numFmtId="2" fontId="17" fillId="8" borderId="0" xfId="7" applyNumberFormat="1" applyFont="1" applyFill="1" applyBorder="1" applyAlignment="1" applyProtection="1">
      <alignment vertical="center"/>
    </xf>
    <xf numFmtId="38" fontId="17" fillId="8" borderId="0" xfId="7" applyNumberFormat="1" applyFont="1" applyFill="1" applyBorder="1" applyAlignment="1" applyProtection="1">
      <alignment vertical="center"/>
    </xf>
    <xf numFmtId="0" fontId="17" fillId="8" borderId="0" xfId="7" applyFont="1" applyFill="1" applyBorder="1" applyAlignment="1" applyProtection="1">
      <alignment horizontal="right" vertical="center"/>
    </xf>
    <xf numFmtId="0" fontId="20" fillId="8" borderId="1" xfId="7" applyNumberFormat="1" applyFont="1" applyFill="1" applyBorder="1" applyAlignment="1" applyProtection="1">
      <alignment horizontal="left" vertical="center"/>
    </xf>
    <xf numFmtId="0" fontId="21" fillId="8" borderId="0" xfId="7" applyFont="1" applyFill="1" applyBorder="1" applyAlignment="1" applyProtection="1">
      <alignment horizontal="left" vertical="center"/>
    </xf>
    <xf numFmtId="14" fontId="20" fillId="8" borderId="1" xfId="7" applyNumberFormat="1" applyFont="1" applyFill="1" applyBorder="1" applyAlignment="1" applyProtection="1">
      <alignment horizontal="left" vertical="center"/>
    </xf>
    <xf numFmtId="166" fontId="21" fillId="8" borderId="0" xfId="1" applyFont="1" applyFill="1" applyBorder="1" applyAlignment="1">
      <alignment vertical="center"/>
    </xf>
    <xf numFmtId="166" fontId="21" fillId="8" borderId="26" xfId="1" applyFont="1" applyFill="1" applyBorder="1" applyAlignment="1">
      <alignment vertical="center"/>
    </xf>
    <xf numFmtId="166" fontId="2" fillId="0" borderId="0" xfId="1" applyFont="1" applyAlignment="1"/>
    <xf numFmtId="166" fontId="2" fillId="0" borderId="0" xfId="1" applyFont="1" applyBorder="1" applyAlignment="1"/>
    <xf numFmtId="2" fontId="21" fillId="8" borderId="0" xfId="7" applyNumberFormat="1" applyFont="1" applyFill="1" applyBorder="1" applyAlignment="1" applyProtection="1">
      <alignment horizontal="right" vertical="center"/>
    </xf>
    <xf numFmtId="0" fontId="21" fillId="8" borderId="0" xfId="7" applyFont="1" applyFill="1" applyBorder="1" applyAlignment="1" applyProtection="1">
      <alignment horizontal="right" vertical="center"/>
    </xf>
    <xf numFmtId="0" fontId="21" fillId="8" borderId="0" xfId="7" applyFont="1" applyFill="1" applyBorder="1" applyAlignment="1" applyProtection="1">
      <alignment vertical="center"/>
    </xf>
    <xf numFmtId="166" fontId="21" fillId="8" borderId="0" xfId="1" applyFont="1" applyFill="1" applyBorder="1" applyAlignment="1">
      <alignment horizontal="right" vertical="center"/>
    </xf>
    <xf numFmtId="0" fontId="17" fillId="8" borderId="0" xfId="7" applyFont="1" applyFill="1" applyBorder="1" applyAlignment="1" applyProtection="1">
      <alignment vertical="center"/>
    </xf>
    <xf numFmtId="0" fontId="17" fillId="8" borderId="0" xfId="7" applyFont="1" applyFill="1" applyBorder="1" applyAlignment="1" applyProtection="1">
      <alignment horizontal="center" vertical="center"/>
    </xf>
    <xf numFmtId="0" fontId="13" fillId="8" borderId="5" xfId="7" applyFont="1" applyFill="1" applyBorder="1" applyAlignment="1" applyProtection="1">
      <alignment horizontal="left" vertical="center"/>
    </xf>
    <xf numFmtId="170" fontId="23" fillId="8" borderId="0" xfId="7" applyNumberFormat="1" applyFont="1" applyFill="1" applyBorder="1" applyAlignment="1" applyProtection="1">
      <alignment horizontal="center" vertical="center"/>
    </xf>
    <xf numFmtId="170" fontId="13" fillId="8" borderId="5" xfId="7" applyNumberFormat="1" applyFont="1" applyFill="1" applyBorder="1" applyAlignment="1" applyProtection="1">
      <alignment horizontal="left" vertical="center"/>
    </xf>
    <xf numFmtId="166" fontId="21" fillId="8" borderId="22" xfId="1" applyFont="1" applyFill="1" applyBorder="1" applyAlignment="1">
      <alignment horizontal="right" vertical="center"/>
    </xf>
    <xf numFmtId="170" fontId="23" fillId="8" borderId="22" xfId="7" applyNumberFormat="1" applyFont="1" applyFill="1" applyBorder="1" applyAlignment="1" applyProtection="1">
      <alignment horizontal="center" vertical="center"/>
    </xf>
    <xf numFmtId="166" fontId="21" fillId="8" borderId="22" xfId="1" applyFont="1" applyFill="1" applyBorder="1" applyAlignment="1">
      <alignment horizontal="left" vertical="center"/>
    </xf>
    <xf numFmtId="166" fontId="21" fillId="8" borderId="19" xfId="1" applyFont="1" applyFill="1" applyBorder="1" applyAlignment="1">
      <alignment horizontal="left" vertical="center"/>
    </xf>
    <xf numFmtId="0" fontId="6" fillId="0" borderId="0" xfId="0" applyNumberFormat="1" applyFont="1" applyFill="1" applyBorder="1"/>
    <xf numFmtId="49" fontId="3" fillId="0" borderId="26" xfId="7" applyNumberFormat="1" applyFont="1" applyFill="1" applyBorder="1" applyAlignment="1" applyProtection="1">
      <alignment horizontal="center"/>
    </xf>
    <xf numFmtId="38" fontId="11" fillId="0" borderId="0" xfId="7" applyNumberFormat="1" applyFont="1" applyFill="1" applyBorder="1" applyAlignment="1" applyProtection="1">
      <alignment horizontal="right"/>
    </xf>
    <xf numFmtId="49" fontId="3" fillId="1" borderId="2" xfId="7" applyNumberFormat="1" applyFont="1" applyFill="1" applyBorder="1" applyAlignment="1" applyProtection="1">
      <alignment horizontal="center"/>
    </xf>
    <xf numFmtId="49" fontId="3" fillId="0" borderId="0" xfId="7" applyNumberFormat="1" applyFont="1" applyFill="1" applyBorder="1" applyAlignment="1" applyProtection="1">
      <alignment horizontal="center"/>
    </xf>
    <xf numFmtId="170" fontId="11" fillId="0" borderId="0" xfId="7" applyNumberFormat="1" applyFont="1" applyFill="1" applyBorder="1" applyAlignment="1" applyProtection="1">
      <alignment horizontal="center" vertical="center" wrapText="1"/>
    </xf>
    <xf numFmtId="38" fontId="16" fillId="0" borderId="0" xfId="7" applyNumberFormat="1" applyFont="1" applyFill="1" applyBorder="1" applyAlignment="1" applyProtection="1">
      <alignment horizontal="center" vertical="center"/>
      <protection locked="0"/>
    </xf>
    <xf numFmtId="1" fontId="17" fillId="0" borderId="0" xfId="7" applyNumberFormat="1" applyFont="1" applyFill="1" applyBorder="1" applyAlignment="1" applyProtection="1">
      <alignment horizont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11" fillId="3" borderId="33" xfId="7" applyNumberFormat="1" applyFont="1" applyFill="1" applyBorder="1" applyAlignment="1" applyProtection="1">
      <alignment horizontal="right" vertical="center"/>
    </xf>
    <xf numFmtId="38" fontId="11" fillId="3" borderId="3" xfId="7" applyNumberFormat="1" applyFont="1" applyFill="1" applyBorder="1" applyAlignment="1" applyProtection="1">
      <alignment horizontal="right" vertical="center"/>
    </xf>
    <xf numFmtId="38" fontId="11" fillId="3" borderId="2" xfId="7" applyNumberFormat="1" applyFont="1" applyFill="1" applyBorder="1" applyAlignment="1" applyProtection="1">
      <alignment horizontal="right" vertical="center"/>
    </xf>
    <xf numFmtId="40" fontId="3" fillId="3" borderId="18" xfId="7" applyNumberFormat="1" applyFont="1" applyFill="1" applyBorder="1" applyAlignment="1" applyProtection="1">
      <alignment horizontal="center" vertical="center"/>
    </xf>
    <xf numFmtId="38" fontId="11" fillId="3" borderId="34" xfId="7" applyNumberFormat="1" applyFont="1" applyFill="1" applyBorder="1" applyAlignment="1" applyProtection="1">
      <alignment horizontal="right" vertical="center"/>
    </xf>
    <xf numFmtId="1" fontId="11" fillId="0" borderId="3" xfId="7" applyNumberFormat="1" applyFont="1" applyBorder="1" applyAlignment="1" applyProtection="1">
      <alignment horizontal="center" vertical="center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5" fontId="3" fillId="0" borderId="3" xfId="7" applyNumberFormat="1" applyFont="1" applyBorder="1" applyAlignment="1" applyProtection="1">
      <alignment horizontal="right" vertical="center"/>
    </xf>
    <xf numFmtId="1" fontId="11" fillId="4" borderId="2" xfId="7" applyNumberFormat="1" applyFont="1" applyFill="1" applyBorder="1" applyAlignment="1" applyProtection="1">
      <alignment horizontal="center" vertical="center"/>
    </xf>
    <xf numFmtId="40" fontId="3" fillId="4" borderId="2" xfId="7" applyNumberFormat="1" applyFont="1" applyFill="1" applyBorder="1" applyAlignment="1" applyProtection="1">
      <alignment horizontal="center" vertical="center"/>
    </xf>
    <xf numFmtId="38" fontId="3" fillId="4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1" fontId="11" fillId="4" borderId="25" xfId="7" applyNumberFormat="1" applyFont="1" applyFill="1" applyBorder="1" applyAlignment="1" applyProtection="1">
      <alignment horizontal="center" vertical="center"/>
    </xf>
    <xf numFmtId="40" fontId="3" fillId="4" borderId="25" xfId="7" applyNumberFormat="1" applyFont="1" applyFill="1" applyBorder="1" applyAlignment="1" applyProtection="1">
      <alignment horizontal="center" vertical="center"/>
    </xf>
    <xf numFmtId="38" fontId="3" fillId="4" borderId="25" xfId="7" applyNumberFormat="1" applyFont="1" applyFill="1" applyBorder="1" applyAlignment="1" applyProtection="1">
      <alignment horizontal="right" vertical="center"/>
    </xf>
    <xf numFmtId="38" fontId="11" fillId="3" borderId="25" xfId="7" applyNumberFormat="1" applyFont="1" applyFill="1" applyBorder="1" applyAlignment="1" applyProtection="1">
      <alignment horizontal="right" vertical="center"/>
    </xf>
    <xf numFmtId="38" fontId="3" fillId="0" borderId="0" xfId="7" applyNumberFormat="1" applyFont="1" applyBorder="1" applyAlignment="1" applyProtection="1">
      <alignment horizontal="right" vertical="center"/>
    </xf>
    <xf numFmtId="38" fontId="3" fillId="0" borderId="33" xfId="7" applyNumberFormat="1" applyFont="1" applyBorder="1" applyAlignment="1" applyProtection="1">
      <alignment horizontal="right" vertical="center"/>
    </xf>
    <xf numFmtId="1" fontId="11" fillId="0" borderId="26" xfId="7" applyNumberFormat="1" applyFont="1" applyBorder="1" applyAlignment="1" applyProtection="1">
      <alignment horizontal="center" vertical="center"/>
    </xf>
    <xf numFmtId="38" fontId="3" fillId="3" borderId="34" xfId="7" applyNumberFormat="1" applyFont="1" applyFill="1" applyBorder="1" applyAlignment="1" applyProtection="1">
      <alignment horizontal="right" vertical="center"/>
    </xf>
    <xf numFmtId="38" fontId="3" fillId="3" borderId="18" xfId="7" applyNumberFormat="1" applyFont="1" applyFill="1" applyBorder="1" applyAlignment="1" applyProtection="1">
      <alignment horizontal="right" vertical="center"/>
    </xf>
    <xf numFmtId="38" fontId="3" fillId="3" borderId="33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40" fontId="11" fillId="3" borderId="25" xfId="7" applyNumberFormat="1" applyFont="1" applyFill="1" applyBorder="1" applyAlignment="1" applyProtection="1">
      <alignment horizontal="center" vertical="center"/>
    </xf>
    <xf numFmtId="38" fontId="11" fillId="3" borderId="27" xfId="7" applyNumberFormat="1" applyFont="1" applyFill="1" applyBorder="1" applyAlignment="1" applyProtection="1">
      <alignment horizontal="right" vertical="center"/>
    </xf>
    <xf numFmtId="1" fontId="3" fillId="0" borderId="18" xfId="7" applyNumberFormat="1" applyFont="1" applyBorder="1" applyAlignment="1" applyProtection="1">
      <alignment horizontal="center" vertical="center"/>
    </xf>
    <xf numFmtId="168" fontId="3" fillId="0" borderId="18" xfId="7" applyNumberFormat="1" applyFont="1" applyBorder="1" applyAlignment="1" applyProtection="1">
      <alignment horizontal="center" vertical="center"/>
    </xf>
    <xf numFmtId="177" fontId="3" fillId="0" borderId="18" xfId="7" applyNumberFormat="1" applyFont="1" applyBorder="1" applyAlignment="1" applyProtection="1">
      <alignment horizontal="right" vertical="center"/>
    </xf>
    <xf numFmtId="38" fontId="3" fillId="0" borderId="18" xfId="7" applyNumberFormat="1" applyFont="1" applyBorder="1" applyAlignment="1" applyProtection="1">
      <alignment horizontal="right" vertical="center"/>
    </xf>
    <xf numFmtId="168" fontId="3" fillId="0" borderId="18" xfId="7" applyNumberFormat="1" applyFont="1" applyBorder="1" applyAlignment="1" applyProtection="1">
      <alignment horizontal="right" vertical="center"/>
    </xf>
    <xf numFmtId="176" fontId="3" fillId="0" borderId="18" xfId="7" applyNumberFormat="1" applyFont="1" applyBorder="1" applyAlignment="1" applyProtection="1">
      <alignment horizontal="right" vertical="center"/>
    </xf>
    <xf numFmtId="40" fontId="11" fillId="3" borderId="3" xfId="7" applyNumberFormat="1" applyFont="1" applyFill="1" applyBorder="1" applyAlignment="1" applyProtection="1">
      <alignment horizontal="center" vertical="center"/>
    </xf>
    <xf numFmtId="38" fontId="11" fillId="3" borderId="3" xfId="7" applyNumberFormat="1" applyFont="1" applyFill="1" applyBorder="1" applyAlignment="1" applyProtection="1">
      <alignment vertical="center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0" xfId="7" applyNumberFormat="1" applyFont="1" applyBorder="1" applyAlignment="1" applyProtection="1">
      <alignment horizontal="left" vertical="center"/>
    </xf>
    <xf numFmtId="170" fontId="11" fillId="0" borderId="19" xfId="7" applyNumberFormat="1" applyFont="1" applyBorder="1" applyAlignment="1" applyProtection="1">
      <alignment vertical="center"/>
    </xf>
    <xf numFmtId="170" fontId="11" fillId="0" borderId="5" xfId="7" applyNumberFormat="1" applyFont="1" applyBorder="1" applyAlignment="1" applyProtection="1">
      <alignment vertical="center"/>
    </xf>
    <xf numFmtId="173" fontId="11" fillId="3" borderId="2" xfId="7" applyNumberFormat="1" applyFont="1" applyFill="1" applyBorder="1" applyAlignment="1" applyProtection="1">
      <alignment horizontal="center" vertical="center"/>
    </xf>
    <xf numFmtId="40" fontId="11" fillId="3" borderId="2" xfId="7" applyNumberFormat="1" applyFont="1" applyFill="1" applyBorder="1" applyAlignment="1" applyProtection="1">
      <alignment horizontal="center" vertical="center"/>
    </xf>
    <xf numFmtId="3" fontId="3" fillId="3" borderId="3" xfId="7" applyNumberFormat="1" applyFont="1" applyFill="1" applyBorder="1" applyAlignment="1" applyProtection="1">
      <alignment vertical="center"/>
    </xf>
    <xf numFmtId="1" fontId="17" fillId="0" borderId="25" xfId="7" applyNumberFormat="1" applyFont="1" applyBorder="1" applyAlignment="1" applyProtection="1">
      <alignment horizontal="right" vertical="center"/>
    </xf>
    <xf numFmtId="170" fontId="19" fillId="3" borderId="5" xfId="7" applyNumberFormat="1" applyFont="1" applyFill="1" applyBorder="1" applyAlignment="1" applyProtection="1">
      <alignment vertical="center" wrapText="1"/>
      <protection locked="0"/>
    </xf>
    <xf numFmtId="170" fontId="19" fillId="3" borderId="32" xfId="7" applyNumberFormat="1" applyFont="1" applyFill="1" applyBorder="1" applyAlignment="1" applyProtection="1">
      <alignment vertical="center" wrapText="1"/>
      <protection locked="0"/>
    </xf>
    <xf numFmtId="49" fontId="3" fillId="1" borderId="26" xfId="7" applyNumberFormat="1" applyFont="1" applyFill="1" applyBorder="1" applyAlignment="1" applyProtection="1">
      <alignment horizontal="center" vertical="center"/>
    </xf>
    <xf numFmtId="49" fontId="3" fillId="1" borderId="33" xfId="7" applyNumberFormat="1" applyFont="1" applyFill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vertical="center"/>
    </xf>
    <xf numFmtId="0" fontId="8" fillId="0" borderId="0" xfId="7" applyFont="1" applyAlignment="1" applyProtection="1">
      <alignment vertical="center"/>
    </xf>
    <xf numFmtId="170" fontId="3" fillId="0" borderId="33" xfId="7" applyNumberFormat="1" applyFont="1" applyBorder="1" applyAlignment="1" applyProtection="1">
      <alignment horizontal="left" vertical="center"/>
    </xf>
    <xf numFmtId="1" fontId="3" fillId="0" borderId="26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33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38" fontId="16" fillId="0" borderId="26" xfId="7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164" fontId="6" fillId="3" borderId="5" xfId="0" applyNumberFormat="1" applyFont="1" applyFill="1" applyBorder="1" applyAlignment="1">
      <alignment horizontal="right" indent="4"/>
    </xf>
    <xf numFmtId="0" fontId="6" fillId="0" borderId="5" xfId="0" applyNumberFormat="1" applyFont="1" applyFill="1" applyBorder="1" applyAlignment="1">
      <alignment horizontal="left" indent="4"/>
    </xf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/>
    <xf numFmtId="0" fontId="6" fillId="0" borderId="0" xfId="0" applyFont="1" applyFill="1" applyBorder="1" applyAlignment="1">
      <alignment horizontal="left" indent="4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23" xfId="7" applyFont="1" applyBorder="1" applyAlignment="1" applyProtection="1">
      <alignment horizontal="center" wrapText="1"/>
    </xf>
    <xf numFmtId="40" fontId="3" fillId="3" borderId="33" xfId="7" applyNumberFormat="1" applyFont="1" applyFill="1" applyBorder="1" applyAlignment="1" applyProtection="1">
      <alignment horizontal="center"/>
    </xf>
    <xf numFmtId="0" fontId="3" fillId="4" borderId="25" xfId="7" applyFont="1" applyFill="1" applyBorder="1" applyAlignment="1" applyProtection="1">
      <alignment horizontal="center"/>
    </xf>
    <xf numFmtId="49" fontId="3" fillId="1" borderId="25" xfId="7" applyNumberFormat="1" applyFont="1" applyFill="1" applyBorder="1" applyAlignment="1" applyProtection="1">
      <alignment horizontal="center" vertical="center"/>
    </xf>
    <xf numFmtId="170" fontId="11" fillId="11" borderId="2" xfId="7" applyNumberFormat="1" applyFont="1" applyFill="1" applyBorder="1" applyAlignment="1" applyProtection="1">
      <alignment horizontal="left" vertical="center" wrapText="1"/>
    </xf>
    <xf numFmtId="170" fontId="11" fillId="0" borderId="2" xfId="7" applyNumberFormat="1" applyFont="1" applyFill="1" applyBorder="1" applyAlignment="1" applyProtection="1">
      <alignment horizontal="left" vertical="center" wrapText="1" indent="1"/>
    </xf>
    <xf numFmtId="1" fontId="11" fillId="0" borderId="3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5" fontId="3" fillId="0" borderId="3" xfId="7" applyNumberFormat="1" applyFont="1" applyBorder="1" applyAlignment="1" applyProtection="1">
      <alignment horizontal="left" vertical="center"/>
    </xf>
    <xf numFmtId="49" fontId="3" fillId="4" borderId="32" xfId="7" applyNumberFormat="1" applyFont="1" applyFill="1" applyBorder="1" applyAlignment="1" applyProtection="1"/>
    <xf numFmtId="170" fontId="3" fillId="4" borderId="32" xfId="7" applyNumberFormat="1" applyFont="1" applyFill="1" applyBorder="1" applyAlignment="1" applyProtection="1"/>
    <xf numFmtId="170" fontId="3" fillId="4" borderId="2" xfId="7" applyNumberFormat="1" applyFont="1" applyFill="1" applyBorder="1" applyAlignment="1" applyProtection="1"/>
    <xf numFmtId="49" fontId="3" fillId="4" borderId="2" xfId="7" applyNumberFormat="1" applyFont="1" applyFill="1" applyBorder="1" applyAlignment="1" applyProtection="1"/>
    <xf numFmtId="170" fontId="3" fillId="0" borderId="4" xfId="7" applyNumberFormat="1" applyFont="1" applyFill="1" applyBorder="1" applyAlignment="1" applyProtection="1"/>
    <xf numFmtId="49" fontId="3" fillId="4" borderId="34" xfId="7" applyNumberFormat="1" applyFont="1" applyFill="1" applyBorder="1" applyAlignment="1" applyProtection="1"/>
    <xf numFmtId="49" fontId="3" fillId="4" borderId="27" xfId="7" applyNumberFormat="1" applyFont="1" applyFill="1" applyBorder="1" applyAlignment="1" applyProtection="1"/>
    <xf numFmtId="170" fontId="11" fillId="0" borderId="0" xfId="7" applyNumberFormat="1" applyFont="1" applyFill="1" applyBorder="1" applyAlignment="1" applyProtection="1">
      <alignment horizontal="left" indent="1"/>
    </xf>
    <xf numFmtId="0" fontId="28" fillId="0" borderId="0" xfId="0" applyFont="1"/>
    <xf numFmtId="165" fontId="28" fillId="0" borderId="0" xfId="0" applyNumberFormat="1" applyFont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40" fontId="32" fillId="0" borderId="0" xfId="0" applyNumberFormat="1" applyFont="1" applyFill="1" applyAlignment="1">
      <alignment horizontal="center"/>
    </xf>
    <xf numFmtId="2" fontId="3" fillId="0" borderId="4" xfId="7" applyNumberFormat="1" applyFont="1" applyBorder="1" applyAlignment="1" applyProtection="1">
      <alignment horizontal="center" wrapText="1"/>
    </xf>
    <xf numFmtId="0" fontId="32" fillId="0" borderId="0" xfId="0" applyFont="1" applyAlignment="1">
      <alignment horizontal="center"/>
    </xf>
    <xf numFmtId="49" fontId="3" fillId="0" borderId="26" xfId="7" applyNumberFormat="1" applyFont="1" applyFill="1" applyBorder="1" applyAlignment="1" applyProtection="1">
      <alignment horizontal="left"/>
    </xf>
    <xf numFmtId="49" fontId="3" fillId="0" borderId="33" xfId="7" applyNumberFormat="1" applyFont="1" applyFill="1" applyBorder="1" applyAlignment="1" applyProtection="1">
      <alignment horizontal="left"/>
    </xf>
    <xf numFmtId="49" fontId="3" fillId="0" borderId="26" xfId="7" applyNumberFormat="1" applyFont="1" applyFill="1" applyBorder="1" applyAlignment="1" applyProtection="1"/>
    <xf numFmtId="49" fontId="3" fillId="0" borderId="33" xfId="7" applyNumberFormat="1" applyFont="1" applyFill="1" applyBorder="1" applyAlignment="1" applyProtection="1"/>
    <xf numFmtId="1" fontId="11" fillId="0" borderId="3" xfId="7" applyNumberFormat="1" applyFont="1" applyFill="1" applyBorder="1" applyAlignment="1" applyProtection="1">
      <alignment horizontal="center" vertical="center"/>
    </xf>
    <xf numFmtId="38" fontId="3" fillId="0" borderId="33" xfId="7" applyNumberFormat="1" applyFont="1" applyFill="1" applyBorder="1" applyAlignment="1" applyProtection="1">
      <alignment horizontal="right"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1" fontId="17" fillId="0" borderId="2" xfId="7" applyNumberFormat="1" applyFont="1" applyFill="1" applyBorder="1" applyAlignment="1" applyProtection="1">
      <alignment horizontal="right" vertical="center"/>
    </xf>
    <xf numFmtId="1" fontId="17" fillId="0" borderId="19" xfId="7" applyNumberFormat="1" applyFont="1" applyFill="1" applyBorder="1" applyAlignment="1" applyProtection="1">
      <alignment horizontal="right" vertical="center"/>
    </xf>
    <xf numFmtId="170" fontId="23" fillId="8" borderId="22" xfId="7" applyNumberFormat="1" applyFont="1" applyFill="1" applyBorder="1" applyAlignment="1" applyProtection="1">
      <alignment horizontal="center" vertical="center"/>
    </xf>
    <xf numFmtId="166" fontId="21" fillId="8" borderId="0" xfId="1" applyFont="1" applyFill="1" applyBorder="1" applyAlignment="1">
      <alignment vertical="center"/>
    </xf>
    <xf numFmtId="0" fontId="17" fillId="8" borderId="0" xfId="7" applyFont="1" applyFill="1" applyBorder="1" applyAlignment="1" applyProtection="1">
      <alignment vertical="center"/>
    </xf>
    <xf numFmtId="2" fontId="21" fillId="8" borderId="0" xfId="7" applyNumberFormat="1" applyFont="1" applyFill="1" applyBorder="1" applyAlignment="1" applyProtection="1">
      <alignment horizontal="right" vertical="center"/>
    </xf>
    <xf numFmtId="38" fontId="8" fillId="0" borderId="0" xfId="7" applyNumberFormat="1" applyFont="1" applyBorder="1" applyProtection="1"/>
    <xf numFmtId="38" fontId="11" fillId="0" borderId="2" xfId="7" applyNumberFormat="1" applyFont="1" applyBorder="1" applyAlignment="1" applyProtection="1">
      <alignment horizontal="center" wrapText="1"/>
    </xf>
    <xf numFmtId="38" fontId="3" fillId="0" borderId="0" xfId="7" applyNumberFormat="1" applyFont="1" applyFill="1" applyBorder="1" applyProtection="1"/>
    <xf numFmtId="49" fontId="3" fillId="7" borderId="0" xfId="7" applyNumberFormat="1" applyFont="1" applyFill="1" applyBorder="1" applyAlignment="1" applyProtection="1">
      <alignment horizontal="center"/>
    </xf>
    <xf numFmtId="38" fontId="11" fillId="6" borderId="3" xfId="7" applyNumberFormat="1" applyFont="1" applyFill="1" applyBorder="1" applyProtection="1"/>
    <xf numFmtId="0" fontId="14" fillId="0" borderId="0" xfId="7" applyFont="1" applyBorder="1" applyAlignment="1" applyProtection="1">
      <alignment horizontal="center"/>
    </xf>
    <xf numFmtId="38" fontId="8" fillId="0" borderId="0" xfId="7" applyNumberFormat="1" applyFont="1" applyProtection="1"/>
    <xf numFmtId="38" fontId="3" fillId="0" borderId="18" xfId="7" applyNumberFormat="1" applyFont="1" applyBorder="1" applyAlignment="1" applyProtection="1">
      <alignment horizontal="right" vertical="center"/>
    </xf>
    <xf numFmtId="38" fontId="11" fillId="3" borderId="3" xfId="7" applyNumberFormat="1" applyFont="1" applyFill="1" applyBorder="1" applyAlignment="1" applyProtection="1">
      <alignment horizontal="right" vertical="center"/>
    </xf>
    <xf numFmtId="38" fontId="3" fillId="0" borderId="3" xfId="7" applyNumberFormat="1" applyFont="1" applyBorder="1" applyAlignment="1" applyProtection="1">
      <alignment horizontal="right" vertical="center"/>
    </xf>
    <xf numFmtId="40" fontId="3" fillId="3" borderId="18" xfId="7" applyNumberFormat="1" applyFont="1" applyFill="1" applyBorder="1" applyAlignment="1" applyProtection="1">
      <alignment horizontal="center" vertical="center"/>
    </xf>
    <xf numFmtId="38" fontId="3" fillId="0" borderId="0" xfId="7" applyNumberFormat="1" applyFont="1" applyFill="1" applyBorder="1" applyAlignment="1" applyProtection="1">
      <alignment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38" fontId="11" fillId="0" borderId="0" xfId="7" applyNumberFormat="1" applyFont="1" applyFill="1" applyBorder="1" applyAlignment="1" applyProtection="1">
      <alignment horizontal="right" vertical="center"/>
    </xf>
    <xf numFmtId="0" fontId="8" fillId="0" borderId="0" xfId="7" applyFont="1" applyFill="1" applyBorder="1" applyAlignment="1" applyProtection="1">
      <alignment vertical="center"/>
    </xf>
    <xf numFmtId="170" fontId="11" fillId="0" borderId="0" xfId="7" applyNumberFormat="1" applyFont="1" applyBorder="1" applyAlignment="1" applyProtection="1">
      <alignment horizontal="center" vertical="center" wrapText="1"/>
    </xf>
    <xf numFmtId="1" fontId="17" fillId="0" borderId="18" xfId="7" applyNumberFormat="1" applyFont="1" applyFill="1" applyBorder="1" applyAlignment="1" applyProtection="1">
      <alignment horizontal="right" vertical="center"/>
    </xf>
    <xf numFmtId="38" fontId="11" fillId="3" borderId="1" xfId="7" applyNumberFormat="1" applyFont="1" applyFill="1" applyBorder="1" applyProtection="1"/>
    <xf numFmtId="38" fontId="3" fillId="0" borderId="33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3" borderId="3" xfId="7" applyNumberFormat="1" applyFont="1" applyFill="1" applyBorder="1" applyProtection="1"/>
    <xf numFmtId="38" fontId="11" fillId="3" borderId="4" xfId="7" applyNumberFormat="1" applyFont="1" applyFill="1" applyBorder="1" applyProtection="1"/>
    <xf numFmtId="38" fontId="3" fillId="4" borderId="32" xfId="7" applyNumberFormat="1" applyFont="1" applyFill="1" applyBorder="1" applyProtection="1"/>
    <xf numFmtId="38" fontId="3" fillId="4" borderId="34" xfId="7" applyNumberFormat="1" applyFont="1" applyFill="1" applyBorder="1" applyProtection="1"/>
    <xf numFmtId="38" fontId="11" fillId="0" borderId="31" xfId="7" applyNumberFormat="1" applyFont="1" applyFill="1" applyBorder="1" applyAlignment="1" applyProtection="1">
      <alignment horizontal="right" vertical="center"/>
    </xf>
    <xf numFmtId="38" fontId="3" fillId="3" borderId="32" xfId="7" applyNumberFormat="1" applyFont="1" applyFill="1" applyBorder="1" applyAlignment="1" applyProtection="1">
      <alignment horizontal="right" vertical="center"/>
    </xf>
    <xf numFmtId="38" fontId="11" fillId="0" borderId="3" xfId="7" applyNumberFormat="1" applyFont="1" applyFill="1" applyBorder="1" applyAlignment="1" applyProtection="1">
      <alignment horizontal="right" vertical="center"/>
    </xf>
    <xf numFmtId="38" fontId="11" fillId="0" borderId="3" xfId="7" applyNumberFormat="1" applyFont="1" applyFill="1" applyBorder="1" applyProtection="1"/>
    <xf numFmtId="38" fontId="3" fillId="0" borderId="31" xfId="7" applyNumberFormat="1" applyFont="1" applyFill="1" applyBorder="1" applyProtection="1"/>
    <xf numFmtId="38" fontId="11" fillId="3" borderId="19" xfId="7" applyNumberFormat="1" applyFont="1" applyFill="1" applyBorder="1" applyProtection="1"/>
    <xf numFmtId="38" fontId="3" fillId="0" borderId="33" xfId="7" applyNumberFormat="1" applyFont="1" applyBorder="1" applyProtection="1"/>
    <xf numFmtId="38" fontId="8" fillId="0" borderId="33" xfId="7" applyNumberFormat="1" applyFont="1" applyBorder="1" applyProtection="1"/>
    <xf numFmtId="38" fontId="11" fillId="0" borderId="18" xfId="7" applyNumberFormat="1" applyFont="1" applyFill="1" applyBorder="1" applyProtection="1"/>
    <xf numFmtId="38" fontId="11" fillId="3" borderId="18" xfId="7" applyNumberFormat="1" applyFont="1" applyFill="1" applyBorder="1" applyProtection="1"/>
    <xf numFmtId="38" fontId="11" fillId="3" borderId="3" xfId="7" applyNumberFormat="1" applyFont="1" applyFill="1" applyBorder="1" applyProtection="1"/>
    <xf numFmtId="38" fontId="11" fillId="3" borderId="2" xfId="7" applyNumberFormat="1" applyFont="1" applyFill="1" applyBorder="1" applyAlignment="1" applyProtection="1">
      <alignment horizontal="right" vertical="center"/>
    </xf>
    <xf numFmtId="38" fontId="11" fillId="0" borderId="0" xfId="7" applyNumberFormat="1" applyFont="1" applyFill="1" applyBorder="1" applyProtection="1"/>
    <xf numFmtId="38" fontId="11" fillId="0" borderId="1" xfId="7" applyNumberFormat="1" applyFont="1" applyFill="1" applyBorder="1" applyProtection="1"/>
    <xf numFmtId="10" fontId="3" fillId="5" borderId="2" xfId="6" applyNumberFormat="1" applyFont="1" applyFill="1" applyBorder="1" applyAlignment="1" applyProtection="1">
      <alignment horizont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1" fillId="3" borderId="32" xfId="7" applyNumberFormat="1" applyFont="1" applyFill="1" applyBorder="1" applyAlignment="1" applyProtection="1">
      <alignment horizontal="right" vertical="center"/>
    </xf>
    <xf numFmtId="0" fontId="14" fillId="0" borderId="33" xfId="7" applyFont="1" applyBorder="1" applyAlignment="1" applyProtection="1">
      <alignment horizontal="center"/>
    </xf>
    <xf numFmtId="3" fontId="11" fillId="3" borderId="41" xfId="7" applyNumberFormat="1" applyFont="1" applyFill="1" applyBorder="1" applyAlignment="1" applyProtection="1">
      <alignment horizontal="center" vertical="top"/>
    </xf>
    <xf numFmtId="171" fontId="11" fillId="3" borderId="42" xfId="6" applyNumberFormat="1" applyFont="1" applyFill="1" applyBorder="1" applyAlignment="1" applyProtection="1">
      <alignment horizontal="center" vertical="top" wrapText="1"/>
    </xf>
    <xf numFmtId="10" fontId="3" fillId="5" borderId="18" xfId="6" applyNumberFormat="1" applyFont="1" applyFill="1" applyBorder="1" applyAlignment="1" applyProtection="1">
      <alignment horizontal="center" vertical="center"/>
    </xf>
    <xf numFmtId="38" fontId="12" fillId="0" borderId="0" xfId="7" applyNumberFormat="1" applyFont="1" applyFill="1" applyBorder="1" applyProtection="1"/>
    <xf numFmtId="0" fontId="12" fillId="0" borderId="0" xfId="7" applyFont="1" applyBorder="1" applyProtection="1"/>
    <xf numFmtId="0" fontId="33" fillId="0" borderId="0" xfId="7" applyFont="1" applyBorder="1" applyProtection="1"/>
    <xf numFmtId="0" fontId="33" fillId="0" borderId="33" xfId="7" applyFont="1" applyBorder="1" applyProtection="1"/>
    <xf numFmtId="38" fontId="34" fillId="0" borderId="0" xfId="7" applyNumberFormat="1" applyFont="1" applyFill="1" applyBorder="1" applyProtection="1"/>
    <xf numFmtId="38" fontId="33" fillId="0" borderId="0" xfId="7" applyNumberFormat="1" applyFont="1" applyFill="1" applyBorder="1" applyProtection="1"/>
    <xf numFmtId="0" fontId="33" fillId="0" borderId="0" xfId="7" applyFont="1" applyFill="1" applyBorder="1" applyProtection="1"/>
    <xf numFmtId="0" fontId="33" fillId="0" borderId="33" xfId="7" applyFont="1" applyFill="1" applyBorder="1" applyProtection="1"/>
    <xf numFmtId="38" fontId="34" fillId="0" borderId="0" xfId="7" applyNumberFormat="1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horizontal="center"/>
    </xf>
    <xf numFmtId="0" fontId="34" fillId="0" borderId="33" xfId="7" applyFont="1" applyFill="1" applyBorder="1" applyAlignment="1" applyProtection="1">
      <alignment horizontal="center"/>
    </xf>
    <xf numFmtId="1" fontId="33" fillId="0" borderId="0" xfId="7" applyNumberFormat="1" applyFont="1" applyFill="1" applyBorder="1" applyAlignment="1" applyProtection="1">
      <alignment horizontal="right" indent="4"/>
    </xf>
    <xf numFmtId="0" fontId="33" fillId="0" borderId="0" xfId="7" applyFont="1" applyFill="1" applyBorder="1" applyAlignment="1" applyProtection="1">
      <alignment horizontal="right" indent="2"/>
    </xf>
    <xf numFmtId="1" fontId="33" fillId="0" borderId="33" xfId="7" applyNumberFormat="1" applyFont="1" applyFill="1" applyBorder="1" applyAlignment="1" applyProtection="1">
      <alignment horizontal="right" indent="3"/>
    </xf>
    <xf numFmtId="173" fontId="12" fillId="0" borderId="0" xfId="7" applyNumberFormat="1" applyFont="1" applyBorder="1" applyProtection="1"/>
    <xf numFmtId="0" fontId="12" fillId="0" borderId="33" xfId="7" applyFont="1" applyBorder="1" applyProtection="1"/>
    <xf numFmtId="0" fontId="3" fillId="0" borderId="44" xfId="7" applyFont="1" applyBorder="1" applyAlignment="1" applyProtection="1">
      <alignment horizontal="center"/>
    </xf>
    <xf numFmtId="0" fontId="3" fillId="0" borderId="45" xfId="7" applyFont="1" applyBorder="1" applyAlignment="1" applyProtection="1">
      <alignment horizontal="center"/>
    </xf>
    <xf numFmtId="0" fontId="3" fillId="0" borderId="46" xfId="7" applyFont="1" applyBorder="1" applyAlignment="1" applyProtection="1">
      <alignment horizontal="center"/>
    </xf>
    <xf numFmtId="4" fontId="12" fillId="0" borderId="47" xfId="0" applyNumberFormat="1" applyFont="1" applyBorder="1" applyAlignment="1">
      <alignment horizontal="center"/>
    </xf>
    <xf numFmtId="0" fontId="11" fillId="4" borderId="23" xfId="7" applyFont="1" applyFill="1" applyBorder="1" applyAlignment="1" applyProtection="1">
      <alignment horizontal="center"/>
    </xf>
    <xf numFmtId="38" fontId="11" fillId="4" borderId="23" xfId="7" applyNumberFormat="1" applyFont="1" applyFill="1" applyBorder="1" applyAlignment="1" applyProtection="1">
      <alignment horizontal="center"/>
    </xf>
    <xf numFmtId="0" fontId="11" fillId="4" borderId="40" xfId="7" applyFont="1" applyFill="1" applyBorder="1" applyAlignment="1" applyProtection="1">
      <alignment horizontal="center"/>
    </xf>
    <xf numFmtId="0" fontId="3" fillId="10" borderId="32" xfId="7" applyFont="1" applyFill="1" applyBorder="1" applyAlignment="1" applyProtection="1">
      <alignment horizontal="center" vertical="center"/>
    </xf>
    <xf numFmtId="38" fontId="35" fillId="0" borderId="18" xfId="7" applyNumberFormat="1" applyFont="1" applyBorder="1" applyAlignment="1" applyProtection="1">
      <alignment horizontal="center" wrapText="1"/>
    </xf>
    <xf numFmtId="4" fontId="12" fillId="0" borderId="48" xfId="0" applyNumberFormat="1" applyFont="1" applyBorder="1" applyAlignment="1">
      <alignment horizontal="center"/>
    </xf>
    <xf numFmtId="38" fontId="3" fillId="3" borderId="2" xfId="7" applyNumberFormat="1" applyFont="1" applyFill="1" applyBorder="1" applyProtection="1"/>
    <xf numFmtId="181" fontId="6" fillId="3" borderId="0" xfId="0" applyNumberFormat="1" applyFont="1" applyFill="1" applyBorder="1" applyAlignment="1">
      <alignment horizontal="right" indent="3"/>
    </xf>
    <xf numFmtId="181" fontId="6" fillId="3" borderId="32" xfId="0" applyNumberFormat="1" applyFont="1" applyFill="1" applyBorder="1" applyAlignment="1">
      <alignment horizontal="right" indent="3"/>
    </xf>
    <xf numFmtId="181" fontId="6" fillId="3" borderId="5" xfId="0" applyNumberFormat="1" applyFont="1" applyFill="1" applyBorder="1" applyAlignment="1">
      <alignment horizontal="right" indent="3"/>
    </xf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0" fontId="36" fillId="0" borderId="0" xfId="0" applyFont="1"/>
    <xf numFmtId="38" fontId="3" fillId="3" borderId="2" xfId="7" applyNumberFormat="1" applyFont="1" applyFill="1" applyBorder="1" applyAlignment="1" applyProtection="1">
      <alignment horizontal="center"/>
    </xf>
    <xf numFmtId="38" fontId="3" fillId="3" borderId="4" xfId="7" applyNumberFormat="1" applyFont="1" applyFill="1" applyBorder="1" applyAlignment="1" applyProtection="1">
      <alignment horizontal="center"/>
    </xf>
    <xf numFmtId="38" fontId="12" fillId="3" borderId="4" xfId="0" applyNumberFormat="1" applyFont="1" applyFill="1" applyBorder="1" applyAlignment="1">
      <alignment horizontal="center"/>
    </xf>
    <xf numFmtId="38" fontId="12" fillId="3" borderId="23" xfId="0" applyNumberFormat="1" applyFont="1" applyFill="1" applyBorder="1" applyAlignment="1">
      <alignment horizontal="center"/>
    </xf>
    <xf numFmtId="38" fontId="12" fillId="3" borderId="19" xfId="0" applyNumberFormat="1" applyFont="1" applyFill="1" applyBorder="1" applyAlignment="1">
      <alignment horizontal="center"/>
    </xf>
    <xf numFmtId="38" fontId="11" fillId="3" borderId="17" xfId="7" applyNumberFormat="1" applyFont="1" applyFill="1" applyBorder="1" applyAlignment="1" applyProtection="1">
      <alignment horizontal="center" vertical="top"/>
    </xf>
    <xf numFmtId="38" fontId="11" fillId="3" borderId="43" xfId="7" applyNumberFormat="1" applyFont="1" applyFill="1" applyBorder="1" applyAlignment="1" applyProtection="1">
      <alignment horizontal="center" vertical="top"/>
    </xf>
    <xf numFmtId="0" fontId="28" fillId="0" borderId="19" xfId="0" applyFont="1" applyBorder="1"/>
    <xf numFmtId="9" fontId="28" fillId="9" borderId="34" xfId="0" applyNumberFormat="1" applyFont="1" applyFill="1" applyBorder="1" applyAlignment="1">
      <alignment horizontal="center"/>
    </xf>
    <xf numFmtId="0" fontId="28" fillId="0" borderId="31" xfId="0" applyFont="1" applyBorder="1"/>
    <xf numFmtId="38" fontId="11" fillId="0" borderId="34" xfId="7" applyNumberFormat="1" applyFont="1" applyFill="1" applyBorder="1" applyAlignment="1" applyProtection="1">
      <alignment horizontal="right" vertical="center"/>
    </xf>
    <xf numFmtId="38" fontId="11" fillId="0" borderId="33" xfId="7" applyNumberFormat="1" applyFont="1" applyFill="1" applyBorder="1" applyAlignment="1" applyProtection="1">
      <alignment horizontal="right" vertical="center"/>
    </xf>
    <xf numFmtId="38" fontId="3" fillId="0" borderId="2" xfId="7" applyNumberFormat="1" applyFont="1" applyFill="1" applyBorder="1" applyAlignment="1" applyProtection="1">
      <alignment vertical="center"/>
    </xf>
    <xf numFmtId="38" fontId="3" fillId="0" borderId="32" xfId="7" applyNumberFormat="1" applyFont="1" applyFill="1" applyBorder="1" applyAlignment="1" applyProtection="1">
      <alignment vertical="center"/>
    </xf>
    <xf numFmtId="38" fontId="3" fillId="0" borderId="2" xfId="7" applyNumberFormat="1" applyFont="1" applyBorder="1" applyAlignment="1" applyProtection="1">
      <alignment vertical="center"/>
    </xf>
    <xf numFmtId="0" fontId="11" fillId="0" borderId="15" xfId="7" applyFont="1" applyBorder="1" applyAlignment="1" applyProtection="1">
      <alignment horizontal="center" vertical="top"/>
    </xf>
    <xf numFmtId="0" fontId="11" fillId="4" borderId="5" xfId="7" applyFont="1" applyFill="1" applyBorder="1" applyAlignment="1" applyProtection="1">
      <alignment horizontal="center"/>
    </xf>
    <xf numFmtId="38" fontId="11" fillId="4" borderId="5" xfId="7" applyNumberFormat="1" applyFont="1" applyFill="1" applyBorder="1" applyAlignment="1" applyProtection="1">
      <alignment horizontal="center"/>
    </xf>
    <xf numFmtId="0" fontId="11" fillId="4" borderId="22" xfId="7" applyFont="1" applyFill="1" applyBorder="1" applyAlignment="1" applyProtection="1">
      <alignment horizontal="center"/>
    </xf>
    <xf numFmtId="0" fontId="11" fillId="0" borderId="24" xfId="7" applyFont="1" applyBorder="1" applyAlignment="1" applyProtection="1"/>
    <xf numFmtId="3" fontId="3" fillId="3" borderId="25" xfId="7" applyNumberFormat="1" applyFont="1" applyFill="1" applyBorder="1" applyAlignment="1" applyProtection="1">
      <alignment vertical="center"/>
    </xf>
    <xf numFmtId="0" fontId="11" fillId="0" borderId="0" xfId="7" applyFont="1" applyFill="1" applyBorder="1" applyAlignment="1" applyProtection="1">
      <alignment horizontal="center" vertical="top"/>
    </xf>
    <xf numFmtId="171" fontId="11" fillId="0" borderId="0" xfId="6" applyNumberFormat="1" applyFont="1" applyFill="1" applyBorder="1" applyAlignment="1" applyProtection="1">
      <alignment horizontal="center" vertical="top"/>
    </xf>
    <xf numFmtId="3" fontId="11" fillId="0" borderId="0" xfId="7" applyNumberFormat="1" applyFont="1" applyFill="1" applyBorder="1" applyAlignment="1" applyProtection="1">
      <alignment horizontal="center" vertical="top"/>
    </xf>
    <xf numFmtId="171" fontId="11" fillId="0" borderId="0" xfId="6" applyNumberFormat="1" applyFont="1" applyFill="1" applyBorder="1" applyAlignment="1" applyProtection="1">
      <alignment horizontal="center" vertical="top" wrapText="1"/>
    </xf>
    <xf numFmtId="38" fontId="11" fillId="0" borderId="0" xfId="7" applyNumberFormat="1" applyFont="1" applyFill="1" applyBorder="1" applyAlignment="1" applyProtection="1">
      <alignment horizontal="center" vertical="top"/>
    </xf>
    <xf numFmtId="166" fontId="2" fillId="0" borderId="0" xfId="1" applyFont="1" applyFill="1" applyAlignment="1">
      <alignment vertical="top"/>
    </xf>
    <xf numFmtId="2" fontId="8" fillId="0" borderId="0" xfId="7" applyNumberFormat="1" applyFont="1" applyFill="1" applyProtection="1"/>
    <xf numFmtId="170" fontId="8" fillId="0" borderId="0" xfId="7" applyNumberFormat="1" applyFont="1" applyFill="1" applyAlignment="1" applyProtection="1">
      <alignment horizontal="center"/>
    </xf>
    <xf numFmtId="168" fontId="8" fillId="0" borderId="0" xfId="7" applyNumberFormat="1" applyFont="1" applyFill="1" applyProtection="1"/>
    <xf numFmtId="0" fontId="0" fillId="0" borderId="0" xfId="0" applyFont="1" applyFill="1"/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38" fontId="11" fillId="0" borderId="2" xfId="7" applyNumberFormat="1" applyFont="1" applyFill="1" applyBorder="1" applyAlignment="1" applyProtection="1">
      <alignment horizontal="center" vertical="top"/>
    </xf>
    <xf numFmtId="38" fontId="11" fillId="8" borderId="2" xfId="7" applyNumberFormat="1" applyFont="1" applyFill="1" applyBorder="1" applyAlignment="1" applyProtection="1">
      <alignment horizontal="center" vertical="top"/>
    </xf>
    <xf numFmtId="171" fontId="11" fillId="8" borderId="0" xfId="6" applyNumberFormat="1" applyFont="1" applyFill="1" applyBorder="1" applyAlignment="1" applyProtection="1">
      <alignment horizontal="center" vertical="top"/>
    </xf>
    <xf numFmtId="3" fontId="11" fillId="8" borderId="0" xfId="7" applyNumberFormat="1" applyFont="1" applyFill="1" applyBorder="1" applyAlignment="1" applyProtection="1">
      <alignment horizontal="center" vertical="top"/>
    </xf>
    <xf numFmtId="6" fontId="11" fillId="4" borderId="2" xfId="7" applyNumberFormat="1" applyFont="1" applyFill="1" applyBorder="1" applyAlignment="1" applyProtection="1">
      <alignment horizontal="center" vertical="top"/>
    </xf>
    <xf numFmtId="6" fontId="11" fillId="8" borderId="25" xfId="7" applyNumberFormat="1" applyFont="1" applyFill="1" applyBorder="1" applyAlignment="1" applyProtection="1">
      <alignment horizontal="center" vertical="top"/>
    </xf>
    <xf numFmtId="6" fontId="11" fillId="4" borderId="20" xfId="7" applyNumberFormat="1" applyFont="1" applyFill="1" applyBorder="1" applyAlignment="1" applyProtection="1">
      <alignment horizontal="center" vertical="top"/>
    </xf>
    <xf numFmtId="6" fontId="11" fillId="4" borderId="49" xfId="7" applyNumberFormat="1" applyFont="1" applyFill="1" applyBorder="1" applyAlignment="1" applyProtection="1">
      <alignment horizontal="center" vertical="top"/>
    </xf>
    <xf numFmtId="6" fontId="11" fillId="4" borderId="50" xfId="7" applyNumberFormat="1" applyFont="1" applyFill="1" applyBorder="1" applyAlignment="1" applyProtection="1">
      <alignment horizontal="center" vertical="top"/>
    </xf>
    <xf numFmtId="0" fontId="38" fillId="0" borderId="0" xfId="7" applyFont="1" applyBorder="1" applyProtection="1"/>
    <xf numFmtId="166" fontId="38" fillId="0" borderId="0" xfId="1" applyFont="1" applyBorder="1"/>
    <xf numFmtId="166" fontId="39" fillId="0" borderId="0" xfId="1" applyFont="1" applyBorder="1"/>
    <xf numFmtId="0" fontId="38" fillId="0" borderId="0" xfId="7" applyFont="1" applyBorder="1" applyAlignment="1" applyProtection="1"/>
    <xf numFmtId="166" fontId="38" fillId="0" borderId="0" xfId="1" applyFont="1" applyBorder="1" applyAlignment="1"/>
    <xf numFmtId="166" fontId="39" fillId="0" borderId="0" xfId="1" applyFont="1" applyBorder="1" applyAlignment="1"/>
    <xf numFmtId="38" fontId="38" fillId="0" borderId="0" xfId="7" applyNumberFormat="1" applyFont="1" applyBorder="1" applyProtection="1"/>
    <xf numFmtId="0" fontId="40" fillId="0" borderId="0" xfId="7" applyFont="1" applyBorder="1" applyProtection="1"/>
    <xf numFmtId="166" fontId="39" fillId="0" borderId="0" xfId="1" applyFont="1" applyBorder="1" applyAlignment="1">
      <alignment wrapText="1"/>
    </xf>
    <xf numFmtId="166" fontId="38" fillId="0" borderId="0" xfId="1" applyFont="1" applyBorder="1" applyAlignment="1">
      <alignment horizontal="center" vertical="center"/>
    </xf>
    <xf numFmtId="6" fontId="38" fillId="0" borderId="0" xfId="1" applyNumberFormat="1" applyFont="1" applyBorder="1" applyAlignment="1">
      <alignment horizontal="center"/>
    </xf>
    <xf numFmtId="6" fontId="38" fillId="0" borderId="0" xfId="6" applyNumberFormat="1" applyFont="1" applyBorder="1" applyAlignment="1">
      <alignment horizontal="center"/>
    </xf>
    <xf numFmtId="166" fontId="38" fillId="0" borderId="0" xfId="1" applyFont="1" applyBorder="1" applyAlignment="1">
      <alignment horizontal="center"/>
    </xf>
    <xf numFmtId="0" fontId="38" fillId="0" borderId="0" xfId="7" applyFont="1" applyBorder="1" applyAlignment="1" applyProtection="1">
      <alignment horizontal="center"/>
    </xf>
    <xf numFmtId="0" fontId="38" fillId="0" borderId="0" xfId="7" applyFont="1" applyBorder="1" applyAlignment="1" applyProtection="1">
      <alignment horizontal="center" vertical="center"/>
    </xf>
    <xf numFmtId="0" fontId="40" fillId="0" borderId="0" xfId="7" applyFont="1" applyBorder="1" applyAlignment="1" applyProtection="1">
      <alignment vertical="center"/>
    </xf>
    <xf numFmtId="0" fontId="40" fillId="0" borderId="0" xfId="7" applyFont="1" applyFill="1" applyBorder="1" applyProtection="1"/>
    <xf numFmtId="6" fontId="38" fillId="0" borderId="0" xfId="7" applyNumberFormat="1" applyFont="1" applyBorder="1" applyAlignment="1" applyProtection="1">
      <alignment horizontal="center" vertical="center"/>
    </xf>
    <xf numFmtId="0" fontId="38" fillId="0" borderId="0" xfId="7" applyFont="1" applyBorder="1" applyAlignment="1" applyProtection="1">
      <alignment vertical="center"/>
    </xf>
    <xf numFmtId="0" fontId="40" fillId="0" borderId="0" xfId="7" applyFont="1" applyBorder="1" applyAlignment="1" applyProtection="1">
      <alignment horizontal="center" vertical="center"/>
    </xf>
    <xf numFmtId="0" fontId="38" fillId="0" borderId="0" xfId="7" applyFont="1" applyFill="1" applyBorder="1" applyAlignment="1" applyProtection="1">
      <alignment horizontal="center" vertical="center"/>
    </xf>
    <xf numFmtId="0" fontId="40" fillId="0" borderId="0" xfId="7" applyFont="1" applyFill="1" applyBorder="1" applyAlignment="1" applyProtection="1">
      <alignment horizontal="center" vertical="center"/>
    </xf>
    <xf numFmtId="0" fontId="38" fillId="0" borderId="0" xfId="7" applyFont="1" applyFill="1" applyBorder="1" applyProtection="1"/>
    <xf numFmtId="43" fontId="38" fillId="0" borderId="0" xfId="5" applyFont="1" applyBorder="1" applyProtection="1"/>
    <xf numFmtId="43" fontId="38" fillId="0" borderId="0" xfId="7" applyNumberFormat="1" applyFont="1" applyBorder="1" applyProtection="1"/>
    <xf numFmtId="166" fontId="38" fillId="0" borderId="0" xfId="1" applyFont="1" applyFill="1" applyBorder="1"/>
    <xf numFmtId="166" fontId="39" fillId="0" borderId="0" xfId="1" applyFont="1" applyFill="1" applyBorder="1"/>
    <xf numFmtId="0" fontId="41" fillId="0" borderId="0" xfId="7" applyFont="1" applyBorder="1" applyAlignment="1" applyProtection="1">
      <alignment vertical="center" wrapText="1"/>
    </xf>
    <xf numFmtId="172" fontId="38" fillId="0" borderId="0" xfId="6" applyNumberFormat="1" applyFont="1" applyFill="1" applyBorder="1"/>
    <xf numFmtId="166" fontId="38" fillId="0" borderId="0" xfId="1" applyFont="1" applyFill="1" applyBorder="1" applyAlignment="1">
      <alignment vertical="top"/>
    </xf>
    <xf numFmtId="166" fontId="39" fillId="0" borderId="0" xfId="1" applyFont="1" applyFill="1" applyBorder="1" applyAlignment="1">
      <alignment vertical="top"/>
    </xf>
    <xf numFmtId="9" fontId="28" fillId="13" borderId="33" xfId="0" applyNumberFormat="1" applyFont="1" applyFill="1" applyBorder="1" applyAlignment="1">
      <alignment horizontal="center"/>
    </xf>
    <xf numFmtId="0" fontId="42" fillId="0" borderId="0" xfId="0" applyFont="1" applyFill="1"/>
    <xf numFmtId="9" fontId="42" fillId="0" borderId="22" xfId="0" applyNumberFormat="1" applyFont="1" applyFill="1" applyBorder="1" applyAlignment="1">
      <alignment horizontal="center"/>
    </xf>
    <xf numFmtId="6" fontId="38" fillId="0" borderId="0" xfId="7" applyNumberFormat="1" applyFont="1" applyBorder="1" applyAlignment="1" applyProtection="1">
      <alignment horizontal="center"/>
    </xf>
    <xf numFmtId="38" fontId="38" fillId="0" borderId="0" xfId="7" applyNumberFormat="1" applyFont="1" applyBorder="1" applyAlignment="1" applyProtection="1">
      <alignment horizontal="center"/>
    </xf>
    <xf numFmtId="174" fontId="38" fillId="0" borderId="0" xfId="7" applyNumberFormat="1" applyFont="1" applyBorder="1" applyAlignment="1" applyProtection="1">
      <alignment horizontal="center"/>
    </xf>
    <xf numFmtId="38" fontId="16" fillId="0" borderId="33" xfId="7" applyNumberFormat="1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0" fillId="0" borderId="0" xfId="0" applyFill="1"/>
    <xf numFmtId="6" fontId="3" fillId="0" borderId="44" xfId="7" applyNumberFormat="1" applyFont="1" applyBorder="1" applyAlignment="1" applyProtection="1">
      <alignment horizontal="center"/>
    </xf>
    <xf numFmtId="6" fontId="3" fillId="0" borderId="46" xfId="7" applyNumberFormat="1" applyFont="1" applyBorder="1" applyAlignment="1" applyProtection="1">
      <alignment horizontal="center"/>
    </xf>
    <xf numFmtId="6" fontId="3" fillId="4" borderId="0" xfId="1" applyNumberFormat="1" applyFont="1" applyFill="1" applyBorder="1" applyAlignment="1">
      <alignment vertical="top"/>
    </xf>
    <xf numFmtId="6" fontId="3" fillId="4" borderId="7" xfId="1" applyNumberFormat="1" applyFont="1" applyFill="1" applyBorder="1" applyAlignment="1">
      <alignment vertical="top"/>
    </xf>
    <xf numFmtId="6" fontId="9" fillId="0" borderId="12" xfId="7" applyNumberFormat="1" applyFont="1" applyBorder="1" applyProtection="1"/>
    <xf numFmtId="6" fontId="11" fillId="4" borderId="4" xfId="7" applyNumberFormat="1" applyFont="1" applyFill="1" applyBorder="1" applyAlignment="1" applyProtection="1">
      <alignment horizontal="center" vertical="top"/>
    </xf>
    <xf numFmtId="6" fontId="11" fillId="4" borderId="53" xfId="7" applyNumberFormat="1" applyFont="1" applyFill="1" applyBorder="1" applyAlignment="1" applyProtection="1">
      <alignment horizontal="center" vertical="top"/>
    </xf>
    <xf numFmtId="6" fontId="11" fillId="8" borderId="31" xfId="7" applyNumberFormat="1" applyFont="1" applyFill="1" applyBorder="1" applyAlignment="1" applyProtection="1">
      <alignment horizontal="center" vertical="top"/>
    </xf>
    <xf numFmtId="6" fontId="11" fillId="8" borderId="0" xfId="1" applyNumberFormat="1" applyFont="1" applyFill="1" applyAlignment="1">
      <alignment vertical="top"/>
    </xf>
    <xf numFmtId="6" fontId="3" fillId="8" borderId="54" xfId="1" applyNumberFormat="1" applyFont="1" applyFill="1" applyBorder="1" applyAlignment="1">
      <alignment vertical="top"/>
    </xf>
    <xf numFmtId="6" fontId="3" fillId="8" borderId="55" xfId="1" applyNumberFormat="1" applyFont="1" applyFill="1" applyBorder="1" applyAlignment="1">
      <alignment vertical="top"/>
    </xf>
    <xf numFmtId="6" fontId="11" fillId="8" borderId="52" xfId="1" applyNumberFormat="1" applyFont="1" applyFill="1" applyBorder="1" applyAlignment="1">
      <alignment vertical="top"/>
    </xf>
    <xf numFmtId="6" fontId="13" fillId="8" borderId="51" xfId="7" applyNumberFormat="1" applyFont="1" applyFill="1" applyBorder="1" applyAlignment="1" applyProtection="1">
      <alignment horizontal="center" wrapText="1"/>
    </xf>
    <xf numFmtId="6" fontId="12" fillId="0" borderId="47" xfId="0" applyNumberFormat="1" applyFont="1" applyBorder="1" applyAlignment="1">
      <alignment horizontal="center"/>
    </xf>
    <xf numFmtId="182" fontId="6" fillId="3" borderId="0" xfId="0" applyNumberFormat="1" applyFont="1" applyFill="1" applyBorder="1" applyAlignment="1">
      <alignment horizontal="right" indent="4"/>
    </xf>
    <xf numFmtId="166" fontId="21" fillId="8" borderId="0" xfId="1" applyFont="1" applyFill="1" applyAlignment="1">
      <alignment horizontal="right" vertical="center"/>
    </xf>
    <xf numFmtId="166" fontId="3" fillId="8" borderId="0" xfId="1" applyFont="1" applyFill="1" applyAlignment="1">
      <alignment horizontal="center" vertical="center"/>
    </xf>
    <xf numFmtId="49" fontId="22" fillId="9" borderId="18" xfId="1" applyNumberFormat="1" applyFont="1" applyFill="1" applyBorder="1" applyAlignment="1">
      <alignment horizontal="center" vertical="center" shrinkToFit="1"/>
    </xf>
    <xf numFmtId="0" fontId="3" fillId="10" borderId="4" xfId="7" applyFont="1" applyFill="1" applyBorder="1" applyAlignment="1" applyProtection="1">
      <alignment horizontal="center" vertical="center"/>
    </xf>
    <xf numFmtId="0" fontId="21" fillId="8" borderId="5" xfId="7" applyFont="1" applyFill="1" applyBorder="1" applyAlignment="1" applyProtection="1">
      <alignment horizontal="center" vertical="center"/>
    </xf>
    <xf numFmtId="38" fontId="3" fillId="3" borderId="3" xfId="7" quotePrefix="1" applyNumberFormat="1" applyFont="1" applyFill="1" applyBorder="1" applyProtection="1"/>
    <xf numFmtId="183" fontId="5" fillId="0" borderId="0" xfId="0" applyNumberFormat="1" applyFont="1" applyAlignment="1">
      <alignment horizontal="right" indent="4"/>
    </xf>
    <xf numFmtId="183" fontId="5" fillId="0" borderId="0" xfId="0" applyNumberFormat="1" applyFont="1" applyAlignment="1">
      <alignment horizontal="right" indent="3"/>
    </xf>
    <xf numFmtId="14" fontId="20" fillId="8" borderId="1" xfId="7" applyNumberFormat="1" applyFont="1" applyFill="1" applyBorder="1" applyAlignment="1" applyProtection="1">
      <alignment horizontal="center" vertical="center"/>
    </xf>
    <xf numFmtId="0" fontId="3" fillId="5" borderId="18" xfId="7" applyFill="1" applyBorder="1" applyAlignment="1">
      <alignment horizontal="center"/>
    </xf>
    <xf numFmtId="0" fontId="11" fillId="0" borderId="15" xfId="7" applyFont="1" applyBorder="1" applyAlignment="1" applyProtection="1">
      <alignment horizontal="center" vertical="top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33" xfId="7" applyNumberFormat="1" applyFont="1" applyBorder="1" applyAlignment="1" applyProtection="1">
      <alignment horizontal="left" vertical="center"/>
    </xf>
    <xf numFmtId="170" fontId="3" fillId="0" borderId="26" xfId="7" applyNumberFormat="1" applyFont="1" applyBorder="1" applyAlignment="1" applyProtection="1">
      <alignment horizontal="left" indent="2"/>
    </xf>
    <xf numFmtId="170" fontId="3" fillId="0" borderId="33" xfId="7" applyNumberFormat="1" applyFont="1" applyBorder="1" applyAlignment="1" applyProtection="1">
      <alignment horizontal="left" indent="2"/>
    </xf>
    <xf numFmtId="170" fontId="3" fillId="0" borderId="0" xfId="7" applyNumberFormat="1" applyFont="1" applyBorder="1" applyAlignment="1" applyProtection="1">
      <alignment horizontal="left" vertical="center"/>
    </xf>
    <xf numFmtId="0" fontId="38" fillId="0" borderId="0" xfId="7" applyFont="1" applyBorder="1" applyAlignment="1" applyProtection="1">
      <alignment horizontal="center" vertical="center"/>
    </xf>
    <xf numFmtId="40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44" fillId="14" borderId="56" xfId="0" applyFont="1" applyFill="1" applyBorder="1" applyAlignment="1">
      <alignment horizontal="center" vertical="top"/>
    </xf>
    <xf numFmtId="49" fontId="44" fillId="14" borderId="56" xfId="0" applyNumberFormat="1" applyFont="1" applyFill="1" applyBorder="1" applyAlignment="1">
      <alignment horizontal="center" vertical="top"/>
    </xf>
    <xf numFmtId="0" fontId="45" fillId="0" borderId="57" xfId="0" applyFont="1" applyBorder="1" applyAlignment="1">
      <alignment vertical="top"/>
    </xf>
    <xf numFmtId="49" fontId="0" fillId="0" borderId="57" xfId="0" applyNumberFormat="1" applyBorder="1"/>
    <xf numFmtId="0" fontId="0" fillId="0" borderId="57" xfId="0" applyBorder="1"/>
    <xf numFmtId="184" fontId="45" fillId="0" borderId="57" xfId="0" applyNumberFormat="1" applyFont="1" applyBorder="1" applyAlignment="1">
      <alignment vertical="top"/>
    </xf>
    <xf numFmtId="4" fontId="45" fillId="0" borderId="57" xfId="0" applyNumberFormat="1" applyFont="1" applyBorder="1" applyAlignment="1">
      <alignment vertical="top"/>
    </xf>
    <xf numFmtId="185" fontId="45" fillId="0" borderId="57" xfId="0" applyNumberFormat="1" applyFont="1" applyBorder="1" applyAlignment="1">
      <alignment vertical="top"/>
    </xf>
    <xf numFmtId="49" fontId="45" fillId="0" borderId="57" xfId="0" applyNumberFormat="1" applyFont="1" applyBorder="1" applyAlignment="1">
      <alignment vertical="top"/>
    </xf>
    <xf numFmtId="0" fontId="45" fillId="0" borderId="57" xfId="0" applyNumberFormat="1" applyFont="1" applyBorder="1" applyAlignment="1">
      <alignment vertical="top"/>
    </xf>
    <xf numFmtId="0" fontId="0" fillId="0" borderId="57" xfId="0" applyNumberFormat="1" applyBorder="1"/>
    <xf numFmtId="40" fontId="45" fillId="0" borderId="57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32" fillId="20" borderId="12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73" fontId="11" fillId="2" borderId="2" xfId="7" applyNumberFormat="1" applyFont="1" applyFill="1" applyBorder="1" applyAlignment="1" applyProtection="1">
      <alignment horizontal="center" vertical="center"/>
    </xf>
    <xf numFmtId="40" fontId="11" fillId="2" borderId="2" xfId="7" applyNumberFormat="1" applyFont="1" applyFill="1" applyBorder="1" applyAlignment="1" applyProtection="1">
      <alignment horizontal="center" vertical="center"/>
    </xf>
    <xf numFmtId="38" fontId="11" fillId="0" borderId="4" xfId="7" applyNumberFormat="1" applyFont="1" applyFill="1" applyBorder="1" applyAlignment="1" applyProtection="1">
      <alignment horizontal="center" vertical="top"/>
    </xf>
    <xf numFmtId="38" fontId="11" fillId="0" borderId="32" xfId="7" applyNumberFormat="1" applyFont="1" applyFill="1" applyBorder="1" applyAlignment="1" applyProtection="1">
      <alignment horizontal="center" vertical="top"/>
    </xf>
    <xf numFmtId="2" fontId="10" fillId="2" borderId="16" xfId="7" applyNumberFormat="1" applyFont="1" applyFill="1" applyBorder="1" applyAlignment="1" applyProtection="1">
      <alignment horizontal="center" vertical="top"/>
    </xf>
    <xf numFmtId="2" fontId="10" fillId="2" borderId="15" xfId="7" applyNumberFormat="1" applyFont="1" applyFill="1" applyBorder="1" applyAlignment="1" applyProtection="1">
      <alignment horizontal="center" vertical="top"/>
    </xf>
    <xf numFmtId="2" fontId="10" fillId="2" borderId="14" xfId="7" applyNumberFormat="1" applyFont="1" applyFill="1" applyBorder="1" applyAlignment="1" applyProtection="1">
      <alignment horizontal="center" vertical="top"/>
    </xf>
    <xf numFmtId="2" fontId="9" fillId="0" borderId="13" xfId="7" applyNumberFormat="1" applyFont="1" applyBorder="1" applyAlignment="1" applyProtection="1">
      <alignment horizontal="left" vertical="top" wrapText="1"/>
    </xf>
    <xf numFmtId="2" fontId="9" fillId="0" borderId="12" xfId="7" applyNumberFormat="1" applyFont="1" applyBorder="1" applyAlignment="1" applyProtection="1">
      <alignment horizontal="left" vertical="top" wrapText="1"/>
    </xf>
    <xf numFmtId="2" fontId="9" fillId="0" borderId="11" xfId="7" applyNumberFormat="1" applyFont="1" applyBorder="1" applyAlignment="1" applyProtection="1">
      <alignment horizontal="left" vertical="top" wrapText="1"/>
    </xf>
    <xf numFmtId="2" fontId="9" fillId="0" borderId="10" xfId="7" applyNumberFormat="1" applyFont="1" applyBorder="1" applyAlignment="1" applyProtection="1">
      <alignment horizontal="left" vertical="top" wrapText="1"/>
    </xf>
    <xf numFmtId="2" fontId="9" fillId="0" borderId="0" xfId="7" applyNumberFormat="1" applyFont="1" applyBorder="1" applyAlignment="1" applyProtection="1">
      <alignment horizontal="left" vertical="top" wrapText="1"/>
    </xf>
    <xf numFmtId="2" fontId="9" fillId="0" borderId="9" xfId="7" applyNumberFormat="1" applyFont="1" applyBorder="1" applyAlignment="1" applyProtection="1">
      <alignment horizontal="left" vertical="top" wrapText="1"/>
    </xf>
    <xf numFmtId="2" fontId="9" fillId="0" borderId="8" xfId="7" applyNumberFormat="1" applyFont="1" applyBorder="1" applyAlignment="1" applyProtection="1">
      <alignment horizontal="left" vertical="top" wrapText="1"/>
    </xf>
    <xf numFmtId="2" fontId="9" fillId="0" borderId="7" xfId="7" applyNumberFormat="1" applyFont="1" applyBorder="1" applyAlignment="1" applyProtection="1">
      <alignment horizontal="left" vertical="top" wrapText="1"/>
    </xf>
    <xf numFmtId="2" fontId="9" fillId="0" borderId="6" xfId="7" applyNumberFormat="1" applyFont="1" applyBorder="1" applyAlignment="1" applyProtection="1">
      <alignment horizontal="left" vertical="top" wrapText="1"/>
    </xf>
    <xf numFmtId="38" fontId="11" fillId="8" borderId="4" xfId="7" applyNumberFormat="1" applyFont="1" applyFill="1" applyBorder="1" applyAlignment="1" applyProtection="1">
      <alignment horizontal="center" vertical="top"/>
    </xf>
    <xf numFmtId="38" fontId="11" fillId="8" borderId="32" xfId="7" applyNumberFormat="1" applyFont="1" applyFill="1" applyBorder="1" applyAlignment="1" applyProtection="1">
      <alignment horizontal="center" vertical="top"/>
    </xf>
    <xf numFmtId="0" fontId="11" fillId="4" borderId="24" xfId="7" applyFont="1" applyFill="1" applyBorder="1" applyAlignment="1" applyProtection="1">
      <alignment horizontal="left"/>
    </xf>
    <xf numFmtId="0" fontId="11" fillId="4" borderId="5" xfId="7" applyFont="1" applyFill="1" applyBorder="1" applyAlignment="1" applyProtection="1">
      <alignment horizontal="left"/>
    </xf>
    <xf numFmtId="0" fontId="11" fillId="4" borderId="38" xfId="7" applyFont="1" applyFill="1" applyBorder="1" applyAlignment="1" applyProtection="1">
      <alignment horizontal="left"/>
    </xf>
    <xf numFmtId="0" fontId="11" fillId="4" borderId="39" xfId="7" applyFont="1" applyFill="1" applyBorder="1" applyAlignment="1" applyProtection="1">
      <alignment horizontal="left"/>
    </xf>
    <xf numFmtId="0" fontId="11" fillId="0" borderId="16" xfId="7" applyFont="1" applyBorder="1" applyAlignment="1" applyProtection="1">
      <alignment horizontal="center" vertical="top"/>
    </xf>
    <xf numFmtId="0" fontId="11" fillId="0" borderId="15" xfId="7" applyFont="1" applyBorder="1" applyAlignment="1" applyProtection="1">
      <alignment horizontal="center" vertical="top"/>
    </xf>
    <xf numFmtId="0" fontId="37" fillId="2" borderId="0" xfId="7" applyFont="1" applyFill="1" applyBorder="1" applyAlignment="1" applyProtection="1">
      <alignment horizontal="center" vertical="center"/>
    </xf>
    <xf numFmtId="0" fontId="11" fillId="0" borderId="24" xfId="7" applyFont="1" applyBorder="1" applyAlignment="1" applyProtection="1">
      <alignment horizontal="left" wrapText="1"/>
    </xf>
    <xf numFmtId="0" fontId="11" fillId="0" borderId="5" xfId="7" applyFont="1" applyBorder="1" applyAlignment="1" applyProtection="1">
      <alignment horizontal="left"/>
    </xf>
    <xf numFmtId="49" fontId="3" fillId="4" borderId="4" xfId="7" applyNumberFormat="1" applyFont="1" applyFill="1" applyBorder="1" applyAlignment="1" applyProtection="1">
      <alignment horizontal="left"/>
    </xf>
    <xf numFmtId="49" fontId="3" fillId="4" borderId="32" xfId="7" applyNumberFormat="1" applyFont="1" applyFill="1" applyBorder="1" applyAlignment="1" applyProtection="1">
      <alignment horizontal="left"/>
    </xf>
    <xf numFmtId="2" fontId="13" fillId="2" borderId="10" xfId="7" applyNumberFormat="1" applyFont="1" applyFill="1" applyBorder="1" applyAlignment="1" applyProtection="1">
      <alignment horizontal="center" vertical="center"/>
    </xf>
    <xf numFmtId="2" fontId="13" fillId="2" borderId="0" xfId="7" applyNumberFormat="1" applyFont="1" applyFill="1" applyBorder="1" applyAlignment="1" applyProtection="1">
      <alignment horizontal="center" vertical="center"/>
    </xf>
    <xf numFmtId="0" fontId="11" fillId="0" borderId="29" xfId="7" applyFont="1" applyBorder="1" applyAlignment="1" applyProtection="1">
      <alignment horizontal="center" vertical="center" wrapText="1"/>
    </xf>
    <xf numFmtId="0" fontId="11" fillId="0" borderId="30" xfId="7" applyFont="1" applyBorder="1" applyAlignment="1" applyProtection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</xf>
    <xf numFmtId="0" fontId="11" fillId="0" borderId="16" xfId="7" applyFont="1" applyBorder="1" applyAlignment="1" applyProtection="1">
      <alignment horizontal="center" vertical="center" wrapText="1"/>
    </xf>
    <xf numFmtId="0" fontId="11" fillId="0" borderId="15" xfId="7" applyFont="1" applyBorder="1" applyAlignment="1" applyProtection="1">
      <alignment horizontal="center" vertical="center" wrapText="1"/>
    </xf>
    <xf numFmtId="0" fontId="11" fillId="0" borderId="14" xfId="7" applyFont="1" applyBorder="1" applyAlignment="1" applyProtection="1">
      <alignment horizontal="center" vertical="center" wrapText="1"/>
    </xf>
    <xf numFmtId="38" fontId="11" fillId="4" borderId="24" xfId="7" applyNumberFormat="1" applyFont="1" applyFill="1" applyBorder="1" applyAlignment="1" applyProtection="1">
      <alignment horizontal="left"/>
    </xf>
    <xf numFmtId="38" fontId="11" fillId="4" borderId="5" xfId="7" applyNumberFormat="1" applyFont="1" applyFill="1" applyBorder="1" applyAlignment="1" applyProtection="1">
      <alignment horizontal="left"/>
    </xf>
    <xf numFmtId="170" fontId="3" fillId="0" borderId="26" xfId="7" applyNumberFormat="1" applyFont="1" applyBorder="1" applyAlignment="1" applyProtection="1">
      <alignment horizontal="left" indent="2"/>
    </xf>
    <xf numFmtId="170" fontId="3" fillId="0" borderId="33" xfId="7" applyNumberFormat="1" applyFont="1" applyBorder="1" applyAlignment="1" applyProtection="1">
      <alignment horizontal="left" indent="2"/>
    </xf>
    <xf numFmtId="0" fontId="3" fillId="0" borderId="31" xfId="7" applyFont="1" applyBorder="1" applyAlignment="1" applyProtection="1">
      <alignment horizontal="left" indent="2"/>
    </xf>
    <xf numFmtId="0" fontId="3" fillId="0" borderId="27" xfId="7" applyFont="1" applyBorder="1" applyAlignment="1" applyProtection="1">
      <alignment horizontal="left" indent="2"/>
    </xf>
    <xf numFmtId="0" fontId="3" fillId="6" borderId="26" xfId="7" applyFont="1" applyFill="1" applyBorder="1" applyAlignment="1" applyProtection="1">
      <alignment horizontal="center"/>
    </xf>
    <xf numFmtId="0" fontId="3" fillId="6" borderId="33" xfId="7" applyFont="1" applyFill="1" applyBorder="1" applyAlignment="1" applyProtection="1">
      <alignment horizontal="center"/>
    </xf>
    <xf numFmtId="0" fontId="3" fillId="0" borderId="26" xfId="7" applyFont="1" applyFill="1" applyBorder="1" applyAlignment="1" applyProtection="1">
      <alignment horizontal="center"/>
    </xf>
    <xf numFmtId="0" fontId="3" fillId="0" borderId="33" xfId="7" applyFont="1" applyFill="1" applyBorder="1" applyAlignment="1" applyProtection="1">
      <alignment horizontal="center"/>
    </xf>
    <xf numFmtId="170" fontId="3" fillId="0" borderId="26" xfId="7" applyNumberFormat="1" applyFont="1" applyBorder="1" applyAlignment="1" applyProtection="1">
      <alignment horizontal="left" indent="1"/>
    </xf>
    <xf numFmtId="170" fontId="3" fillId="0" borderId="33" xfId="7" applyNumberFormat="1" applyFont="1" applyBorder="1" applyAlignment="1" applyProtection="1">
      <alignment horizontal="left" indent="1"/>
    </xf>
    <xf numFmtId="49" fontId="3" fillId="0" borderId="26" xfId="7" applyNumberFormat="1" applyFont="1" applyBorder="1" applyAlignment="1" applyProtection="1">
      <alignment horizontal="left"/>
    </xf>
    <xf numFmtId="49" fontId="3" fillId="0" borderId="33" xfId="7" applyNumberFormat="1" applyFont="1" applyBorder="1" applyAlignment="1" applyProtection="1">
      <alignment horizontal="left"/>
    </xf>
    <xf numFmtId="170" fontId="3" fillId="0" borderId="0" xfId="7" applyNumberFormat="1" applyFont="1" applyBorder="1" applyAlignment="1" applyProtection="1">
      <alignment horizontal="left" indent="2"/>
    </xf>
    <xf numFmtId="170" fontId="3" fillId="0" borderId="31" xfId="7" applyNumberFormat="1" applyFont="1" applyBorder="1" applyAlignment="1" applyProtection="1">
      <alignment horizontal="left" indent="1"/>
    </xf>
    <xf numFmtId="170" fontId="3" fillId="0" borderId="27" xfId="7" applyNumberFormat="1" applyFont="1" applyBorder="1" applyAlignment="1" applyProtection="1">
      <alignment horizontal="left" indent="1"/>
    </xf>
    <xf numFmtId="180" fontId="18" fillId="3" borderId="4" xfId="7" applyNumberFormat="1" applyFont="1" applyFill="1" applyBorder="1" applyAlignment="1" applyProtection="1">
      <alignment horizontal="left" vertical="center" indent="1"/>
      <protection locked="0"/>
    </xf>
    <xf numFmtId="180" fontId="18" fillId="3" borderId="5" xfId="7" applyNumberFormat="1" applyFont="1" applyFill="1" applyBorder="1" applyAlignment="1" applyProtection="1">
      <alignment horizontal="left" vertical="center" indent="1"/>
      <protection locked="0"/>
    </xf>
    <xf numFmtId="180" fontId="18" fillId="3" borderId="32" xfId="7" applyNumberFormat="1" applyFont="1" applyFill="1" applyBorder="1" applyAlignment="1" applyProtection="1">
      <alignment horizontal="left" vertical="center" indent="1"/>
      <protection locked="0"/>
    </xf>
    <xf numFmtId="0" fontId="10" fillId="0" borderId="19" xfId="7" applyFont="1" applyBorder="1" applyAlignment="1" applyProtection="1">
      <alignment horizontal="center" vertical="center"/>
    </xf>
    <xf numFmtId="0" fontId="10" fillId="0" borderId="22" xfId="7" applyFont="1" applyBorder="1" applyAlignment="1" applyProtection="1">
      <alignment horizontal="center" vertical="center"/>
    </xf>
    <xf numFmtId="0" fontId="10" fillId="0" borderId="34" xfId="7" applyFont="1" applyBorder="1" applyAlignment="1" applyProtection="1">
      <alignment horizontal="center" vertical="center"/>
    </xf>
    <xf numFmtId="0" fontId="10" fillId="0" borderId="31" xfId="7" applyFont="1" applyBorder="1" applyAlignment="1" applyProtection="1">
      <alignment horizontal="center" vertical="center"/>
    </xf>
    <xf numFmtId="0" fontId="10" fillId="0" borderId="1" xfId="7" applyFont="1" applyBorder="1" applyAlignment="1" applyProtection="1">
      <alignment horizontal="center" vertical="center"/>
    </xf>
    <xf numFmtId="0" fontId="10" fillId="0" borderId="27" xfId="7" applyFont="1" applyBorder="1" applyAlignment="1" applyProtection="1">
      <alignment horizontal="center" vertical="center"/>
    </xf>
    <xf numFmtId="38" fontId="11" fillId="12" borderId="19" xfId="7" applyNumberFormat="1" applyFont="1" applyFill="1" applyBorder="1" applyAlignment="1" applyProtection="1">
      <alignment horizontal="left" vertical="center" wrapText="1"/>
    </xf>
    <xf numFmtId="38" fontId="11" fillId="12" borderId="22" xfId="7" applyNumberFormat="1" applyFont="1" applyFill="1" applyBorder="1" applyAlignment="1" applyProtection="1">
      <alignment horizontal="left" vertical="center" wrapText="1"/>
    </xf>
    <xf numFmtId="38" fontId="11" fillId="12" borderId="34" xfId="7" applyNumberFormat="1" applyFont="1" applyFill="1" applyBorder="1" applyAlignment="1" applyProtection="1">
      <alignment horizontal="left" vertical="center" wrapText="1"/>
    </xf>
    <xf numFmtId="38" fontId="11" fillId="12" borderId="31" xfId="7" applyNumberFormat="1" applyFont="1" applyFill="1" applyBorder="1" applyAlignment="1" applyProtection="1">
      <alignment horizontal="left" vertical="center" wrapText="1"/>
    </xf>
    <xf numFmtId="38" fontId="11" fillId="12" borderId="1" xfId="7" applyNumberFormat="1" applyFont="1" applyFill="1" applyBorder="1" applyAlignment="1" applyProtection="1">
      <alignment horizontal="left" vertical="center" wrapText="1"/>
    </xf>
    <xf numFmtId="38" fontId="11" fillId="12" borderId="27" xfId="7" applyNumberFormat="1" applyFont="1" applyFill="1" applyBorder="1" applyAlignment="1" applyProtection="1">
      <alignment horizontal="left" vertical="center" wrapText="1"/>
    </xf>
    <xf numFmtId="0" fontId="8" fillId="0" borderId="5" xfId="7" applyFont="1" applyBorder="1" applyAlignment="1" applyProtection="1">
      <alignment horizontal="center"/>
    </xf>
    <xf numFmtId="0" fontId="8" fillId="0" borderId="32" xfId="7" applyFont="1" applyBorder="1" applyAlignment="1" applyProtection="1">
      <alignment horizontal="center"/>
    </xf>
    <xf numFmtId="0" fontId="3" fillId="0" borderId="26" xfId="7" applyFont="1" applyBorder="1" applyAlignment="1" applyProtection="1">
      <alignment horizontal="left" indent="1"/>
    </xf>
    <xf numFmtId="0" fontId="3" fillId="0" borderId="33" xfId="7" applyFont="1" applyBorder="1" applyAlignment="1" applyProtection="1">
      <alignment horizontal="left" indent="1"/>
    </xf>
    <xf numFmtId="170" fontId="3" fillId="0" borderId="31" xfId="7" applyNumberFormat="1" applyFont="1" applyBorder="1" applyAlignment="1" applyProtection="1">
      <alignment horizontal="left" indent="2"/>
    </xf>
    <xf numFmtId="170" fontId="3" fillId="0" borderId="27" xfId="7" applyNumberFormat="1" applyFont="1" applyBorder="1" applyAlignment="1" applyProtection="1">
      <alignment horizontal="left" indent="2"/>
    </xf>
    <xf numFmtId="0" fontId="38" fillId="0" borderId="26" xfId="7" applyFont="1" applyBorder="1" applyAlignment="1" applyProtection="1">
      <alignment horizontal="center" vertical="center"/>
    </xf>
    <xf numFmtId="0" fontId="38" fillId="0" borderId="0" xfId="7" applyFont="1" applyBorder="1" applyAlignment="1" applyProtection="1">
      <alignment horizontal="center" vertical="center"/>
    </xf>
    <xf numFmtId="170" fontId="11" fillId="0" borderId="4" xfId="7" applyNumberFormat="1" applyFont="1" applyBorder="1" applyAlignment="1" applyProtection="1">
      <alignment horizontal="center" vertical="center" wrapText="1"/>
    </xf>
    <xf numFmtId="170" fontId="11" fillId="0" borderId="1" xfId="7" applyNumberFormat="1" applyFont="1" applyBorder="1" applyAlignment="1" applyProtection="1">
      <alignment horizontal="center" vertical="center" wrapText="1"/>
    </xf>
    <xf numFmtId="170" fontId="11" fillId="0" borderId="26" xfId="7" applyNumberFormat="1" applyFont="1" applyBorder="1" applyAlignment="1" applyProtection="1">
      <alignment horizontal="left"/>
    </xf>
    <xf numFmtId="170" fontId="11" fillId="0" borderId="33" xfId="7" applyNumberFormat="1" applyFont="1" applyBorder="1" applyAlignment="1" applyProtection="1">
      <alignment horizontal="left"/>
    </xf>
    <xf numFmtId="170" fontId="3" fillId="0" borderId="31" xfId="7" applyNumberFormat="1" applyFont="1" applyFill="1" applyBorder="1" applyAlignment="1" applyProtection="1">
      <alignment horizontal="left" wrapText="1" indent="1"/>
    </xf>
    <xf numFmtId="170" fontId="3" fillId="0" borderId="27" xfId="7" applyNumberFormat="1" applyFont="1" applyFill="1" applyBorder="1" applyAlignment="1" applyProtection="1">
      <alignment horizontal="left" wrapText="1" indent="1"/>
    </xf>
    <xf numFmtId="0" fontId="11" fillId="0" borderId="26" xfId="7" applyFont="1" applyBorder="1" applyAlignment="1" applyProtection="1">
      <alignment horizontal="left" vertical="center"/>
    </xf>
    <xf numFmtId="0" fontId="11" fillId="0" borderId="33" xfId="7" applyFont="1" applyBorder="1" applyAlignment="1" applyProtection="1">
      <alignment horizontal="left" vertical="center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33" xfId="7" applyNumberFormat="1" applyFont="1" applyBorder="1" applyAlignment="1" applyProtection="1">
      <alignment horizontal="left" vertical="center"/>
    </xf>
    <xf numFmtId="49" fontId="3" fillId="0" borderId="26" xfId="7" applyNumberFormat="1" applyFont="1" applyBorder="1" applyAlignment="1" applyProtection="1">
      <alignment horizontal="left" vertical="center"/>
    </xf>
    <xf numFmtId="49" fontId="3" fillId="0" borderId="33" xfId="7" applyNumberFormat="1" applyFont="1" applyBorder="1" applyAlignment="1" applyProtection="1">
      <alignment horizontal="left" vertical="center"/>
    </xf>
    <xf numFmtId="170" fontId="11" fillId="0" borderId="19" xfId="7" applyNumberFormat="1" applyFont="1" applyBorder="1" applyAlignment="1" applyProtection="1">
      <alignment horizontal="center" vertical="center" wrapText="1"/>
    </xf>
    <xf numFmtId="170" fontId="11" fillId="0" borderId="22" xfId="7" applyNumberFormat="1" applyFont="1" applyBorder="1" applyAlignment="1" applyProtection="1">
      <alignment horizontal="center" vertical="center" wrapText="1"/>
    </xf>
    <xf numFmtId="170" fontId="11" fillId="0" borderId="31" xfId="7" applyNumberFormat="1" applyFont="1" applyBorder="1" applyAlignment="1" applyProtection="1">
      <alignment horizontal="center" vertical="center" wrapText="1"/>
    </xf>
    <xf numFmtId="0" fontId="38" fillId="0" borderId="0" xfId="7" applyFont="1" applyBorder="1" applyAlignment="1" applyProtection="1">
      <alignment horizontal="center" wrapText="1"/>
    </xf>
    <xf numFmtId="170" fontId="11" fillId="0" borderId="19" xfId="7" applyNumberFormat="1" applyFont="1" applyBorder="1" applyAlignment="1" applyProtection="1">
      <alignment horizontal="left" vertical="center"/>
    </xf>
    <xf numFmtId="170" fontId="11" fillId="0" borderId="22" xfId="7" applyNumberFormat="1" applyFont="1" applyBorder="1" applyAlignment="1" applyProtection="1">
      <alignment horizontal="left" vertical="center"/>
    </xf>
    <xf numFmtId="170" fontId="3" fillId="0" borderId="0" xfId="7" applyNumberFormat="1" applyFont="1" applyBorder="1" applyAlignment="1" applyProtection="1">
      <alignment horizontal="left" vertical="center"/>
    </xf>
    <xf numFmtId="0" fontId="20" fillId="8" borderId="4" xfId="7" applyNumberFormat="1" applyFont="1" applyFill="1" applyBorder="1" applyAlignment="1" applyProtection="1">
      <alignment horizontal="left" vertical="center" indent="2"/>
    </xf>
    <xf numFmtId="0" fontId="20" fillId="8" borderId="32" xfId="7" applyNumberFormat="1" applyFont="1" applyFill="1" applyBorder="1" applyAlignment="1" applyProtection="1">
      <alignment horizontal="left" vertical="center" indent="2"/>
    </xf>
    <xf numFmtId="49" fontId="22" fillId="9" borderId="4" xfId="1" applyNumberFormat="1" applyFont="1" applyFill="1" applyBorder="1" applyAlignment="1">
      <alignment horizontal="center" vertical="center" shrinkToFit="1"/>
    </xf>
    <xf numFmtId="49" fontId="22" fillId="9" borderId="32" xfId="1" applyNumberFormat="1" applyFont="1" applyFill="1" applyBorder="1" applyAlignment="1">
      <alignment horizontal="center" vertical="center" shrinkToFit="1"/>
    </xf>
    <xf numFmtId="49" fontId="22" fillId="9" borderId="5" xfId="1" applyNumberFormat="1" applyFont="1" applyFill="1" applyBorder="1" applyAlignment="1">
      <alignment horizontal="center" vertical="center" shrinkToFit="1"/>
    </xf>
    <xf numFmtId="49" fontId="22" fillId="9" borderId="34" xfId="1" applyNumberFormat="1" applyFont="1" applyFill="1" applyBorder="1" applyAlignment="1">
      <alignment horizontal="center" vertical="center" shrinkToFit="1"/>
    </xf>
    <xf numFmtId="0" fontId="11" fillId="0" borderId="4" xfId="7" applyFont="1" applyBorder="1" applyAlignment="1" applyProtection="1">
      <alignment horizontal="center" wrapText="1"/>
    </xf>
    <xf numFmtId="0" fontId="11" fillId="0" borderId="32" xfId="7" applyFont="1" applyBorder="1" applyAlignment="1" applyProtection="1">
      <alignment horizontal="center" wrapText="1"/>
    </xf>
    <xf numFmtId="40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8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2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base/B6/B6Templa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enefits"/>
      <sheetName val="B6"/>
      <sheetName val="Summary"/>
      <sheetName val="FundSummary"/>
    </sheetNames>
    <sheetDataSet>
      <sheetData sheetId="0"/>
      <sheetData sheetId="1">
        <row r="4">
          <cell r="D4">
            <v>2023</v>
          </cell>
        </row>
        <row r="13">
          <cell r="C13">
            <v>0.10300000000000001</v>
          </cell>
          <cell r="D13">
            <v>0.1013</v>
          </cell>
          <cell r="E13">
            <v>-1.7000000000000071E-3</v>
          </cell>
        </row>
        <row r="14">
          <cell r="C14">
            <v>0.10530999999999999</v>
          </cell>
          <cell r="D14">
            <v>0.10851</v>
          </cell>
        </row>
        <row r="15">
          <cell r="C15">
            <v>11650</v>
          </cell>
          <cell r="D15">
            <v>11650</v>
          </cell>
          <cell r="E15">
            <v>0</v>
          </cell>
        </row>
        <row r="16">
          <cell r="C16">
            <v>9320</v>
          </cell>
          <cell r="D16">
            <v>9320</v>
          </cell>
          <cell r="E16">
            <v>0</v>
          </cell>
        </row>
        <row r="17">
          <cell r="D17" t="str">
            <v xml:space="preserve"> </v>
          </cell>
        </row>
        <row r="21">
          <cell r="C21">
            <v>0.12280000000000001</v>
          </cell>
          <cell r="D21">
            <v>0.12280000000000001</v>
          </cell>
        </row>
      </sheetData>
      <sheetData sheetId="2">
        <row r="4">
          <cell r="L4" t="str">
            <v>Fiscal Year:</v>
          </cell>
        </row>
        <row r="10">
          <cell r="C10" t="str">
            <v>Permanent Positions</v>
          </cell>
        </row>
        <row r="11">
          <cell r="C11" t="str">
            <v>Board &amp; Group Positions</v>
          </cell>
        </row>
        <row r="12">
          <cell r="C12" t="str">
            <v>Elected Officials &amp; Full Time Commissioners</v>
          </cell>
        </row>
        <row r="15">
          <cell r="E15">
            <v>0</v>
          </cell>
          <cell r="F15">
            <v>0</v>
          </cell>
          <cell r="J15">
            <v>0</v>
          </cell>
        </row>
        <row r="16">
          <cell r="J1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CF922-73F7-4CD2-AC05-6E06500610CF}">
  <sheetPr>
    <pageSetUpPr fitToPage="1"/>
  </sheetPr>
  <dimension ref="A1:CP124"/>
  <sheetViews>
    <sheetView showGridLines="0" tabSelected="1" zoomScale="55" zoomScaleNormal="55" workbookViewId="0">
      <pane ySplit="6" topLeftCell="A44" activePane="bottomLeft" state="frozen"/>
      <selection pane="bottomLeft" activeCell="U71" sqref="A1:XFD1048576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305" customWidth="1"/>
    <col min="11" max="11" width="13.7109375" style="305" hidden="1" customWidth="1"/>
    <col min="12" max="12" width="18.42578125" style="305" customWidth="1"/>
    <col min="13" max="13" width="17" style="305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 t="s">
        <v>864</v>
      </c>
      <c r="E1" s="295"/>
      <c r="F1" s="295"/>
      <c r="G1" s="295"/>
      <c r="H1" s="295"/>
      <c r="I1" s="295"/>
      <c r="J1" s="295"/>
      <c r="K1" s="295"/>
      <c r="L1" s="176" t="s">
        <v>76</v>
      </c>
      <c r="M1" s="620">
        <v>951</v>
      </c>
      <c r="N1" s="621"/>
      <c r="AA1" s="419"/>
      <c r="AB1" s="420"/>
      <c r="AC1" s="420"/>
      <c r="AD1" s="421"/>
    </row>
    <row r="2" spans="1:94" ht="20.25" x14ac:dyDescent="0.25">
      <c r="A2" s="164" t="s">
        <v>142</v>
      </c>
      <c r="B2" s="296"/>
      <c r="C2" s="296"/>
      <c r="D2" s="175" t="s">
        <v>864</v>
      </c>
      <c r="E2" s="174"/>
      <c r="F2" s="174"/>
      <c r="G2" s="174"/>
      <c r="H2" s="174"/>
      <c r="I2" s="174"/>
      <c r="J2" s="296"/>
      <c r="K2" s="296"/>
      <c r="L2" s="474" t="s">
        <v>139</v>
      </c>
      <c r="M2" s="622" t="s">
        <v>866</v>
      </c>
      <c r="N2" s="623"/>
      <c r="AA2" s="420"/>
      <c r="AB2" s="420"/>
      <c r="AC2" s="420"/>
      <c r="AD2" s="421"/>
    </row>
    <row r="3" spans="1:94" x14ac:dyDescent="0.25">
      <c r="A3" s="164" t="s">
        <v>143</v>
      </c>
      <c r="B3" s="296"/>
      <c r="C3" s="296"/>
      <c r="D3" s="173" t="s">
        <v>864</v>
      </c>
      <c r="E3" s="172"/>
      <c r="F3" s="159"/>
      <c r="G3" s="159"/>
      <c r="H3" s="159"/>
      <c r="I3" s="297"/>
      <c r="J3" s="296"/>
      <c r="K3" s="296"/>
      <c r="L3" s="474" t="s">
        <v>140</v>
      </c>
      <c r="M3" s="620" t="s">
        <v>193</v>
      </c>
      <c r="N3" s="621"/>
      <c r="AA3" s="419"/>
      <c r="AB3" s="420"/>
      <c r="AC3" s="420"/>
      <c r="AD3" s="421"/>
    </row>
    <row r="4" spans="1:94" x14ac:dyDescent="0.25">
      <c r="A4" s="164"/>
      <c r="B4" s="296"/>
      <c r="C4" s="296"/>
      <c r="D4" s="169"/>
      <c r="E4" s="172"/>
      <c r="F4" s="159"/>
      <c r="G4" s="159"/>
      <c r="H4" s="159"/>
      <c r="I4" s="157"/>
      <c r="J4" s="297"/>
      <c r="K4" s="297"/>
      <c r="L4" s="170" t="s">
        <v>75</v>
      </c>
      <c r="M4" s="620">
        <v>2023</v>
      </c>
      <c r="N4" s="621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296"/>
      <c r="C5" s="296"/>
      <c r="D5" s="482">
        <v>44440</v>
      </c>
      <c r="E5" s="169"/>
      <c r="F5" s="168"/>
      <c r="G5" s="298"/>
      <c r="H5" s="298" t="s">
        <v>73</v>
      </c>
      <c r="I5" s="622" t="s">
        <v>865</v>
      </c>
      <c r="J5" s="624"/>
      <c r="K5" s="624"/>
      <c r="L5" s="625"/>
      <c r="M5" s="475" t="s">
        <v>141</v>
      </c>
      <c r="N5" s="476" t="s">
        <v>191</v>
      </c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296" t="s">
        <v>72</v>
      </c>
      <c r="C6" s="296"/>
      <c r="D6" s="162"/>
      <c r="E6" s="161" t="s">
        <v>71</v>
      </c>
      <c r="F6" s="160"/>
      <c r="G6" s="159"/>
      <c r="H6" s="159"/>
      <c r="I6" s="158"/>
      <c r="J6" s="298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299"/>
      <c r="K7" s="299"/>
      <c r="L7" s="299"/>
      <c r="M7" s="299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6" t="s">
        <v>68</v>
      </c>
      <c r="D8" s="627"/>
      <c r="E8" s="146" t="s">
        <v>67</v>
      </c>
      <c r="F8" s="145" t="s">
        <v>33</v>
      </c>
      <c r="G8" s="300" t="str">
        <f>"FY "&amp;'HDAA|0290'!FiscalYear-1&amp;" SALARY"</f>
        <v>FY 2022 SALARY</v>
      </c>
      <c r="H8" s="300" t="str">
        <f>"FY "&amp;'HDAA|0290'!FiscalYear-1&amp;" HEALTH BENEFITS"</f>
        <v>FY 2022 HEALTH BENEFITS</v>
      </c>
      <c r="I8" s="300" t="str">
        <f>"FY "&amp;'HDAA|0290'!FiscalYear-1&amp;" VAR BENEFITS"</f>
        <v>FY 2022 VAR BENEFITS</v>
      </c>
      <c r="J8" s="300" t="str">
        <f>"FY "&amp;'HDAA|0290'!FiscalYear-1&amp;" TOTAL"</f>
        <v>FY 2022 TOTAL</v>
      </c>
      <c r="K8" s="300" t="str">
        <f>"FY "&amp;FiscalYear&amp;" SALARY CHG"</f>
        <v>FY 2023 SALARY CHG</v>
      </c>
      <c r="L8" s="300" t="str">
        <f>"FY "&amp;'HDAA|0290'!FiscalYear&amp;" CHG HEALTH BENEFITS"</f>
        <v>FY 2023 CHG HEALTH BENEFITS</v>
      </c>
      <c r="M8" s="300" t="str">
        <f>"FY "&amp;'HDAA|0290'!FiscalYear&amp;"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6" t="s">
        <v>129</v>
      </c>
      <c r="AB8" s="616"/>
      <c r="AC8" s="616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7" t="s">
        <v>65</v>
      </c>
      <c r="D9" s="618"/>
      <c r="E9" s="215"/>
      <c r="F9" s="216"/>
      <c r="G9" s="217"/>
      <c r="H9" s="217"/>
      <c r="I9" s="217"/>
      <c r="J9" s="306"/>
      <c r="K9" s="306"/>
      <c r="L9" s="219"/>
      <c r="M9" s="220"/>
      <c r="N9" s="306"/>
      <c r="Y9" s="457"/>
      <c r="Z9" s="457"/>
      <c r="AA9" s="490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609" t="s">
        <v>64</v>
      </c>
      <c r="D10" s="619"/>
      <c r="E10" s="194">
        <v>1</v>
      </c>
      <c r="F10" s="188">
        <f>[0]!HDAA0290col_INC_FTI</f>
        <v>105.45599999999999</v>
      </c>
      <c r="G10" s="212">
        <f>[0]!HDAA0290col_FTI_SALARY_PERM</f>
        <v>5450992.6099999994</v>
      </c>
      <c r="H10" s="212">
        <f>[0]!HDAA0290col_HEALTH_PERM</f>
        <v>1270083</v>
      </c>
      <c r="I10" s="212">
        <f>[0]!HDAA0290col_TOT_VB_PERM</f>
        <v>1228170.1631685498</v>
      </c>
      <c r="J10" s="307">
        <f>SUM(G10:I10)</f>
        <v>7949245.7731685489</v>
      </c>
      <c r="K10" s="307">
        <f>[0]!HDAA0290col_1_27TH_PP</f>
        <v>0</v>
      </c>
      <c r="L10" s="212">
        <f>[0]!HDAA0290col_HEALTH_PERM_CHG</f>
        <v>0</v>
      </c>
      <c r="M10" s="212">
        <f>[0]!HDAA0290col_TOT_VB_PERM_CHG</f>
        <v>-27742.916292000002</v>
      </c>
      <c r="N10" s="212">
        <f>SUM(L10:M10)</f>
        <v>-27742.916292000002</v>
      </c>
      <c r="Y10" s="457"/>
      <c r="Z10" s="457"/>
      <c r="AA10" s="453">
        <f>ROUND(CECPerm*PermSalary,-2)</f>
        <v>54500</v>
      </c>
      <c r="AB10" s="429">
        <f>ROUND(PermVarBen*CECPerm+(CECPerm*PermVarBenChg),-2)</f>
        <v>12000</v>
      </c>
      <c r="AC10" s="429">
        <f>SUM(AA10:AB10)</f>
        <v>66500</v>
      </c>
      <c r="AD10" s="421"/>
    </row>
    <row r="11" spans="1:94" x14ac:dyDescent="0.25">
      <c r="A11" s="125"/>
      <c r="B11" s="125"/>
      <c r="C11" s="609" t="s">
        <v>63</v>
      </c>
      <c r="D11" s="619"/>
      <c r="E11" s="194">
        <v>2</v>
      </c>
      <c r="F11" s="188"/>
      <c r="G11" s="212">
        <f>[0]!HDAA0290col_Group_Salary</f>
        <v>879267.16999999993</v>
      </c>
      <c r="H11" s="212">
        <v>0</v>
      </c>
      <c r="I11" s="212">
        <f>[0]!HDAA0290col_Group_Ben</f>
        <v>408139.31999999995</v>
      </c>
      <c r="J11" s="307">
        <f>SUM(G11:I11)</f>
        <v>1287406.4899999998</v>
      </c>
      <c r="K11" s="325"/>
      <c r="L11" s="212"/>
      <c r="M11" s="212"/>
      <c r="N11" s="212"/>
      <c r="Y11" s="457"/>
      <c r="Z11" s="457"/>
      <c r="AA11" s="453">
        <f>ROUND(GroupSalary*CECGroup,-2)</f>
        <v>8800</v>
      </c>
      <c r="AB11" s="430">
        <f>ROUND(GroupSalary*GroupVBBY*CECGroup,-2)</f>
        <v>800</v>
      </c>
      <c r="AC11" s="429">
        <f>SUM(AA11:AB11)</f>
        <v>9600</v>
      </c>
      <c r="AD11" s="421"/>
    </row>
    <row r="12" spans="1:94" x14ac:dyDescent="0.25">
      <c r="A12" s="125"/>
      <c r="B12" s="125"/>
      <c r="C12" s="609" t="s">
        <v>62</v>
      </c>
      <c r="D12" s="610"/>
      <c r="E12" s="194">
        <v>3</v>
      </c>
      <c r="F12" s="188">
        <f>[0]!HDAA0290col_TOTAL_ELECT_PCN_FTI</f>
        <v>0</v>
      </c>
      <c r="G12" s="212">
        <f>[0]!HDAA0290col_FTI_SALARY_ELECT</f>
        <v>0</v>
      </c>
      <c r="H12" s="212">
        <f>[0]!HDAA0290col_HEALTH_ELECT</f>
        <v>0</v>
      </c>
      <c r="I12" s="212">
        <f>[0]!HDAA0290col_TOT_VB_ELECT</f>
        <v>0</v>
      </c>
      <c r="J12" s="307">
        <f>SUM(G12:I12)</f>
        <v>0</v>
      </c>
      <c r="K12" s="325"/>
      <c r="L12" s="212">
        <f>[0]!HDAA0290col_HEALTH_ELECT_CHG</f>
        <v>0</v>
      </c>
      <c r="M12" s="212">
        <f>[0]!HDAA0290col_TOT_VB_ELECT_CHG</f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609" t="s">
        <v>61</v>
      </c>
      <c r="D13" s="619"/>
      <c r="E13" s="194"/>
      <c r="F13" s="221">
        <f>SUM(F10:F12)</f>
        <v>105.45599999999999</v>
      </c>
      <c r="G13" s="222">
        <f>SUM(G10:G12)</f>
        <v>6330259.7799999993</v>
      </c>
      <c r="H13" s="222">
        <f>SUM(H10:H12)</f>
        <v>1270083</v>
      </c>
      <c r="I13" s="222">
        <f>SUM(I10:I12)</f>
        <v>1636309.4831685498</v>
      </c>
      <c r="J13" s="307">
        <f>SUM(G13:I13)</f>
        <v>9236652.2631685492</v>
      </c>
      <c r="K13" s="325"/>
      <c r="L13" s="307">
        <f>SUM(L10:L12)</f>
        <v>0</v>
      </c>
      <c r="M13" s="307">
        <f>SUM(M10:M12)</f>
        <v>-27742.916292000002</v>
      </c>
      <c r="N13" s="307">
        <f>SUM(N10:N12)</f>
        <v>-27742.916292000002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485"/>
      <c r="D14" s="489"/>
      <c r="E14" s="194"/>
      <c r="F14" s="221"/>
      <c r="G14" s="307"/>
      <c r="H14" s="307"/>
      <c r="I14" s="307"/>
      <c r="J14" s="307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"&amp;'HDAA|0290'!FiscalYear-1</f>
        <v>FY 2022</v>
      </c>
      <c r="D15" s="226" t="s">
        <v>47</v>
      </c>
      <c r="E15" s="524">
        <v>5983400</v>
      </c>
      <c r="F15" s="525">
        <v>0</v>
      </c>
      <c r="G15" s="334">
        <f>IF(OrigApprop=0,0,(G13/$J$13)*OrigApprop)</f>
        <v>4100671.4649944841</v>
      </c>
      <c r="H15" s="334">
        <f>IF(OrigApprop=0,0,(H13/$J$13)*OrigApprop)</f>
        <v>822745.55820434133</v>
      </c>
      <c r="I15" s="334">
        <f>IF(G15=0,0,(I13/$J$13)*OrigApprop)</f>
        <v>1059982.9768011742</v>
      </c>
      <c r="J15" s="334">
        <f>SUM(G15:I15)</f>
        <v>5983400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1" t="s">
        <v>60</v>
      </c>
      <c r="D16" s="602"/>
      <c r="E16" s="230" t="s">
        <v>59</v>
      </c>
      <c r="F16" s="213">
        <f>F15-F13</f>
        <v>-105.45599999999999</v>
      </c>
      <c r="G16" s="205">
        <f>G15-G13</f>
        <v>-2229588.3150055152</v>
      </c>
      <c r="H16" s="205">
        <f>H15-H13</f>
        <v>-447337.44179565867</v>
      </c>
      <c r="I16" s="205">
        <f>I15-I13</f>
        <v>-576326.50636737561</v>
      </c>
      <c r="J16" s="205">
        <f>J15-J13</f>
        <v>-3253252.2631685492</v>
      </c>
      <c r="K16" s="323"/>
      <c r="L16" s="139" t="str">
        <f>IF('HDAA|0290'!OrigApprop=0,"ERROR! Enter Original Appropriation amount in DU 3.00!","Calculated "&amp;IF('HDAA|0290'!AdjustedTotal&gt;0,"overfunding ","underfunding ")&amp;"is "&amp;TEXT('HDAA|0290'!AdjustedTotal/'HDAA|0290'!AppropTotal,"#.0%;(#.0% );0% ;")&amp;" of Original Appropriation")</f>
        <v>Calculated underfunding is (54.4% ) of Original Appropriation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3" t="s">
        <v>58</v>
      </c>
      <c r="D17" s="604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5" t="s">
        <v>57</v>
      </c>
      <c r="D18" s="606"/>
      <c r="E18" s="194"/>
      <c r="F18" s="195"/>
      <c r="G18" s="308"/>
      <c r="H18" s="308"/>
      <c r="I18" s="197"/>
      <c r="J18" s="308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308"/>
      <c r="H19" s="266"/>
      <c r="I19" s="267"/>
      <c r="J19" s="308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90"/>
      <c r="AB19" s="490"/>
      <c r="AC19" s="490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334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334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334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334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334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334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334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334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334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334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334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308"/>
      <c r="H31" s="308"/>
      <c r="I31" s="308"/>
      <c r="J31" s="308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90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07" t="s">
        <v>55</v>
      </c>
      <c r="D37" s="608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599" t="s">
        <v>131</v>
      </c>
      <c r="AB37" s="600"/>
      <c r="AC37" s="600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609" t="str">
        <f>perm_name</f>
        <v>Permanent Positions</v>
      </c>
      <c r="D38" s="610"/>
      <c r="E38" s="208">
        <v>1</v>
      </c>
      <c r="F38" s="309">
        <f>SUMIF($E9:$E35,$E38,$F9:$F35)</f>
        <v>105.45599999999999</v>
      </c>
      <c r="G38" s="209">
        <f>SUMIF($E10:$E35,$E38,$G10:$G35)</f>
        <v>5450992.6099999994</v>
      </c>
      <c r="H38" s="209">
        <f>SUMIF($E10:$E35,$E38,$H10:$H35)</f>
        <v>1270083</v>
      </c>
      <c r="I38" s="209">
        <f>SUMIF($E10:$E35,$E38,$I10:$I35)</f>
        <v>1228170.1631685498</v>
      </c>
      <c r="J38" s="209">
        <f>SUM(G38:I38)</f>
        <v>7949245.7731685489</v>
      </c>
      <c r="K38" s="206"/>
      <c r="L38" s="210">
        <f>SUMIF($E10:$E35,$E38,$L10:$L35)</f>
        <v>0</v>
      </c>
      <c r="M38" s="210">
        <f>SUMIF($E10:$E35,$E38,$M10:$M35)</f>
        <v>-27742.916292000002</v>
      </c>
      <c r="N38" s="210">
        <f>SUM(L38:M38)</f>
        <v>-27742.916292000002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54500</v>
      </c>
      <c r="AB38" s="436">
        <f>ROUND((AdjPermVB*CECPerm+AdjPermVBBY*CECPerm),-2)</f>
        <v>12000</v>
      </c>
      <c r="AC38" s="436">
        <f>SUM(AA38:AB38)</f>
        <v>66500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609" t="str">
        <f>Group_name</f>
        <v>Board &amp; Group Positions</v>
      </c>
      <c r="D39" s="610"/>
      <c r="E39" s="208">
        <v>2</v>
      </c>
      <c r="F39" s="188">
        <f>SUMIF($E9:$E35,$E39,$F9:$F35)</f>
        <v>0</v>
      </c>
      <c r="G39" s="211">
        <f>SUMIF($E10:$E35,$E39,$G10:$G35)</f>
        <v>879267.16999999993</v>
      </c>
      <c r="H39" s="212">
        <f>SUMIF($E10:$E35,$E39,$H10:$H35)</f>
        <v>0</v>
      </c>
      <c r="I39" s="211">
        <f>SUMIF($E10:$E35,$E39,$I10:$I35)</f>
        <v>408139.31999999995</v>
      </c>
      <c r="J39" s="211">
        <f>SUM(G39:I39)</f>
        <v>1287406.4899999998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8800</v>
      </c>
      <c r="AB39" s="436">
        <f>ROUND(AdjGroupVB*CECGroup,-2)</f>
        <v>4100</v>
      </c>
      <c r="AC39" s="436">
        <f>SUM(AA39:AB39)</f>
        <v>12900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485" t="str">
        <f>Elect_name</f>
        <v>Elected Officials &amp; Full Time Commissioners</v>
      </c>
      <c r="D40" s="486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609" t="s">
        <v>54</v>
      </c>
      <c r="D41" s="610"/>
      <c r="E41" s="208"/>
      <c r="F41" s="213">
        <f>SUM(F38:F40)</f>
        <v>105.45599999999999</v>
      </c>
      <c r="G41" s="214">
        <f>SUM($G$38:$G$40)</f>
        <v>6330259.7799999993</v>
      </c>
      <c r="H41" s="205">
        <f>SUM($H$38:$H$40)</f>
        <v>1270083</v>
      </c>
      <c r="I41" s="205">
        <f>SUM($I$38:$I$40)</f>
        <v>1636309.4831685498</v>
      </c>
      <c r="J41" s="205">
        <f>SUM($J$38:$J$40)</f>
        <v>9236652.2631685492</v>
      </c>
      <c r="K41" s="206"/>
      <c r="L41" s="205">
        <f>SUM($L$38:$L$40)</f>
        <v>0</v>
      </c>
      <c r="M41" s="205">
        <f>SUM($M$38:$M$40)</f>
        <v>-27742.916292000002</v>
      </c>
      <c r="N41" s="205">
        <f>SUM(L41:M41)</f>
        <v>-27742.916292000002</v>
      </c>
      <c r="O41"/>
      <c r="P41"/>
      <c r="Q41"/>
      <c r="R41"/>
      <c r="S41"/>
      <c r="T41"/>
      <c r="U41"/>
      <c r="V41"/>
      <c r="W41"/>
      <c r="X41"/>
      <c r="Y41"/>
      <c r="Z41"/>
      <c r="AA41" s="490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611"/>
      <c r="D42" s="612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13" t="s">
        <v>53</v>
      </c>
      <c r="D43" s="614"/>
      <c r="E43" s="294" t="s">
        <v>52</v>
      </c>
      <c r="F43" s="338">
        <f>ROUND(F52-F41,2)</f>
        <v>-105.46</v>
      </c>
      <c r="G43" s="339">
        <f>ROUND(G51-G41,-2)</f>
        <v>-2229600</v>
      </c>
      <c r="H43" s="334">
        <f>ROUND(H51-H41,-2)</f>
        <v>-447300</v>
      </c>
      <c r="I43" s="334">
        <f>ROUND(I51-I41,-2)</f>
        <v>-576300</v>
      </c>
      <c r="J43" s="334">
        <f>SUM(G43:I43)</f>
        <v>-3253200</v>
      </c>
      <c r="K43" s="578" t="str">
        <f>IF(E51=0,"ERROR! Enter Original Appropriation amount in DU 3.00!","Calculated "&amp;IF(J43&gt;0,"overfunding ","underfunding ")&amp;"is "&amp;TEXT(J43/J51,"#.0%;(#.0% );0% ;")&amp;" of Original Appropriation")</f>
        <v>Calculated underfunding is (54.4% ) of Original Appropriation</v>
      </c>
      <c r="L43" s="579"/>
      <c r="M43" s="579"/>
      <c r="N43" s="580"/>
      <c r="O43"/>
      <c r="P43"/>
      <c r="Q43"/>
      <c r="R43"/>
      <c r="S43"/>
      <c r="T43"/>
      <c r="U43"/>
      <c r="V43"/>
      <c r="W43"/>
      <c r="X43"/>
      <c r="Y43"/>
      <c r="Z43"/>
      <c r="AA43" s="599" t="s">
        <v>132</v>
      </c>
      <c r="AB43" s="600"/>
      <c r="AC43" s="600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15"/>
      <c r="D44" s="602"/>
      <c r="E44" s="293" t="s">
        <v>51</v>
      </c>
      <c r="F44" s="309">
        <f>ROUND(F60-F41,2)</f>
        <v>-105.46</v>
      </c>
      <c r="G44" s="193">
        <f>ROUND(G60-G41,-2)</f>
        <v>-2229600</v>
      </c>
      <c r="H44" s="334">
        <f>ROUND(H60-H41,-2)</f>
        <v>-447400</v>
      </c>
      <c r="I44" s="334">
        <f>ROUND(I60-I41,-2)</f>
        <v>-576300</v>
      </c>
      <c r="J44" s="334">
        <f>SUM(G44:I44)</f>
        <v>-3253300</v>
      </c>
      <c r="K44" s="578" t="str">
        <f>IF(E51=0,"ERROR! Enter Original Appropriation amount in DU 3.00!","Calculated "&amp;IF(J44&gt;0,"overfunding ","underfunding ")&amp;"is "&amp;TEXT(J44/J60,"#.0%;(#.0% );0% ;")&amp;" of Estimated Expenditures")</f>
        <v>Calculated underfunding is (54.4% ) of Estimated Expenditures</v>
      </c>
      <c r="L44" s="579"/>
      <c r="M44" s="579"/>
      <c r="N44" s="580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-105.46</v>
      </c>
      <c r="G45" s="193">
        <f>ROUND(G67-G41-G63,-2)</f>
        <v>-2229600</v>
      </c>
      <c r="H45" s="193">
        <f>ROUND(H67-H41-H63,-2)</f>
        <v>-447400</v>
      </c>
      <c r="I45" s="193">
        <f>ROUND(I67-I41-I63,-2)</f>
        <v>-576300</v>
      </c>
      <c r="J45" s="334">
        <f>SUM(G45:I45)</f>
        <v>-3253300</v>
      </c>
      <c r="K45" s="578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579"/>
      <c r="M45" s="579"/>
      <c r="N45" s="580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3300</v>
      </c>
      <c r="AC45" s="436">
        <f>SUM(AA45:AB45)</f>
        <v>3300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1" t="s">
        <v>123</v>
      </c>
      <c r="F46" s="582"/>
      <c r="G46" s="582"/>
      <c r="H46" s="582"/>
      <c r="I46" s="582"/>
      <c r="J46" s="583"/>
      <c r="K46" s="587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588"/>
      <c r="M46" s="588"/>
      <c r="N46" s="589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4"/>
      <c r="F47" s="585"/>
      <c r="G47" s="585"/>
      <c r="H47" s="585"/>
      <c r="I47" s="585"/>
      <c r="J47" s="586"/>
      <c r="K47" s="590"/>
      <c r="L47" s="591"/>
      <c r="M47" s="591"/>
      <c r="N47" s="592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302"/>
      <c r="C49" s="123"/>
      <c r="D49" s="122"/>
      <c r="E49" s="121"/>
      <c r="F49" s="120"/>
      <c r="G49" s="302"/>
      <c r="H49" s="302"/>
      <c r="I49" s="302"/>
      <c r="J49" s="302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3"/>
      <c r="D50" s="594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5983400</v>
      </c>
      <c r="F51" s="108">
        <f>AppropFTP</f>
        <v>0</v>
      </c>
      <c r="G51" s="111">
        <f>IF(E51=0,0,(G41/$J$41)*$E$51)</f>
        <v>4100671.4649944841</v>
      </c>
      <c r="H51" s="111">
        <f>IF(E51=0,0,(H41/$J$41)*$E$51)</f>
        <v>822745.55820434133</v>
      </c>
      <c r="I51" s="111">
        <f>IF(E51=0,0,(I41/$J$41)*$E$51)</f>
        <v>1059982.9768011742</v>
      </c>
      <c r="J51" s="320">
        <f>SUM(G51:I51)</f>
        <v>5983400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4100700</v>
      </c>
      <c r="H52" s="107">
        <f>ROUND(H51,-2)</f>
        <v>822700</v>
      </c>
      <c r="I52" s="107">
        <f>ROUND(I51,-2)</f>
        <v>1060000</v>
      </c>
      <c r="J52" s="316">
        <f>ROUND(J51,-2)</f>
        <v>5983400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5" t="s">
        <v>45</v>
      </c>
      <c r="D53" s="596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3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97" t="s">
        <v>43</v>
      </c>
      <c r="D55" s="598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332">
        <f>SUM(G52:G55)</f>
        <v>4100700</v>
      </c>
      <c r="H56" s="332">
        <f>SUM(H52:H55)</f>
        <v>822700</v>
      </c>
      <c r="I56" s="332">
        <f>SUM(I52:I55)</f>
        <v>1060000</v>
      </c>
      <c r="J56" s="328">
        <f>SUM(J52:J55)</f>
        <v>5983400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1" t="s">
        <v>41</v>
      </c>
      <c r="D57" s="572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3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97" t="s">
        <v>39</v>
      </c>
      <c r="D59" s="598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332">
        <f>SUM(G56:G59)</f>
        <v>4100700</v>
      </c>
      <c r="H60" s="332">
        <f>SUM(H56:H59)</f>
        <v>822700</v>
      </c>
      <c r="I60" s="332">
        <f>SUM(I56:I59)</f>
        <v>1060000</v>
      </c>
      <c r="J60" s="320">
        <f>SUM(J56:J59)</f>
        <v>5983400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1" t="s">
        <v>37</v>
      </c>
      <c r="D61" s="572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3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3" t="s">
        <v>35</v>
      </c>
      <c r="D63" s="564"/>
      <c r="E63" s="51"/>
      <c r="F63" s="50">
        <v>0</v>
      </c>
      <c r="G63" s="370">
        <v>-4100700</v>
      </c>
      <c r="H63" s="370">
        <v>-822700</v>
      </c>
      <c r="I63" s="370">
        <v>-1060000</v>
      </c>
      <c r="J63" s="101">
        <v>-5983400</v>
      </c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5" t="s">
        <v>34</v>
      </c>
      <c r="D64" s="566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7"/>
      <c r="D65" s="568"/>
      <c r="E65" s="90"/>
      <c r="F65" s="89"/>
      <c r="G65" s="303"/>
      <c r="H65" s="303"/>
      <c r="I65" s="303"/>
      <c r="J65" s="303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69"/>
      <c r="D66" s="570"/>
      <c r="E66" s="84"/>
      <c r="F66" s="83" t="s">
        <v>33</v>
      </c>
      <c r="G66" s="304" t="str">
        <f>"FY "&amp;M4-2000&amp;" Salary"</f>
        <v>FY 23 Salary</v>
      </c>
      <c r="H66" s="304" t="str">
        <f>"FY"&amp;M4-2000&amp;" Health Ben"</f>
        <v>FY23 Health Ben</v>
      </c>
      <c r="I66" s="304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0</v>
      </c>
      <c r="H67" s="72">
        <f>SUM(H60:H64)</f>
        <v>0</v>
      </c>
      <c r="I67" s="72">
        <f>SUM(I60:I64)</f>
        <v>0</v>
      </c>
      <c r="J67" s="72">
        <f>SUM(J60:J64)</f>
        <v>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1" t="s">
        <v>31</v>
      </c>
      <c r="D68" s="572"/>
      <c r="E68" s="61"/>
      <c r="F68" s="67"/>
      <c r="G68" s="319"/>
      <c r="H68" s="333">
        <f>IF(DUNine=0,0,ROUND(SUM(L41:L65),-2))</f>
        <v>0</v>
      </c>
      <c r="I68" s="333"/>
      <c r="J68" s="319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1" t="s">
        <v>30</v>
      </c>
      <c r="D69" s="572"/>
      <c r="E69" s="61"/>
      <c r="F69" s="67"/>
      <c r="G69" s="333"/>
      <c r="H69" s="333"/>
      <c r="I69" s="333">
        <f>IF(DUNine=0,0,ROUND(SUM(M41:M64),-2))</f>
        <v>0</v>
      </c>
      <c r="J69" s="319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73"/>
      <c r="D70" s="574"/>
      <c r="E70" s="483" t="s">
        <v>67</v>
      </c>
      <c r="F70" s="67"/>
      <c r="G70" s="333"/>
      <c r="H70" s="333"/>
      <c r="I70" s="333"/>
      <c r="J70" s="319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3" t="s">
        <v>29</v>
      </c>
      <c r="D71" s="575"/>
      <c r="E71" s="261"/>
      <c r="F71" s="260"/>
      <c r="G71" s="71">
        <v>0</v>
      </c>
      <c r="H71" s="71">
        <v>0</v>
      </c>
      <c r="I71" s="319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3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0</v>
      </c>
      <c r="H72" s="319"/>
      <c r="I72" s="319">
        <f>ROUND(($G72*PermVBBY+$G72*Retire1BY),-2)</f>
        <v>0</v>
      </c>
      <c r="J72" s="333">
        <f t="shared" si="11"/>
        <v>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3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319"/>
      <c r="I73" s="319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487" t="s">
        <v>27</v>
      </c>
      <c r="D74" s="488"/>
      <c r="E74" s="61"/>
      <c r="F74" s="67"/>
      <c r="G74" s="71">
        <v>0</v>
      </c>
      <c r="H74" s="319"/>
      <c r="I74" s="319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332">
        <f>SUM(G67:G74)</f>
        <v>0</v>
      </c>
      <c r="H75" s="332">
        <f>SUM(H67:H74)</f>
        <v>0</v>
      </c>
      <c r="I75" s="332">
        <f>SUM(I67:I74)</f>
        <v>0</v>
      </c>
      <c r="J75" s="332">
        <f>SUM(J67:J74)</f>
        <v>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76" t="s">
        <v>25</v>
      </c>
      <c r="D76" s="577"/>
      <c r="E76" s="56" t="s">
        <v>24</v>
      </c>
      <c r="F76" s="55"/>
      <c r="G76" s="318"/>
      <c r="H76" s="318"/>
      <c r="I76" s="318"/>
      <c r="J76" s="318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1"/>
      <c r="D77" s="552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1"/>
      <c r="D78" s="552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1"/>
      <c r="D79" s="552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0</v>
      </c>
      <c r="H80" s="40">
        <f>SUM(H75:H79)</f>
        <v>0</v>
      </c>
      <c r="I80" s="40">
        <f>SUM(I75:I79)</f>
        <v>0</v>
      </c>
      <c r="J80" s="40">
        <f>SUM(J75:J79)</f>
        <v>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305"/>
      <c r="F82" s="305"/>
      <c r="G82" s="305"/>
      <c r="H82" s="305"/>
      <c r="N82" s="17"/>
      <c r="AA82" s="420"/>
      <c r="AB82" s="420"/>
      <c r="AC82" s="420"/>
      <c r="AD82" s="421"/>
    </row>
    <row r="83" spans="1:94" ht="27.75" customHeight="1" thickBot="1" x14ac:dyDescent="0.3">
      <c r="A83" s="553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5" t="str">
        <f>"FY "&amp;FiscalYear-2&amp;" PERSONNEL COST ACTUAL EXPENDITURES"&amp;" (DU 2.0)"</f>
        <v>FY 2021 PERSONNEL COST ACTUAL EXPENDITURES (DU 2.0)</v>
      </c>
      <c r="F84" s="556"/>
      <c r="G84" s="555" t="str">
        <f>"FY "&amp;FiscalYear-1&amp;" PERSONNEL COST ORIGINAL APPROPRIATION"&amp;" (DU 3.0)"</f>
        <v>FY 2022 PERSONNEL COST ORIGINAL APPROPRIATION (DU 3.0)</v>
      </c>
      <c r="H84" s="557"/>
      <c r="I84" s="558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9"/>
      <c r="K84" s="559"/>
      <c r="L84" s="559"/>
      <c r="M84" s="559"/>
      <c r="N84" s="560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9" t="s">
        <v>128</v>
      </c>
      <c r="B85" s="550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61" t="s">
        <v>79</v>
      </c>
      <c r="B86" s="562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61" t="s">
        <v>80</v>
      </c>
      <c r="B87" s="562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t="16.5" hidden="1" thickBot="1" x14ac:dyDescent="0.3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t="16.5" hidden="1" thickBot="1" x14ac:dyDescent="0.3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t="16.5" hidden="1" thickBot="1" x14ac:dyDescent="0.3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t="16.5" hidden="1" thickBot="1" x14ac:dyDescent="0.3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484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48" t="s">
        <v>136</v>
      </c>
      <c r="B98" s="548"/>
      <c r="C98" s="548"/>
      <c r="D98" s="548"/>
      <c r="E98" s="548"/>
      <c r="F98" s="548"/>
      <c r="G98" s="548"/>
      <c r="H98" s="548"/>
      <c r="I98" s="548"/>
      <c r="J98" s="548"/>
      <c r="K98" s="548"/>
      <c r="L98" s="548"/>
      <c r="M98" s="548"/>
      <c r="N98" s="548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9" t="s">
        <v>128</v>
      </c>
      <c r="B99" s="550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40" t="str">
        <f>A86</f>
        <v>Fund Detail 1</v>
      </c>
      <c r="B100" s="541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40" t="str">
        <f>A87</f>
        <v>Fund Detail 2</v>
      </c>
      <c r="B101" s="541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40" t="str">
        <f t="shared" ref="A102:A110" si="22">A88</f>
        <v>Fund Detail 3</v>
      </c>
      <c r="B102" s="541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40" t="str">
        <f t="shared" si="22"/>
        <v>Fund Detail 4</v>
      </c>
      <c r="B103" s="541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40" t="str">
        <f t="shared" si="22"/>
        <v>Fund Detail 5</v>
      </c>
      <c r="B104" s="541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40" t="str">
        <f t="shared" si="22"/>
        <v>Fund Detail 6</v>
      </c>
      <c r="B105" s="541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40" t="str">
        <f t="shared" si="22"/>
        <v>Fund Detail 7</v>
      </c>
      <c r="B106" s="541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40" t="str">
        <f t="shared" si="22"/>
        <v>Fund Detail 8</v>
      </c>
      <c r="B107" s="541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40" t="str">
        <f t="shared" si="22"/>
        <v>Fund Detail 9</v>
      </c>
      <c r="B108" s="541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40" t="str">
        <f t="shared" si="22"/>
        <v>Fund Detail 10</v>
      </c>
      <c r="B109" s="541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6" t="str">
        <f t="shared" si="22"/>
        <v>TOTAL</v>
      </c>
      <c r="B110" s="527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8" t="s">
        <v>13</v>
      </c>
      <c r="B113" s="529"/>
      <c r="C113" s="529"/>
      <c r="D113" s="529"/>
      <c r="E113" s="529"/>
      <c r="F113" s="529"/>
      <c r="G113" s="529"/>
      <c r="H113" s="529"/>
      <c r="I113" s="529"/>
      <c r="J113" s="529"/>
      <c r="K113" s="529"/>
      <c r="L113" s="529"/>
      <c r="M113" s="529"/>
      <c r="N113" s="530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31"/>
      <c r="B114" s="532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3"/>
    </row>
    <row r="115" spans="1:94" ht="35.25" customHeight="1" x14ac:dyDescent="0.25">
      <c r="A115" s="534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6"/>
    </row>
    <row r="116" spans="1:94" ht="15.75" hidden="1" customHeight="1" x14ac:dyDescent="0.25">
      <c r="A116" s="534"/>
      <c r="B116" s="535"/>
      <c r="C116" s="535"/>
      <c r="D116" s="535"/>
      <c r="E116" s="535"/>
      <c r="F116" s="535"/>
      <c r="G116" s="535"/>
      <c r="H116" s="535"/>
      <c r="I116" s="535"/>
      <c r="J116" s="535"/>
      <c r="K116" s="535"/>
      <c r="L116" s="535"/>
      <c r="M116" s="535"/>
      <c r="N116" s="536"/>
    </row>
    <row r="117" spans="1:94" ht="15.75" hidden="1" customHeight="1" x14ac:dyDescent="0.25">
      <c r="A117" s="534"/>
      <c r="B117" s="535"/>
      <c r="C117" s="535"/>
      <c r="D117" s="535"/>
      <c r="E117" s="535"/>
      <c r="F117" s="535"/>
      <c r="G117" s="535"/>
      <c r="H117" s="535"/>
      <c r="I117" s="535"/>
      <c r="J117" s="535"/>
      <c r="K117" s="535"/>
      <c r="L117" s="535"/>
      <c r="M117" s="535"/>
      <c r="N117" s="536"/>
    </row>
    <row r="118" spans="1:94" ht="15.75" hidden="1" customHeight="1" x14ac:dyDescent="0.25">
      <c r="A118" s="534"/>
      <c r="B118" s="535"/>
      <c r="C118" s="535"/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6"/>
    </row>
    <row r="119" spans="1:94" ht="15.75" hidden="1" customHeight="1" x14ac:dyDescent="0.25">
      <c r="A119" s="534"/>
      <c r="B119" s="535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6"/>
    </row>
    <row r="120" spans="1:94" ht="15.75" hidden="1" customHeight="1" x14ac:dyDescent="0.25">
      <c r="A120" s="534"/>
      <c r="B120" s="535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6"/>
    </row>
    <row r="121" spans="1:94" ht="15.75" hidden="1" customHeight="1" x14ac:dyDescent="0.25">
      <c r="A121" s="534"/>
      <c r="B121" s="535"/>
      <c r="C121" s="535"/>
      <c r="D121" s="535"/>
      <c r="E121" s="535"/>
      <c r="F121" s="535"/>
      <c r="G121" s="535"/>
      <c r="H121" s="535"/>
      <c r="I121" s="535"/>
      <c r="J121" s="535"/>
      <c r="K121" s="535"/>
      <c r="L121" s="535"/>
      <c r="M121" s="535"/>
      <c r="N121" s="536"/>
    </row>
    <row r="122" spans="1:94" ht="15.75" hidden="1" customHeight="1" x14ac:dyDescent="0.25">
      <c r="A122" s="534"/>
      <c r="B122" s="535"/>
      <c r="C122" s="535"/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6"/>
    </row>
    <row r="123" spans="1:94" ht="15.75" hidden="1" customHeight="1" x14ac:dyDescent="0.25">
      <c r="A123" s="534"/>
      <c r="B123" s="535"/>
      <c r="C123" s="535"/>
      <c r="D123" s="535"/>
      <c r="E123" s="535"/>
      <c r="F123" s="535"/>
      <c r="G123" s="535"/>
      <c r="H123" s="535"/>
      <c r="I123" s="535"/>
      <c r="J123" s="535"/>
      <c r="K123" s="535"/>
      <c r="L123" s="535"/>
      <c r="M123" s="535"/>
      <c r="N123" s="536"/>
    </row>
    <row r="124" spans="1:94" ht="16.5" thickBot="1" x14ac:dyDescent="0.3">
      <c r="A124" s="537"/>
      <c r="B124" s="538"/>
      <c r="C124" s="538"/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9"/>
    </row>
  </sheetData>
  <mergeCells count="82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AA43:AC43"/>
    <mergeCell ref="K44:N44"/>
    <mergeCell ref="C16:D16"/>
    <mergeCell ref="C17:D17"/>
    <mergeCell ref="C18:D18"/>
    <mergeCell ref="C37:D37"/>
    <mergeCell ref="AA37:AC37"/>
    <mergeCell ref="C38:D38"/>
    <mergeCell ref="C39:D39"/>
    <mergeCell ref="C41:D41"/>
    <mergeCell ref="C42:D42"/>
    <mergeCell ref="C43:D44"/>
    <mergeCell ref="K43:N43"/>
    <mergeCell ref="C62:D62"/>
    <mergeCell ref="K45:N45"/>
    <mergeCell ref="E46:J47"/>
    <mergeCell ref="K46:N47"/>
    <mergeCell ref="C50:D50"/>
    <mergeCell ref="C53:D53"/>
    <mergeCell ref="C54:D54"/>
    <mergeCell ref="C55:D55"/>
    <mergeCell ref="C57:D57"/>
    <mergeCell ref="C58:D58"/>
    <mergeCell ref="C59:D59"/>
    <mergeCell ref="C61:D61"/>
    <mergeCell ref="C77:D77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6:D76"/>
    <mergeCell ref="A90:B90"/>
    <mergeCell ref="C78:D78"/>
    <mergeCell ref="C79:D79"/>
    <mergeCell ref="A83:N83"/>
    <mergeCell ref="E84:F84"/>
    <mergeCell ref="G84:H84"/>
    <mergeCell ref="I84:N84"/>
    <mergeCell ref="A85:B85"/>
    <mergeCell ref="A86:B86"/>
    <mergeCell ref="A87:B87"/>
    <mergeCell ref="A88:B88"/>
    <mergeCell ref="A89:B89"/>
    <mergeCell ref="A103:B103"/>
    <mergeCell ref="A91:B91"/>
    <mergeCell ref="A92:B92"/>
    <mergeCell ref="A93:B93"/>
    <mergeCell ref="A94:B94"/>
    <mergeCell ref="A95:B95"/>
    <mergeCell ref="A96:C96"/>
    <mergeCell ref="A98:N98"/>
    <mergeCell ref="A99:B99"/>
    <mergeCell ref="A100:B100"/>
    <mergeCell ref="A101:B101"/>
    <mergeCell ref="A102:B102"/>
    <mergeCell ref="A110:B110"/>
    <mergeCell ref="A113:N113"/>
    <mergeCell ref="A114:N124"/>
    <mergeCell ref="A104:B104"/>
    <mergeCell ref="A105:B105"/>
    <mergeCell ref="A106:B106"/>
    <mergeCell ref="A107:B107"/>
    <mergeCell ref="A108:B108"/>
    <mergeCell ref="A109:B109"/>
  </mergeCells>
  <conditionalFormatting sqref="K44">
    <cfRule type="expression" dxfId="19" priority="6">
      <formula>$J$44&lt;0</formula>
    </cfRule>
  </conditionalFormatting>
  <conditionalFormatting sqref="K43">
    <cfRule type="expression" dxfId="18" priority="5">
      <formula>$J$43&lt;0</formula>
    </cfRule>
  </conditionalFormatting>
  <conditionalFormatting sqref="L16">
    <cfRule type="expression" dxfId="17" priority="4">
      <formula>$J$16&lt;0</formula>
    </cfRule>
  </conditionalFormatting>
  <conditionalFormatting sqref="I96:I97 I111">
    <cfRule type="containsText" dxfId="16" priority="3" operator="containsText" text="Re-Calculate Percentages">
      <formula>NOT(ISERROR(SEARCH("Re-Calculate Percentages",I96)))</formula>
    </cfRule>
  </conditionalFormatting>
  <conditionalFormatting sqref="K45">
    <cfRule type="expression" dxfId="15" priority="2">
      <formula>$J$44&lt;0</formula>
    </cfRule>
  </conditionalFormatting>
  <conditionalFormatting sqref="K43:N45">
    <cfRule type="containsText" dxfId="1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7C036F-38A5-440A-B1F4-B18F17E635E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F867-C3E6-4385-9C6E-D1015C0882BE}">
  <sheetPr>
    <pageSetUpPr fitToPage="1"/>
  </sheetPr>
  <dimension ref="A1:CP124"/>
  <sheetViews>
    <sheetView showGridLines="0" zoomScaleNormal="100" workbookViewId="0">
      <pane ySplit="6" topLeftCell="A7" activePane="bottomLeft" state="frozen"/>
      <selection pane="bottomLeft" activeCell="E15" sqref="E15:F15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305" customWidth="1"/>
    <col min="11" max="11" width="13.7109375" style="305" hidden="1" customWidth="1"/>
    <col min="12" max="12" width="18.42578125" style="305" customWidth="1"/>
    <col min="13" max="13" width="17" style="305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 t="s">
        <v>864</v>
      </c>
      <c r="E1" s="295"/>
      <c r="F1" s="295"/>
      <c r="G1" s="295"/>
      <c r="H1" s="295"/>
      <c r="I1" s="295"/>
      <c r="J1" s="295"/>
      <c r="K1" s="295"/>
      <c r="L1" s="176" t="s">
        <v>76</v>
      </c>
      <c r="M1" s="620">
        <v>951</v>
      </c>
      <c r="N1" s="621"/>
      <c r="AA1" s="419"/>
      <c r="AB1" s="420"/>
      <c r="AC1" s="420"/>
      <c r="AD1" s="421"/>
    </row>
    <row r="2" spans="1:94" ht="20.25" x14ac:dyDescent="0.25">
      <c r="A2" s="164" t="s">
        <v>142</v>
      </c>
      <c r="B2" s="296"/>
      <c r="C2" s="296"/>
      <c r="D2" s="175" t="s">
        <v>864</v>
      </c>
      <c r="E2" s="174"/>
      <c r="F2" s="174"/>
      <c r="G2" s="174"/>
      <c r="H2" s="174"/>
      <c r="I2" s="174"/>
      <c r="J2" s="296"/>
      <c r="K2" s="296"/>
      <c r="L2" s="474" t="s">
        <v>139</v>
      </c>
      <c r="M2" s="622" t="s">
        <v>870</v>
      </c>
      <c r="N2" s="623"/>
      <c r="AA2" s="420"/>
      <c r="AB2" s="420"/>
      <c r="AC2" s="420"/>
      <c r="AD2" s="421"/>
    </row>
    <row r="3" spans="1:94" x14ac:dyDescent="0.25">
      <c r="A3" s="164" t="s">
        <v>143</v>
      </c>
      <c r="B3" s="296"/>
      <c r="C3" s="296"/>
      <c r="D3" s="173" t="s">
        <v>864</v>
      </c>
      <c r="E3" s="172"/>
      <c r="F3" s="159"/>
      <c r="G3" s="159"/>
      <c r="H3" s="159"/>
      <c r="I3" s="297"/>
      <c r="J3" s="296"/>
      <c r="K3" s="296"/>
      <c r="L3" s="474" t="s">
        <v>140</v>
      </c>
      <c r="M3" s="620" t="s">
        <v>193</v>
      </c>
      <c r="N3" s="621"/>
      <c r="AA3" s="419"/>
      <c r="AB3" s="420"/>
      <c r="AC3" s="420"/>
      <c r="AD3" s="421"/>
    </row>
    <row r="4" spans="1:94" x14ac:dyDescent="0.25">
      <c r="A4" s="164"/>
      <c r="B4" s="296"/>
      <c r="C4" s="296"/>
      <c r="D4" s="169"/>
      <c r="E4" s="172"/>
      <c r="F4" s="159"/>
      <c r="G4" s="159"/>
      <c r="H4" s="159"/>
      <c r="I4" s="157"/>
      <c r="J4" s="297"/>
      <c r="K4" s="297"/>
      <c r="L4" s="170" t="s">
        <v>75</v>
      </c>
      <c r="M4" s="620">
        <v>2023</v>
      </c>
      <c r="N4" s="621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296"/>
      <c r="C5" s="296"/>
      <c r="D5" s="482">
        <v>44440</v>
      </c>
      <c r="E5" s="169"/>
      <c r="F5" s="168"/>
      <c r="G5" s="298"/>
      <c r="H5" s="298" t="s">
        <v>73</v>
      </c>
      <c r="I5" s="622" t="s">
        <v>869</v>
      </c>
      <c r="J5" s="624"/>
      <c r="K5" s="624"/>
      <c r="L5" s="625"/>
      <c r="M5" s="475" t="s">
        <v>141</v>
      </c>
      <c r="N5" s="476" t="s">
        <v>812</v>
      </c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296" t="s">
        <v>72</v>
      </c>
      <c r="C6" s="296"/>
      <c r="D6" s="162"/>
      <c r="E6" s="161" t="s">
        <v>71</v>
      </c>
      <c r="F6" s="160"/>
      <c r="G6" s="159"/>
      <c r="H6" s="159"/>
      <c r="I6" s="158"/>
      <c r="J6" s="298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299"/>
      <c r="K7" s="299"/>
      <c r="L7" s="299"/>
      <c r="M7" s="299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6" t="s">
        <v>68</v>
      </c>
      <c r="D8" s="627"/>
      <c r="E8" s="146" t="s">
        <v>67</v>
      </c>
      <c r="F8" s="145" t="s">
        <v>33</v>
      </c>
      <c r="G8" s="300" t="str">
        <f>"FY "&amp;'HDAA|0499'!FiscalYear-1&amp;" SALARY"</f>
        <v>FY 2022 SALARY</v>
      </c>
      <c r="H8" s="300" t="str">
        <f>"FY "&amp;'HDAA|0499'!FiscalYear-1&amp;" HEALTH BENEFITS"</f>
        <v>FY 2022 HEALTH BENEFITS</v>
      </c>
      <c r="I8" s="300" t="str">
        <f>"FY "&amp;'HDAA|0499'!FiscalYear-1&amp;" VAR BENEFITS"</f>
        <v>FY 2022 VAR BENEFITS</v>
      </c>
      <c r="J8" s="300" t="str">
        <f>"FY "&amp;'HDAA|0499'!FiscalYear-1&amp;" TOTAL"</f>
        <v>FY 2022 TOTAL</v>
      </c>
      <c r="K8" s="300" t="str">
        <f>"FY "&amp;FiscalYear&amp;" SALARY CHG"</f>
        <v>FY 2023 SALARY CHG</v>
      </c>
      <c r="L8" s="300" t="str">
        <f>"FY "&amp;'HDAA|0499'!FiscalYear&amp;" CHG HEALTH BENEFITS"</f>
        <v>FY 2023 CHG HEALTH BENEFITS</v>
      </c>
      <c r="M8" s="300" t="str">
        <f>"FY "&amp;'HDAA|0499'!FiscalYear&amp;"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6" t="s">
        <v>129</v>
      </c>
      <c r="AB8" s="616"/>
      <c r="AC8" s="616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7" t="s">
        <v>65</v>
      </c>
      <c r="D9" s="618"/>
      <c r="E9" s="215"/>
      <c r="F9" s="216"/>
      <c r="G9" s="217"/>
      <c r="H9" s="217"/>
      <c r="I9" s="217"/>
      <c r="J9" s="306"/>
      <c r="K9" s="306"/>
      <c r="L9" s="219"/>
      <c r="M9" s="220"/>
      <c r="N9" s="306"/>
      <c r="Y9" s="457"/>
      <c r="Z9" s="457"/>
      <c r="AA9" s="490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609" t="s">
        <v>64</v>
      </c>
      <c r="D10" s="619"/>
      <c r="E10" s="194">
        <v>1</v>
      </c>
      <c r="F10" s="188">
        <f>[0]!HDAA0499col_INC_FTI</f>
        <v>0.98</v>
      </c>
      <c r="G10" s="212">
        <f>[0]!HDAA0499col_FTI_SALARY_PERM</f>
        <v>55970.289999999994</v>
      </c>
      <c r="H10" s="212">
        <f>[0]!HDAA0499col_HEALTH_PERM</f>
        <v>11417</v>
      </c>
      <c r="I10" s="212">
        <f>[0]!HDAA0499col_TOT_VB_PERM</f>
        <v>12622.733091349999</v>
      </c>
      <c r="J10" s="307">
        <f>SUM(G10:I10)</f>
        <v>80010.023091349998</v>
      </c>
      <c r="K10" s="307">
        <f>[0]!HDAA0499col_1_27TH_PP</f>
        <v>0</v>
      </c>
      <c r="L10" s="212">
        <f>[0]!HDAA0499col_HEALTH_PERM_CHG</f>
        <v>0</v>
      </c>
      <c r="M10" s="212">
        <f>[0]!HDAA0499col_TOT_VB_PERM_CHG</f>
        <v>-291.04550799999998</v>
      </c>
      <c r="N10" s="212">
        <f>SUM(L10:M10)</f>
        <v>-291.04550799999998</v>
      </c>
      <c r="Y10" s="457"/>
      <c r="Z10" s="457"/>
      <c r="AA10" s="453">
        <f>ROUND(CECPerm*PermSalary,-2)</f>
        <v>600</v>
      </c>
      <c r="AB10" s="429">
        <f>ROUND(PermVarBen*CECPerm+(CECPerm*PermVarBenChg),-2)</f>
        <v>100</v>
      </c>
      <c r="AC10" s="429">
        <f>SUM(AA10:AB10)</f>
        <v>700</v>
      </c>
      <c r="AD10" s="421"/>
    </row>
    <row r="11" spans="1:94" x14ac:dyDescent="0.25">
      <c r="A11" s="125"/>
      <c r="B11" s="125"/>
      <c r="C11" s="609" t="s">
        <v>63</v>
      </c>
      <c r="D11" s="619"/>
      <c r="E11" s="194">
        <v>2</v>
      </c>
      <c r="F11" s="188"/>
      <c r="G11" s="212">
        <f>[0]!HDAA0499col_Group_Salary</f>
        <v>6.5</v>
      </c>
      <c r="H11" s="212">
        <v>0</v>
      </c>
      <c r="I11" s="212">
        <f>[0]!HDAA0499col_Group_Ben</f>
        <v>0.56999999999999995</v>
      </c>
      <c r="J11" s="307">
        <f>SUM(G11:I11)</f>
        <v>7.07</v>
      </c>
      <c r="K11" s="325"/>
      <c r="L11" s="212"/>
      <c r="M11" s="212"/>
      <c r="N11" s="212"/>
      <c r="Y11" s="457"/>
      <c r="Z11" s="457"/>
      <c r="AA11" s="453">
        <f>ROUND(GroupSalary*CECGroup,-2)</f>
        <v>0</v>
      </c>
      <c r="AB11" s="430">
        <f>ROUND(GroupSalary*GroupVBBY*CECGroup,-2)</f>
        <v>0</v>
      </c>
      <c r="AC11" s="429">
        <f>SUM(AA11:AB11)</f>
        <v>0</v>
      </c>
      <c r="AD11" s="421"/>
    </row>
    <row r="12" spans="1:94" x14ac:dyDescent="0.25">
      <c r="A12" s="125"/>
      <c r="B12" s="125"/>
      <c r="C12" s="609" t="s">
        <v>62</v>
      </c>
      <c r="D12" s="610"/>
      <c r="E12" s="194">
        <v>3</v>
      </c>
      <c r="F12" s="188">
        <f>[0]!HDAA0499col_TOTAL_ELECT_PCN_FTI</f>
        <v>0</v>
      </c>
      <c r="G12" s="212">
        <f>[0]!HDAA0499col_FTI_SALARY_ELECT</f>
        <v>0</v>
      </c>
      <c r="H12" s="212">
        <f>[0]!HDAA0499col_HEALTH_ELECT</f>
        <v>0</v>
      </c>
      <c r="I12" s="212">
        <f>[0]!HDAA0499col_TOT_VB_ELECT</f>
        <v>0</v>
      </c>
      <c r="J12" s="307">
        <f>SUM(G12:I12)</f>
        <v>0</v>
      </c>
      <c r="K12" s="325"/>
      <c r="L12" s="212">
        <f>[0]!HDAA0499col_HEALTH_ELECT_CHG</f>
        <v>0</v>
      </c>
      <c r="M12" s="212">
        <f>[0]!HDAA0499col_TOT_VB_ELECT_CHG</f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609" t="s">
        <v>61</v>
      </c>
      <c r="D13" s="619"/>
      <c r="E13" s="194"/>
      <c r="F13" s="221">
        <f>SUM(F10:F12)</f>
        <v>0.98</v>
      </c>
      <c r="G13" s="222">
        <f>SUM(G10:G12)</f>
        <v>55976.789999999994</v>
      </c>
      <c r="H13" s="222">
        <f>SUM(H10:H12)</f>
        <v>11417</v>
      </c>
      <c r="I13" s="222">
        <f>SUM(I10:I12)</f>
        <v>12623.303091349999</v>
      </c>
      <c r="J13" s="307">
        <f>SUM(G13:I13)</f>
        <v>80017.093091349991</v>
      </c>
      <c r="K13" s="325"/>
      <c r="L13" s="307">
        <f>SUM(L10:L12)</f>
        <v>0</v>
      </c>
      <c r="M13" s="307">
        <f>SUM(M10:M12)</f>
        <v>-291.04550799999998</v>
      </c>
      <c r="N13" s="307">
        <f>SUM(N10:N12)</f>
        <v>-291.04550799999998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485"/>
      <c r="D14" s="489"/>
      <c r="E14" s="194"/>
      <c r="F14" s="221"/>
      <c r="G14" s="307"/>
      <c r="H14" s="307"/>
      <c r="I14" s="307"/>
      <c r="J14" s="307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"&amp;'HDAA|0499'!FiscalYear-1</f>
        <v>FY 2022</v>
      </c>
      <c r="D15" s="226" t="s">
        <v>47</v>
      </c>
      <c r="E15" s="524">
        <v>307900</v>
      </c>
      <c r="F15" s="525">
        <v>0</v>
      </c>
      <c r="G15" s="334">
        <f>IF(OrigApprop=0,0,(G13/$J$13)*OrigApprop)</f>
        <v>215394.6485074595</v>
      </c>
      <c r="H15" s="334">
        <f>IF(OrigApprop=0,0,(H13/$J$13)*OrigApprop)</f>
        <v>43931.792123300846</v>
      </c>
      <c r="I15" s="334">
        <f>IF(G15=0,0,(I13/$J$13)*OrigApprop)</f>
        <v>48573.559369239651</v>
      </c>
      <c r="J15" s="334">
        <f>SUM(G15:I15)</f>
        <v>307900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1" t="s">
        <v>60</v>
      </c>
      <c r="D16" s="602"/>
      <c r="E16" s="230" t="s">
        <v>59</v>
      </c>
      <c r="F16" s="213">
        <f>F15-F13</f>
        <v>-0.98</v>
      </c>
      <c r="G16" s="205">
        <f>G15-G13</f>
        <v>159417.85850745952</v>
      </c>
      <c r="H16" s="205">
        <f>H15-H13</f>
        <v>32514.792123300846</v>
      </c>
      <c r="I16" s="205">
        <f>I15-I13</f>
        <v>35950.256277889654</v>
      </c>
      <c r="J16" s="205">
        <f>J15-J13</f>
        <v>227882.90690865001</v>
      </c>
      <c r="K16" s="323"/>
      <c r="L16" s="139" t="str">
        <f>IF('HDAA|0499'!OrigApprop=0,"ERROR! Enter Original Appropriation amount in DU 3.00!","Calculated "&amp;IF('HDAA|0499'!AdjustedTotal&gt;0,"overfunding ","underfunding ")&amp;"is "&amp;TEXT('HDAA|0499'!AdjustedTotal/'HDAA|0499'!AppropTotal,"#.0%;(#.0% );0% ;")&amp;" of Original Appropriation")</f>
        <v>Calculated overfunding is 74.0% of Original Appropriation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3" t="s">
        <v>58</v>
      </c>
      <c r="D17" s="604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5" t="s">
        <v>57</v>
      </c>
      <c r="D18" s="606"/>
      <c r="E18" s="194"/>
      <c r="F18" s="195"/>
      <c r="G18" s="308"/>
      <c r="H18" s="308"/>
      <c r="I18" s="197"/>
      <c r="J18" s="308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308"/>
      <c r="H19" s="266"/>
      <c r="I19" s="267"/>
      <c r="J19" s="308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90"/>
      <c r="AB19" s="490"/>
      <c r="AC19" s="490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334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334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334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334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334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334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334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334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334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334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334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308"/>
      <c r="H31" s="308"/>
      <c r="I31" s="308"/>
      <c r="J31" s="308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90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07" t="s">
        <v>55</v>
      </c>
      <c r="D37" s="608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599" t="s">
        <v>131</v>
      </c>
      <c r="AB37" s="600"/>
      <c r="AC37" s="600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609" t="str">
        <f>perm_name</f>
        <v>Permanent Positions</v>
      </c>
      <c r="D38" s="610"/>
      <c r="E38" s="208">
        <v>1</v>
      </c>
      <c r="F38" s="309">
        <f>SUMIF($E9:$E35,$E38,$F9:$F35)</f>
        <v>0.98</v>
      </c>
      <c r="G38" s="209">
        <f>SUMIF($E10:$E35,$E38,$G10:$G35)</f>
        <v>55970.289999999994</v>
      </c>
      <c r="H38" s="209">
        <f>SUMIF($E10:$E35,$E38,$H10:$H35)</f>
        <v>11417</v>
      </c>
      <c r="I38" s="209">
        <f>SUMIF($E10:$E35,$E38,$I10:$I35)</f>
        <v>12622.733091349999</v>
      </c>
      <c r="J38" s="209">
        <f>SUM(G38:I38)</f>
        <v>80010.023091349998</v>
      </c>
      <c r="K38" s="206"/>
      <c r="L38" s="210">
        <f>SUMIF($E10:$E35,$E38,$L10:$L35)</f>
        <v>0</v>
      </c>
      <c r="M38" s="210">
        <f>SUMIF($E10:$E35,$E38,$M10:$M35)</f>
        <v>-291.04550799999998</v>
      </c>
      <c r="N38" s="210">
        <f>SUM(L38:M38)</f>
        <v>-291.04550799999998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600</v>
      </c>
      <c r="AB38" s="436">
        <f>ROUND((AdjPermVB*CECPerm+AdjPermVBBY*CECPerm),-2)</f>
        <v>100</v>
      </c>
      <c r="AC38" s="436">
        <f>SUM(AA38:AB38)</f>
        <v>700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609" t="str">
        <f>Group_name</f>
        <v>Board &amp; Group Positions</v>
      </c>
      <c r="D39" s="610"/>
      <c r="E39" s="208">
        <v>2</v>
      </c>
      <c r="F39" s="188">
        <f>SUMIF($E9:$E35,$E39,$F9:$F35)</f>
        <v>0</v>
      </c>
      <c r="G39" s="211">
        <f>SUMIF($E10:$E35,$E39,$G10:$G35)</f>
        <v>6.5</v>
      </c>
      <c r="H39" s="212">
        <f>SUMIF($E10:$E35,$E39,$H10:$H35)</f>
        <v>0</v>
      </c>
      <c r="I39" s="211">
        <f>SUMIF($E10:$E35,$E39,$I10:$I35)</f>
        <v>0.56999999999999995</v>
      </c>
      <c r="J39" s="211">
        <f>SUM(G39:I39)</f>
        <v>7.07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0</v>
      </c>
      <c r="AB39" s="436">
        <f>ROUND(AdjGroupVB*CECGroup,-2)</f>
        <v>0</v>
      </c>
      <c r="AC39" s="436">
        <f>SUM(AA39:AB39)</f>
        <v>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485" t="str">
        <f>Elect_name</f>
        <v>Elected Officials &amp; Full Time Commissioners</v>
      </c>
      <c r="D40" s="486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609" t="s">
        <v>54</v>
      </c>
      <c r="D41" s="610"/>
      <c r="E41" s="208"/>
      <c r="F41" s="213">
        <f>SUM(F38:F40)</f>
        <v>0.98</v>
      </c>
      <c r="G41" s="214">
        <f>SUM($G$38:$G$40)</f>
        <v>55976.789999999994</v>
      </c>
      <c r="H41" s="205">
        <f>SUM($H$38:$H$40)</f>
        <v>11417</v>
      </c>
      <c r="I41" s="205">
        <f>SUM($I$38:$I$40)</f>
        <v>12623.303091349999</v>
      </c>
      <c r="J41" s="205">
        <f>SUM($J$38:$J$40)</f>
        <v>80017.093091350005</v>
      </c>
      <c r="K41" s="206"/>
      <c r="L41" s="205">
        <f>SUM($L$38:$L$40)</f>
        <v>0</v>
      </c>
      <c r="M41" s="205">
        <f>SUM($M$38:$M$40)</f>
        <v>-291.04550799999998</v>
      </c>
      <c r="N41" s="205">
        <f>SUM(L41:M41)</f>
        <v>-291.04550799999998</v>
      </c>
      <c r="O41"/>
      <c r="P41"/>
      <c r="Q41"/>
      <c r="R41"/>
      <c r="S41"/>
      <c r="T41"/>
      <c r="U41"/>
      <c r="V41"/>
      <c r="W41"/>
      <c r="X41"/>
      <c r="Y41"/>
      <c r="Z41"/>
      <c r="AA41" s="490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611"/>
      <c r="D42" s="612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13" t="s">
        <v>53</v>
      </c>
      <c r="D43" s="614"/>
      <c r="E43" s="294" t="s">
        <v>52</v>
      </c>
      <c r="F43" s="338">
        <f>ROUND(F52-F41,2)</f>
        <v>-0.98</v>
      </c>
      <c r="G43" s="339">
        <f>ROUND(G51-G41,-2)</f>
        <v>159400</v>
      </c>
      <c r="H43" s="334">
        <f>ROUND(H51-H41,-2)</f>
        <v>32500</v>
      </c>
      <c r="I43" s="334">
        <f>ROUND(I51-I41,-2)</f>
        <v>36000</v>
      </c>
      <c r="J43" s="334">
        <f>SUM(G43:I43)</f>
        <v>227900</v>
      </c>
      <c r="K43" s="578" t="str">
        <f>IF(E51=0,"ERROR! Enter Original Appropriation amount in DU 3.00!","Calculated "&amp;IF(J43&gt;0,"overfunding ","underfunding ")&amp;"is "&amp;TEXT(J43/J51,"#.0%;(#.0% );0% ;")&amp;" of Original Appropriation")</f>
        <v>Calculated overfunding is 74.0% of Original Appropriation</v>
      </c>
      <c r="L43" s="579"/>
      <c r="M43" s="579"/>
      <c r="N43" s="580"/>
      <c r="O43"/>
      <c r="P43"/>
      <c r="Q43"/>
      <c r="R43"/>
      <c r="S43"/>
      <c r="T43"/>
      <c r="U43"/>
      <c r="V43"/>
      <c r="W43"/>
      <c r="X43"/>
      <c r="Y43"/>
      <c r="Z43"/>
      <c r="AA43" s="599" t="s">
        <v>132</v>
      </c>
      <c r="AB43" s="600"/>
      <c r="AC43" s="600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15"/>
      <c r="D44" s="602"/>
      <c r="E44" s="293" t="s">
        <v>51</v>
      </c>
      <c r="F44" s="309">
        <f>ROUND(F60-F41,2)</f>
        <v>-0.98</v>
      </c>
      <c r="G44" s="193">
        <f>ROUND(G60-G41,-2)</f>
        <v>159400</v>
      </c>
      <c r="H44" s="334">
        <f>ROUND(H60-H41,-2)</f>
        <v>32500</v>
      </c>
      <c r="I44" s="334">
        <f>ROUND(I60-I41,-2)</f>
        <v>36000</v>
      </c>
      <c r="J44" s="334">
        <f>SUM(G44:I44)</f>
        <v>227900</v>
      </c>
      <c r="K44" s="578" t="str">
        <f>IF(E51=0,"ERROR! Enter Original Appropriation amount in DU 3.00!","Calculated "&amp;IF(J44&gt;0,"overfunding ","underfunding ")&amp;"is "&amp;TEXT(J44/J60,"#.0%;(#.0% );0% ;")&amp;" of Estimated Expenditures")</f>
        <v>Calculated overfunding is 74.0% of Estimated Expenditures</v>
      </c>
      <c r="L44" s="579"/>
      <c r="M44" s="579"/>
      <c r="N44" s="580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-0.98</v>
      </c>
      <c r="G45" s="193">
        <f>ROUND(G67-G41-G63,-2)</f>
        <v>159400</v>
      </c>
      <c r="H45" s="193">
        <f>ROUND(H67-H41-H63,-2)</f>
        <v>32500</v>
      </c>
      <c r="I45" s="193">
        <f>ROUND(I67-I41-I63,-2)</f>
        <v>36000</v>
      </c>
      <c r="J45" s="334">
        <f>SUM(G45:I45)</f>
        <v>227900</v>
      </c>
      <c r="K45" s="578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74.0% of the Base</v>
      </c>
      <c r="L45" s="579"/>
      <c r="M45" s="579"/>
      <c r="N45" s="580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0</v>
      </c>
      <c r="AC45" s="436">
        <f>SUM(AA45:AB45)</f>
        <v>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1" t="s">
        <v>123</v>
      </c>
      <c r="F46" s="582"/>
      <c r="G46" s="582"/>
      <c r="H46" s="582"/>
      <c r="I46" s="582"/>
      <c r="J46" s="583"/>
      <c r="K46" s="587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588"/>
      <c r="M46" s="588"/>
      <c r="N46" s="589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4"/>
      <c r="F47" s="585"/>
      <c r="G47" s="585"/>
      <c r="H47" s="585"/>
      <c r="I47" s="585"/>
      <c r="J47" s="586"/>
      <c r="K47" s="590"/>
      <c r="L47" s="591"/>
      <c r="M47" s="591"/>
      <c r="N47" s="592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302"/>
      <c r="C49" s="123"/>
      <c r="D49" s="122"/>
      <c r="E49" s="121"/>
      <c r="F49" s="120"/>
      <c r="G49" s="302"/>
      <c r="H49" s="302"/>
      <c r="I49" s="302"/>
      <c r="J49" s="302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3"/>
      <c r="D50" s="594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307900</v>
      </c>
      <c r="F51" s="108">
        <f>AppropFTP</f>
        <v>0</v>
      </c>
      <c r="G51" s="111">
        <f>IF(E51=0,0,(G41/$J$41)*$E$51)</f>
        <v>215394.64850745947</v>
      </c>
      <c r="H51" s="111">
        <f>IF(E51=0,0,(H41/$J$41)*$E$51)</f>
        <v>43931.792123300838</v>
      </c>
      <c r="I51" s="111">
        <f>IF(E51=0,0,(I41/$J$41)*$E$51)</f>
        <v>48573.559369239643</v>
      </c>
      <c r="J51" s="320">
        <f>SUM(G51:I51)</f>
        <v>307899.99999999994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215400</v>
      </c>
      <c r="H52" s="107">
        <f>ROUND(H51,-2)</f>
        <v>43900</v>
      </c>
      <c r="I52" s="107">
        <f>ROUND(I51,-2)</f>
        <v>48600</v>
      </c>
      <c r="J52" s="316">
        <f>ROUND(J51,-2)</f>
        <v>307900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5" t="s">
        <v>45</v>
      </c>
      <c r="D53" s="596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3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97" t="s">
        <v>43</v>
      </c>
      <c r="D55" s="598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332">
        <f>SUM(G52:G55)</f>
        <v>215400</v>
      </c>
      <c r="H56" s="332">
        <f>SUM(H52:H55)</f>
        <v>43900</v>
      </c>
      <c r="I56" s="332">
        <f>SUM(I52:I55)</f>
        <v>48600</v>
      </c>
      <c r="J56" s="328">
        <f>SUM(J52:J55)</f>
        <v>307900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1" t="s">
        <v>41</v>
      </c>
      <c r="D57" s="572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3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97" t="s">
        <v>39</v>
      </c>
      <c r="D59" s="598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332">
        <f>SUM(G56:G59)</f>
        <v>215400</v>
      </c>
      <c r="H60" s="332">
        <f>SUM(H56:H59)</f>
        <v>43900</v>
      </c>
      <c r="I60" s="332">
        <f>SUM(I56:I59)</f>
        <v>48600</v>
      </c>
      <c r="J60" s="320">
        <f>SUM(J56:J59)</f>
        <v>307900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1" t="s">
        <v>37</v>
      </c>
      <c r="D61" s="572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3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3" t="s">
        <v>35</v>
      </c>
      <c r="D63" s="564"/>
      <c r="E63" s="51"/>
      <c r="F63" s="50">
        <v>0</v>
      </c>
      <c r="G63" s="370">
        <f>ROUND((OneTimePC_Total-H63)/(1+(PermVB+Retire1)),-2)</f>
        <v>0</v>
      </c>
      <c r="H63" s="370">
        <f>ROUND(IF(AND(F63&lt;0,OneTimePC_Total&lt;0),F63*Health,0),-2)</f>
        <v>0</v>
      </c>
      <c r="I63" s="370">
        <f>OneTimePC_Total-G63-H63</f>
        <v>0</v>
      </c>
      <c r="J63" s="101">
        <v>0</v>
      </c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5" t="s">
        <v>34</v>
      </c>
      <c r="D64" s="566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7"/>
      <c r="D65" s="568"/>
      <c r="E65" s="90"/>
      <c r="F65" s="89"/>
      <c r="G65" s="303"/>
      <c r="H65" s="303"/>
      <c r="I65" s="303"/>
      <c r="J65" s="303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69"/>
      <c r="D66" s="570"/>
      <c r="E66" s="84"/>
      <c r="F66" s="83" t="s">
        <v>33</v>
      </c>
      <c r="G66" s="304" t="str">
        <f>"FY "&amp;M4-2000&amp;" Salary"</f>
        <v>FY 23 Salary</v>
      </c>
      <c r="H66" s="304" t="str">
        <f>"FY"&amp;M4-2000&amp;" Health Ben"</f>
        <v>FY23 Health Ben</v>
      </c>
      <c r="I66" s="304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215400</v>
      </c>
      <c r="H67" s="72">
        <f>SUM(H60:H64)</f>
        <v>43900</v>
      </c>
      <c r="I67" s="72">
        <f>SUM(I60:I64)</f>
        <v>48600</v>
      </c>
      <c r="J67" s="72">
        <f>SUM(J60:J64)</f>
        <v>307900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1" t="s">
        <v>31</v>
      </c>
      <c r="D68" s="572"/>
      <c r="E68" s="61"/>
      <c r="F68" s="67"/>
      <c r="G68" s="319"/>
      <c r="H68" s="333">
        <f>IF(DUNine=0,0,ROUND(SUM(L41:L65),-2))</f>
        <v>0</v>
      </c>
      <c r="I68" s="333"/>
      <c r="J68" s="319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1" t="s">
        <v>30</v>
      </c>
      <c r="D69" s="572"/>
      <c r="E69" s="61"/>
      <c r="F69" s="67"/>
      <c r="G69" s="333"/>
      <c r="H69" s="333"/>
      <c r="I69" s="333">
        <f>IF(DUNine=0,0,ROUND(SUM(M41:M64),-2))</f>
        <v>-300</v>
      </c>
      <c r="J69" s="319">
        <f>SUM(G69:I69)</f>
        <v>-300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73"/>
      <c r="D70" s="574"/>
      <c r="E70" s="483" t="s">
        <v>67</v>
      </c>
      <c r="F70" s="67"/>
      <c r="G70" s="333"/>
      <c r="H70" s="333"/>
      <c r="I70" s="333"/>
      <c r="J70" s="319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3" t="s">
        <v>29</v>
      </c>
      <c r="D71" s="575"/>
      <c r="E71" s="261"/>
      <c r="F71" s="260"/>
      <c r="G71" s="71">
        <v>0</v>
      </c>
      <c r="H71" s="71">
        <v>0</v>
      </c>
      <c r="I71" s="319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3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600</v>
      </c>
      <c r="H72" s="319"/>
      <c r="I72" s="319">
        <f>ROUND(($G72*PermVBBY+$G72*Retire1BY),-2)</f>
        <v>100</v>
      </c>
      <c r="J72" s="333">
        <f t="shared" si="11"/>
        <v>700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3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319"/>
      <c r="I73" s="319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487" t="s">
        <v>27</v>
      </c>
      <c r="D74" s="488"/>
      <c r="E74" s="61"/>
      <c r="F74" s="67"/>
      <c r="G74" s="71">
        <v>0</v>
      </c>
      <c r="H74" s="319"/>
      <c r="I74" s="319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332">
        <f>SUM(G67:G74)</f>
        <v>216000</v>
      </c>
      <c r="H75" s="332">
        <f>SUM(H67:H74)</f>
        <v>43900</v>
      </c>
      <c r="I75" s="332">
        <f>SUM(I67:I74)</f>
        <v>48400</v>
      </c>
      <c r="J75" s="332">
        <f>SUM(J67:J74)</f>
        <v>308300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76" t="s">
        <v>25</v>
      </c>
      <c r="D76" s="577"/>
      <c r="E76" s="56" t="s">
        <v>24</v>
      </c>
      <c r="F76" s="55"/>
      <c r="G76" s="318"/>
      <c r="H76" s="318"/>
      <c r="I76" s="318"/>
      <c r="J76" s="318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1"/>
      <c r="D77" s="552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1"/>
      <c r="D78" s="552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1"/>
      <c r="D79" s="552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216000</v>
      </c>
      <c r="H80" s="40">
        <f>SUM(H75:H79)</f>
        <v>43900</v>
      </c>
      <c r="I80" s="40">
        <f>SUM(I75:I79)</f>
        <v>48400</v>
      </c>
      <c r="J80" s="40">
        <f>SUM(J75:J79)</f>
        <v>308300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305"/>
      <c r="F82" s="305"/>
      <c r="G82" s="305"/>
      <c r="H82" s="305"/>
      <c r="N82" s="17"/>
      <c r="AA82" s="420"/>
      <c r="AB82" s="420"/>
      <c r="AC82" s="420"/>
      <c r="AD82" s="421"/>
    </row>
    <row r="83" spans="1:94" ht="27.75" customHeight="1" thickBot="1" x14ac:dyDescent="0.3">
      <c r="A83" s="553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5" t="str">
        <f>"FY "&amp;FiscalYear-2&amp;" PERSONNEL COST ACTUAL EXPENDITURES"&amp;" (DU 2.0)"</f>
        <v>FY 2021 PERSONNEL COST ACTUAL EXPENDITURES (DU 2.0)</v>
      </c>
      <c r="F84" s="556"/>
      <c r="G84" s="555" t="str">
        <f>"FY "&amp;FiscalYear-1&amp;" PERSONNEL COST ORIGINAL APPROPRIATION"&amp;" (DU 3.0)"</f>
        <v>FY 2022 PERSONNEL COST ORIGINAL APPROPRIATION (DU 3.0)</v>
      </c>
      <c r="H84" s="557"/>
      <c r="I84" s="558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9"/>
      <c r="K84" s="559"/>
      <c r="L84" s="559"/>
      <c r="M84" s="559"/>
      <c r="N84" s="560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9" t="s">
        <v>128</v>
      </c>
      <c r="B85" s="550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61" t="s">
        <v>79</v>
      </c>
      <c r="B86" s="562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61" t="s">
        <v>80</v>
      </c>
      <c r="B87" s="562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t="16.5" hidden="1" thickBot="1" x14ac:dyDescent="0.3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t="16.5" hidden="1" thickBot="1" x14ac:dyDescent="0.3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t="16.5" hidden="1" thickBot="1" x14ac:dyDescent="0.3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t="16.5" hidden="1" thickBot="1" x14ac:dyDescent="0.3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484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48" t="s">
        <v>136</v>
      </c>
      <c r="B98" s="548"/>
      <c r="C98" s="548"/>
      <c r="D98" s="548"/>
      <c r="E98" s="548"/>
      <c r="F98" s="548"/>
      <c r="G98" s="548"/>
      <c r="H98" s="548"/>
      <c r="I98" s="548"/>
      <c r="J98" s="548"/>
      <c r="K98" s="548"/>
      <c r="L98" s="548"/>
      <c r="M98" s="548"/>
      <c r="N98" s="548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9" t="s">
        <v>128</v>
      </c>
      <c r="B99" s="550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40" t="str">
        <f>A86</f>
        <v>Fund Detail 1</v>
      </c>
      <c r="B100" s="541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40" t="str">
        <f>A87</f>
        <v>Fund Detail 2</v>
      </c>
      <c r="B101" s="541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40" t="str">
        <f t="shared" ref="A102:A110" si="22">A88</f>
        <v>Fund Detail 3</v>
      </c>
      <c r="B102" s="541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40" t="str">
        <f t="shared" si="22"/>
        <v>Fund Detail 4</v>
      </c>
      <c r="B103" s="541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40" t="str">
        <f t="shared" si="22"/>
        <v>Fund Detail 5</v>
      </c>
      <c r="B104" s="541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40" t="str">
        <f t="shared" si="22"/>
        <v>Fund Detail 6</v>
      </c>
      <c r="B105" s="541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40" t="str">
        <f t="shared" si="22"/>
        <v>Fund Detail 7</v>
      </c>
      <c r="B106" s="541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40" t="str">
        <f t="shared" si="22"/>
        <v>Fund Detail 8</v>
      </c>
      <c r="B107" s="541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40" t="str">
        <f t="shared" si="22"/>
        <v>Fund Detail 9</v>
      </c>
      <c r="B108" s="541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40" t="str">
        <f t="shared" si="22"/>
        <v>Fund Detail 10</v>
      </c>
      <c r="B109" s="541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6" t="str">
        <f t="shared" si="22"/>
        <v>TOTAL</v>
      </c>
      <c r="B110" s="527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8" t="s">
        <v>13</v>
      </c>
      <c r="B113" s="529"/>
      <c r="C113" s="529"/>
      <c r="D113" s="529"/>
      <c r="E113" s="529"/>
      <c r="F113" s="529"/>
      <c r="G113" s="529"/>
      <c r="H113" s="529"/>
      <c r="I113" s="529"/>
      <c r="J113" s="529"/>
      <c r="K113" s="529"/>
      <c r="L113" s="529"/>
      <c r="M113" s="529"/>
      <c r="N113" s="530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31"/>
      <c r="B114" s="532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3"/>
    </row>
    <row r="115" spans="1:94" ht="35.25" customHeight="1" x14ac:dyDescent="0.25">
      <c r="A115" s="534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6"/>
    </row>
    <row r="116" spans="1:94" ht="15.75" hidden="1" customHeight="1" x14ac:dyDescent="0.25">
      <c r="A116" s="534"/>
      <c r="B116" s="535"/>
      <c r="C116" s="535"/>
      <c r="D116" s="535"/>
      <c r="E116" s="535"/>
      <c r="F116" s="535"/>
      <c r="G116" s="535"/>
      <c r="H116" s="535"/>
      <c r="I116" s="535"/>
      <c r="J116" s="535"/>
      <c r="K116" s="535"/>
      <c r="L116" s="535"/>
      <c r="M116" s="535"/>
      <c r="N116" s="536"/>
    </row>
    <row r="117" spans="1:94" ht="15.75" hidden="1" customHeight="1" x14ac:dyDescent="0.25">
      <c r="A117" s="534"/>
      <c r="B117" s="535"/>
      <c r="C117" s="535"/>
      <c r="D117" s="535"/>
      <c r="E117" s="535"/>
      <c r="F117" s="535"/>
      <c r="G117" s="535"/>
      <c r="H117" s="535"/>
      <c r="I117" s="535"/>
      <c r="J117" s="535"/>
      <c r="K117" s="535"/>
      <c r="L117" s="535"/>
      <c r="M117" s="535"/>
      <c r="N117" s="536"/>
    </row>
    <row r="118" spans="1:94" ht="15.75" hidden="1" customHeight="1" x14ac:dyDescent="0.25">
      <c r="A118" s="534"/>
      <c r="B118" s="535"/>
      <c r="C118" s="535"/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6"/>
    </row>
    <row r="119" spans="1:94" ht="15.75" hidden="1" customHeight="1" x14ac:dyDescent="0.25">
      <c r="A119" s="534"/>
      <c r="B119" s="535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6"/>
    </row>
    <row r="120" spans="1:94" ht="15.75" hidden="1" customHeight="1" x14ac:dyDescent="0.25">
      <c r="A120" s="534"/>
      <c r="B120" s="535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6"/>
    </row>
    <row r="121" spans="1:94" ht="15.75" hidden="1" customHeight="1" x14ac:dyDescent="0.25">
      <c r="A121" s="534"/>
      <c r="B121" s="535"/>
      <c r="C121" s="535"/>
      <c r="D121" s="535"/>
      <c r="E121" s="535"/>
      <c r="F121" s="535"/>
      <c r="G121" s="535"/>
      <c r="H121" s="535"/>
      <c r="I121" s="535"/>
      <c r="J121" s="535"/>
      <c r="K121" s="535"/>
      <c r="L121" s="535"/>
      <c r="M121" s="535"/>
      <c r="N121" s="536"/>
    </row>
    <row r="122" spans="1:94" ht="15.75" hidden="1" customHeight="1" x14ac:dyDescent="0.25">
      <c r="A122" s="534"/>
      <c r="B122" s="535"/>
      <c r="C122" s="535"/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6"/>
    </row>
    <row r="123" spans="1:94" ht="15.75" hidden="1" customHeight="1" x14ac:dyDescent="0.25">
      <c r="A123" s="534"/>
      <c r="B123" s="535"/>
      <c r="C123" s="535"/>
      <c r="D123" s="535"/>
      <c r="E123" s="535"/>
      <c r="F123" s="535"/>
      <c r="G123" s="535"/>
      <c r="H123" s="535"/>
      <c r="I123" s="535"/>
      <c r="J123" s="535"/>
      <c r="K123" s="535"/>
      <c r="L123" s="535"/>
      <c r="M123" s="535"/>
      <c r="N123" s="536"/>
    </row>
    <row r="124" spans="1:94" ht="16.5" thickBot="1" x14ac:dyDescent="0.3">
      <c r="A124" s="537"/>
      <c r="B124" s="538"/>
      <c r="C124" s="538"/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9"/>
    </row>
  </sheetData>
  <mergeCells count="82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AA43:AC43"/>
    <mergeCell ref="K44:N44"/>
    <mergeCell ref="C16:D16"/>
    <mergeCell ref="C17:D17"/>
    <mergeCell ref="C18:D18"/>
    <mergeCell ref="C37:D37"/>
    <mergeCell ref="AA37:AC37"/>
    <mergeCell ref="C38:D38"/>
    <mergeCell ref="C39:D39"/>
    <mergeCell ref="C41:D41"/>
    <mergeCell ref="C42:D42"/>
    <mergeCell ref="C43:D44"/>
    <mergeCell ref="K43:N43"/>
    <mergeCell ref="C62:D62"/>
    <mergeCell ref="K45:N45"/>
    <mergeCell ref="E46:J47"/>
    <mergeCell ref="K46:N47"/>
    <mergeCell ref="C50:D50"/>
    <mergeCell ref="C53:D53"/>
    <mergeCell ref="C54:D54"/>
    <mergeCell ref="C55:D55"/>
    <mergeCell ref="C57:D57"/>
    <mergeCell ref="C58:D58"/>
    <mergeCell ref="C59:D59"/>
    <mergeCell ref="C61:D61"/>
    <mergeCell ref="C77:D77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6:D76"/>
    <mergeCell ref="A90:B90"/>
    <mergeCell ref="C78:D78"/>
    <mergeCell ref="C79:D79"/>
    <mergeCell ref="A83:N83"/>
    <mergeCell ref="E84:F84"/>
    <mergeCell ref="G84:H84"/>
    <mergeCell ref="I84:N84"/>
    <mergeCell ref="A85:B85"/>
    <mergeCell ref="A86:B86"/>
    <mergeCell ref="A87:B87"/>
    <mergeCell ref="A88:B88"/>
    <mergeCell ref="A89:B89"/>
    <mergeCell ref="A103:B103"/>
    <mergeCell ref="A91:B91"/>
    <mergeCell ref="A92:B92"/>
    <mergeCell ref="A93:B93"/>
    <mergeCell ref="A94:B94"/>
    <mergeCell ref="A95:B95"/>
    <mergeCell ref="A96:C96"/>
    <mergeCell ref="A98:N98"/>
    <mergeCell ref="A99:B99"/>
    <mergeCell ref="A100:B100"/>
    <mergeCell ref="A101:B101"/>
    <mergeCell ref="A102:B102"/>
    <mergeCell ref="A110:B110"/>
    <mergeCell ref="A113:N113"/>
    <mergeCell ref="A114:N124"/>
    <mergeCell ref="A104:B104"/>
    <mergeCell ref="A105:B105"/>
    <mergeCell ref="A106:B106"/>
    <mergeCell ref="A107:B107"/>
    <mergeCell ref="A108:B108"/>
    <mergeCell ref="A109:B109"/>
  </mergeCells>
  <conditionalFormatting sqref="K44">
    <cfRule type="expression" dxfId="13" priority="6">
      <formula>$J$44&lt;0</formula>
    </cfRule>
  </conditionalFormatting>
  <conditionalFormatting sqref="K43">
    <cfRule type="expression" dxfId="12" priority="5">
      <formula>$J$43&lt;0</formula>
    </cfRule>
  </conditionalFormatting>
  <conditionalFormatting sqref="L16">
    <cfRule type="expression" dxfId="11" priority="4">
      <formula>$J$16&lt;0</formula>
    </cfRule>
  </conditionalFormatting>
  <conditionalFormatting sqref="I96:I97 I111">
    <cfRule type="containsText" dxfId="10" priority="3" operator="containsText" text="Re-Calculate Percentages">
      <formula>NOT(ISERROR(SEARCH("Re-Calculate Percentages",I96)))</formula>
    </cfRule>
  </conditionalFormatting>
  <conditionalFormatting sqref="K45">
    <cfRule type="expression" dxfId="9" priority="2">
      <formula>$J$44&lt;0</formula>
    </cfRule>
  </conditionalFormatting>
  <conditionalFormatting sqref="K43:N45">
    <cfRule type="containsText" dxfId="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EBC967-E278-4439-9BEB-559EE7ECFD3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O206"/>
  <sheetViews>
    <sheetView workbookViewId="0">
      <pane xSplit="3" ySplit="1" topLeftCell="AM184" activePane="bottomRight" state="frozen"/>
      <selection pane="topRight" activeCell="D1" sqref="D1"/>
      <selection pane="bottomLeft" activeCell="A2" sqref="A2"/>
      <selection pane="bottomRight" activeCell="AS191" sqref="AS191:BA206"/>
    </sheetView>
  </sheetViews>
  <sheetFormatPr defaultRowHeight="15" x14ac:dyDescent="0.25"/>
  <cols>
    <col min="45" max="53" width="15.7109375" customWidth="1"/>
    <col min="54" max="54" width="13.4257812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62" width="10.5703125" bestFit="1" customWidth="1"/>
    <col min="63" max="63" width="9" bestFit="1" customWidth="1"/>
    <col min="64" max="64" width="13.42578125" bestFit="1" customWidth="1"/>
    <col min="65" max="65" width="9" bestFit="1" customWidth="1"/>
    <col min="66" max="66" width="13.4257812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4" width="10.5703125" bestFit="1" customWidth="1"/>
    <col min="75" max="75" width="9" bestFit="1" customWidth="1"/>
    <col min="76" max="76" width="13.42578125" bestFit="1" customWidth="1"/>
    <col min="77" max="83" width="9" bestFit="1" customWidth="1"/>
    <col min="84" max="84" width="11.28515625" bestFit="1" customWidth="1"/>
    <col min="85" max="85" width="9" bestFit="1" customWidth="1"/>
    <col min="86" max="86" width="10.140625" bestFit="1" customWidth="1"/>
    <col min="87" max="87" width="9" bestFit="1" customWidth="1"/>
    <col min="88" max="88" width="11.28515625" bestFit="1" customWidth="1"/>
    <col min="89" max="89" width="9" bestFit="1" customWidth="1"/>
    <col min="90" max="91" width="11.7109375" bestFit="1" customWidth="1"/>
  </cols>
  <sheetData>
    <row r="1" spans="1:92" ht="12.75" customHeight="1" thickBot="1" x14ac:dyDescent="0.3">
      <c r="A1" s="493" t="s">
        <v>144</v>
      </c>
      <c r="B1" s="493" t="s">
        <v>145</v>
      </c>
      <c r="C1" s="493" t="s">
        <v>70</v>
      </c>
      <c r="D1" s="493" t="s">
        <v>146</v>
      </c>
      <c r="E1" s="493" t="s">
        <v>147</v>
      </c>
      <c r="F1" s="494" t="s">
        <v>148</v>
      </c>
      <c r="G1" s="493" t="s">
        <v>149</v>
      </c>
      <c r="H1" s="493" t="s">
        <v>150</v>
      </c>
      <c r="I1" s="493" t="s">
        <v>151</v>
      </c>
      <c r="J1" s="493" t="s">
        <v>152</v>
      </c>
      <c r="K1" s="493" t="s">
        <v>153</v>
      </c>
      <c r="L1" s="493" t="s">
        <v>154</v>
      </c>
      <c r="M1" s="493" t="s">
        <v>155</v>
      </c>
      <c r="N1" s="493" t="s">
        <v>156</v>
      </c>
      <c r="O1" s="493" t="s">
        <v>157</v>
      </c>
      <c r="P1" s="493" t="s">
        <v>158</v>
      </c>
      <c r="Q1" s="493" t="s">
        <v>159</v>
      </c>
      <c r="R1" s="493" t="s">
        <v>160</v>
      </c>
      <c r="S1" s="493" t="s">
        <v>161</v>
      </c>
      <c r="T1" s="493" t="s">
        <v>162</v>
      </c>
      <c r="U1" s="493" t="s">
        <v>163</v>
      </c>
      <c r="V1" s="493" t="s">
        <v>164</v>
      </c>
      <c r="W1" s="493" t="s">
        <v>165</v>
      </c>
      <c r="X1" s="493" t="s">
        <v>166</v>
      </c>
      <c r="Y1" s="493" t="s">
        <v>167</v>
      </c>
      <c r="Z1" s="493" t="s">
        <v>168</v>
      </c>
      <c r="AA1" s="493" t="s">
        <v>169</v>
      </c>
      <c r="AB1" s="493" t="s">
        <v>170</v>
      </c>
      <c r="AC1" s="493" t="s">
        <v>171</v>
      </c>
      <c r="AD1" s="493" t="s">
        <v>172</v>
      </c>
      <c r="AE1" s="493" t="s">
        <v>173</v>
      </c>
      <c r="AF1" s="493" t="s">
        <v>174</v>
      </c>
      <c r="AG1" s="493" t="s">
        <v>175</v>
      </c>
      <c r="AH1" s="493" t="s">
        <v>176</v>
      </c>
      <c r="AI1" s="493" t="s">
        <v>177</v>
      </c>
      <c r="AJ1" s="493" t="s">
        <v>178</v>
      </c>
      <c r="AK1" s="493" t="s">
        <v>179</v>
      </c>
      <c r="AL1" s="493" t="s">
        <v>180</v>
      </c>
      <c r="AM1" s="493" t="s">
        <v>181</v>
      </c>
      <c r="AN1" s="493" t="s">
        <v>182</v>
      </c>
      <c r="AO1" s="493" t="s">
        <v>183</v>
      </c>
      <c r="AP1" s="493" t="s">
        <v>184</v>
      </c>
      <c r="AQ1" s="493" t="s">
        <v>185</v>
      </c>
      <c r="AR1" s="493" t="s">
        <v>186</v>
      </c>
      <c r="AS1" s="505" t="s">
        <v>815</v>
      </c>
      <c r="AT1" s="505" t="s">
        <v>816</v>
      </c>
      <c r="AU1" s="505" t="s">
        <v>817</v>
      </c>
      <c r="AV1" s="505" t="s">
        <v>818</v>
      </c>
      <c r="AW1" s="505" t="s">
        <v>819</v>
      </c>
      <c r="AX1" s="505" t="s">
        <v>820</v>
      </c>
      <c r="AY1" s="505" t="s">
        <v>821</v>
      </c>
      <c r="AZ1" s="505" t="s">
        <v>822</v>
      </c>
      <c r="BA1" s="507" t="s">
        <v>823</v>
      </c>
      <c r="BB1" s="508" t="s">
        <v>824</v>
      </c>
      <c r="BC1" s="508" t="s">
        <v>825</v>
      </c>
      <c r="BD1" s="508" t="s">
        <v>826</v>
      </c>
      <c r="BE1" s="508" t="s">
        <v>827</v>
      </c>
      <c r="BF1" s="508" t="s">
        <v>828</v>
      </c>
      <c r="BG1" s="508" t="s">
        <v>829</v>
      </c>
      <c r="BH1" s="508" t="s">
        <v>830</v>
      </c>
      <c r="BI1" s="508" t="s">
        <v>831</v>
      </c>
      <c r="BJ1" s="508" t="s">
        <v>832</v>
      </c>
      <c r="BK1" s="508" t="s">
        <v>833</v>
      </c>
      <c r="BL1" s="509" t="s">
        <v>834</v>
      </c>
      <c r="BM1" s="509" t="s">
        <v>835</v>
      </c>
      <c r="BN1" s="508" t="s">
        <v>836</v>
      </c>
      <c r="BO1" s="508" t="s">
        <v>837</v>
      </c>
      <c r="BP1" s="508" t="s">
        <v>838</v>
      </c>
      <c r="BQ1" s="508" t="s">
        <v>839</v>
      </c>
      <c r="BR1" s="508" t="s">
        <v>840</v>
      </c>
      <c r="BS1" s="508" t="s">
        <v>841</v>
      </c>
      <c r="BT1" s="508" t="s">
        <v>842</v>
      </c>
      <c r="BU1" s="508" t="s">
        <v>843</v>
      </c>
      <c r="BV1" s="508" t="s">
        <v>844</v>
      </c>
      <c r="BW1" s="508" t="s">
        <v>845</v>
      </c>
      <c r="BX1" s="509" t="s">
        <v>846</v>
      </c>
      <c r="BY1" s="509" t="s">
        <v>847</v>
      </c>
      <c r="BZ1" s="508" t="s">
        <v>848</v>
      </c>
      <c r="CA1" s="508" t="s">
        <v>849</v>
      </c>
      <c r="CB1" s="508" t="s">
        <v>850</v>
      </c>
      <c r="CC1" s="508" t="s">
        <v>851</v>
      </c>
      <c r="CD1" s="508" t="s">
        <v>852</v>
      </c>
      <c r="CE1" s="508" t="s">
        <v>853</v>
      </c>
      <c r="CF1" s="508" t="s">
        <v>854</v>
      </c>
      <c r="CG1" s="508" t="s">
        <v>855</v>
      </c>
      <c r="CH1" s="508" t="s">
        <v>856</v>
      </c>
      <c r="CI1" s="508" t="s">
        <v>857</v>
      </c>
      <c r="CJ1" s="509" t="s">
        <v>858</v>
      </c>
      <c r="CK1" s="509" t="s">
        <v>859</v>
      </c>
      <c r="CL1" s="510" t="s">
        <v>860</v>
      </c>
      <c r="CM1" s="510" t="s">
        <v>861</v>
      </c>
      <c r="CN1" s="510" t="s">
        <v>862</v>
      </c>
    </row>
    <row r="2" spans="1:92" ht="15.75" thickBot="1" x14ac:dyDescent="0.3">
      <c r="A2" s="495" t="s">
        <v>187</v>
      </c>
      <c r="B2" s="495" t="s">
        <v>188</v>
      </c>
      <c r="C2" s="495" t="s">
        <v>189</v>
      </c>
      <c r="D2" s="495" t="s">
        <v>190</v>
      </c>
      <c r="E2" s="495" t="s">
        <v>191</v>
      </c>
      <c r="F2" s="496" t="s">
        <v>192</v>
      </c>
      <c r="G2" s="495" t="s">
        <v>193</v>
      </c>
      <c r="H2" s="497"/>
      <c r="I2" s="497"/>
      <c r="J2" s="495" t="s">
        <v>194</v>
      </c>
      <c r="K2" s="495" t="s">
        <v>195</v>
      </c>
      <c r="L2" s="495" t="s">
        <v>196</v>
      </c>
      <c r="M2" s="495" t="s">
        <v>197</v>
      </c>
      <c r="N2" s="495" t="s">
        <v>198</v>
      </c>
      <c r="O2" s="498">
        <v>1</v>
      </c>
      <c r="P2" s="504">
        <v>1</v>
      </c>
      <c r="Q2" s="504">
        <v>1</v>
      </c>
      <c r="R2" s="499">
        <v>80</v>
      </c>
      <c r="S2" s="504">
        <v>1</v>
      </c>
      <c r="T2" s="499">
        <v>59296.14</v>
      </c>
      <c r="U2" s="499">
        <v>0</v>
      </c>
      <c r="V2" s="499">
        <v>25257.64</v>
      </c>
      <c r="W2" s="499">
        <v>61110.400000000001</v>
      </c>
      <c r="X2" s="499">
        <v>25451.759999999998</v>
      </c>
      <c r="Y2" s="499">
        <v>61110.400000000001</v>
      </c>
      <c r="Z2" s="499">
        <v>25133.98</v>
      </c>
      <c r="AA2" s="495" t="s">
        <v>199</v>
      </c>
      <c r="AB2" s="495" t="s">
        <v>200</v>
      </c>
      <c r="AC2" s="495" t="s">
        <v>201</v>
      </c>
      <c r="AD2" s="495" t="s">
        <v>202</v>
      </c>
      <c r="AE2" s="495" t="s">
        <v>195</v>
      </c>
      <c r="AF2" s="495" t="s">
        <v>203</v>
      </c>
      <c r="AG2" s="495" t="s">
        <v>204</v>
      </c>
      <c r="AH2" s="500">
        <v>29.38</v>
      </c>
      <c r="AI2" s="500">
        <v>5816.4</v>
      </c>
      <c r="AJ2" s="495" t="s">
        <v>205</v>
      </c>
      <c r="AK2" s="495" t="s">
        <v>206</v>
      </c>
      <c r="AL2" s="495" t="s">
        <v>207</v>
      </c>
      <c r="AM2" s="495" t="s">
        <v>208</v>
      </c>
      <c r="AN2" s="495" t="s">
        <v>92</v>
      </c>
      <c r="AO2" s="498">
        <v>80</v>
      </c>
      <c r="AP2" s="504">
        <v>1</v>
      </c>
      <c r="AQ2" s="504">
        <v>1</v>
      </c>
      <c r="AR2" s="502" t="s">
        <v>209</v>
      </c>
      <c r="AS2" s="506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506">
        <f>IF(AT2=0,"",IF(AND(AT2=1,M2="F",SUMIF(C2:C177,C2,AS2:AS177)&lt;=1),SUMIF(C2:C177,C2,AS2:AS177),IF(AND(AT2=1,M2="F",SUMIF(C2:C177,C2,AS2:AS177)&gt;1),1,"")))</f>
        <v>1</v>
      </c>
      <c r="AV2" s="506" t="str">
        <f>IF(AT2=0,"",IF(AND(AT2=3,M2="F",SUMIF(C2:C177,C2,AS2:AS177)&lt;=1),SUMIF(C2:C177,C2,AS2:AS177),IF(AND(AT2=3,M2="F",SUMIF(C2:C177,C2,AS2:AS177)&gt;1),1,"")))</f>
        <v/>
      </c>
      <c r="AW2" s="506">
        <f>SUMIF(C2:C177,C2,O2:O177)</f>
        <v>1</v>
      </c>
      <c r="AX2" s="506">
        <f>IF(AND(M2="F",AS2&lt;&gt;0),SUMIF(C2:C177,C2,W2:W177),0)</f>
        <v>61110.400000000001</v>
      </c>
      <c r="AY2" s="506">
        <f>IF(AT2=1,W2,"")</f>
        <v>61110.400000000001</v>
      </c>
      <c r="AZ2" s="506" t="str">
        <f>IF(AT2=3,W2,"")</f>
        <v/>
      </c>
      <c r="BA2" s="506">
        <f>IF(AT2=1,Y2-W2,0)</f>
        <v>0</v>
      </c>
      <c r="BB2" s="506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506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506">
        <f t="shared" ref="BD2:BD33" si="2">IF(AND(AT2&lt;&gt;0,AX2&gt;=MAXSSDI),SSDI*MAXSSDI*P2,IF(AT2&lt;&gt;0,SSDI*W2,0))</f>
        <v>3788.8447999999999</v>
      </c>
      <c r="BE2" s="506">
        <f t="shared" ref="BE2:BE33" si="3">IF(AT2&lt;&gt;0,SSHI*W2,0)</f>
        <v>886.10080000000005</v>
      </c>
      <c r="BF2" s="506">
        <f t="shared" ref="BF2:BF33" si="4">IF(AND(AT2&lt;&gt;0,AN2&lt;&gt;"NE"),VLOOKUP(AN2,Retirement_Rates,3,FALSE)*W2,0)</f>
        <v>7296.5817600000009</v>
      </c>
      <c r="BG2" s="506">
        <f t="shared" ref="BG2:BG33" si="5">IF(AND(AT2&lt;&gt;0,AJ2&lt;&gt;"PF"),Life*W2,0)</f>
        <v>440.60598400000003</v>
      </c>
      <c r="BH2" s="506">
        <f t="shared" ref="BH2:BH33" si="6">IF(AND(AT2&lt;&gt;0,AM2="Y"),UI*W2,0)</f>
        <v>299.44096000000002</v>
      </c>
      <c r="BI2" s="506">
        <f t="shared" ref="BI2:BI33" si="7">IF(AND(AT2&lt;&gt;0,N2&lt;&gt;"NR"),DHR*W2,0)</f>
        <v>338.24606399999999</v>
      </c>
      <c r="BJ2" s="506">
        <f t="shared" ref="BJ2:BJ33" si="8">IF(AT2&lt;&gt;0,WC*W2,0)</f>
        <v>751.65791999999999</v>
      </c>
      <c r="BK2" s="506">
        <f t="shared" ref="BK2:BK33" si="9">IF(OR(AND(AT2&lt;&gt;0,AJ2&lt;&gt;"PF",AN2&lt;&gt;"NE",AG2&lt;&gt;"A"),AND(AL2="E",OR(AT2=1,AT2=3))),Sick*W2,0)</f>
        <v>0</v>
      </c>
      <c r="BL2" s="506">
        <f>IF(AT2=1,SUM(BD2:BK2),0)</f>
        <v>13801.478288</v>
      </c>
      <c r="BM2" s="506">
        <f>IF(AT2=3,SUM(BD2:BK2),0)</f>
        <v>0</v>
      </c>
      <c r="BN2" s="506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506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506">
        <f t="shared" ref="BP2:BP33" si="12">IF(AND(AT2&lt;&gt;0,(AX2+BA2)&gt;=MAXSSDIBY),SSDIBY*MAXSSDIBY*P2,IF(AT2&lt;&gt;0,SSDIBY*W2,0))</f>
        <v>3788.8447999999999</v>
      </c>
      <c r="BQ2" s="506">
        <f t="shared" ref="BQ2:BQ33" si="13">IF(AT2&lt;&gt;0,SSHIBY*W2,0)</f>
        <v>886.10080000000005</v>
      </c>
      <c r="BR2" s="506">
        <f t="shared" ref="BR2:BR33" si="14">IF(AND(AT2&lt;&gt;0,AN2&lt;&gt;"NE"),VLOOKUP(AN2,Retirement_Rates,4,FALSE)*W2,0)</f>
        <v>7296.5817600000009</v>
      </c>
      <c r="BS2" s="506">
        <f t="shared" ref="BS2:BS33" si="15">IF(AND(AT2&lt;&gt;0,AJ2&lt;&gt;"PF"),LifeBY*W2,0)</f>
        <v>440.60598400000003</v>
      </c>
      <c r="BT2" s="506">
        <f t="shared" ref="BT2:BT33" si="16">IF(AND(AT2&lt;&gt;0,AM2="Y"),UIBY*W2,0)</f>
        <v>0</v>
      </c>
      <c r="BU2" s="506">
        <f t="shared" ref="BU2:BU33" si="17">IF(AND(AT2&lt;&gt;0,N2&lt;&gt;"NR"),DHRBY*W2,0)</f>
        <v>338.24606399999999</v>
      </c>
      <c r="BV2" s="506">
        <f t="shared" ref="BV2:BV33" si="18">IF(AT2&lt;&gt;0,WCBY*W2,0)</f>
        <v>733.32479999999998</v>
      </c>
      <c r="BW2" s="506">
        <f t="shared" ref="BW2:BW33" si="19">IF(OR(AND(AT2&lt;&gt;0,AJ2&lt;&gt;"PF",AN2&lt;&gt;"NE",AG2&lt;&gt;"A"),AND(AL2="E",OR(AT2=1,AT2=3))),SickBY*W2,0)</f>
        <v>0</v>
      </c>
      <c r="BX2" s="506">
        <f>IF(AT2=1,SUM(BP2:BW2),0)</f>
        <v>13483.704208000001</v>
      </c>
      <c r="BY2" s="506">
        <f>IF(AT2=3,SUM(BP2:BW2),0)</f>
        <v>0</v>
      </c>
      <c r="BZ2" s="506">
        <f>IF(AT2=1,BN2-BB2,0)</f>
        <v>0</v>
      </c>
      <c r="CA2" s="506">
        <f>IF(AT2=3,BO2-BC2,0)</f>
        <v>0</v>
      </c>
      <c r="CB2" s="506">
        <f>BP2-BD2</f>
        <v>0</v>
      </c>
      <c r="CC2" s="506">
        <f t="shared" ref="CC2:CC33" si="20">IF(AT2&lt;&gt;0,SSHICHG*Y2,0)</f>
        <v>0</v>
      </c>
      <c r="CD2" s="506">
        <f t="shared" ref="CD2:CD33" si="21">IF(AND(AT2&lt;&gt;0,AN2&lt;&gt;"NE"),VLOOKUP(AN2,Retirement_Rates,5,FALSE)*Y2,0)</f>
        <v>0</v>
      </c>
      <c r="CE2" s="506">
        <f t="shared" ref="CE2:CE33" si="22">IF(AND(AT2&lt;&gt;0,AJ2&lt;&gt;"PF"),LifeCHG*Y2,0)</f>
        <v>0</v>
      </c>
      <c r="CF2" s="506">
        <f t="shared" ref="CF2:CF33" si="23">IF(AND(AT2&lt;&gt;0,AM2="Y"),UICHG*Y2,0)</f>
        <v>-299.44096000000002</v>
      </c>
      <c r="CG2" s="506">
        <f t="shared" ref="CG2:CG33" si="24">IF(AND(AT2&lt;&gt;0,N2&lt;&gt;"NR"),DHRCHG*Y2,0)</f>
        <v>0</v>
      </c>
      <c r="CH2" s="506">
        <f t="shared" ref="CH2:CH33" si="25">IF(AT2&lt;&gt;0,WCCHG*Y2,0)</f>
        <v>-18.333119999999994</v>
      </c>
      <c r="CI2" s="506">
        <f t="shared" ref="CI2:CI33" si="26">IF(OR(AND(AT2&lt;&gt;0,AJ2&lt;&gt;"PF",AN2&lt;&gt;"NE",AG2&lt;&gt;"A"),AND(AL2="E",OR(AT2=1,AT2=3))),SickCHG*Y2,0)</f>
        <v>0</v>
      </c>
      <c r="CJ2" s="506">
        <f>IF(AT2=1,SUM(CB2:CI2),0)</f>
        <v>-317.77408000000003</v>
      </c>
      <c r="CK2" s="506" t="str">
        <f>IF(AT2=3,SUM(CB2:CI2),"")</f>
        <v/>
      </c>
      <c r="CL2" s="506" t="str">
        <f>IF(OR(N2="NG",AG2="D"),(T2+U2),"")</f>
        <v/>
      </c>
      <c r="CM2" s="506" t="str">
        <f>IF(OR(N2="NG",AG2="D"),V2,"")</f>
        <v/>
      </c>
      <c r="CN2" s="506" t="str">
        <f>E2 &amp; "-" &amp; F2</f>
        <v>0290-00</v>
      </c>
    </row>
    <row r="3" spans="1:92" ht="15.75" thickBot="1" x14ac:dyDescent="0.3">
      <c r="A3" s="495" t="s">
        <v>187</v>
      </c>
      <c r="B3" s="495" t="s">
        <v>188</v>
      </c>
      <c r="C3" s="495" t="s">
        <v>210</v>
      </c>
      <c r="D3" s="495" t="s">
        <v>211</v>
      </c>
      <c r="E3" s="495" t="s">
        <v>191</v>
      </c>
      <c r="F3" s="496" t="s">
        <v>192</v>
      </c>
      <c r="G3" s="495" t="s">
        <v>193</v>
      </c>
      <c r="H3" s="497"/>
      <c r="I3" s="497"/>
      <c r="J3" s="495" t="s">
        <v>194</v>
      </c>
      <c r="K3" s="495" t="s">
        <v>212</v>
      </c>
      <c r="L3" s="495" t="s">
        <v>207</v>
      </c>
      <c r="M3" s="495" t="s">
        <v>213</v>
      </c>
      <c r="N3" s="495" t="s">
        <v>198</v>
      </c>
      <c r="O3" s="498">
        <v>0</v>
      </c>
      <c r="P3" s="504">
        <v>1</v>
      </c>
      <c r="Q3" s="504">
        <v>1</v>
      </c>
      <c r="R3" s="499">
        <v>80</v>
      </c>
      <c r="S3" s="504">
        <v>1</v>
      </c>
      <c r="T3" s="499">
        <v>65799.850000000006</v>
      </c>
      <c r="U3" s="499">
        <v>60.86</v>
      </c>
      <c r="V3" s="499">
        <v>25533.13</v>
      </c>
      <c r="W3" s="499">
        <v>66788.800000000003</v>
      </c>
      <c r="X3" s="499">
        <v>29253.48</v>
      </c>
      <c r="Y3" s="499">
        <v>66788.800000000003</v>
      </c>
      <c r="Z3" s="499">
        <v>28919.54</v>
      </c>
      <c r="AA3" s="497"/>
      <c r="AB3" s="495" t="s">
        <v>23</v>
      </c>
      <c r="AC3" s="495" t="s">
        <v>23</v>
      </c>
      <c r="AD3" s="497"/>
      <c r="AE3" s="497"/>
      <c r="AF3" s="497"/>
      <c r="AG3" s="497"/>
      <c r="AH3" s="498">
        <v>0</v>
      </c>
      <c r="AI3" s="498">
        <v>0</v>
      </c>
      <c r="AJ3" s="497"/>
      <c r="AK3" s="497"/>
      <c r="AL3" s="495" t="s">
        <v>207</v>
      </c>
      <c r="AM3" s="497"/>
      <c r="AN3" s="497"/>
      <c r="AO3" s="498">
        <v>0</v>
      </c>
      <c r="AP3" s="504">
        <v>0</v>
      </c>
      <c r="AQ3" s="504">
        <v>0</v>
      </c>
      <c r="AR3" s="503"/>
      <c r="AS3" s="506">
        <f t="shared" ref="AS3:AS66" si="27">IF(((AO3/80)*AP3*P3)&gt;1,AQ3,((AO3/80)*AP3*P3))</f>
        <v>0</v>
      </c>
      <c r="AT3">
        <f t="shared" ref="AT3:AT66" si="28">IF(AND(M3="F",N3&lt;&gt;"NG",AS3&lt;&gt;0,AND(AR3&lt;&gt;6,AR3&lt;&gt;36,AR3&lt;&gt;56),AG3&lt;&gt;"A",OR(AG3="H",AJ3="FS")),1,IF(AND(M3="F",N3&lt;&gt;"NG",AS3&lt;&gt;0,AG3="A"),3,0))</f>
        <v>0</v>
      </c>
      <c r="AU3" s="506" t="str">
        <f>IF(AT3=0,"",IF(AND(AT3=1,M3="F",SUMIF(C2:C177,C3,AS2:AS177)&lt;=1),SUMIF(C2:C177,C3,AS2:AS177),IF(AND(AT3=1,M3="F",SUMIF(C2:C177,C3,AS2:AS177)&gt;1),1,"")))</f>
        <v/>
      </c>
      <c r="AV3" s="506" t="str">
        <f>IF(AT3=0,"",IF(AND(AT3=3,M3="F",SUMIF(C2:C177,C3,AS2:AS177)&lt;=1),SUMIF(C2:C177,C3,AS2:AS177),IF(AND(AT3=3,M3="F",SUMIF(C2:C177,C3,AS2:AS177)&gt;1),1,"")))</f>
        <v/>
      </c>
      <c r="AW3" s="506">
        <f>SUMIF(C2:C177,C3,O2:O177)</f>
        <v>0</v>
      </c>
      <c r="AX3" s="506">
        <f>IF(AND(M3="F",AS3&lt;&gt;0),SUMIF(C2:C177,C3,W2:W177),0)</f>
        <v>0</v>
      </c>
      <c r="AY3" s="506" t="str">
        <f t="shared" ref="AY3:AY66" si="29">IF(AT3=1,W3,"")</f>
        <v/>
      </c>
      <c r="AZ3" s="506" t="str">
        <f t="shared" ref="AZ3:AZ66" si="30">IF(AT3=3,W3,"")</f>
        <v/>
      </c>
      <c r="BA3" s="506">
        <f t="shared" ref="BA3:BA66" si="31">IF(AT3=1,Y3-W3,0)</f>
        <v>0</v>
      </c>
      <c r="BB3" s="506">
        <f t="shared" si="0"/>
        <v>0</v>
      </c>
      <c r="BC3" s="506">
        <f t="shared" si="1"/>
        <v>0</v>
      </c>
      <c r="BD3" s="506">
        <f t="shared" si="2"/>
        <v>0</v>
      </c>
      <c r="BE3" s="506">
        <f t="shared" si="3"/>
        <v>0</v>
      </c>
      <c r="BF3" s="506">
        <f t="shared" si="4"/>
        <v>0</v>
      </c>
      <c r="BG3" s="506">
        <f t="shared" si="5"/>
        <v>0</v>
      </c>
      <c r="BH3" s="506">
        <f t="shared" si="6"/>
        <v>0</v>
      </c>
      <c r="BI3" s="506">
        <f t="shared" si="7"/>
        <v>0</v>
      </c>
      <c r="BJ3" s="506">
        <f t="shared" si="8"/>
        <v>0</v>
      </c>
      <c r="BK3" s="506">
        <f t="shared" si="9"/>
        <v>0</v>
      </c>
      <c r="BL3" s="506">
        <f t="shared" ref="BL3:BL66" si="32">IF(AT3=1,SUM(BD3:BK3),0)</f>
        <v>0</v>
      </c>
      <c r="BM3" s="506">
        <f t="shared" ref="BM3:BM66" si="33">IF(AT3=3,SUM(BD3:BK3),0)</f>
        <v>0</v>
      </c>
      <c r="BN3" s="506">
        <f t="shared" si="10"/>
        <v>0</v>
      </c>
      <c r="BO3" s="506">
        <f t="shared" si="11"/>
        <v>0</v>
      </c>
      <c r="BP3" s="506">
        <f t="shared" si="12"/>
        <v>0</v>
      </c>
      <c r="BQ3" s="506">
        <f t="shared" si="13"/>
        <v>0</v>
      </c>
      <c r="BR3" s="506">
        <f t="shared" si="14"/>
        <v>0</v>
      </c>
      <c r="BS3" s="506">
        <f t="shared" si="15"/>
        <v>0</v>
      </c>
      <c r="BT3" s="506">
        <f t="shared" si="16"/>
        <v>0</v>
      </c>
      <c r="BU3" s="506">
        <f t="shared" si="17"/>
        <v>0</v>
      </c>
      <c r="BV3" s="506">
        <f t="shared" si="18"/>
        <v>0</v>
      </c>
      <c r="BW3" s="506">
        <f t="shared" si="19"/>
        <v>0</v>
      </c>
      <c r="BX3" s="506">
        <f t="shared" ref="BX3:BX66" si="34">IF(AT3=1,SUM(BP3:BW3),0)</f>
        <v>0</v>
      </c>
      <c r="BY3" s="506">
        <f t="shared" ref="BY3:BY66" si="35">IF(AT3=3,SUM(BP3:BW3),0)</f>
        <v>0</v>
      </c>
      <c r="BZ3" s="506">
        <f t="shared" ref="BZ3:BZ66" si="36">IF(AT3=1,BN3-BB3,0)</f>
        <v>0</v>
      </c>
      <c r="CA3" s="506">
        <f t="shared" ref="CA3:CA66" si="37">IF(AT3=3,BO3-BC3,0)</f>
        <v>0</v>
      </c>
      <c r="CB3" s="506">
        <f t="shared" ref="CB3:CB66" si="38">BP3-BD3</f>
        <v>0</v>
      </c>
      <c r="CC3" s="506">
        <f t="shared" si="20"/>
        <v>0</v>
      </c>
      <c r="CD3" s="506">
        <f t="shared" si="21"/>
        <v>0</v>
      </c>
      <c r="CE3" s="506">
        <f t="shared" si="22"/>
        <v>0</v>
      </c>
      <c r="CF3" s="506">
        <f t="shared" si="23"/>
        <v>0</v>
      </c>
      <c r="CG3" s="506">
        <f t="shared" si="24"/>
        <v>0</v>
      </c>
      <c r="CH3" s="506">
        <f t="shared" si="25"/>
        <v>0</v>
      </c>
      <c r="CI3" s="506">
        <f t="shared" si="26"/>
        <v>0</v>
      </c>
      <c r="CJ3" s="506">
        <f t="shared" ref="CJ3:CJ66" si="39">IF(AT3=1,SUM(CB3:CI3),0)</f>
        <v>0</v>
      </c>
      <c r="CK3" s="506" t="str">
        <f t="shared" ref="CK3:CK66" si="40">IF(AT3=3,SUM(CB3:CI3),"")</f>
        <v/>
      </c>
      <c r="CL3" s="506" t="str">
        <f t="shared" ref="CL3:CL66" si="41">IF(OR(N3="NG",AG3="D"),(T3+U3),"")</f>
        <v/>
      </c>
      <c r="CM3" s="506" t="str">
        <f t="shared" ref="CM3:CM66" si="42">IF(OR(N3="NG",AG3="D"),V3,"")</f>
        <v/>
      </c>
      <c r="CN3" s="506" t="str">
        <f t="shared" ref="CN3:CN66" si="43">E3 &amp; "-" &amp; F3</f>
        <v>0290-00</v>
      </c>
    </row>
    <row r="4" spans="1:92" ht="15.75" thickBot="1" x14ac:dyDescent="0.3">
      <c r="A4" s="495" t="s">
        <v>187</v>
      </c>
      <c r="B4" s="495" t="s">
        <v>188</v>
      </c>
      <c r="C4" s="495" t="s">
        <v>214</v>
      </c>
      <c r="D4" s="495" t="s">
        <v>215</v>
      </c>
      <c r="E4" s="495" t="s">
        <v>191</v>
      </c>
      <c r="F4" s="496" t="s">
        <v>192</v>
      </c>
      <c r="G4" s="495" t="s">
        <v>193</v>
      </c>
      <c r="H4" s="497"/>
      <c r="I4" s="497"/>
      <c r="J4" s="495" t="s">
        <v>216</v>
      </c>
      <c r="K4" s="495" t="s">
        <v>217</v>
      </c>
      <c r="L4" s="495" t="s">
        <v>218</v>
      </c>
      <c r="M4" s="495" t="s">
        <v>197</v>
      </c>
      <c r="N4" s="495" t="s">
        <v>198</v>
      </c>
      <c r="O4" s="498">
        <v>1</v>
      </c>
      <c r="P4" s="504">
        <v>1</v>
      </c>
      <c r="Q4" s="504">
        <v>1</v>
      </c>
      <c r="R4" s="499">
        <v>80</v>
      </c>
      <c r="S4" s="504">
        <v>1</v>
      </c>
      <c r="T4" s="499">
        <v>29461.94</v>
      </c>
      <c r="U4" s="499">
        <v>1184.76</v>
      </c>
      <c r="V4" s="499">
        <v>18011.03</v>
      </c>
      <c r="W4" s="499">
        <v>30659.200000000001</v>
      </c>
      <c r="X4" s="499">
        <v>18574.310000000001</v>
      </c>
      <c r="Y4" s="499">
        <v>30659.200000000001</v>
      </c>
      <c r="Z4" s="499">
        <v>18414.89</v>
      </c>
      <c r="AA4" s="495" t="s">
        <v>219</v>
      </c>
      <c r="AB4" s="495" t="s">
        <v>220</v>
      </c>
      <c r="AC4" s="495" t="s">
        <v>221</v>
      </c>
      <c r="AD4" s="495" t="s">
        <v>202</v>
      </c>
      <c r="AE4" s="495" t="s">
        <v>217</v>
      </c>
      <c r="AF4" s="495" t="s">
        <v>222</v>
      </c>
      <c r="AG4" s="495" t="s">
        <v>204</v>
      </c>
      <c r="AH4" s="500">
        <v>14.74</v>
      </c>
      <c r="AI4" s="500">
        <v>15197.7</v>
      </c>
      <c r="AJ4" s="495" t="s">
        <v>205</v>
      </c>
      <c r="AK4" s="495" t="s">
        <v>206</v>
      </c>
      <c r="AL4" s="495" t="s">
        <v>207</v>
      </c>
      <c r="AM4" s="495" t="s">
        <v>208</v>
      </c>
      <c r="AN4" s="495" t="s">
        <v>92</v>
      </c>
      <c r="AO4" s="498">
        <v>80</v>
      </c>
      <c r="AP4" s="504">
        <v>1</v>
      </c>
      <c r="AQ4" s="504">
        <v>1</v>
      </c>
      <c r="AR4" s="502" t="s">
        <v>209</v>
      </c>
      <c r="AS4" s="506">
        <f t="shared" si="27"/>
        <v>1</v>
      </c>
      <c r="AT4">
        <f t="shared" si="28"/>
        <v>1</v>
      </c>
      <c r="AU4" s="506">
        <f>IF(AT4=0,"",IF(AND(AT4=1,M4="F",SUMIF(C2:C177,C4,AS2:AS177)&lt;=1),SUMIF(C2:C177,C4,AS2:AS177),IF(AND(AT4=1,M4="F",SUMIF(C2:C177,C4,AS2:AS177)&gt;1),1,"")))</f>
        <v>1</v>
      </c>
      <c r="AV4" s="506" t="str">
        <f>IF(AT4=0,"",IF(AND(AT4=3,M4="F",SUMIF(C2:C177,C4,AS2:AS177)&lt;=1),SUMIF(C2:C177,C4,AS2:AS177),IF(AND(AT4=3,M4="F",SUMIF(C2:C177,C4,AS2:AS177)&gt;1),1,"")))</f>
        <v/>
      </c>
      <c r="AW4" s="506">
        <f>SUMIF(C2:C177,C4,O2:O177)</f>
        <v>1</v>
      </c>
      <c r="AX4" s="506">
        <f>IF(AND(M4="F",AS4&lt;&gt;0),SUMIF(C2:C177,C4,W2:W177),0)</f>
        <v>30659.200000000001</v>
      </c>
      <c r="AY4" s="506">
        <f t="shared" si="29"/>
        <v>30659.200000000001</v>
      </c>
      <c r="AZ4" s="506" t="str">
        <f t="shared" si="30"/>
        <v/>
      </c>
      <c r="BA4" s="506">
        <f t="shared" si="31"/>
        <v>0</v>
      </c>
      <c r="BB4" s="506">
        <f t="shared" si="0"/>
        <v>11650</v>
      </c>
      <c r="BC4" s="506">
        <f t="shared" si="1"/>
        <v>0</v>
      </c>
      <c r="BD4" s="506">
        <f t="shared" si="2"/>
        <v>1900.8704</v>
      </c>
      <c r="BE4" s="506">
        <f t="shared" si="3"/>
        <v>444.55840000000001</v>
      </c>
      <c r="BF4" s="506">
        <f t="shared" si="4"/>
        <v>3660.7084800000002</v>
      </c>
      <c r="BG4" s="506">
        <f t="shared" si="5"/>
        <v>221.05283200000002</v>
      </c>
      <c r="BH4" s="506">
        <f t="shared" si="6"/>
        <v>150.23007999999999</v>
      </c>
      <c r="BI4" s="506">
        <f t="shared" si="7"/>
        <v>169.69867200000002</v>
      </c>
      <c r="BJ4" s="506">
        <f t="shared" si="8"/>
        <v>377.10816</v>
      </c>
      <c r="BK4" s="506">
        <f t="shared" si="9"/>
        <v>0</v>
      </c>
      <c r="BL4" s="506">
        <f t="shared" si="32"/>
        <v>6924.2270240000016</v>
      </c>
      <c r="BM4" s="506">
        <f t="shared" si="33"/>
        <v>0</v>
      </c>
      <c r="BN4" s="506">
        <f t="shared" si="10"/>
        <v>11650</v>
      </c>
      <c r="BO4" s="506">
        <f t="shared" si="11"/>
        <v>0</v>
      </c>
      <c r="BP4" s="506">
        <f t="shared" si="12"/>
        <v>1900.8704</v>
      </c>
      <c r="BQ4" s="506">
        <f t="shared" si="13"/>
        <v>444.55840000000001</v>
      </c>
      <c r="BR4" s="506">
        <f t="shared" si="14"/>
        <v>3660.7084800000002</v>
      </c>
      <c r="BS4" s="506">
        <f t="shared" si="15"/>
        <v>221.05283200000002</v>
      </c>
      <c r="BT4" s="506">
        <f t="shared" si="16"/>
        <v>0</v>
      </c>
      <c r="BU4" s="506">
        <f t="shared" si="17"/>
        <v>169.69867200000002</v>
      </c>
      <c r="BV4" s="506">
        <f t="shared" si="18"/>
        <v>367.91040000000004</v>
      </c>
      <c r="BW4" s="506">
        <f t="shared" si="19"/>
        <v>0</v>
      </c>
      <c r="BX4" s="506">
        <f t="shared" si="34"/>
        <v>6764.7991840000013</v>
      </c>
      <c r="BY4" s="506">
        <f t="shared" si="35"/>
        <v>0</v>
      </c>
      <c r="BZ4" s="506">
        <f t="shared" si="36"/>
        <v>0</v>
      </c>
      <c r="CA4" s="506">
        <f t="shared" si="37"/>
        <v>0</v>
      </c>
      <c r="CB4" s="506">
        <f t="shared" si="38"/>
        <v>0</v>
      </c>
      <c r="CC4" s="506">
        <f t="shared" si="20"/>
        <v>0</v>
      </c>
      <c r="CD4" s="506">
        <f t="shared" si="21"/>
        <v>0</v>
      </c>
      <c r="CE4" s="506">
        <f t="shared" si="22"/>
        <v>0</v>
      </c>
      <c r="CF4" s="506">
        <f t="shared" si="23"/>
        <v>-150.23007999999999</v>
      </c>
      <c r="CG4" s="506">
        <f t="shared" si="24"/>
        <v>0</v>
      </c>
      <c r="CH4" s="506">
        <f t="shared" si="25"/>
        <v>-9.197759999999997</v>
      </c>
      <c r="CI4" s="506">
        <f t="shared" si="26"/>
        <v>0</v>
      </c>
      <c r="CJ4" s="506">
        <f t="shared" si="39"/>
        <v>-159.42783999999997</v>
      </c>
      <c r="CK4" s="506" t="str">
        <f t="shared" si="40"/>
        <v/>
      </c>
      <c r="CL4" s="506" t="str">
        <f t="shared" si="41"/>
        <v/>
      </c>
      <c r="CM4" s="506" t="str">
        <f t="shared" si="42"/>
        <v/>
      </c>
      <c r="CN4" s="506" t="str">
        <f t="shared" si="43"/>
        <v>0290-00</v>
      </c>
    </row>
    <row r="5" spans="1:92" ht="15.75" thickBot="1" x14ac:dyDescent="0.3">
      <c r="A5" s="495" t="s">
        <v>187</v>
      </c>
      <c r="B5" s="495" t="s">
        <v>188</v>
      </c>
      <c r="C5" s="495" t="s">
        <v>223</v>
      </c>
      <c r="D5" s="495" t="s">
        <v>224</v>
      </c>
      <c r="E5" s="495" t="s">
        <v>191</v>
      </c>
      <c r="F5" s="496" t="s">
        <v>192</v>
      </c>
      <c r="G5" s="495" t="s">
        <v>193</v>
      </c>
      <c r="H5" s="497"/>
      <c r="I5" s="497"/>
      <c r="J5" s="495" t="s">
        <v>225</v>
      </c>
      <c r="K5" s="495" t="s">
        <v>226</v>
      </c>
      <c r="L5" s="495" t="s">
        <v>192</v>
      </c>
      <c r="M5" s="495" t="s">
        <v>197</v>
      </c>
      <c r="N5" s="495" t="s">
        <v>227</v>
      </c>
      <c r="O5" s="498">
        <v>0</v>
      </c>
      <c r="P5" s="504">
        <v>1</v>
      </c>
      <c r="Q5" s="504">
        <v>0</v>
      </c>
      <c r="R5" s="499">
        <v>0</v>
      </c>
      <c r="S5" s="504">
        <v>0</v>
      </c>
      <c r="T5" s="499">
        <v>24627.35</v>
      </c>
      <c r="U5" s="499">
        <v>496.73</v>
      </c>
      <c r="V5" s="499">
        <v>11925.6</v>
      </c>
      <c r="W5" s="499">
        <v>25124.080000000002</v>
      </c>
      <c r="X5" s="499">
        <v>11925.6</v>
      </c>
      <c r="Y5" s="499">
        <v>25124.080000000002</v>
      </c>
      <c r="Z5" s="499">
        <v>11925.6</v>
      </c>
      <c r="AA5" s="497"/>
      <c r="AB5" s="495" t="s">
        <v>23</v>
      </c>
      <c r="AC5" s="495" t="s">
        <v>23</v>
      </c>
      <c r="AD5" s="497"/>
      <c r="AE5" s="497"/>
      <c r="AF5" s="497"/>
      <c r="AG5" s="497"/>
      <c r="AH5" s="498">
        <v>0</v>
      </c>
      <c r="AI5" s="498">
        <v>0</v>
      </c>
      <c r="AJ5" s="497"/>
      <c r="AK5" s="497"/>
      <c r="AL5" s="495" t="s">
        <v>207</v>
      </c>
      <c r="AM5" s="497"/>
      <c r="AN5" s="497"/>
      <c r="AO5" s="498">
        <v>0</v>
      </c>
      <c r="AP5" s="504">
        <v>0</v>
      </c>
      <c r="AQ5" s="504">
        <v>0</v>
      </c>
      <c r="AR5" s="503"/>
      <c r="AS5" s="506">
        <f t="shared" si="27"/>
        <v>0</v>
      </c>
      <c r="AT5">
        <f t="shared" si="28"/>
        <v>0</v>
      </c>
      <c r="AU5" s="506" t="str">
        <f>IF(AT5=0,"",IF(AND(AT5=1,M5="F",SUMIF(C2:C177,C5,AS2:AS177)&lt;=1),SUMIF(C2:C177,C5,AS2:AS177),IF(AND(AT5=1,M5="F",SUMIF(C2:C177,C5,AS2:AS177)&gt;1),1,"")))</f>
        <v/>
      </c>
      <c r="AV5" s="506" t="str">
        <f>IF(AT5=0,"",IF(AND(AT5=3,M5="F",SUMIF(C2:C177,C5,AS2:AS177)&lt;=1),SUMIF(C2:C177,C5,AS2:AS177),IF(AND(AT5=3,M5="F",SUMIF(C2:C177,C5,AS2:AS177)&gt;1),1,"")))</f>
        <v/>
      </c>
      <c r="AW5" s="506">
        <f>SUMIF(C2:C177,C5,O2:O177)</f>
        <v>0</v>
      </c>
      <c r="AX5" s="506">
        <f>IF(AND(M5="F",AS5&lt;&gt;0),SUMIF(C2:C177,C5,W2:W177),0)</f>
        <v>0</v>
      </c>
      <c r="AY5" s="506" t="str">
        <f t="shared" si="29"/>
        <v/>
      </c>
      <c r="AZ5" s="506" t="str">
        <f t="shared" si="30"/>
        <v/>
      </c>
      <c r="BA5" s="506">
        <f t="shared" si="31"/>
        <v>0</v>
      </c>
      <c r="BB5" s="506">
        <f t="shared" si="0"/>
        <v>0</v>
      </c>
      <c r="BC5" s="506">
        <f t="shared" si="1"/>
        <v>0</v>
      </c>
      <c r="BD5" s="506">
        <f t="shared" si="2"/>
        <v>0</v>
      </c>
      <c r="BE5" s="506">
        <f t="shared" si="3"/>
        <v>0</v>
      </c>
      <c r="BF5" s="506">
        <f t="shared" si="4"/>
        <v>0</v>
      </c>
      <c r="BG5" s="506">
        <f t="shared" si="5"/>
        <v>0</v>
      </c>
      <c r="BH5" s="506">
        <f t="shared" si="6"/>
        <v>0</v>
      </c>
      <c r="BI5" s="506">
        <f t="shared" si="7"/>
        <v>0</v>
      </c>
      <c r="BJ5" s="506">
        <f t="shared" si="8"/>
        <v>0</v>
      </c>
      <c r="BK5" s="506">
        <f t="shared" si="9"/>
        <v>0</v>
      </c>
      <c r="BL5" s="506">
        <f t="shared" si="32"/>
        <v>0</v>
      </c>
      <c r="BM5" s="506">
        <f t="shared" si="33"/>
        <v>0</v>
      </c>
      <c r="BN5" s="506">
        <f t="shared" si="10"/>
        <v>0</v>
      </c>
      <c r="BO5" s="506">
        <f t="shared" si="11"/>
        <v>0</v>
      </c>
      <c r="BP5" s="506">
        <f t="shared" si="12"/>
        <v>0</v>
      </c>
      <c r="BQ5" s="506">
        <f t="shared" si="13"/>
        <v>0</v>
      </c>
      <c r="BR5" s="506">
        <f t="shared" si="14"/>
        <v>0</v>
      </c>
      <c r="BS5" s="506">
        <f t="shared" si="15"/>
        <v>0</v>
      </c>
      <c r="BT5" s="506">
        <f t="shared" si="16"/>
        <v>0</v>
      </c>
      <c r="BU5" s="506">
        <f t="shared" si="17"/>
        <v>0</v>
      </c>
      <c r="BV5" s="506">
        <f t="shared" si="18"/>
        <v>0</v>
      </c>
      <c r="BW5" s="506">
        <f t="shared" si="19"/>
        <v>0</v>
      </c>
      <c r="BX5" s="506">
        <f t="shared" si="34"/>
        <v>0</v>
      </c>
      <c r="BY5" s="506">
        <f t="shared" si="35"/>
        <v>0</v>
      </c>
      <c r="BZ5" s="506">
        <f t="shared" si="36"/>
        <v>0</v>
      </c>
      <c r="CA5" s="506">
        <f t="shared" si="37"/>
        <v>0</v>
      </c>
      <c r="CB5" s="506">
        <f t="shared" si="38"/>
        <v>0</v>
      </c>
      <c r="CC5" s="506">
        <f t="shared" si="20"/>
        <v>0</v>
      </c>
      <c r="CD5" s="506">
        <f t="shared" si="21"/>
        <v>0</v>
      </c>
      <c r="CE5" s="506">
        <f t="shared" si="22"/>
        <v>0</v>
      </c>
      <c r="CF5" s="506">
        <f t="shared" si="23"/>
        <v>0</v>
      </c>
      <c r="CG5" s="506">
        <f t="shared" si="24"/>
        <v>0</v>
      </c>
      <c r="CH5" s="506">
        <f t="shared" si="25"/>
        <v>0</v>
      </c>
      <c r="CI5" s="506">
        <f t="shared" si="26"/>
        <v>0</v>
      </c>
      <c r="CJ5" s="506">
        <f t="shared" si="39"/>
        <v>0</v>
      </c>
      <c r="CK5" s="506" t="str">
        <f t="shared" si="40"/>
        <v/>
      </c>
      <c r="CL5" s="506">
        <f t="shared" si="41"/>
        <v>25124.079999999998</v>
      </c>
      <c r="CM5" s="506">
        <f t="shared" si="42"/>
        <v>11925.6</v>
      </c>
      <c r="CN5" s="506" t="str">
        <f t="shared" si="43"/>
        <v>0290-00</v>
      </c>
    </row>
    <row r="6" spans="1:92" ht="15.75" thickBot="1" x14ac:dyDescent="0.3">
      <c r="A6" s="495" t="s">
        <v>187</v>
      </c>
      <c r="B6" s="495" t="s">
        <v>188</v>
      </c>
      <c r="C6" s="495" t="s">
        <v>228</v>
      </c>
      <c r="D6" s="495" t="s">
        <v>229</v>
      </c>
      <c r="E6" s="495" t="s">
        <v>191</v>
      </c>
      <c r="F6" s="496" t="s">
        <v>192</v>
      </c>
      <c r="G6" s="495" t="s">
        <v>193</v>
      </c>
      <c r="H6" s="497"/>
      <c r="I6" s="497"/>
      <c r="J6" s="495" t="s">
        <v>230</v>
      </c>
      <c r="K6" s="495" t="s">
        <v>231</v>
      </c>
      <c r="L6" s="495" t="s">
        <v>232</v>
      </c>
      <c r="M6" s="495" t="s">
        <v>197</v>
      </c>
      <c r="N6" s="495" t="s">
        <v>198</v>
      </c>
      <c r="O6" s="498">
        <v>1</v>
      </c>
      <c r="P6" s="504">
        <v>1</v>
      </c>
      <c r="Q6" s="504">
        <v>1</v>
      </c>
      <c r="R6" s="499">
        <v>80</v>
      </c>
      <c r="S6" s="504">
        <v>1</v>
      </c>
      <c r="T6" s="499">
        <v>47634.07</v>
      </c>
      <c r="U6" s="499">
        <v>147.29</v>
      </c>
      <c r="V6" s="499">
        <v>21911.54</v>
      </c>
      <c r="W6" s="499">
        <v>50252.800000000003</v>
      </c>
      <c r="X6" s="499">
        <v>22999.53</v>
      </c>
      <c r="Y6" s="499">
        <v>50252.800000000003</v>
      </c>
      <c r="Z6" s="499">
        <v>22738.23</v>
      </c>
      <c r="AA6" s="495" t="s">
        <v>233</v>
      </c>
      <c r="AB6" s="495" t="s">
        <v>234</v>
      </c>
      <c r="AC6" s="495" t="s">
        <v>235</v>
      </c>
      <c r="AD6" s="495" t="s">
        <v>236</v>
      </c>
      <c r="AE6" s="495" t="s">
        <v>231</v>
      </c>
      <c r="AF6" s="495" t="s">
        <v>237</v>
      </c>
      <c r="AG6" s="495" t="s">
        <v>204</v>
      </c>
      <c r="AH6" s="500">
        <v>24.16</v>
      </c>
      <c r="AI6" s="500">
        <v>6970.6</v>
      </c>
      <c r="AJ6" s="495" t="s">
        <v>205</v>
      </c>
      <c r="AK6" s="495" t="s">
        <v>206</v>
      </c>
      <c r="AL6" s="495" t="s">
        <v>207</v>
      </c>
      <c r="AM6" s="495" t="s">
        <v>208</v>
      </c>
      <c r="AN6" s="495" t="s">
        <v>92</v>
      </c>
      <c r="AO6" s="498">
        <v>80</v>
      </c>
      <c r="AP6" s="504">
        <v>1</v>
      </c>
      <c r="AQ6" s="504">
        <v>1</v>
      </c>
      <c r="AR6" s="502" t="s">
        <v>209</v>
      </c>
      <c r="AS6" s="506">
        <f t="shared" si="27"/>
        <v>1</v>
      </c>
      <c r="AT6">
        <f t="shared" si="28"/>
        <v>1</v>
      </c>
      <c r="AU6" s="506">
        <f>IF(AT6=0,"",IF(AND(AT6=1,M6="F",SUMIF(C2:C177,C6,AS2:AS177)&lt;=1),SUMIF(C2:C177,C6,AS2:AS177),IF(AND(AT6=1,M6="F",SUMIF(C2:C177,C6,AS2:AS177)&gt;1),1,"")))</f>
        <v>1</v>
      </c>
      <c r="AV6" s="506" t="str">
        <f>IF(AT6=0,"",IF(AND(AT6=3,M6="F",SUMIF(C2:C177,C6,AS2:AS177)&lt;=1),SUMIF(C2:C177,C6,AS2:AS177),IF(AND(AT6=3,M6="F",SUMIF(C2:C177,C6,AS2:AS177)&gt;1),1,"")))</f>
        <v/>
      </c>
      <c r="AW6" s="506">
        <f>SUMIF(C2:C177,C6,O2:O177)</f>
        <v>1</v>
      </c>
      <c r="AX6" s="506">
        <f>IF(AND(M6="F",AS6&lt;&gt;0),SUMIF(C2:C177,C6,W2:W177),0)</f>
        <v>50252.800000000003</v>
      </c>
      <c r="AY6" s="506">
        <f t="shared" si="29"/>
        <v>50252.800000000003</v>
      </c>
      <c r="AZ6" s="506" t="str">
        <f t="shared" si="30"/>
        <v/>
      </c>
      <c r="BA6" s="506">
        <f t="shared" si="31"/>
        <v>0</v>
      </c>
      <c r="BB6" s="506">
        <f t="shared" si="0"/>
        <v>11650</v>
      </c>
      <c r="BC6" s="506">
        <f t="shared" si="1"/>
        <v>0</v>
      </c>
      <c r="BD6" s="506">
        <f t="shared" si="2"/>
        <v>3115.6736000000001</v>
      </c>
      <c r="BE6" s="506">
        <f t="shared" si="3"/>
        <v>728.66560000000004</v>
      </c>
      <c r="BF6" s="506">
        <f t="shared" si="4"/>
        <v>6000.1843200000003</v>
      </c>
      <c r="BG6" s="506">
        <f t="shared" si="5"/>
        <v>362.32268800000003</v>
      </c>
      <c r="BH6" s="506">
        <f t="shared" si="6"/>
        <v>246.23872</v>
      </c>
      <c r="BI6" s="506">
        <f t="shared" si="7"/>
        <v>278.149248</v>
      </c>
      <c r="BJ6" s="506">
        <f t="shared" si="8"/>
        <v>618.10944000000006</v>
      </c>
      <c r="BK6" s="506">
        <f t="shared" si="9"/>
        <v>0</v>
      </c>
      <c r="BL6" s="506">
        <f t="shared" si="32"/>
        <v>11349.343616</v>
      </c>
      <c r="BM6" s="506">
        <f t="shared" si="33"/>
        <v>0</v>
      </c>
      <c r="BN6" s="506">
        <f t="shared" si="10"/>
        <v>11650</v>
      </c>
      <c r="BO6" s="506">
        <f t="shared" si="11"/>
        <v>0</v>
      </c>
      <c r="BP6" s="506">
        <f t="shared" si="12"/>
        <v>3115.6736000000001</v>
      </c>
      <c r="BQ6" s="506">
        <f t="shared" si="13"/>
        <v>728.66560000000004</v>
      </c>
      <c r="BR6" s="506">
        <f t="shared" si="14"/>
        <v>6000.1843200000003</v>
      </c>
      <c r="BS6" s="506">
        <f t="shared" si="15"/>
        <v>362.32268800000003</v>
      </c>
      <c r="BT6" s="506">
        <f t="shared" si="16"/>
        <v>0</v>
      </c>
      <c r="BU6" s="506">
        <f t="shared" si="17"/>
        <v>278.149248</v>
      </c>
      <c r="BV6" s="506">
        <f t="shared" si="18"/>
        <v>603.03360000000009</v>
      </c>
      <c r="BW6" s="506">
        <f t="shared" si="19"/>
        <v>0</v>
      </c>
      <c r="BX6" s="506">
        <f t="shared" si="34"/>
        <v>11088.029056000001</v>
      </c>
      <c r="BY6" s="506">
        <f t="shared" si="35"/>
        <v>0</v>
      </c>
      <c r="BZ6" s="506">
        <f t="shared" si="36"/>
        <v>0</v>
      </c>
      <c r="CA6" s="506">
        <f t="shared" si="37"/>
        <v>0</v>
      </c>
      <c r="CB6" s="506">
        <f t="shared" si="38"/>
        <v>0</v>
      </c>
      <c r="CC6" s="506">
        <f t="shared" si="20"/>
        <v>0</v>
      </c>
      <c r="CD6" s="506">
        <f t="shared" si="21"/>
        <v>0</v>
      </c>
      <c r="CE6" s="506">
        <f t="shared" si="22"/>
        <v>0</v>
      </c>
      <c r="CF6" s="506">
        <f t="shared" si="23"/>
        <v>-246.23872</v>
      </c>
      <c r="CG6" s="506">
        <f t="shared" si="24"/>
        <v>0</v>
      </c>
      <c r="CH6" s="506">
        <f t="shared" si="25"/>
        <v>-15.075839999999998</v>
      </c>
      <c r="CI6" s="506">
        <f t="shared" si="26"/>
        <v>0</v>
      </c>
      <c r="CJ6" s="506">
        <f t="shared" si="39"/>
        <v>-261.31455999999997</v>
      </c>
      <c r="CK6" s="506" t="str">
        <f t="shared" si="40"/>
        <v/>
      </c>
      <c r="CL6" s="506" t="str">
        <f t="shared" si="41"/>
        <v/>
      </c>
      <c r="CM6" s="506" t="str">
        <f t="shared" si="42"/>
        <v/>
      </c>
      <c r="CN6" s="506" t="str">
        <f t="shared" si="43"/>
        <v>0290-00</v>
      </c>
    </row>
    <row r="7" spans="1:92" ht="15.75" thickBot="1" x14ac:dyDescent="0.3">
      <c r="A7" s="495" t="s">
        <v>187</v>
      </c>
      <c r="B7" s="495" t="s">
        <v>188</v>
      </c>
      <c r="C7" s="495" t="s">
        <v>238</v>
      </c>
      <c r="D7" s="495" t="s">
        <v>190</v>
      </c>
      <c r="E7" s="495" t="s">
        <v>191</v>
      </c>
      <c r="F7" s="496" t="s">
        <v>192</v>
      </c>
      <c r="G7" s="495" t="s">
        <v>193</v>
      </c>
      <c r="H7" s="497"/>
      <c r="I7" s="497"/>
      <c r="J7" s="495" t="s">
        <v>225</v>
      </c>
      <c r="K7" s="495" t="s">
        <v>195</v>
      </c>
      <c r="L7" s="495" t="s">
        <v>196</v>
      </c>
      <c r="M7" s="495" t="s">
        <v>197</v>
      </c>
      <c r="N7" s="495" t="s">
        <v>198</v>
      </c>
      <c r="O7" s="498">
        <v>1</v>
      </c>
      <c r="P7" s="504">
        <v>1</v>
      </c>
      <c r="Q7" s="504">
        <v>1</v>
      </c>
      <c r="R7" s="499">
        <v>80</v>
      </c>
      <c r="S7" s="504">
        <v>1</v>
      </c>
      <c r="T7" s="499">
        <v>44902.45</v>
      </c>
      <c r="U7" s="499">
        <v>0</v>
      </c>
      <c r="V7" s="499">
        <v>22350.58</v>
      </c>
      <c r="W7" s="499">
        <v>46051.199999999997</v>
      </c>
      <c r="X7" s="499">
        <v>22050.63</v>
      </c>
      <c r="Y7" s="499">
        <v>46051.199999999997</v>
      </c>
      <c r="Z7" s="499">
        <v>21811.17</v>
      </c>
      <c r="AA7" s="495" t="s">
        <v>239</v>
      </c>
      <c r="AB7" s="495" t="s">
        <v>240</v>
      </c>
      <c r="AC7" s="495" t="s">
        <v>241</v>
      </c>
      <c r="AD7" s="495" t="s">
        <v>242</v>
      </c>
      <c r="AE7" s="495" t="s">
        <v>195</v>
      </c>
      <c r="AF7" s="495" t="s">
        <v>203</v>
      </c>
      <c r="AG7" s="495" t="s">
        <v>204</v>
      </c>
      <c r="AH7" s="500">
        <v>29.52</v>
      </c>
      <c r="AI7" s="500">
        <v>3875.1</v>
      </c>
      <c r="AJ7" s="495" t="s">
        <v>243</v>
      </c>
      <c r="AK7" s="495" t="s">
        <v>206</v>
      </c>
      <c r="AL7" s="495" t="s">
        <v>207</v>
      </c>
      <c r="AM7" s="495" t="s">
        <v>208</v>
      </c>
      <c r="AN7" s="495" t="s">
        <v>92</v>
      </c>
      <c r="AO7" s="498">
        <v>60</v>
      </c>
      <c r="AP7" s="504">
        <v>1</v>
      </c>
      <c r="AQ7" s="504">
        <v>0.75</v>
      </c>
      <c r="AR7" s="502" t="s">
        <v>209</v>
      </c>
      <c r="AS7" s="506">
        <f t="shared" si="27"/>
        <v>0.75</v>
      </c>
      <c r="AT7">
        <f t="shared" si="28"/>
        <v>1</v>
      </c>
      <c r="AU7" s="506">
        <f>IF(AT7=0,"",IF(AND(AT7=1,M7="F",SUMIF(C2:C177,C7,AS2:AS177)&lt;=1),SUMIF(C2:C177,C7,AS2:AS177),IF(AND(AT7=1,M7="F",SUMIF(C2:C177,C7,AS2:AS177)&gt;1),1,"")))</f>
        <v>0.75</v>
      </c>
      <c r="AV7" s="506" t="str">
        <f>IF(AT7=0,"",IF(AND(AT7=3,M7="F",SUMIF(C2:C177,C7,AS2:AS177)&lt;=1),SUMIF(C2:C177,C7,AS2:AS177),IF(AND(AT7=3,M7="F",SUMIF(C2:C177,C7,AS2:AS177)&gt;1),1,"")))</f>
        <v/>
      </c>
      <c r="AW7" s="506">
        <f>SUMIF(C2:C177,C7,O2:O177)</f>
        <v>1</v>
      </c>
      <c r="AX7" s="506">
        <f>IF(AND(M7="F",AS7&lt;&gt;0),SUMIF(C2:C177,C7,W2:W177),0)</f>
        <v>46051.199999999997</v>
      </c>
      <c r="AY7" s="506">
        <f t="shared" si="29"/>
        <v>46051.199999999997</v>
      </c>
      <c r="AZ7" s="506" t="str">
        <f t="shared" si="30"/>
        <v/>
      </c>
      <c r="BA7" s="506">
        <f t="shared" si="31"/>
        <v>0</v>
      </c>
      <c r="BB7" s="506">
        <f t="shared" si="0"/>
        <v>11650</v>
      </c>
      <c r="BC7" s="506">
        <f t="shared" si="1"/>
        <v>0</v>
      </c>
      <c r="BD7" s="506">
        <f t="shared" si="2"/>
        <v>2855.1743999999999</v>
      </c>
      <c r="BE7" s="506">
        <f t="shared" si="3"/>
        <v>667.74239999999998</v>
      </c>
      <c r="BF7" s="506">
        <f t="shared" si="4"/>
        <v>5498.5132800000001</v>
      </c>
      <c r="BG7" s="506">
        <f t="shared" si="5"/>
        <v>332.02915200000001</v>
      </c>
      <c r="BH7" s="506">
        <f t="shared" si="6"/>
        <v>225.65087999999997</v>
      </c>
      <c r="BI7" s="506">
        <f t="shared" si="7"/>
        <v>254.89339199999998</v>
      </c>
      <c r="BJ7" s="506">
        <f t="shared" si="8"/>
        <v>566.42975999999999</v>
      </c>
      <c r="BK7" s="506">
        <f t="shared" si="9"/>
        <v>0</v>
      </c>
      <c r="BL7" s="506">
        <f t="shared" si="32"/>
        <v>10400.433263999999</v>
      </c>
      <c r="BM7" s="506">
        <f t="shared" si="33"/>
        <v>0</v>
      </c>
      <c r="BN7" s="506">
        <f t="shared" si="10"/>
        <v>11650</v>
      </c>
      <c r="BO7" s="506">
        <f t="shared" si="11"/>
        <v>0</v>
      </c>
      <c r="BP7" s="506">
        <f t="shared" si="12"/>
        <v>2855.1743999999999</v>
      </c>
      <c r="BQ7" s="506">
        <f t="shared" si="13"/>
        <v>667.74239999999998</v>
      </c>
      <c r="BR7" s="506">
        <f t="shared" si="14"/>
        <v>5498.5132800000001</v>
      </c>
      <c r="BS7" s="506">
        <f t="shared" si="15"/>
        <v>332.02915200000001</v>
      </c>
      <c r="BT7" s="506">
        <f t="shared" si="16"/>
        <v>0</v>
      </c>
      <c r="BU7" s="506">
        <f t="shared" si="17"/>
        <v>254.89339199999998</v>
      </c>
      <c r="BV7" s="506">
        <f t="shared" si="18"/>
        <v>552.61439999999993</v>
      </c>
      <c r="BW7" s="506">
        <f t="shared" si="19"/>
        <v>0</v>
      </c>
      <c r="BX7" s="506">
        <f t="shared" si="34"/>
        <v>10160.967024</v>
      </c>
      <c r="BY7" s="506">
        <f t="shared" si="35"/>
        <v>0</v>
      </c>
      <c r="BZ7" s="506">
        <f t="shared" si="36"/>
        <v>0</v>
      </c>
      <c r="CA7" s="506">
        <f t="shared" si="37"/>
        <v>0</v>
      </c>
      <c r="CB7" s="506">
        <f t="shared" si="38"/>
        <v>0</v>
      </c>
      <c r="CC7" s="506">
        <f t="shared" si="20"/>
        <v>0</v>
      </c>
      <c r="CD7" s="506">
        <f t="shared" si="21"/>
        <v>0</v>
      </c>
      <c r="CE7" s="506">
        <f t="shared" si="22"/>
        <v>0</v>
      </c>
      <c r="CF7" s="506">
        <f t="shared" si="23"/>
        <v>-225.65087999999997</v>
      </c>
      <c r="CG7" s="506">
        <f t="shared" si="24"/>
        <v>0</v>
      </c>
      <c r="CH7" s="506">
        <f t="shared" si="25"/>
        <v>-13.815359999999995</v>
      </c>
      <c r="CI7" s="506">
        <f t="shared" si="26"/>
        <v>0</v>
      </c>
      <c r="CJ7" s="506">
        <f t="shared" si="39"/>
        <v>-239.46623999999997</v>
      </c>
      <c r="CK7" s="506" t="str">
        <f t="shared" si="40"/>
        <v/>
      </c>
      <c r="CL7" s="506" t="str">
        <f t="shared" si="41"/>
        <v/>
      </c>
      <c r="CM7" s="506" t="str">
        <f t="shared" si="42"/>
        <v/>
      </c>
      <c r="CN7" s="506" t="str">
        <f t="shared" si="43"/>
        <v>0290-00</v>
      </c>
    </row>
    <row r="8" spans="1:92" ht="15.75" thickBot="1" x14ac:dyDescent="0.3">
      <c r="A8" s="495" t="s">
        <v>187</v>
      </c>
      <c r="B8" s="495" t="s">
        <v>188</v>
      </c>
      <c r="C8" s="495" t="s">
        <v>244</v>
      </c>
      <c r="D8" s="495" t="s">
        <v>245</v>
      </c>
      <c r="E8" s="495" t="s">
        <v>191</v>
      </c>
      <c r="F8" s="496" t="s">
        <v>192</v>
      </c>
      <c r="G8" s="495" t="s">
        <v>193</v>
      </c>
      <c r="H8" s="497"/>
      <c r="I8" s="497"/>
      <c r="J8" s="495" t="s">
        <v>225</v>
      </c>
      <c r="K8" s="495" t="s">
        <v>246</v>
      </c>
      <c r="L8" s="495" t="s">
        <v>207</v>
      </c>
      <c r="M8" s="495" t="s">
        <v>213</v>
      </c>
      <c r="N8" s="495" t="s">
        <v>198</v>
      </c>
      <c r="O8" s="498">
        <v>0</v>
      </c>
      <c r="P8" s="504">
        <v>1</v>
      </c>
      <c r="Q8" s="504">
        <v>1</v>
      </c>
      <c r="R8" s="499">
        <v>80</v>
      </c>
      <c r="S8" s="504">
        <v>1</v>
      </c>
      <c r="T8" s="499">
        <v>0</v>
      </c>
      <c r="U8" s="499">
        <v>0</v>
      </c>
      <c r="V8" s="499">
        <v>0</v>
      </c>
      <c r="W8" s="499">
        <v>66788.800000000003</v>
      </c>
      <c r="X8" s="499">
        <v>29253.49</v>
      </c>
      <c r="Y8" s="499">
        <v>66788.800000000003</v>
      </c>
      <c r="Z8" s="499">
        <v>28919.55</v>
      </c>
      <c r="AA8" s="497"/>
      <c r="AB8" s="495" t="s">
        <v>23</v>
      </c>
      <c r="AC8" s="495" t="s">
        <v>23</v>
      </c>
      <c r="AD8" s="497"/>
      <c r="AE8" s="497"/>
      <c r="AF8" s="497"/>
      <c r="AG8" s="497"/>
      <c r="AH8" s="498">
        <v>0</v>
      </c>
      <c r="AI8" s="498">
        <v>0</v>
      </c>
      <c r="AJ8" s="497"/>
      <c r="AK8" s="497"/>
      <c r="AL8" s="495" t="s">
        <v>207</v>
      </c>
      <c r="AM8" s="497"/>
      <c r="AN8" s="497"/>
      <c r="AO8" s="498">
        <v>0</v>
      </c>
      <c r="AP8" s="504">
        <v>0</v>
      </c>
      <c r="AQ8" s="504">
        <v>0</v>
      </c>
      <c r="AR8" s="503"/>
      <c r="AS8" s="506">
        <f t="shared" si="27"/>
        <v>0</v>
      </c>
      <c r="AT8">
        <f t="shared" si="28"/>
        <v>0</v>
      </c>
      <c r="AU8" s="506" t="str">
        <f>IF(AT8=0,"",IF(AND(AT8=1,M8="F",SUMIF(C2:C177,C8,AS2:AS177)&lt;=1),SUMIF(C2:C177,C8,AS2:AS177),IF(AND(AT8=1,M8="F",SUMIF(C2:C177,C8,AS2:AS177)&gt;1),1,"")))</f>
        <v/>
      </c>
      <c r="AV8" s="506" t="str">
        <f>IF(AT8=0,"",IF(AND(AT8=3,M8="F",SUMIF(C2:C177,C8,AS2:AS177)&lt;=1),SUMIF(C2:C177,C8,AS2:AS177),IF(AND(AT8=3,M8="F",SUMIF(C2:C177,C8,AS2:AS177)&gt;1),1,"")))</f>
        <v/>
      </c>
      <c r="AW8" s="506">
        <f>SUMIF(C2:C177,C8,O2:O177)</f>
        <v>0</v>
      </c>
      <c r="AX8" s="506">
        <f>IF(AND(M8="F",AS8&lt;&gt;0),SUMIF(C2:C177,C8,W2:W177),0)</f>
        <v>0</v>
      </c>
      <c r="AY8" s="506" t="str">
        <f t="shared" si="29"/>
        <v/>
      </c>
      <c r="AZ8" s="506" t="str">
        <f t="shared" si="30"/>
        <v/>
      </c>
      <c r="BA8" s="506">
        <f t="shared" si="31"/>
        <v>0</v>
      </c>
      <c r="BB8" s="506">
        <f t="shared" si="0"/>
        <v>0</v>
      </c>
      <c r="BC8" s="506">
        <f t="shared" si="1"/>
        <v>0</v>
      </c>
      <c r="BD8" s="506">
        <f t="shared" si="2"/>
        <v>0</v>
      </c>
      <c r="BE8" s="506">
        <f t="shared" si="3"/>
        <v>0</v>
      </c>
      <c r="BF8" s="506">
        <f t="shared" si="4"/>
        <v>0</v>
      </c>
      <c r="BG8" s="506">
        <f t="shared" si="5"/>
        <v>0</v>
      </c>
      <c r="BH8" s="506">
        <f t="shared" si="6"/>
        <v>0</v>
      </c>
      <c r="BI8" s="506">
        <f t="shared" si="7"/>
        <v>0</v>
      </c>
      <c r="BJ8" s="506">
        <f t="shared" si="8"/>
        <v>0</v>
      </c>
      <c r="BK8" s="506">
        <f t="shared" si="9"/>
        <v>0</v>
      </c>
      <c r="BL8" s="506">
        <f t="shared" si="32"/>
        <v>0</v>
      </c>
      <c r="BM8" s="506">
        <f t="shared" si="33"/>
        <v>0</v>
      </c>
      <c r="BN8" s="506">
        <f t="shared" si="10"/>
        <v>0</v>
      </c>
      <c r="BO8" s="506">
        <f t="shared" si="11"/>
        <v>0</v>
      </c>
      <c r="BP8" s="506">
        <f t="shared" si="12"/>
        <v>0</v>
      </c>
      <c r="BQ8" s="506">
        <f t="shared" si="13"/>
        <v>0</v>
      </c>
      <c r="BR8" s="506">
        <f t="shared" si="14"/>
        <v>0</v>
      </c>
      <c r="BS8" s="506">
        <f t="shared" si="15"/>
        <v>0</v>
      </c>
      <c r="BT8" s="506">
        <f t="shared" si="16"/>
        <v>0</v>
      </c>
      <c r="BU8" s="506">
        <f t="shared" si="17"/>
        <v>0</v>
      </c>
      <c r="BV8" s="506">
        <f t="shared" si="18"/>
        <v>0</v>
      </c>
      <c r="BW8" s="506">
        <f t="shared" si="19"/>
        <v>0</v>
      </c>
      <c r="BX8" s="506">
        <f t="shared" si="34"/>
        <v>0</v>
      </c>
      <c r="BY8" s="506">
        <f t="shared" si="35"/>
        <v>0</v>
      </c>
      <c r="BZ8" s="506">
        <f t="shared" si="36"/>
        <v>0</v>
      </c>
      <c r="CA8" s="506">
        <f t="shared" si="37"/>
        <v>0</v>
      </c>
      <c r="CB8" s="506">
        <f t="shared" si="38"/>
        <v>0</v>
      </c>
      <c r="CC8" s="506">
        <f t="shared" si="20"/>
        <v>0</v>
      </c>
      <c r="CD8" s="506">
        <f t="shared" si="21"/>
        <v>0</v>
      </c>
      <c r="CE8" s="506">
        <f t="shared" si="22"/>
        <v>0</v>
      </c>
      <c r="CF8" s="506">
        <f t="shared" si="23"/>
        <v>0</v>
      </c>
      <c r="CG8" s="506">
        <f t="shared" si="24"/>
        <v>0</v>
      </c>
      <c r="CH8" s="506">
        <f t="shared" si="25"/>
        <v>0</v>
      </c>
      <c r="CI8" s="506">
        <f t="shared" si="26"/>
        <v>0</v>
      </c>
      <c r="CJ8" s="506">
        <f t="shared" si="39"/>
        <v>0</v>
      </c>
      <c r="CK8" s="506" t="str">
        <f t="shared" si="40"/>
        <v/>
      </c>
      <c r="CL8" s="506" t="str">
        <f t="shared" si="41"/>
        <v/>
      </c>
      <c r="CM8" s="506" t="str">
        <f t="shared" si="42"/>
        <v/>
      </c>
      <c r="CN8" s="506" t="str">
        <f t="shared" si="43"/>
        <v>0290-00</v>
      </c>
    </row>
    <row r="9" spans="1:92" ht="15.75" thickBot="1" x14ac:dyDescent="0.3">
      <c r="A9" s="495" t="s">
        <v>187</v>
      </c>
      <c r="B9" s="495" t="s">
        <v>188</v>
      </c>
      <c r="C9" s="495" t="s">
        <v>247</v>
      </c>
      <c r="D9" s="495" t="s">
        <v>215</v>
      </c>
      <c r="E9" s="495" t="s">
        <v>191</v>
      </c>
      <c r="F9" s="496" t="s">
        <v>192</v>
      </c>
      <c r="G9" s="495" t="s">
        <v>193</v>
      </c>
      <c r="H9" s="497"/>
      <c r="I9" s="497"/>
      <c r="J9" s="495" t="s">
        <v>248</v>
      </c>
      <c r="K9" s="495" t="s">
        <v>217</v>
      </c>
      <c r="L9" s="495" t="s">
        <v>218</v>
      </c>
      <c r="M9" s="495" t="s">
        <v>197</v>
      </c>
      <c r="N9" s="495" t="s">
        <v>198</v>
      </c>
      <c r="O9" s="498">
        <v>1</v>
      </c>
      <c r="P9" s="504">
        <v>1</v>
      </c>
      <c r="Q9" s="504">
        <v>1</v>
      </c>
      <c r="R9" s="499">
        <v>80</v>
      </c>
      <c r="S9" s="504">
        <v>1</v>
      </c>
      <c r="T9" s="499">
        <v>19373.38</v>
      </c>
      <c r="U9" s="499">
        <v>0</v>
      </c>
      <c r="V9" s="499">
        <v>13674.82</v>
      </c>
      <c r="W9" s="499">
        <v>27040</v>
      </c>
      <c r="X9" s="499">
        <v>17756.939999999999</v>
      </c>
      <c r="Y9" s="499">
        <v>27040</v>
      </c>
      <c r="Z9" s="499">
        <v>17616.34</v>
      </c>
      <c r="AA9" s="495" t="s">
        <v>249</v>
      </c>
      <c r="AB9" s="495" t="s">
        <v>250</v>
      </c>
      <c r="AC9" s="495" t="s">
        <v>251</v>
      </c>
      <c r="AD9" s="495" t="s">
        <v>242</v>
      </c>
      <c r="AE9" s="495" t="s">
        <v>217</v>
      </c>
      <c r="AF9" s="495" t="s">
        <v>222</v>
      </c>
      <c r="AG9" s="495" t="s">
        <v>204</v>
      </c>
      <c r="AH9" s="498">
        <v>13</v>
      </c>
      <c r="AI9" s="500">
        <v>855.5</v>
      </c>
      <c r="AJ9" s="495" t="s">
        <v>205</v>
      </c>
      <c r="AK9" s="495" t="s">
        <v>206</v>
      </c>
      <c r="AL9" s="495" t="s">
        <v>207</v>
      </c>
      <c r="AM9" s="495" t="s">
        <v>208</v>
      </c>
      <c r="AN9" s="495" t="s">
        <v>92</v>
      </c>
      <c r="AO9" s="498">
        <v>80</v>
      </c>
      <c r="AP9" s="504">
        <v>1</v>
      </c>
      <c r="AQ9" s="504">
        <v>1</v>
      </c>
      <c r="AR9" s="502" t="s">
        <v>209</v>
      </c>
      <c r="AS9" s="506">
        <f t="shared" si="27"/>
        <v>1</v>
      </c>
      <c r="AT9">
        <f t="shared" si="28"/>
        <v>1</v>
      </c>
      <c r="AU9" s="506">
        <f>IF(AT9=0,"",IF(AND(AT9=1,M9="F",SUMIF(C2:C177,C9,AS2:AS177)&lt;=1),SUMIF(C2:C177,C9,AS2:AS177),IF(AND(AT9=1,M9="F",SUMIF(C2:C177,C9,AS2:AS177)&gt;1),1,"")))</f>
        <v>1</v>
      </c>
      <c r="AV9" s="506" t="str">
        <f>IF(AT9=0,"",IF(AND(AT9=3,M9="F",SUMIF(C2:C177,C9,AS2:AS177)&lt;=1),SUMIF(C2:C177,C9,AS2:AS177),IF(AND(AT9=3,M9="F",SUMIF(C2:C177,C9,AS2:AS177)&gt;1),1,"")))</f>
        <v/>
      </c>
      <c r="AW9" s="506">
        <f>SUMIF(C2:C177,C9,O2:O177)</f>
        <v>1</v>
      </c>
      <c r="AX9" s="506">
        <f>IF(AND(M9="F",AS9&lt;&gt;0),SUMIF(C2:C177,C9,W2:W177),0)</f>
        <v>27040</v>
      </c>
      <c r="AY9" s="506">
        <f t="shared" si="29"/>
        <v>27040</v>
      </c>
      <c r="AZ9" s="506" t="str">
        <f t="shared" si="30"/>
        <v/>
      </c>
      <c r="BA9" s="506">
        <f t="shared" si="31"/>
        <v>0</v>
      </c>
      <c r="BB9" s="506">
        <f t="shared" si="0"/>
        <v>11650</v>
      </c>
      <c r="BC9" s="506">
        <f t="shared" si="1"/>
        <v>0</v>
      </c>
      <c r="BD9" s="506">
        <f t="shared" si="2"/>
        <v>1676.48</v>
      </c>
      <c r="BE9" s="506">
        <f t="shared" si="3"/>
        <v>392.08000000000004</v>
      </c>
      <c r="BF9" s="506">
        <f t="shared" si="4"/>
        <v>3228.576</v>
      </c>
      <c r="BG9" s="506">
        <f t="shared" si="5"/>
        <v>194.95840000000001</v>
      </c>
      <c r="BH9" s="506">
        <f t="shared" si="6"/>
        <v>132.49600000000001</v>
      </c>
      <c r="BI9" s="506">
        <f t="shared" si="7"/>
        <v>149.66640000000001</v>
      </c>
      <c r="BJ9" s="506">
        <f t="shared" si="8"/>
        <v>332.59199999999998</v>
      </c>
      <c r="BK9" s="506">
        <f t="shared" si="9"/>
        <v>0</v>
      </c>
      <c r="BL9" s="506">
        <f t="shared" si="32"/>
        <v>6106.8488000000007</v>
      </c>
      <c r="BM9" s="506">
        <f t="shared" si="33"/>
        <v>0</v>
      </c>
      <c r="BN9" s="506">
        <f t="shared" si="10"/>
        <v>11650</v>
      </c>
      <c r="BO9" s="506">
        <f t="shared" si="11"/>
        <v>0</v>
      </c>
      <c r="BP9" s="506">
        <f t="shared" si="12"/>
        <v>1676.48</v>
      </c>
      <c r="BQ9" s="506">
        <f t="shared" si="13"/>
        <v>392.08000000000004</v>
      </c>
      <c r="BR9" s="506">
        <f t="shared" si="14"/>
        <v>3228.576</v>
      </c>
      <c r="BS9" s="506">
        <f t="shared" si="15"/>
        <v>194.95840000000001</v>
      </c>
      <c r="BT9" s="506">
        <f t="shared" si="16"/>
        <v>0</v>
      </c>
      <c r="BU9" s="506">
        <f t="shared" si="17"/>
        <v>149.66640000000001</v>
      </c>
      <c r="BV9" s="506">
        <f t="shared" si="18"/>
        <v>324.48</v>
      </c>
      <c r="BW9" s="506">
        <f t="shared" si="19"/>
        <v>0</v>
      </c>
      <c r="BX9" s="506">
        <f t="shared" si="34"/>
        <v>5966.2408000000014</v>
      </c>
      <c r="BY9" s="506">
        <f t="shared" si="35"/>
        <v>0</v>
      </c>
      <c r="BZ9" s="506">
        <f t="shared" si="36"/>
        <v>0</v>
      </c>
      <c r="CA9" s="506">
        <f t="shared" si="37"/>
        <v>0</v>
      </c>
      <c r="CB9" s="506">
        <f t="shared" si="38"/>
        <v>0</v>
      </c>
      <c r="CC9" s="506">
        <f t="shared" si="20"/>
        <v>0</v>
      </c>
      <c r="CD9" s="506">
        <f t="shared" si="21"/>
        <v>0</v>
      </c>
      <c r="CE9" s="506">
        <f t="shared" si="22"/>
        <v>0</v>
      </c>
      <c r="CF9" s="506">
        <f t="shared" si="23"/>
        <v>-132.49600000000001</v>
      </c>
      <c r="CG9" s="506">
        <f t="shared" si="24"/>
        <v>0</v>
      </c>
      <c r="CH9" s="506">
        <f t="shared" si="25"/>
        <v>-8.1119999999999983</v>
      </c>
      <c r="CI9" s="506">
        <f t="shared" si="26"/>
        <v>0</v>
      </c>
      <c r="CJ9" s="506">
        <f t="shared" si="39"/>
        <v>-140.608</v>
      </c>
      <c r="CK9" s="506" t="str">
        <f t="shared" si="40"/>
        <v/>
      </c>
      <c r="CL9" s="506" t="str">
        <f t="shared" si="41"/>
        <v/>
      </c>
      <c r="CM9" s="506" t="str">
        <f t="shared" si="42"/>
        <v/>
      </c>
      <c r="CN9" s="506" t="str">
        <f t="shared" si="43"/>
        <v>0290-00</v>
      </c>
    </row>
    <row r="10" spans="1:92" ht="15.75" thickBot="1" x14ac:dyDescent="0.3">
      <c r="A10" s="495" t="s">
        <v>187</v>
      </c>
      <c r="B10" s="495" t="s">
        <v>188</v>
      </c>
      <c r="C10" s="495" t="s">
        <v>252</v>
      </c>
      <c r="D10" s="495" t="s">
        <v>224</v>
      </c>
      <c r="E10" s="495" t="s">
        <v>191</v>
      </c>
      <c r="F10" s="496" t="s">
        <v>192</v>
      </c>
      <c r="G10" s="495" t="s">
        <v>193</v>
      </c>
      <c r="H10" s="497"/>
      <c r="I10" s="497"/>
      <c r="J10" s="495" t="s">
        <v>225</v>
      </c>
      <c r="K10" s="495" t="s">
        <v>226</v>
      </c>
      <c r="L10" s="495" t="s">
        <v>192</v>
      </c>
      <c r="M10" s="495" t="s">
        <v>213</v>
      </c>
      <c r="N10" s="495" t="s">
        <v>227</v>
      </c>
      <c r="O10" s="498">
        <v>0</v>
      </c>
      <c r="P10" s="504">
        <v>1</v>
      </c>
      <c r="Q10" s="504">
        <v>0</v>
      </c>
      <c r="R10" s="499">
        <v>0</v>
      </c>
      <c r="S10" s="504">
        <v>0</v>
      </c>
      <c r="T10" s="499">
        <v>14040.97</v>
      </c>
      <c r="U10" s="499">
        <v>91.98</v>
      </c>
      <c r="V10" s="499">
        <v>5251.6</v>
      </c>
      <c r="W10" s="499">
        <v>14132.95</v>
      </c>
      <c r="X10" s="499">
        <v>5251.6</v>
      </c>
      <c r="Y10" s="499">
        <v>14132.95</v>
      </c>
      <c r="Z10" s="499">
        <v>5251.6</v>
      </c>
      <c r="AA10" s="497"/>
      <c r="AB10" s="495" t="s">
        <v>23</v>
      </c>
      <c r="AC10" s="495" t="s">
        <v>23</v>
      </c>
      <c r="AD10" s="497"/>
      <c r="AE10" s="497"/>
      <c r="AF10" s="497"/>
      <c r="AG10" s="497"/>
      <c r="AH10" s="498">
        <v>0</v>
      </c>
      <c r="AI10" s="498">
        <v>0</v>
      </c>
      <c r="AJ10" s="497"/>
      <c r="AK10" s="497"/>
      <c r="AL10" s="495" t="s">
        <v>207</v>
      </c>
      <c r="AM10" s="497"/>
      <c r="AN10" s="497"/>
      <c r="AO10" s="498">
        <v>0</v>
      </c>
      <c r="AP10" s="504">
        <v>0</v>
      </c>
      <c r="AQ10" s="504">
        <v>0</v>
      </c>
      <c r="AR10" s="503"/>
      <c r="AS10" s="506">
        <f t="shared" si="27"/>
        <v>0</v>
      </c>
      <c r="AT10">
        <f t="shared" si="28"/>
        <v>0</v>
      </c>
      <c r="AU10" s="506" t="str">
        <f>IF(AT10=0,"",IF(AND(AT10=1,M10="F",SUMIF(C2:C177,C10,AS2:AS177)&lt;=1),SUMIF(C2:C177,C10,AS2:AS177),IF(AND(AT10=1,M10="F",SUMIF(C2:C177,C10,AS2:AS177)&gt;1),1,"")))</f>
        <v/>
      </c>
      <c r="AV10" s="506" t="str">
        <f>IF(AT10=0,"",IF(AND(AT10=3,M10="F",SUMIF(C2:C177,C10,AS2:AS177)&lt;=1),SUMIF(C2:C177,C10,AS2:AS177),IF(AND(AT10=3,M10="F",SUMIF(C2:C177,C10,AS2:AS177)&gt;1),1,"")))</f>
        <v/>
      </c>
      <c r="AW10" s="506">
        <f>SUMIF(C2:C177,C10,O2:O177)</f>
        <v>0</v>
      </c>
      <c r="AX10" s="506">
        <f>IF(AND(M10="F",AS10&lt;&gt;0),SUMIF(C2:C177,C10,W2:W177),0)</f>
        <v>0</v>
      </c>
      <c r="AY10" s="506" t="str">
        <f t="shared" si="29"/>
        <v/>
      </c>
      <c r="AZ10" s="506" t="str">
        <f t="shared" si="30"/>
        <v/>
      </c>
      <c r="BA10" s="506">
        <f t="shared" si="31"/>
        <v>0</v>
      </c>
      <c r="BB10" s="506">
        <f t="shared" si="0"/>
        <v>0</v>
      </c>
      <c r="BC10" s="506">
        <f t="shared" si="1"/>
        <v>0</v>
      </c>
      <c r="BD10" s="506">
        <f t="shared" si="2"/>
        <v>0</v>
      </c>
      <c r="BE10" s="506">
        <f t="shared" si="3"/>
        <v>0</v>
      </c>
      <c r="BF10" s="506">
        <f t="shared" si="4"/>
        <v>0</v>
      </c>
      <c r="BG10" s="506">
        <f t="shared" si="5"/>
        <v>0</v>
      </c>
      <c r="BH10" s="506">
        <f t="shared" si="6"/>
        <v>0</v>
      </c>
      <c r="BI10" s="506">
        <f t="shared" si="7"/>
        <v>0</v>
      </c>
      <c r="BJ10" s="506">
        <f t="shared" si="8"/>
        <v>0</v>
      </c>
      <c r="BK10" s="506">
        <f t="shared" si="9"/>
        <v>0</v>
      </c>
      <c r="BL10" s="506">
        <f t="shared" si="32"/>
        <v>0</v>
      </c>
      <c r="BM10" s="506">
        <f t="shared" si="33"/>
        <v>0</v>
      </c>
      <c r="BN10" s="506">
        <f t="shared" si="10"/>
        <v>0</v>
      </c>
      <c r="BO10" s="506">
        <f t="shared" si="11"/>
        <v>0</v>
      </c>
      <c r="BP10" s="506">
        <f t="shared" si="12"/>
        <v>0</v>
      </c>
      <c r="BQ10" s="506">
        <f t="shared" si="13"/>
        <v>0</v>
      </c>
      <c r="BR10" s="506">
        <f t="shared" si="14"/>
        <v>0</v>
      </c>
      <c r="BS10" s="506">
        <f t="shared" si="15"/>
        <v>0</v>
      </c>
      <c r="BT10" s="506">
        <f t="shared" si="16"/>
        <v>0</v>
      </c>
      <c r="BU10" s="506">
        <f t="shared" si="17"/>
        <v>0</v>
      </c>
      <c r="BV10" s="506">
        <f t="shared" si="18"/>
        <v>0</v>
      </c>
      <c r="BW10" s="506">
        <f t="shared" si="19"/>
        <v>0</v>
      </c>
      <c r="BX10" s="506">
        <f t="shared" si="34"/>
        <v>0</v>
      </c>
      <c r="BY10" s="506">
        <f t="shared" si="35"/>
        <v>0</v>
      </c>
      <c r="BZ10" s="506">
        <f t="shared" si="36"/>
        <v>0</v>
      </c>
      <c r="CA10" s="506">
        <f t="shared" si="37"/>
        <v>0</v>
      </c>
      <c r="CB10" s="506">
        <f t="shared" si="38"/>
        <v>0</v>
      </c>
      <c r="CC10" s="506">
        <f t="shared" si="20"/>
        <v>0</v>
      </c>
      <c r="CD10" s="506">
        <f t="shared" si="21"/>
        <v>0</v>
      </c>
      <c r="CE10" s="506">
        <f t="shared" si="22"/>
        <v>0</v>
      </c>
      <c r="CF10" s="506">
        <f t="shared" si="23"/>
        <v>0</v>
      </c>
      <c r="CG10" s="506">
        <f t="shared" si="24"/>
        <v>0</v>
      </c>
      <c r="CH10" s="506">
        <f t="shared" si="25"/>
        <v>0</v>
      </c>
      <c r="CI10" s="506">
        <f t="shared" si="26"/>
        <v>0</v>
      </c>
      <c r="CJ10" s="506">
        <f t="shared" si="39"/>
        <v>0</v>
      </c>
      <c r="CK10" s="506" t="str">
        <f t="shared" si="40"/>
        <v/>
      </c>
      <c r="CL10" s="506">
        <f t="shared" si="41"/>
        <v>14132.949999999999</v>
      </c>
      <c r="CM10" s="506">
        <f t="shared" si="42"/>
        <v>5251.6</v>
      </c>
      <c r="CN10" s="506" t="str">
        <f t="shared" si="43"/>
        <v>0290-00</v>
      </c>
    </row>
    <row r="11" spans="1:92" ht="15.75" thickBot="1" x14ac:dyDescent="0.3">
      <c r="A11" s="495" t="s">
        <v>187</v>
      </c>
      <c r="B11" s="495" t="s">
        <v>188</v>
      </c>
      <c r="C11" s="495" t="s">
        <v>253</v>
      </c>
      <c r="D11" s="495" t="s">
        <v>229</v>
      </c>
      <c r="E11" s="495" t="s">
        <v>191</v>
      </c>
      <c r="F11" s="496" t="s">
        <v>192</v>
      </c>
      <c r="G11" s="495" t="s">
        <v>193</v>
      </c>
      <c r="H11" s="497"/>
      <c r="I11" s="497"/>
      <c r="J11" s="495" t="s">
        <v>254</v>
      </c>
      <c r="K11" s="495" t="s">
        <v>231</v>
      </c>
      <c r="L11" s="495" t="s">
        <v>232</v>
      </c>
      <c r="M11" s="495" t="s">
        <v>197</v>
      </c>
      <c r="N11" s="495" t="s">
        <v>198</v>
      </c>
      <c r="O11" s="498">
        <v>1</v>
      </c>
      <c r="P11" s="504">
        <v>1</v>
      </c>
      <c r="Q11" s="504">
        <v>1</v>
      </c>
      <c r="R11" s="499">
        <v>80</v>
      </c>
      <c r="S11" s="504">
        <v>1</v>
      </c>
      <c r="T11" s="499">
        <v>30572.55</v>
      </c>
      <c r="U11" s="499">
        <v>1027.17</v>
      </c>
      <c r="V11" s="499">
        <v>15390.82</v>
      </c>
      <c r="W11" s="499">
        <v>43492.800000000003</v>
      </c>
      <c r="X11" s="499">
        <v>21472.82</v>
      </c>
      <c r="Y11" s="499">
        <v>43492.800000000003</v>
      </c>
      <c r="Z11" s="499">
        <v>21246.65</v>
      </c>
      <c r="AA11" s="495" t="s">
        <v>255</v>
      </c>
      <c r="AB11" s="495" t="s">
        <v>256</v>
      </c>
      <c r="AC11" s="495" t="s">
        <v>257</v>
      </c>
      <c r="AD11" s="495" t="s">
        <v>242</v>
      </c>
      <c r="AE11" s="495" t="s">
        <v>258</v>
      </c>
      <c r="AF11" s="495" t="s">
        <v>259</v>
      </c>
      <c r="AG11" s="495" t="s">
        <v>204</v>
      </c>
      <c r="AH11" s="500">
        <v>20.91</v>
      </c>
      <c r="AI11" s="500">
        <v>4608.5</v>
      </c>
      <c r="AJ11" s="495" t="s">
        <v>205</v>
      </c>
      <c r="AK11" s="495" t="s">
        <v>206</v>
      </c>
      <c r="AL11" s="495" t="s">
        <v>207</v>
      </c>
      <c r="AM11" s="495" t="s">
        <v>208</v>
      </c>
      <c r="AN11" s="495" t="s">
        <v>92</v>
      </c>
      <c r="AO11" s="498">
        <v>80</v>
      </c>
      <c r="AP11" s="504">
        <v>1</v>
      </c>
      <c r="AQ11" s="504">
        <v>1</v>
      </c>
      <c r="AR11" s="502">
        <v>3</v>
      </c>
      <c r="AS11" s="506">
        <f t="shared" si="27"/>
        <v>1</v>
      </c>
      <c r="AT11">
        <f t="shared" si="28"/>
        <v>1</v>
      </c>
      <c r="AU11" s="506">
        <f>IF(AT11=0,"",IF(AND(AT11=1,M11="F",SUMIF(C2:C177,C11,AS2:AS177)&lt;=1),SUMIF(C2:C177,C11,AS2:AS177),IF(AND(AT11=1,M11="F",SUMIF(C2:C177,C11,AS2:AS177)&gt;1),1,"")))</f>
        <v>1</v>
      </c>
      <c r="AV11" s="506" t="str">
        <f>IF(AT11=0,"",IF(AND(AT11=3,M11="F",SUMIF(C2:C177,C11,AS2:AS177)&lt;=1),SUMIF(C2:C177,C11,AS2:AS177),IF(AND(AT11=3,M11="F",SUMIF(C2:C177,C11,AS2:AS177)&gt;1),1,"")))</f>
        <v/>
      </c>
      <c r="AW11" s="506">
        <f>SUMIF(C2:C177,C11,O2:O177)</f>
        <v>1</v>
      </c>
      <c r="AX11" s="506">
        <f>IF(AND(M11="F",AS11&lt;&gt;0),SUMIF(C2:C177,C11,W2:W177),0)</f>
        <v>43492.800000000003</v>
      </c>
      <c r="AY11" s="506">
        <f t="shared" si="29"/>
        <v>43492.800000000003</v>
      </c>
      <c r="AZ11" s="506" t="str">
        <f t="shared" si="30"/>
        <v/>
      </c>
      <c r="BA11" s="506">
        <f t="shared" si="31"/>
        <v>0</v>
      </c>
      <c r="BB11" s="506">
        <f t="shared" si="0"/>
        <v>11650</v>
      </c>
      <c r="BC11" s="506">
        <f t="shared" si="1"/>
        <v>0</v>
      </c>
      <c r="BD11" s="506">
        <f t="shared" si="2"/>
        <v>2696.5536000000002</v>
      </c>
      <c r="BE11" s="506">
        <f t="shared" si="3"/>
        <v>630.64560000000006</v>
      </c>
      <c r="BF11" s="506">
        <f t="shared" si="4"/>
        <v>5193.040320000001</v>
      </c>
      <c r="BG11" s="506">
        <f t="shared" si="5"/>
        <v>313.58308800000003</v>
      </c>
      <c r="BH11" s="506">
        <f t="shared" si="6"/>
        <v>213.11472000000001</v>
      </c>
      <c r="BI11" s="506">
        <f t="shared" si="7"/>
        <v>240.73264800000001</v>
      </c>
      <c r="BJ11" s="506">
        <f t="shared" si="8"/>
        <v>534.96144000000004</v>
      </c>
      <c r="BK11" s="506">
        <f t="shared" si="9"/>
        <v>0</v>
      </c>
      <c r="BL11" s="506">
        <f t="shared" si="32"/>
        <v>9822.6314160000002</v>
      </c>
      <c r="BM11" s="506">
        <f t="shared" si="33"/>
        <v>0</v>
      </c>
      <c r="BN11" s="506">
        <f t="shared" si="10"/>
        <v>11650</v>
      </c>
      <c r="BO11" s="506">
        <f t="shared" si="11"/>
        <v>0</v>
      </c>
      <c r="BP11" s="506">
        <f t="shared" si="12"/>
        <v>2696.5536000000002</v>
      </c>
      <c r="BQ11" s="506">
        <f t="shared" si="13"/>
        <v>630.64560000000006</v>
      </c>
      <c r="BR11" s="506">
        <f t="shared" si="14"/>
        <v>5193.040320000001</v>
      </c>
      <c r="BS11" s="506">
        <f t="shared" si="15"/>
        <v>313.58308800000003</v>
      </c>
      <c r="BT11" s="506">
        <f t="shared" si="16"/>
        <v>0</v>
      </c>
      <c r="BU11" s="506">
        <f t="shared" si="17"/>
        <v>240.73264800000001</v>
      </c>
      <c r="BV11" s="506">
        <f t="shared" si="18"/>
        <v>521.91360000000009</v>
      </c>
      <c r="BW11" s="506">
        <f t="shared" si="19"/>
        <v>0</v>
      </c>
      <c r="BX11" s="506">
        <f t="shared" si="34"/>
        <v>9596.4688559999995</v>
      </c>
      <c r="BY11" s="506">
        <f t="shared" si="35"/>
        <v>0</v>
      </c>
      <c r="BZ11" s="506">
        <f t="shared" si="36"/>
        <v>0</v>
      </c>
      <c r="CA11" s="506">
        <f t="shared" si="37"/>
        <v>0</v>
      </c>
      <c r="CB11" s="506">
        <f t="shared" si="38"/>
        <v>0</v>
      </c>
      <c r="CC11" s="506">
        <f t="shared" si="20"/>
        <v>0</v>
      </c>
      <c r="CD11" s="506">
        <f t="shared" si="21"/>
        <v>0</v>
      </c>
      <c r="CE11" s="506">
        <f t="shared" si="22"/>
        <v>0</v>
      </c>
      <c r="CF11" s="506">
        <f t="shared" si="23"/>
        <v>-213.11472000000001</v>
      </c>
      <c r="CG11" s="506">
        <f t="shared" si="24"/>
        <v>0</v>
      </c>
      <c r="CH11" s="506">
        <f t="shared" si="25"/>
        <v>-13.047839999999997</v>
      </c>
      <c r="CI11" s="506">
        <f t="shared" si="26"/>
        <v>0</v>
      </c>
      <c r="CJ11" s="506">
        <f t="shared" si="39"/>
        <v>-226.16256000000001</v>
      </c>
      <c r="CK11" s="506" t="str">
        <f t="shared" si="40"/>
        <v/>
      </c>
      <c r="CL11" s="506" t="str">
        <f t="shared" si="41"/>
        <v/>
      </c>
      <c r="CM11" s="506" t="str">
        <f t="shared" si="42"/>
        <v/>
      </c>
      <c r="CN11" s="506" t="str">
        <f t="shared" si="43"/>
        <v>0290-00</v>
      </c>
    </row>
    <row r="12" spans="1:92" ht="15.75" thickBot="1" x14ac:dyDescent="0.3">
      <c r="A12" s="495" t="s">
        <v>187</v>
      </c>
      <c r="B12" s="495" t="s">
        <v>188</v>
      </c>
      <c r="C12" s="495" t="s">
        <v>260</v>
      </c>
      <c r="D12" s="495" t="s">
        <v>190</v>
      </c>
      <c r="E12" s="495" t="s">
        <v>191</v>
      </c>
      <c r="F12" s="496" t="s">
        <v>192</v>
      </c>
      <c r="G12" s="495" t="s">
        <v>193</v>
      </c>
      <c r="H12" s="497"/>
      <c r="I12" s="497"/>
      <c r="J12" s="495" t="s">
        <v>225</v>
      </c>
      <c r="K12" s="495" t="s">
        <v>195</v>
      </c>
      <c r="L12" s="495" t="s">
        <v>196</v>
      </c>
      <c r="M12" s="495" t="s">
        <v>197</v>
      </c>
      <c r="N12" s="495" t="s">
        <v>198</v>
      </c>
      <c r="O12" s="498">
        <v>1</v>
      </c>
      <c r="P12" s="504">
        <v>1</v>
      </c>
      <c r="Q12" s="504">
        <v>1</v>
      </c>
      <c r="R12" s="499">
        <v>80</v>
      </c>
      <c r="S12" s="504">
        <v>1</v>
      </c>
      <c r="T12" s="499">
        <v>53144.94</v>
      </c>
      <c r="U12" s="499">
        <v>0</v>
      </c>
      <c r="V12" s="499">
        <v>22449.88</v>
      </c>
      <c r="W12" s="499">
        <v>59592</v>
      </c>
      <c r="X12" s="499">
        <v>25108.82</v>
      </c>
      <c r="Y12" s="499">
        <v>59592</v>
      </c>
      <c r="Z12" s="499">
        <v>24798.94</v>
      </c>
      <c r="AA12" s="495" t="s">
        <v>261</v>
      </c>
      <c r="AB12" s="495" t="s">
        <v>262</v>
      </c>
      <c r="AC12" s="495" t="s">
        <v>263</v>
      </c>
      <c r="AD12" s="495" t="s">
        <v>242</v>
      </c>
      <c r="AE12" s="495" t="s">
        <v>195</v>
      </c>
      <c r="AF12" s="495" t="s">
        <v>203</v>
      </c>
      <c r="AG12" s="495" t="s">
        <v>204</v>
      </c>
      <c r="AH12" s="500">
        <v>28.65</v>
      </c>
      <c r="AI12" s="500">
        <v>1818.1</v>
      </c>
      <c r="AJ12" s="495" t="s">
        <v>205</v>
      </c>
      <c r="AK12" s="495" t="s">
        <v>206</v>
      </c>
      <c r="AL12" s="495" t="s">
        <v>207</v>
      </c>
      <c r="AM12" s="495" t="s">
        <v>208</v>
      </c>
      <c r="AN12" s="495" t="s">
        <v>92</v>
      </c>
      <c r="AO12" s="498">
        <v>80</v>
      </c>
      <c r="AP12" s="504">
        <v>1</v>
      </c>
      <c r="AQ12" s="504">
        <v>1</v>
      </c>
      <c r="AR12" s="502" t="s">
        <v>209</v>
      </c>
      <c r="AS12" s="506">
        <f t="shared" si="27"/>
        <v>1</v>
      </c>
      <c r="AT12">
        <f t="shared" si="28"/>
        <v>1</v>
      </c>
      <c r="AU12" s="506">
        <f>IF(AT12=0,"",IF(AND(AT12=1,M12="F",SUMIF(C2:C177,C12,AS2:AS177)&lt;=1),SUMIF(C2:C177,C12,AS2:AS177),IF(AND(AT12=1,M12="F",SUMIF(C2:C177,C12,AS2:AS177)&gt;1),1,"")))</f>
        <v>1</v>
      </c>
      <c r="AV12" s="506" t="str">
        <f>IF(AT12=0,"",IF(AND(AT12=3,M12="F",SUMIF(C2:C177,C12,AS2:AS177)&lt;=1),SUMIF(C2:C177,C12,AS2:AS177),IF(AND(AT12=3,M12="F",SUMIF(C2:C177,C12,AS2:AS177)&gt;1),1,"")))</f>
        <v/>
      </c>
      <c r="AW12" s="506">
        <f>SUMIF(C2:C177,C12,O2:O177)</f>
        <v>1</v>
      </c>
      <c r="AX12" s="506">
        <f>IF(AND(M12="F",AS12&lt;&gt;0),SUMIF(C2:C177,C12,W2:W177),0)</f>
        <v>59592</v>
      </c>
      <c r="AY12" s="506">
        <f t="shared" si="29"/>
        <v>59592</v>
      </c>
      <c r="AZ12" s="506" t="str">
        <f t="shared" si="30"/>
        <v/>
      </c>
      <c r="BA12" s="506">
        <f t="shared" si="31"/>
        <v>0</v>
      </c>
      <c r="BB12" s="506">
        <f t="shared" si="0"/>
        <v>11650</v>
      </c>
      <c r="BC12" s="506">
        <f t="shared" si="1"/>
        <v>0</v>
      </c>
      <c r="BD12" s="506">
        <f t="shared" si="2"/>
        <v>3694.7040000000002</v>
      </c>
      <c r="BE12" s="506">
        <f t="shared" si="3"/>
        <v>864.08400000000006</v>
      </c>
      <c r="BF12" s="506">
        <f t="shared" si="4"/>
        <v>7115.2848000000004</v>
      </c>
      <c r="BG12" s="506">
        <f t="shared" si="5"/>
        <v>429.65832</v>
      </c>
      <c r="BH12" s="506">
        <f t="shared" si="6"/>
        <v>292.00079999999997</v>
      </c>
      <c r="BI12" s="506">
        <f t="shared" si="7"/>
        <v>329.84172000000001</v>
      </c>
      <c r="BJ12" s="506">
        <f t="shared" si="8"/>
        <v>732.98159999999996</v>
      </c>
      <c r="BK12" s="506">
        <f t="shared" si="9"/>
        <v>0</v>
      </c>
      <c r="BL12" s="506">
        <f t="shared" si="32"/>
        <v>13458.555240000002</v>
      </c>
      <c r="BM12" s="506">
        <f t="shared" si="33"/>
        <v>0</v>
      </c>
      <c r="BN12" s="506">
        <f t="shared" si="10"/>
        <v>11650</v>
      </c>
      <c r="BO12" s="506">
        <f t="shared" si="11"/>
        <v>0</v>
      </c>
      <c r="BP12" s="506">
        <f t="shared" si="12"/>
        <v>3694.7040000000002</v>
      </c>
      <c r="BQ12" s="506">
        <f t="shared" si="13"/>
        <v>864.08400000000006</v>
      </c>
      <c r="BR12" s="506">
        <f t="shared" si="14"/>
        <v>7115.2848000000004</v>
      </c>
      <c r="BS12" s="506">
        <f t="shared" si="15"/>
        <v>429.65832</v>
      </c>
      <c r="BT12" s="506">
        <f t="shared" si="16"/>
        <v>0</v>
      </c>
      <c r="BU12" s="506">
        <f t="shared" si="17"/>
        <v>329.84172000000001</v>
      </c>
      <c r="BV12" s="506">
        <f t="shared" si="18"/>
        <v>715.10400000000004</v>
      </c>
      <c r="BW12" s="506">
        <f t="shared" si="19"/>
        <v>0</v>
      </c>
      <c r="BX12" s="506">
        <f t="shared" si="34"/>
        <v>13148.676840000002</v>
      </c>
      <c r="BY12" s="506">
        <f t="shared" si="35"/>
        <v>0</v>
      </c>
      <c r="BZ12" s="506">
        <f t="shared" si="36"/>
        <v>0</v>
      </c>
      <c r="CA12" s="506">
        <f t="shared" si="37"/>
        <v>0</v>
      </c>
      <c r="CB12" s="506">
        <f t="shared" si="38"/>
        <v>0</v>
      </c>
      <c r="CC12" s="506">
        <f t="shared" si="20"/>
        <v>0</v>
      </c>
      <c r="CD12" s="506">
        <f t="shared" si="21"/>
        <v>0</v>
      </c>
      <c r="CE12" s="506">
        <f t="shared" si="22"/>
        <v>0</v>
      </c>
      <c r="CF12" s="506">
        <f t="shared" si="23"/>
        <v>-292.00079999999997</v>
      </c>
      <c r="CG12" s="506">
        <f t="shared" si="24"/>
        <v>0</v>
      </c>
      <c r="CH12" s="506">
        <f t="shared" si="25"/>
        <v>-17.877599999999994</v>
      </c>
      <c r="CI12" s="506">
        <f t="shared" si="26"/>
        <v>0</v>
      </c>
      <c r="CJ12" s="506">
        <f t="shared" si="39"/>
        <v>-309.87839999999994</v>
      </c>
      <c r="CK12" s="506" t="str">
        <f t="shared" si="40"/>
        <v/>
      </c>
      <c r="CL12" s="506" t="str">
        <f t="shared" si="41"/>
        <v/>
      </c>
      <c r="CM12" s="506" t="str">
        <f t="shared" si="42"/>
        <v/>
      </c>
      <c r="CN12" s="506" t="str">
        <f t="shared" si="43"/>
        <v>0290-00</v>
      </c>
    </row>
    <row r="13" spans="1:92" ht="15.75" thickBot="1" x14ac:dyDescent="0.3">
      <c r="A13" s="495" t="s">
        <v>187</v>
      </c>
      <c r="B13" s="495" t="s">
        <v>188</v>
      </c>
      <c r="C13" s="495" t="s">
        <v>264</v>
      </c>
      <c r="D13" s="495" t="s">
        <v>265</v>
      </c>
      <c r="E13" s="495" t="s">
        <v>191</v>
      </c>
      <c r="F13" s="496" t="s">
        <v>192</v>
      </c>
      <c r="G13" s="495" t="s">
        <v>193</v>
      </c>
      <c r="H13" s="497"/>
      <c r="I13" s="497"/>
      <c r="J13" s="495" t="s">
        <v>254</v>
      </c>
      <c r="K13" s="495" t="s">
        <v>266</v>
      </c>
      <c r="L13" s="495" t="s">
        <v>232</v>
      </c>
      <c r="M13" s="495" t="s">
        <v>213</v>
      </c>
      <c r="N13" s="495" t="s">
        <v>198</v>
      </c>
      <c r="O13" s="498">
        <v>0</v>
      </c>
      <c r="P13" s="504">
        <v>1</v>
      </c>
      <c r="Q13" s="504">
        <v>1</v>
      </c>
      <c r="R13" s="499">
        <v>80</v>
      </c>
      <c r="S13" s="504">
        <v>1</v>
      </c>
      <c r="T13" s="499">
        <v>52867.41</v>
      </c>
      <c r="U13" s="499">
        <v>1000.72</v>
      </c>
      <c r="V13" s="499">
        <v>21421.81</v>
      </c>
      <c r="W13" s="499">
        <v>47403.199999999997</v>
      </c>
      <c r="X13" s="499">
        <v>20762.599999999999</v>
      </c>
      <c r="Y13" s="499">
        <v>47403.199999999997</v>
      </c>
      <c r="Z13" s="499">
        <v>20525.560000000001</v>
      </c>
      <c r="AA13" s="497"/>
      <c r="AB13" s="495" t="s">
        <v>23</v>
      </c>
      <c r="AC13" s="495" t="s">
        <v>23</v>
      </c>
      <c r="AD13" s="497"/>
      <c r="AE13" s="497"/>
      <c r="AF13" s="497"/>
      <c r="AG13" s="497"/>
      <c r="AH13" s="498">
        <v>0</v>
      </c>
      <c r="AI13" s="498">
        <v>0</v>
      </c>
      <c r="AJ13" s="497"/>
      <c r="AK13" s="497"/>
      <c r="AL13" s="495" t="s">
        <v>207</v>
      </c>
      <c r="AM13" s="497"/>
      <c r="AN13" s="497"/>
      <c r="AO13" s="498">
        <v>0</v>
      </c>
      <c r="AP13" s="504">
        <v>0</v>
      </c>
      <c r="AQ13" s="504">
        <v>0</v>
      </c>
      <c r="AR13" s="503"/>
      <c r="AS13" s="506">
        <f t="shared" si="27"/>
        <v>0</v>
      </c>
      <c r="AT13">
        <f t="shared" si="28"/>
        <v>0</v>
      </c>
      <c r="AU13" s="506" t="str">
        <f>IF(AT13=0,"",IF(AND(AT13=1,M13="F",SUMIF(C2:C177,C13,AS2:AS177)&lt;=1),SUMIF(C2:C177,C13,AS2:AS177),IF(AND(AT13=1,M13="F",SUMIF(C2:C177,C13,AS2:AS177)&gt;1),1,"")))</f>
        <v/>
      </c>
      <c r="AV13" s="506" t="str">
        <f>IF(AT13=0,"",IF(AND(AT13=3,M13="F",SUMIF(C2:C177,C13,AS2:AS177)&lt;=1),SUMIF(C2:C177,C13,AS2:AS177),IF(AND(AT13=3,M13="F",SUMIF(C2:C177,C13,AS2:AS177)&gt;1),1,"")))</f>
        <v/>
      </c>
      <c r="AW13" s="506">
        <f>SUMIF(C2:C177,C13,O2:O177)</f>
        <v>0</v>
      </c>
      <c r="AX13" s="506">
        <f>IF(AND(M13="F",AS13&lt;&gt;0),SUMIF(C2:C177,C13,W2:W177),0)</f>
        <v>0</v>
      </c>
      <c r="AY13" s="506" t="str">
        <f t="shared" si="29"/>
        <v/>
      </c>
      <c r="AZ13" s="506" t="str">
        <f t="shared" si="30"/>
        <v/>
      </c>
      <c r="BA13" s="506">
        <f t="shared" si="31"/>
        <v>0</v>
      </c>
      <c r="BB13" s="506">
        <f t="shared" si="0"/>
        <v>0</v>
      </c>
      <c r="BC13" s="506">
        <f t="shared" si="1"/>
        <v>0</v>
      </c>
      <c r="BD13" s="506">
        <f t="shared" si="2"/>
        <v>0</v>
      </c>
      <c r="BE13" s="506">
        <f t="shared" si="3"/>
        <v>0</v>
      </c>
      <c r="BF13" s="506">
        <f t="shared" si="4"/>
        <v>0</v>
      </c>
      <c r="BG13" s="506">
        <f t="shared" si="5"/>
        <v>0</v>
      </c>
      <c r="BH13" s="506">
        <f t="shared" si="6"/>
        <v>0</v>
      </c>
      <c r="BI13" s="506">
        <f t="shared" si="7"/>
        <v>0</v>
      </c>
      <c r="BJ13" s="506">
        <f t="shared" si="8"/>
        <v>0</v>
      </c>
      <c r="BK13" s="506">
        <f t="shared" si="9"/>
        <v>0</v>
      </c>
      <c r="BL13" s="506">
        <f t="shared" si="32"/>
        <v>0</v>
      </c>
      <c r="BM13" s="506">
        <f t="shared" si="33"/>
        <v>0</v>
      </c>
      <c r="BN13" s="506">
        <f t="shared" si="10"/>
        <v>0</v>
      </c>
      <c r="BO13" s="506">
        <f t="shared" si="11"/>
        <v>0</v>
      </c>
      <c r="BP13" s="506">
        <f t="shared" si="12"/>
        <v>0</v>
      </c>
      <c r="BQ13" s="506">
        <f t="shared" si="13"/>
        <v>0</v>
      </c>
      <c r="BR13" s="506">
        <f t="shared" si="14"/>
        <v>0</v>
      </c>
      <c r="BS13" s="506">
        <f t="shared" si="15"/>
        <v>0</v>
      </c>
      <c r="BT13" s="506">
        <f t="shared" si="16"/>
        <v>0</v>
      </c>
      <c r="BU13" s="506">
        <f t="shared" si="17"/>
        <v>0</v>
      </c>
      <c r="BV13" s="506">
        <f t="shared" si="18"/>
        <v>0</v>
      </c>
      <c r="BW13" s="506">
        <f t="shared" si="19"/>
        <v>0</v>
      </c>
      <c r="BX13" s="506">
        <f t="shared" si="34"/>
        <v>0</v>
      </c>
      <c r="BY13" s="506">
        <f t="shared" si="35"/>
        <v>0</v>
      </c>
      <c r="BZ13" s="506">
        <f t="shared" si="36"/>
        <v>0</v>
      </c>
      <c r="CA13" s="506">
        <f t="shared" si="37"/>
        <v>0</v>
      </c>
      <c r="CB13" s="506">
        <f t="shared" si="38"/>
        <v>0</v>
      </c>
      <c r="CC13" s="506">
        <f t="shared" si="20"/>
        <v>0</v>
      </c>
      <c r="CD13" s="506">
        <f t="shared" si="21"/>
        <v>0</v>
      </c>
      <c r="CE13" s="506">
        <f t="shared" si="22"/>
        <v>0</v>
      </c>
      <c r="CF13" s="506">
        <f t="shared" si="23"/>
        <v>0</v>
      </c>
      <c r="CG13" s="506">
        <f t="shared" si="24"/>
        <v>0</v>
      </c>
      <c r="CH13" s="506">
        <f t="shared" si="25"/>
        <v>0</v>
      </c>
      <c r="CI13" s="506">
        <f t="shared" si="26"/>
        <v>0</v>
      </c>
      <c r="CJ13" s="506">
        <f t="shared" si="39"/>
        <v>0</v>
      </c>
      <c r="CK13" s="506" t="str">
        <f t="shared" si="40"/>
        <v/>
      </c>
      <c r="CL13" s="506" t="str">
        <f t="shared" si="41"/>
        <v/>
      </c>
      <c r="CM13" s="506" t="str">
        <f t="shared" si="42"/>
        <v/>
      </c>
      <c r="CN13" s="506" t="str">
        <f t="shared" si="43"/>
        <v>0290-00</v>
      </c>
    </row>
    <row r="14" spans="1:92" ht="15.75" thickBot="1" x14ac:dyDescent="0.3">
      <c r="A14" s="495" t="s">
        <v>187</v>
      </c>
      <c r="B14" s="495" t="s">
        <v>188</v>
      </c>
      <c r="C14" s="495" t="s">
        <v>267</v>
      </c>
      <c r="D14" s="495" t="s">
        <v>268</v>
      </c>
      <c r="E14" s="495" t="s">
        <v>191</v>
      </c>
      <c r="F14" s="496" t="s">
        <v>192</v>
      </c>
      <c r="G14" s="495" t="s">
        <v>193</v>
      </c>
      <c r="H14" s="497"/>
      <c r="I14" s="497"/>
      <c r="J14" s="495" t="s">
        <v>225</v>
      </c>
      <c r="K14" s="495" t="s">
        <v>269</v>
      </c>
      <c r="L14" s="495" t="s">
        <v>204</v>
      </c>
      <c r="M14" s="495" t="s">
        <v>197</v>
      </c>
      <c r="N14" s="495" t="s">
        <v>270</v>
      </c>
      <c r="O14" s="498">
        <v>1</v>
      </c>
      <c r="P14" s="504">
        <v>1</v>
      </c>
      <c r="Q14" s="504">
        <v>1</v>
      </c>
      <c r="R14" s="499">
        <v>80</v>
      </c>
      <c r="S14" s="504">
        <v>1</v>
      </c>
      <c r="T14" s="499">
        <v>25184.73</v>
      </c>
      <c r="U14" s="499">
        <v>759.72</v>
      </c>
      <c r="V14" s="499">
        <v>14926.54</v>
      </c>
      <c r="W14" s="499">
        <v>31304</v>
      </c>
      <c r="X14" s="499">
        <v>18719.96</v>
      </c>
      <c r="Y14" s="499">
        <v>31304</v>
      </c>
      <c r="Z14" s="499">
        <v>18557.189999999999</v>
      </c>
      <c r="AA14" s="495" t="s">
        <v>271</v>
      </c>
      <c r="AB14" s="495" t="s">
        <v>272</v>
      </c>
      <c r="AC14" s="495" t="s">
        <v>273</v>
      </c>
      <c r="AD14" s="495" t="s">
        <v>242</v>
      </c>
      <c r="AE14" s="495" t="s">
        <v>269</v>
      </c>
      <c r="AF14" s="495" t="s">
        <v>274</v>
      </c>
      <c r="AG14" s="495" t="s">
        <v>204</v>
      </c>
      <c r="AH14" s="500">
        <v>15.05</v>
      </c>
      <c r="AI14" s="498">
        <v>2049</v>
      </c>
      <c r="AJ14" s="495" t="s">
        <v>205</v>
      </c>
      <c r="AK14" s="495" t="s">
        <v>206</v>
      </c>
      <c r="AL14" s="495" t="s">
        <v>207</v>
      </c>
      <c r="AM14" s="495" t="s">
        <v>208</v>
      </c>
      <c r="AN14" s="495" t="s">
        <v>92</v>
      </c>
      <c r="AO14" s="498">
        <v>80</v>
      </c>
      <c r="AP14" s="504">
        <v>1</v>
      </c>
      <c r="AQ14" s="504">
        <v>1</v>
      </c>
      <c r="AR14" s="502" t="s">
        <v>209</v>
      </c>
      <c r="AS14" s="506">
        <f t="shared" si="27"/>
        <v>1</v>
      </c>
      <c r="AT14">
        <f t="shared" si="28"/>
        <v>1</v>
      </c>
      <c r="AU14" s="506">
        <f>IF(AT14=0,"",IF(AND(AT14=1,M14="F",SUMIF(C2:C177,C14,AS2:AS177)&lt;=1),SUMIF(C2:C177,C14,AS2:AS177),IF(AND(AT14=1,M14="F",SUMIF(C2:C177,C14,AS2:AS177)&gt;1),1,"")))</f>
        <v>1</v>
      </c>
      <c r="AV14" s="506" t="str">
        <f>IF(AT14=0,"",IF(AND(AT14=3,M14="F",SUMIF(C2:C177,C14,AS2:AS177)&lt;=1),SUMIF(C2:C177,C14,AS2:AS177),IF(AND(AT14=3,M14="F",SUMIF(C2:C177,C14,AS2:AS177)&gt;1),1,"")))</f>
        <v/>
      </c>
      <c r="AW14" s="506">
        <f>SUMIF(C2:C177,C14,O2:O177)</f>
        <v>1</v>
      </c>
      <c r="AX14" s="506">
        <f>IF(AND(M14="F",AS14&lt;&gt;0),SUMIF(C2:C177,C14,W2:W177),0)</f>
        <v>31304</v>
      </c>
      <c r="AY14" s="506">
        <f t="shared" si="29"/>
        <v>31304</v>
      </c>
      <c r="AZ14" s="506" t="str">
        <f t="shared" si="30"/>
        <v/>
      </c>
      <c r="BA14" s="506">
        <f t="shared" si="31"/>
        <v>0</v>
      </c>
      <c r="BB14" s="506">
        <f t="shared" si="0"/>
        <v>11650</v>
      </c>
      <c r="BC14" s="506">
        <f t="shared" si="1"/>
        <v>0</v>
      </c>
      <c r="BD14" s="506">
        <f t="shared" si="2"/>
        <v>1940.848</v>
      </c>
      <c r="BE14" s="506">
        <f t="shared" si="3"/>
        <v>453.90800000000002</v>
      </c>
      <c r="BF14" s="506">
        <f t="shared" si="4"/>
        <v>3737.6976</v>
      </c>
      <c r="BG14" s="506">
        <f t="shared" si="5"/>
        <v>225.70184</v>
      </c>
      <c r="BH14" s="506">
        <f t="shared" si="6"/>
        <v>153.3896</v>
      </c>
      <c r="BI14" s="506">
        <f t="shared" si="7"/>
        <v>173.26764</v>
      </c>
      <c r="BJ14" s="506">
        <f t="shared" si="8"/>
        <v>385.03919999999999</v>
      </c>
      <c r="BK14" s="506">
        <f t="shared" si="9"/>
        <v>0</v>
      </c>
      <c r="BL14" s="506">
        <f t="shared" si="32"/>
        <v>7069.8518800000002</v>
      </c>
      <c r="BM14" s="506">
        <f t="shared" si="33"/>
        <v>0</v>
      </c>
      <c r="BN14" s="506">
        <f t="shared" si="10"/>
        <v>11650</v>
      </c>
      <c r="BO14" s="506">
        <f t="shared" si="11"/>
        <v>0</v>
      </c>
      <c r="BP14" s="506">
        <f t="shared" si="12"/>
        <v>1940.848</v>
      </c>
      <c r="BQ14" s="506">
        <f t="shared" si="13"/>
        <v>453.90800000000002</v>
      </c>
      <c r="BR14" s="506">
        <f t="shared" si="14"/>
        <v>3737.6976</v>
      </c>
      <c r="BS14" s="506">
        <f t="shared" si="15"/>
        <v>225.70184</v>
      </c>
      <c r="BT14" s="506">
        <f t="shared" si="16"/>
        <v>0</v>
      </c>
      <c r="BU14" s="506">
        <f t="shared" si="17"/>
        <v>173.26764</v>
      </c>
      <c r="BV14" s="506">
        <f t="shared" si="18"/>
        <v>375.64800000000002</v>
      </c>
      <c r="BW14" s="506">
        <f t="shared" si="19"/>
        <v>0</v>
      </c>
      <c r="BX14" s="506">
        <f t="shared" si="34"/>
        <v>6907.0710799999997</v>
      </c>
      <c r="BY14" s="506">
        <f t="shared" si="35"/>
        <v>0</v>
      </c>
      <c r="BZ14" s="506">
        <f t="shared" si="36"/>
        <v>0</v>
      </c>
      <c r="CA14" s="506">
        <f t="shared" si="37"/>
        <v>0</v>
      </c>
      <c r="CB14" s="506">
        <f t="shared" si="38"/>
        <v>0</v>
      </c>
      <c r="CC14" s="506">
        <f t="shared" si="20"/>
        <v>0</v>
      </c>
      <c r="CD14" s="506">
        <f t="shared" si="21"/>
        <v>0</v>
      </c>
      <c r="CE14" s="506">
        <f t="shared" si="22"/>
        <v>0</v>
      </c>
      <c r="CF14" s="506">
        <f t="shared" si="23"/>
        <v>-153.3896</v>
      </c>
      <c r="CG14" s="506">
        <f t="shared" si="24"/>
        <v>0</v>
      </c>
      <c r="CH14" s="506">
        <f t="shared" si="25"/>
        <v>-9.3911999999999978</v>
      </c>
      <c r="CI14" s="506">
        <f t="shared" si="26"/>
        <v>0</v>
      </c>
      <c r="CJ14" s="506">
        <f t="shared" si="39"/>
        <v>-162.7808</v>
      </c>
      <c r="CK14" s="506" t="str">
        <f t="shared" si="40"/>
        <v/>
      </c>
      <c r="CL14" s="506" t="str">
        <f t="shared" si="41"/>
        <v/>
      </c>
      <c r="CM14" s="506" t="str">
        <f t="shared" si="42"/>
        <v/>
      </c>
      <c r="CN14" s="506" t="str">
        <f t="shared" si="43"/>
        <v>0290-00</v>
      </c>
    </row>
    <row r="15" spans="1:92" ht="15.75" thickBot="1" x14ac:dyDescent="0.3">
      <c r="A15" s="495" t="s">
        <v>187</v>
      </c>
      <c r="B15" s="495" t="s">
        <v>188</v>
      </c>
      <c r="C15" s="495" t="s">
        <v>275</v>
      </c>
      <c r="D15" s="495" t="s">
        <v>224</v>
      </c>
      <c r="E15" s="495" t="s">
        <v>191</v>
      </c>
      <c r="F15" s="496" t="s">
        <v>192</v>
      </c>
      <c r="G15" s="495" t="s">
        <v>193</v>
      </c>
      <c r="H15" s="497"/>
      <c r="I15" s="497"/>
      <c r="J15" s="495" t="s">
        <v>194</v>
      </c>
      <c r="K15" s="495" t="s">
        <v>226</v>
      </c>
      <c r="L15" s="495" t="s">
        <v>192</v>
      </c>
      <c r="M15" s="495" t="s">
        <v>213</v>
      </c>
      <c r="N15" s="495" t="s">
        <v>227</v>
      </c>
      <c r="O15" s="498">
        <v>0</v>
      </c>
      <c r="P15" s="504">
        <v>1</v>
      </c>
      <c r="Q15" s="504">
        <v>0</v>
      </c>
      <c r="R15" s="499">
        <v>0</v>
      </c>
      <c r="S15" s="504">
        <v>0</v>
      </c>
      <c r="T15" s="499">
        <v>3972.65</v>
      </c>
      <c r="U15" s="499">
        <v>0</v>
      </c>
      <c r="V15" s="499">
        <v>1760.33</v>
      </c>
      <c r="W15" s="499">
        <v>3972.64</v>
      </c>
      <c r="X15" s="499">
        <v>1760.32</v>
      </c>
      <c r="Y15" s="499">
        <v>3972.64</v>
      </c>
      <c r="Z15" s="499">
        <v>1760.32</v>
      </c>
      <c r="AA15" s="497"/>
      <c r="AB15" s="495" t="s">
        <v>23</v>
      </c>
      <c r="AC15" s="495" t="s">
        <v>23</v>
      </c>
      <c r="AD15" s="497"/>
      <c r="AE15" s="497"/>
      <c r="AF15" s="497"/>
      <c r="AG15" s="497"/>
      <c r="AH15" s="498">
        <v>0</v>
      </c>
      <c r="AI15" s="498">
        <v>0</v>
      </c>
      <c r="AJ15" s="497"/>
      <c r="AK15" s="497"/>
      <c r="AL15" s="495" t="s">
        <v>207</v>
      </c>
      <c r="AM15" s="497"/>
      <c r="AN15" s="497"/>
      <c r="AO15" s="498">
        <v>0</v>
      </c>
      <c r="AP15" s="504">
        <v>0</v>
      </c>
      <c r="AQ15" s="504">
        <v>0</v>
      </c>
      <c r="AR15" s="503"/>
      <c r="AS15" s="506">
        <f t="shared" si="27"/>
        <v>0</v>
      </c>
      <c r="AT15">
        <f t="shared" si="28"/>
        <v>0</v>
      </c>
      <c r="AU15" s="506" t="str">
        <f>IF(AT15=0,"",IF(AND(AT15=1,M15="F",SUMIF(C2:C177,C15,AS2:AS177)&lt;=1),SUMIF(C2:C177,C15,AS2:AS177),IF(AND(AT15=1,M15="F",SUMIF(C2:C177,C15,AS2:AS177)&gt;1),1,"")))</f>
        <v/>
      </c>
      <c r="AV15" s="506" t="str">
        <f>IF(AT15=0,"",IF(AND(AT15=3,M15="F",SUMIF(C2:C177,C15,AS2:AS177)&lt;=1),SUMIF(C2:C177,C15,AS2:AS177),IF(AND(AT15=3,M15="F",SUMIF(C2:C177,C15,AS2:AS177)&gt;1),1,"")))</f>
        <v/>
      </c>
      <c r="AW15" s="506">
        <f>SUMIF(C2:C177,C15,O2:O177)</f>
        <v>0</v>
      </c>
      <c r="AX15" s="506">
        <f>IF(AND(M15="F",AS15&lt;&gt;0),SUMIF(C2:C177,C15,W2:W177),0)</f>
        <v>0</v>
      </c>
      <c r="AY15" s="506" t="str">
        <f t="shared" si="29"/>
        <v/>
      </c>
      <c r="AZ15" s="506" t="str">
        <f t="shared" si="30"/>
        <v/>
      </c>
      <c r="BA15" s="506">
        <f t="shared" si="31"/>
        <v>0</v>
      </c>
      <c r="BB15" s="506">
        <f t="shared" si="0"/>
        <v>0</v>
      </c>
      <c r="BC15" s="506">
        <f t="shared" si="1"/>
        <v>0</v>
      </c>
      <c r="BD15" s="506">
        <f t="shared" si="2"/>
        <v>0</v>
      </c>
      <c r="BE15" s="506">
        <f t="shared" si="3"/>
        <v>0</v>
      </c>
      <c r="BF15" s="506">
        <f t="shared" si="4"/>
        <v>0</v>
      </c>
      <c r="BG15" s="506">
        <f t="shared" si="5"/>
        <v>0</v>
      </c>
      <c r="BH15" s="506">
        <f t="shared" si="6"/>
        <v>0</v>
      </c>
      <c r="BI15" s="506">
        <f t="shared" si="7"/>
        <v>0</v>
      </c>
      <c r="BJ15" s="506">
        <f t="shared" si="8"/>
        <v>0</v>
      </c>
      <c r="BK15" s="506">
        <f t="shared" si="9"/>
        <v>0</v>
      </c>
      <c r="BL15" s="506">
        <f t="shared" si="32"/>
        <v>0</v>
      </c>
      <c r="BM15" s="506">
        <f t="shared" si="33"/>
        <v>0</v>
      </c>
      <c r="BN15" s="506">
        <f t="shared" si="10"/>
        <v>0</v>
      </c>
      <c r="BO15" s="506">
        <f t="shared" si="11"/>
        <v>0</v>
      </c>
      <c r="BP15" s="506">
        <f t="shared" si="12"/>
        <v>0</v>
      </c>
      <c r="BQ15" s="506">
        <f t="shared" si="13"/>
        <v>0</v>
      </c>
      <c r="BR15" s="506">
        <f t="shared" si="14"/>
        <v>0</v>
      </c>
      <c r="BS15" s="506">
        <f t="shared" si="15"/>
        <v>0</v>
      </c>
      <c r="BT15" s="506">
        <f t="shared" si="16"/>
        <v>0</v>
      </c>
      <c r="BU15" s="506">
        <f t="shared" si="17"/>
        <v>0</v>
      </c>
      <c r="BV15" s="506">
        <f t="shared" si="18"/>
        <v>0</v>
      </c>
      <c r="BW15" s="506">
        <f t="shared" si="19"/>
        <v>0</v>
      </c>
      <c r="BX15" s="506">
        <f t="shared" si="34"/>
        <v>0</v>
      </c>
      <c r="BY15" s="506">
        <f t="shared" si="35"/>
        <v>0</v>
      </c>
      <c r="BZ15" s="506">
        <f t="shared" si="36"/>
        <v>0</v>
      </c>
      <c r="CA15" s="506">
        <f t="shared" si="37"/>
        <v>0</v>
      </c>
      <c r="CB15" s="506">
        <f t="shared" si="38"/>
        <v>0</v>
      </c>
      <c r="CC15" s="506">
        <f t="shared" si="20"/>
        <v>0</v>
      </c>
      <c r="CD15" s="506">
        <f t="shared" si="21"/>
        <v>0</v>
      </c>
      <c r="CE15" s="506">
        <f t="shared" si="22"/>
        <v>0</v>
      </c>
      <c r="CF15" s="506">
        <f t="shared" si="23"/>
        <v>0</v>
      </c>
      <c r="CG15" s="506">
        <f t="shared" si="24"/>
        <v>0</v>
      </c>
      <c r="CH15" s="506">
        <f t="shared" si="25"/>
        <v>0</v>
      </c>
      <c r="CI15" s="506">
        <f t="shared" si="26"/>
        <v>0</v>
      </c>
      <c r="CJ15" s="506">
        <f t="shared" si="39"/>
        <v>0</v>
      </c>
      <c r="CK15" s="506" t="str">
        <f t="shared" si="40"/>
        <v/>
      </c>
      <c r="CL15" s="506">
        <f t="shared" si="41"/>
        <v>3972.65</v>
      </c>
      <c r="CM15" s="506">
        <f t="shared" si="42"/>
        <v>1760.33</v>
      </c>
      <c r="CN15" s="506" t="str">
        <f t="shared" si="43"/>
        <v>0290-00</v>
      </c>
    </row>
    <row r="16" spans="1:92" ht="15.75" thickBot="1" x14ac:dyDescent="0.3">
      <c r="A16" s="495" t="s">
        <v>187</v>
      </c>
      <c r="B16" s="495" t="s">
        <v>188</v>
      </c>
      <c r="C16" s="495" t="s">
        <v>276</v>
      </c>
      <c r="D16" s="495" t="s">
        <v>245</v>
      </c>
      <c r="E16" s="495" t="s">
        <v>191</v>
      </c>
      <c r="F16" s="496" t="s">
        <v>192</v>
      </c>
      <c r="G16" s="495" t="s">
        <v>193</v>
      </c>
      <c r="H16" s="497"/>
      <c r="I16" s="497"/>
      <c r="J16" s="495" t="s">
        <v>277</v>
      </c>
      <c r="K16" s="495" t="s">
        <v>246</v>
      </c>
      <c r="L16" s="495" t="s">
        <v>207</v>
      </c>
      <c r="M16" s="495" t="s">
        <v>197</v>
      </c>
      <c r="N16" s="495" t="s">
        <v>198</v>
      </c>
      <c r="O16" s="498">
        <v>1</v>
      </c>
      <c r="P16" s="504">
        <v>1</v>
      </c>
      <c r="Q16" s="504">
        <v>1</v>
      </c>
      <c r="R16" s="499">
        <v>80</v>
      </c>
      <c r="S16" s="504">
        <v>1</v>
      </c>
      <c r="T16" s="499">
        <v>79239.399999999994</v>
      </c>
      <c r="U16" s="499">
        <v>651.35</v>
      </c>
      <c r="V16" s="499">
        <v>28551.02</v>
      </c>
      <c r="W16" s="499">
        <v>83324.800000000003</v>
      </c>
      <c r="X16" s="499">
        <v>30468.85</v>
      </c>
      <c r="Y16" s="499">
        <v>83324.800000000003</v>
      </c>
      <c r="Z16" s="499">
        <v>30035.53</v>
      </c>
      <c r="AA16" s="495" t="s">
        <v>278</v>
      </c>
      <c r="AB16" s="495" t="s">
        <v>279</v>
      </c>
      <c r="AC16" s="495" t="s">
        <v>280</v>
      </c>
      <c r="AD16" s="495" t="s">
        <v>281</v>
      </c>
      <c r="AE16" s="495" t="s">
        <v>246</v>
      </c>
      <c r="AF16" s="495" t="s">
        <v>282</v>
      </c>
      <c r="AG16" s="495" t="s">
        <v>204</v>
      </c>
      <c r="AH16" s="500">
        <v>40.06</v>
      </c>
      <c r="AI16" s="500">
        <v>42496.4</v>
      </c>
      <c r="AJ16" s="495" t="s">
        <v>205</v>
      </c>
      <c r="AK16" s="495" t="s">
        <v>206</v>
      </c>
      <c r="AL16" s="495" t="s">
        <v>207</v>
      </c>
      <c r="AM16" s="495" t="s">
        <v>208</v>
      </c>
      <c r="AN16" s="495" t="s">
        <v>92</v>
      </c>
      <c r="AO16" s="498">
        <v>80</v>
      </c>
      <c r="AP16" s="504">
        <v>1</v>
      </c>
      <c r="AQ16" s="504">
        <v>1</v>
      </c>
      <c r="AR16" s="502" t="s">
        <v>209</v>
      </c>
      <c r="AS16" s="506">
        <f t="shared" si="27"/>
        <v>1</v>
      </c>
      <c r="AT16">
        <f t="shared" si="28"/>
        <v>1</v>
      </c>
      <c r="AU16" s="506">
        <f>IF(AT16=0,"",IF(AND(AT16=1,M16="F",SUMIF(C2:C177,C16,AS2:AS177)&lt;=1),SUMIF(C2:C177,C16,AS2:AS177),IF(AND(AT16=1,M16="F",SUMIF(C2:C177,C16,AS2:AS177)&gt;1),1,"")))</f>
        <v>1</v>
      </c>
      <c r="AV16" s="506" t="str">
        <f>IF(AT16=0,"",IF(AND(AT16=3,M16="F",SUMIF(C2:C177,C16,AS2:AS177)&lt;=1),SUMIF(C2:C177,C16,AS2:AS177),IF(AND(AT16=3,M16="F",SUMIF(C2:C177,C16,AS2:AS177)&gt;1),1,"")))</f>
        <v/>
      </c>
      <c r="AW16" s="506">
        <f>SUMIF(C2:C177,C16,O2:O177)</f>
        <v>1</v>
      </c>
      <c r="AX16" s="506">
        <f>IF(AND(M16="F",AS16&lt;&gt;0),SUMIF(C2:C177,C16,W2:W177),0)</f>
        <v>83324.800000000003</v>
      </c>
      <c r="AY16" s="506">
        <f t="shared" si="29"/>
        <v>83324.800000000003</v>
      </c>
      <c r="AZ16" s="506" t="str">
        <f t="shared" si="30"/>
        <v/>
      </c>
      <c r="BA16" s="506">
        <f t="shared" si="31"/>
        <v>0</v>
      </c>
      <c r="BB16" s="506">
        <f t="shared" si="0"/>
        <v>11650</v>
      </c>
      <c r="BC16" s="506">
        <f t="shared" si="1"/>
        <v>0</v>
      </c>
      <c r="BD16" s="506">
        <f t="shared" si="2"/>
        <v>5166.1376</v>
      </c>
      <c r="BE16" s="506">
        <f t="shared" si="3"/>
        <v>1208.2096000000001</v>
      </c>
      <c r="BF16" s="506">
        <f t="shared" si="4"/>
        <v>9948.9811200000004</v>
      </c>
      <c r="BG16" s="506">
        <f t="shared" si="5"/>
        <v>600.77180800000008</v>
      </c>
      <c r="BH16" s="506">
        <f t="shared" si="6"/>
        <v>408.29151999999999</v>
      </c>
      <c r="BI16" s="506">
        <f t="shared" si="7"/>
        <v>461.20276799999999</v>
      </c>
      <c r="BJ16" s="506">
        <f t="shared" si="8"/>
        <v>1024.8950400000001</v>
      </c>
      <c r="BK16" s="506">
        <f t="shared" si="9"/>
        <v>0</v>
      </c>
      <c r="BL16" s="506">
        <f t="shared" si="32"/>
        <v>18818.489455999999</v>
      </c>
      <c r="BM16" s="506">
        <f t="shared" si="33"/>
        <v>0</v>
      </c>
      <c r="BN16" s="506">
        <f t="shared" si="10"/>
        <v>11650</v>
      </c>
      <c r="BO16" s="506">
        <f t="shared" si="11"/>
        <v>0</v>
      </c>
      <c r="BP16" s="506">
        <f t="shared" si="12"/>
        <v>5166.1376</v>
      </c>
      <c r="BQ16" s="506">
        <f t="shared" si="13"/>
        <v>1208.2096000000001</v>
      </c>
      <c r="BR16" s="506">
        <f t="shared" si="14"/>
        <v>9948.9811200000004</v>
      </c>
      <c r="BS16" s="506">
        <f t="shared" si="15"/>
        <v>600.77180800000008</v>
      </c>
      <c r="BT16" s="506">
        <f t="shared" si="16"/>
        <v>0</v>
      </c>
      <c r="BU16" s="506">
        <f t="shared" si="17"/>
        <v>461.20276799999999</v>
      </c>
      <c r="BV16" s="506">
        <f t="shared" si="18"/>
        <v>999.89760000000001</v>
      </c>
      <c r="BW16" s="506">
        <f t="shared" si="19"/>
        <v>0</v>
      </c>
      <c r="BX16" s="506">
        <f t="shared" si="34"/>
        <v>18385.200496000001</v>
      </c>
      <c r="BY16" s="506">
        <f t="shared" si="35"/>
        <v>0</v>
      </c>
      <c r="BZ16" s="506">
        <f t="shared" si="36"/>
        <v>0</v>
      </c>
      <c r="CA16" s="506">
        <f t="shared" si="37"/>
        <v>0</v>
      </c>
      <c r="CB16" s="506">
        <f t="shared" si="38"/>
        <v>0</v>
      </c>
      <c r="CC16" s="506">
        <f t="shared" si="20"/>
        <v>0</v>
      </c>
      <c r="CD16" s="506">
        <f t="shared" si="21"/>
        <v>0</v>
      </c>
      <c r="CE16" s="506">
        <f t="shared" si="22"/>
        <v>0</v>
      </c>
      <c r="CF16" s="506">
        <f t="shared" si="23"/>
        <v>-408.29151999999999</v>
      </c>
      <c r="CG16" s="506">
        <f t="shared" si="24"/>
        <v>0</v>
      </c>
      <c r="CH16" s="506">
        <f t="shared" si="25"/>
        <v>-24.997439999999994</v>
      </c>
      <c r="CI16" s="506">
        <f t="shared" si="26"/>
        <v>0</v>
      </c>
      <c r="CJ16" s="506">
        <f t="shared" si="39"/>
        <v>-433.28895999999997</v>
      </c>
      <c r="CK16" s="506" t="str">
        <f t="shared" si="40"/>
        <v/>
      </c>
      <c r="CL16" s="506" t="str">
        <f t="shared" si="41"/>
        <v/>
      </c>
      <c r="CM16" s="506" t="str">
        <f t="shared" si="42"/>
        <v/>
      </c>
      <c r="CN16" s="506" t="str">
        <f t="shared" si="43"/>
        <v>0290-00</v>
      </c>
    </row>
    <row r="17" spans="1:92" ht="15.75" thickBot="1" x14ac:dyDescent="0.3">
      <c r="A17" s="495" t="s">
        <v>187</v>
      </c>
      <c r="B17" s="495" t="s">
        <v>188</v>
      </c>
      <c r="C17" s="495" t="s">
        <v>283</v>
      </c>
      <c r="D17" s="495" t="s">
        <v>284</v>
      </c>
      <c r="E17" s="495" t="s">
        <v>191</v>
      </c>
      <c r="F17" s="496" t="s">
        <v>192</v>
      </c>
      <c r="G17" s="495" t="s">
        <v>193</v>
      </c>
      <c r="H17" s="497"/>
      <c r="I17" s="497"/>
      <c r="J17" s="495" t="s">
        <v>277</v>
      </c>
      <c r="K17" s="495" t="s">
        <v>285</v>
      </c>
      <c r="L17" s="495" t="s">
        <v>286</v>
      </c>
      <c r="M17" s="495" t="s">
        <v>197</v>
      </c>
      <c r="N17" s="495" t="s">
        <v>198</v>
      </c>
      <c r="O17" s="498">
        <v>1</v>
      </c>
      <c r="P17" s="504">
        <v>1</v>
      </c>
      <c r="Q17" s="504">
        <v>1</v>
      </c>
      <c r="R17" s="499">
        <v>80</v>
      </c>
      <c r="S17" s="504">
        <v>1</v>
      </c>
      <c r="T17" s="499">
        <v>25276.61</v>
      </c>
      <c r="U17" s="499">
        <v>0</v>
      </c>
      <c r="V17" s="499">
        <v>15947.57</v>
      </c>
      <c r="W17" s="499">
        <v>26482.52</v>
      </c>
      <c r="X17" s="499">
        <v>17631.009999999998</v>
      </c>
      <c r="Y17" s="499">
        <v>26482.52</v>
      </c>
      <c r="Z17" s="499">
        <v>17493.3</v>
      </c>
      <c r="AA17" s="495" t="s">
        <v>287</v>
      </c>
      <c r="AB17" s="495" t="s">
        <v>288</v>
      </c>
      <c r="AC17" s="495" t="s">
        <v>289</v>
      </c>
      <c r="AD17" s="495" t="s">
        <v>196</v>
      </c>
      <c r="AE17" s="495" t="s">
        <v>285</v>
      </c>
      <c r="AF17" s="495" t="s">
        <v>290</v>
      </c>
      <c r="AG17" s="495" t="s">
        <v>204</v>
      </c>
      <c r="AH17" s="500">
        <v>21.22</v>
      </c>
      <c r="AI17" s="500">
        <v>6349.5</v>
      </c>
      <c r="AJ17" s="495" t="s">
        <v>243</v>
      </c>
      <c r="AK17" s="495" t="s">
        <v>206</v>
      </c>
      <c r="AL17" s="495" t="s">
        <v>207</v>
      </c>
      <c r="AM17" s="495" t="s">
        <v>208</v>
      </c>
      <c r="AN17" s="495" t="s">
        <v>92</v>
      </c>
      <c r="AO17" s="498">
        <v>48</v>
      </c>
      <c r="AP17" s="504">
        <v>1</v>
      </c>
      <c r="AQ17" s="504">
        <v>0.6</v>
      </c>
      <c r="AR17" s="502" t="s">
        <v>209</v>
      </c>
      <c r="AS17" s="506">
        <f t="shared" si="27"/>
        <v>0.6</v>
      </c>
      <c r="AT17">
        <f t="shared" si="28"/>
        <v>1</v>
      </c>
      <c r="AU17" s="506">
        <f>IF(AT17=0,"",IF(AND(AT17=1,M17="F",SUMIF(C2:C177,C17,AS2:AS177)&lt;=1),SUMIF(C2:C177,C17,AS2:AS177),IF(AND(AT17=1,M17="F",SUMIF(C2:C177,C17,AS2:AS177)&gt;1),1,"")))</f>
        <v>0.6</v>
      </c>
      <c r="AV17" s="506" t="str">
        <f>IF(AT17=0,"",IF(AND(AT17=3,M17="F",SUMIF(C2:C177,C17,AS2:AS177)&lt;=1),SUMIF(C2:C177,C17,AS2:AS177),IF(AND(AT17=3,M17="F",SUMIF(C2:C177,C17,AS2:AS177)&gt;1),1,"")))</f>
        <v/>
      </c>
      <c r="AW17" s="506">
        <f>SUMIF(C2:C177,C17,O2:O177)</f>
        <v>1</v>
      </c>
      <c r="AX17" s="506">
        <f>IF(AND(M17="F",AS17&lt;&gt;0),SUMIF(C2:C177,C17,W2:W177),0)</f>
        <v>26482.52</v>
      </c>
      <c r="AY17" s="506">
        <f t="shared" si="29"/>
        <v>26482.52</v>
      </c>
      <c r="AZ17" s="506" t="str">
        <f t="shared" si="30"/>
        <v/>
      </c>
      <c r="BA17" s="506">
        <f t="shared" si="31"/>
        <v>0</v>
      </c>
      <c r="BB17" s="506">
        <f t="shared" si="0"/>
        <v>9320</v>
      </c>
      <c r="BC17" s="506">
        <f t="shared" si="1"/>
        <v>0</v>
      </c>
      <c r="BD17" s="506">
        <f t="shared" si="2"/>
        <v>1641.91624</v>
      </c>
      <c r="BE17" s="506">
        <f t="shared" si="3"/>
        <v>383.99654000000004</v>
      </c>
      <c r="BF17" s="506">
        <f t="shared" si="4"/>
        <v>3162.0128880000002</v>
      </c>
      <c r="BG17" s="506">
        <f t="shared" si="5"/>
        <v>190.9389692</v>
      </c>
      <c r="BH17" s="506">
        <f t="shared" si="6"/>
        <v>129.76434799999998</v>
      </c>
      <c r="BI17" s="506">
        <f t="shared" si="7"/>
        <v>146.58074819999999</v>
      </c>
      <c r="BJ17" s="506">
        <f t="shared" si="8"/>
        <v>325.73499600000002</v>
      </c>
      <c r="BK17" s="506">
        <f t="shared" si="9"/>
        <v>0</v>
      </c>
      <c r="BL17" s="506">
        <f t="shared" si="32"/>
        <v>5980.9447294000001</v>
      </c>
      <c r="BM17" s="506">
        <f t="shared" si="33"/>
        <v>0</v>
      </c>
      <c r="BN17" s="506">
        <f t="shared" si="10"/>
        <v>9320</v>
      </c>
      <c r="BO17" s="506">
        <f t="shared" si="11"/>
        <v>0</v>
      </c>
      <c r="BP17" s="506">
        <f t="shared" si="12"/>
        <v>1641.91624</v>
      </c>
      <c r="BQ17" s="506">
        <f t="shared" si="13"/>
        <v>383.99654000000004</v>
      </c>
      <c r="BR17" s="506">
        <f t="shared" si="14"/>
        <v>3162.0128880000002</v>
      </c>
      <c r="BS17" s="506">
        <f t="shared" si="15"/>
        <v>190.9389692</v>
      </c>
      <c r="BT17" s="506">
        <f t="shared" si="16"/>
        <v>0</v>
      </c>
      <c r="BU17" s="506">
        <f t="shared" si="17"/>
        <v>146.58074819999999</v>
      </c>
      <c r="BV17" s="506">
        <f t="shared" si="18"/>
        <v>317.79024000000004</v>
      </c>
      <c r="BW17" s="506">
        <f t="shared" si="19"/>
        <v>0</v>
      </c>
      <c r="BX17" s="506">
        <f t="shared" si="34"/>
        <v>5843.2356254000006</v>
      </c>
      <c r="BY17" s="506">
        <f t="shared" si="35"/>
        <v>0</v>
      </c>
      <c r="BZ17" s="506">
        <f t="shared" si="36"/>
        <v>0</v>
      </c>
      <c r="CA17" s="506">
        <f t="shared" si="37"/>
        <v>0</v>
      </c>
      <c r="CB17" s="506">
        <f t="shared" si="38"/>
        <v>0</v>
      </c>
      <c r="CC17" s="506">
        <f t="shared" si="20"/>
        <v>0</v>
      </c>
      <c r="CD17" s="506">
        <f t="shared" si="21"/>
        <v>0</v>
      </c>
      <c r="CE17" s="506">
        <f t="shared" si="22"/>
        <v>0</v>
      </c>
      <c r="CF17" s="506">
        <f t="shared" si="23"/>
        <v>-129.76434799999998</v>
      </c>
      <c r="CG17" s="506">
        <f t="shared" si="24"/>
        <v>0</v>
      </c>
      <c r="CH17" s="506">
        <f t="shared" si="25"/>
        <v>-7.9447559999999982</v>
      </c>
      <c r="CI17" s="506">
        <f t="shared" si="26"/>
        <v>0</v>
      </c>
      <c r="CJ17" s="506">
        <f t="shared" si="39"/>
        <v>-137.70910399999997</v>
      </c>
      <c r="CK17" s="506" t="str">
        <f t="shared" si="40"/>
        <v/>
      </c>
      <c r="CL17" s="506" t="str">
        <f t="shared" si="41"/>
        <v/>
      </c>
      <c r="CM17" s="506" t="str">
        <f t="shared" si="42"/>
        <v/>
      </c>
      <c r="CN17" s="506" t="str">
        <f t="shared" si="43"/>
        <v>0290-00</v>
      </c>
    </row>
    <row r="18" spans="1:92" ht="15.75" thickBot="1" x14ac:dyDescent="0.3">
      <c r="A18" s="495" t="s">
        <v>187</v>
      </c>
      <c r="B18" s="495" t="s">
        <v>188</v>
      </c>
      <c r="C18" s="495" t="s">
        <v>291</v>
      </c>
      <c r="D18" s="495" t="s">
        <v>190</v>
      </c>
      <c r="E18" s="495" t="s">
        <v>191</v>
      </c>
      <c r="F18" s="496" t="s">
        <v>192</v>
      </c>
      <c r="G18" s="495" t="s">
        <v>193</v>
      </c>
      <c r="H18" s="497"/>
      <c r="I18" s="497"/>
      <c r="J18" s="495" t="s">
        <v>225</v>
      </c>
      <c r="K18" s="495" t="s">
        <v>195</v>
      </c>
      <c r="L18" s="495" t="s">
        <v>196</v>
      </c>
      <c r="M18" s="495" t="s">
        <v>292</v>
      </c>
      <c r="N18" s="495" t="s">
        <v>198</v>
      </c>
      <c r="O18" s="498">
        <v>0</v>
      </c>
      <c r="P18" s="504">
        <v>0</v>
      </c>
      <c r="Q18" s="504">
        <v>0</v>
      </c>
      <c r="R18" s="499">
        <v>80</v>
      </c>
      <c r="S18" s="504">
        <v>0</v>
      </c>
      <c r="T18" s="499">
        <v>6654.96</v>
      </c>
      <c r="U18" s="499">
        <v>0</v>
      </c>
      <c r="V18" s="499">
        <v>3035.12</v>
      </c>
      <c r="W18" s="499">
        <v>0</v>
      </c>
      <c r="X18" s="499">
        <v>0</v>
      </c>
      <c r="Y18" s="499">
        <v>0</v>
      </c>
      <c r="Z18" s="499">
        <v>0</v>
      </c>
      <c r="AA18" s="497"/>
      <c r="AB18" s="495" t="s">
        <v>23</v>
      </c>
      <c r="AC18" s="495" t="s">
        <v>23</v>
      </c>
      <c r="AD18" s="497"/>
      <c r="AE18" s="497"/>
      <c r="AF18" s="497"/>
      <c r="AG18" s="497"/>
      <c r="AH18" s="498">
        <v>0</v>
      </c>
      <c r="AI18" s="498">
        <v>0</v>
      </c>
      <c r="AJ18" s="497"/>
      <c r="AK18" s="497"/>
      <c r="AL18" s="495" t="s">
        <v>207</v>
      </c>
      <c r="AM18" s="497"/>
      <c r="AN18" s="497"/>
      <c r="AO18" s="498">
        <v>0</v>
      </c>
      <c r="AP18" s="504">
        <v>0</v>
      </c>
      <c r="AQ18" s="504">
        <v>0</v>
      </c>
      <c r="AR18" s="503"/>
      <c r="AS18" s="506">
        <f t="shared" si="27"/>
        <v>0</v>
      </c>
      <c r="AT18">
        <f t="shared" si="28"/>
        <v>0</v>
      </c>
      <c r="AU18" s="506" t="str">
        <f>IF(AT18=0,"",IF(AND(AT18=1,M18="F",SUMIF(C2:C177,C18,AS2:AS177)&lt;=1),SUMIF(C2:C177,C18,AS2:AS177),IF(AND(AT18=1,M18="F",SUMIF(C2:C177,C18,AS2:AS177)&gt;1),1,"")))</f>
        <v/>
      </c>
      <c r="AV18" s="506" t="str">
        <f>IF(AT18=0,"",IF(AND(AT18=3,M18="F",SUMIF(C2:C177,C18,AS2:AS177)&lt;=1),SUMIF(C2:C177,C18,AS2:AS177),IF(AND(AT18=3,M18="F",SUMIF(C2:C177,C18,AS2:AS177)&gt;1),1,"")))</f>
        <v/>
      </c>
      <c r="AW18" s="506">
        <f>SUMIF(C2:C177,C18,O2:O177)</f>
        <v>0</v>
      </c>
      <c r="AX18" s="506">
        <f>IF(AND(M18="F",AS18&lt;&gt;0),SUMIF(C2:C177,C18,W2:W177),0)</f>
        <v>0</v>
      </c>
      <c r="AY18" s="506" t="str">
        <f t="shared" si="29"/>
        <v/>
      </c>
      <c r="AZ18" s="506" t="str">
        <f t="shared" si="30"/>
        <v/>
      </c>
      <c r="BA18" s="506">
        <f t="shared" si="31"/>
        <v>0</v>
      </c>
      <c r="BB18" s="506">
        <f t="shared" si="0"/>
        <v>0</v>
      </c>
      <c r="BC18" s="506">
        <f t="shared" si="1"/>
        <v>0</v>
      </c>
      <c r="BD18" s="506">
        <f t="shared" si="2"/>
        <v>0</v>
      </c>
      <c r="BE18" s="506">
        <f t="shared" si="3"/>
        <v>0</v>
      </c>
      <c r="BF18" s="506">
        <f t="shared" si="4"/>
        <v>0</v>
      </c>
      <c r="BG18" s="506">
        <f t="shared" si="5"/>
        <v>0</v>
      </c>
      <c r="BH18" s="506">
        <f t="shared" si="6"/>
        <v>0</v>
      </c>
      <c r="BI18" s="506">
        <f t="shared" si="7"/>
        <v>0</v>
      </c>
      <c r="BJ18" s="506">
        <f t="shared" si="8"/>
        <v>0</v>
      </c>
      <c r="BK18" s="506">
        <f t="shared" si="9"/>
        <v>0</v>
      </c>
      <c r="BL18" s="506">
        <f t="shared" si="32"/>
        <v>0</v>
      </c>
      <c r="BM18" s="506">
        <f t="shared" si="33"/>
        <v>0</v>
      </c>
      <c r="BN18" s="506">
        <f t="shared" si="10"/>
        <v>0</v>
      </c>
      <c r="BO18" s="506">
        <f t="shared" si="11"/>
        <v>0</v>
      </c>
      <c r="BP18" s="506">
        <f t="shared" si="12"/>
        <v>0</v>
      </c>
      <c r="BQ18" s="506">
        <f t="shared" si="13"/>
        <v>0</v>
      </c>
      <c r="BR18" s="506">
        <f t="shared" si="14"/>
        <v>0</v>
      </c>
      <c r="BS18" s="506">
        <f t="shared" si="15"/>
        <v>0</v>
      </c>
      <c r="BT18" s="506">
        <f t="shared" si="16"/>
        <v>0</v>
      </c>
      <c r="BU18" s="506">
        <f t="shared" si="17"/>
        <v>0</v>
      </c>
      <c r="BV18" s="506">
        <f t="shared" si="18"/>
        <v>0</v>
      </c>
      <c r="BW18" s="506">
        <f t="shared" si="19"/>
        <v>0</v>
      </c>
      <c r="BX18" s="506">
        <f t="shared" si="34"/>
        <v>0</v>
      </c>
      <c r="BY18" s="506">
        <f t="shared" si="35"/>
        <v>0</v>
      </c>
      <c r="BZ18" s="506">
        <f t="shared" si="36"/>
        <v>0</v>
      </c>
      <c r="CA18" s="506">
        <f t="shared" si="37"/>
        <v>0</v>
      </c>
      <c r="CB18" s="506">
        <f t="shared" si="38"/>
        <v>0</v>
      </c>
      <c r="CC18" s="506">
        <f t="shared" si="20"/>
        <v>0</v>
      </c>
      <c r="CD18" s="506">
        <f t="shared" si="21"/>
        <v>0</v>
      </c>
      <c r="CE18" s="506">
        <f t="shared" si="22"/>
        <v>0</v>
      </c>
      <c r="CF18" s="506">
        <f t="shared" si="23"/>
        <v>0</v>
      </c>
      <c r="CG18" s="506">
        <f t="shared" si="24"/>
        <v>0</v>
      </c>
      <c r="CH18" s="506">
        <f t="shared" si="25"/>
        <v>0</v>
      </c>
      <c r="CI18" s="506">
        <f t="shared" si="26"/>
        <v>0</v>
      </c>
      <c r="CJ18" s="506">
        <f t="shared" si="39"/>
        <v>0</v>
      </c>
      <c r="CK18" s="506" t="str">
        <f t="shared" si="40"/>
        <v/>
      </c>
      <c r="CL18" s="506" t="str">
        <f t="shared" si="41"/>
        <v/>
      </c>
      <c r="CM18" s="506" t="str">
        <f t="shared" si="42"/>
        <v/>
      </c>
      <c r="CN18" s="506" t="str">
        <f t="shared" si="43"/>
        <v>0290-00</v>
      </c>
    </row>
    <row r="19" spans="1:92" ht="15.75" thickBot="1" x14ac:dyDescent="0.3">
      <c r="A19" s="495" t="s">
        <v>187</v>
      </c>
      <c r="B19" s="495" t="s">
        <v>188</v>
      </c>
      <c r="C19" s="495" t="s">
        <v>293</v>
      </c>
      <c r="D19" s="495" t="s">
        <v>294</v>
      </c>
      <c r="E19" s="495" t="s">
        <v>191</v>
      </c>
      <c r="F19" s="496" t="s">
        <v>192</v>
      </c>
      <c r="G19" s="495" t="s">
        <v>193</v>
      </c>
      <c r="H19" s="497"/>
      <c r="I19" s="497"/>
      <c r="J19" s="495" t="s">
        <v>225</v>
      </c>
      <c r="K19" s="495" t="s">
        <v>295</v>
      </c>
      <c r="L19" s="495" t="s">
        <v>204</v>
      </c>
      <c r="M19" s="495" t="s">
        <v>197</v>
      </c>
      <c r="N19" s="495" t="s">
        <v>198</v>
      </c>
      <c r="O19" s="498">
        <v>1</v>
      </c>
      <c r="P19" s="504">
        <v>1</v>
      </c>
      <c r="Q19" s="504">
        <v>1</v>
      </c>
      <c r="R19" s="499">
        <v>80</v>
      </c>
      <c r="S19" s="504">
        <v>1</v>
      </c>
      <c r="T19" s="499">
        <v>34702.18</v>
      </c>
      <c r="U19" s="499">
        <v>0</v>
      </c>
      <c r="V19" s="499">
        <v>18891.099999999999</v>
      </c>
      <c r="W19" s="499">
        <v>36088</v>
      </c>
      <c r="X19" s="499">
        <v>19800.439999999999</v>
      </c>
      <c r="Y19" s="499">
        <v>36088</v>
      </c>
      <c r="Z19" s="499">
        <v>19612.78</v>
      </c>
      <c r="AA19" s="495" t="s">
        <v>296</v>
      </c>
      <c r="AB19" s="495" t="s">
        <v>297</v>
      </c>
      <c r="AC19" s="495" t="s">
        <v>298</v>
      </c>
      <c r="AD19" s="495" t="s">
        <v>236</v>
      </c>
      <c r="AE19" s="495" t="s">
        <v>295</v>
      </c>
      <c r="AF19" s="495" t="s">
        <v>274</v>
      </c>
      <c r="AG19" s="495" t="s">
        <v>204</v>
      </c>
      <c r="AH19" s="500">
        <v>17.350000000000001</v>
      </c>
      <c r="AI19" s="500">
        <v>11723.2</v>
      </c>
      <c r="AJ19" s="495" t="s">
        <v>205</v>
      </c>
      <c r="AK19" s="495" t="s">
        <v>206</v>
      </c>
      <c r="AL19" s="495" t="s">
        <v>207</v>
      </c>
      <c r="AM19" s="495" t="s">
        <v>208</v>
      </c>
      <c r="AN19" s="495" t="s">
        <v>92</v>
      </c>
      <c r="AO19" s="498">
        <v>80</v>
      </c>
      <c r="AP19" s="504">
        <v>1</v>
      </c>
      <c r="AQ19" s="504">
        <v>1</v>
      </c>
      <c r="AR19" s="502" t="s">
        <v>209</v>
      </c>
      <c r="AS19" s="506">
        <f t="shared" si="27"/>
        <v>1</v>
      </c>
      <c r="AT19">
        <f t="shared" si="28"/>
        <v>1</v>
      </c>
      <c r="AU19" s="506">
        <f>IF(AT19=0,"",IF(AND(AT19=1,M19="F",SUMIF(C2:C177,C19,AS2:AS177)&lt;=1),SUMIF(C2:C177,C19,AS2:AS177),IF(AND(AT19=1,M19="F",SUMIF(C2:C177,C19,AS2:AS177)&gt;1),1,"")))</f>
        <v>1</v>
      </c>
      <c r="AV19" s="506" t="str">
        <f>IF(AT19=0,"",IF(AND(AT19=3,M19="F",SUMIF(C2:C177,C19,AS2:AS177)&lt;=1),SUMIF(C2:C177,C19,AS2:AS177),IF(AND(AT19=3,M19="F",SUMIF(C2:C177,C19,AS2:AS177)&gt;1),1,"")))</f>
        <v/>
      </c>
      <c r="AW19" s="506">
        <f>SUMIF(C2:C177,C19,O2:O177)</f>
        <v>1</v>
      </c>
      <c r="AX19" s="506">
        <f>IF(AND(M19="F",AS19&lt;&gt;0),SUMIF(C2:C177,C19,W2:W177),0)</f>
        <v>36088</v>
      </c>
      <c r="AY19" s="506">
        <f t="shared" si="29"/>
        <v>36088</v>
      </c>
      <c r="AZ19" s="506" t="str">
        <f t="shared" si="30"/>
        <v/>
      </c>
      <c r="BA19" s="506">
        <f t="shared" si="31"/>
        <v>0</v>
      </c>
      <c r="BB19" s="506">
        <f t="shared" si="0"/>
        <v>11650</v>
      </c>
      <c r="BC19" s="506">
        <f t="shared" si="1"/>
        <v>0</v>
      </c>
      <c r="BD19" s="506">
        <f t="shared" si="2"/>
        <v>2237.4560000000001</v>
      </c>
      <c r="BE19" s="506">
        <f t="shared" si="3"/>
        <v>523.27600000000007</v>
      </c>
      <c r="BF19" s="506">
        <f t="shared" si="4"/>
        <v>4308.9072000000006</v>
      </c>
      <c r="BG19" s="506">
        <f t="shared" si="5"/>
        <v>260.19448</v>
      </c>
      <c r="BH19" s="506">
        <f t="shared" si="6"/>
        <v>176.8312</v>
      </c>
      <c r="BI19" s="506">
        <f t="shared" si="7"/>
        <v>199.74708000000001</v>
      </c>
      <c r="BJ19" s="506">
        <f t="shared" si="8"/>
        <v>443.88240000000002</v>
      </c>
      <c r="BK19" s="506">
        <f t="shared" si="9"/>
        <v>0</v>
      </c>
      <c r="BL19" s="506">
        <f t="shared" si="32"/>
        <v>8150.2943600000008</v>
      </c>
      <c r="BM19" s="506">
        <f t="shared" si="33"/>
        <v>0</v>
      </c>
      <c r="BN19" s="506">
        <f t="shared" si="10"/>
        <v>11650</v>
      </c>
      <c r="BO19" s="506">
        <f t="shared" si="11"/>
        <v>0</v>
      </c>
      <c r="BP19" s="506">
        <f t="shared" si="12"/>
        <v>2237.4560000000001</v>
      </c>
      <c r="BQ19" s="506">
        <f t="shared" si="13"/>
        <v>523.27600000000007</v>
      </c>
      <c r="BR19" s="506">
        <f t="shared" si="14"/>
        <v>4308.9072000000006</v>
      </c>
      <c r="BS19" s="506">
        <f t="shared" si="15"/>
        <v>260.19448</v>
      </c>
      <c r="BT19" s="506">
        <f t="shared" si="16"/>
        <v>0</v>
      </c>
      <c r="BU19" s="506">
        <f t="shared" si="17"/>
        <v>199.74708000000001</v>
      </c>
      <c r="BV19" s="506">
        <f t="shared" si="18"/>
        <v>433.05599999999998</v>
      </c>
      <c r="BW19" s="506">
        <f t="shared" si="19"/>
        <v>0</v>
      </c>
      <c r="BX19" s="506">
        <f t="shared" si="34"/>
        <v>7962.6367600000003</v>
      </c>
      <c r="BY19" s="506">
        <f t="shared" si="35"/>
        <v>0</v>
      </c>
      <c r="BZ19" s="506">
        <f t="shared" si="36"/>
        <v>0</v>
      </c>
      <c r="CA19" s="506">
        <f t="shared" si="37"/>
        <v>0</v>
      </c>
      <c r="CB19" s="506">
        <f t="shared" si="38"/>
        <v>0</v>
      </c>
      <c r="CC19" s="506">
        <f t="shared" si="20"/>
        <v>0</v>
      </c>
      <c r="CD19" s="506">
        <f t="shared" si="21"/>
        <v>0</v>
      </c>
      <c r="CE19" s="506">
        <f t="shared" si="22"/>
        <v>0</v>
      </c>
      <c r="CF19" s="506">
        <f t="shared" si="23"/>
        <v>-176.8312</v>
      </c>
      <c r="CG19" s="506">
        <f t="shared" si="24"/>
        <v>0</v>
      </c>
      <c r="CH19" s="506">
        <f t="shared" si="25"/>
        <v>-10.826399999999998</v>
      </c>
      <c r="CI19" s="506">
        <f t="shared" si="26"/>
        <v>0</v>
      </c>
      <c r="CJ19" s="506">
        <f t="shared" si="39"/>
        <v>-187.6576</v>
      </c>
      <c r="CK19" s="506" t="str">
        <f t="shared" si="40"/>
        <v/>
      </c>
      <c r="CL19" s="506" t="str">
        <f t="shared" si="41"/>
        <v/>
      </c>
      <c r="CM19" s="506" t="str">
        <f t="shared" si="42"/>
        <v/>
      </c>
      <c r="CN19" s="506" t="str">
        <f t="shared" si="43"/>
        <v>0290-00</v>
      </c>
    </row>
    <row r="20" spans="1:92" ht="15.75" thickBot="1" x14ac:dyDescent="0.3">
      <c r="A20" s="495" t="s">
        <v>187</v>
      </c>
      <c r="B20" s="495" t="s">
        <v>188</v>
      </c>
      <c r="C20" s="495" t="s">
        <v>299</v>
      </c>
      <c r="D20" s="495" t="s">
        <v>300</v>
      </c>
      <c r="E20" s="495" t="s">
        <v>191</v>
      </c>
      <c r="F20" s="496" t="s">
        <v>192</v>
      </c>
      <c r="G20" s="495" t="s">
        <v>193</v>
      </c>
      <c r="H20" s="497"/>
      <c r="I20" s="497"/>
      <c r="J20" s="495" t="s">
        <v>194</v>
      </c>
      <c r="K20" s="495" t="s">
        <v>258</v>
      </c>
      <c r="L20" s="495" t="s">
        <v>301</v>
      </c>
      <c r="M20" s="495" t="s">
        <v>197</v>
      </c>
      <c r="N20" s="495" t="s">
        <v>198</v>
      </c>
      <c r="O20" s="498">
        <v>1</v>
      </c>
      <c r="P20" s="504">
        <v>1</v>
      </c>
      <c r="Q20" s="504">
        <v>1</v>
      </c>
      <c r="R20" s="499">
        <v>80</v>
      </c>
      <c r="S20" s="504">
        <v>1</v>
      </c>
      <c r="T20" s="499">
        <v>43143.3</v>
      </c>
      <c r="U20" s="499">
        <v>123.6</v>
      </c>
      <c r="V20" s="499">
        <v>21339.59</v>
      </c>
      <c r="W20" s="499">
        <v>45448</v>
      </c>
      <c r="X20" s="499">
        <v>21914.400000000001</v>
      </c>
      <c r="Y20" s="499">
        <v>45448</v>
      </c>
      <c r="Z20" s="499">
        <v>21678.07</v>
      </c>
      <c r="AA20" s="495" t="s">
        <v>302</v>
      </c>
      <c r="AB20" s="495" t="s">
        <v>303</v>
      </c>
      <c r="AC20" s="495" t="s">
        <v>304</v>
      </c>
      <c r="AD20" s="495" t="s">
        <v>305</v>
      </c>
      <c r="AE20" s="495" t="s">
        <v>258</v>
      </c>
      <c r="AF20" s="495" t="s">
        <v>259</v>
      </c>
      <c r="AG20" s="495" t="s">
        <v>204</v>
      </c>
      <c r="AH20" s="500">
        <v>21.85</v>
      </c>
      <c r="AI20" s="498">
        <v>5889</v>
      </c>
      <c r="AJ20" s="495" t="s">
        <v>205</v>
      </c>
      <c r="AK20" s="495" t="s">
        <v>206</v>
      </c>
      <c r="AL20" s="495" t="s">
        <v>207</v>
      </c>
      <c r="AM20" s="495" t="s">
        <v>208</v>
      </c>
      <c r="AN20" s="495" t="s">
        <v>92</v>
      </c>
      <c r="AO20" s="498">
        <v>80</v>
      </c>
      <c r="AP20" s="504">
        <v>1</v>
      </c>
      <c r="AQ20" s="504">
        <v>1</v>
      </c>
      <c r="AR20" s="502">
        <v>3</v>
      </c>
      <c r="AS20" s="506">
        <f t="shared" si="27"/>
        <v>1</v>
      </c>
      <c r="AT20">
        <f t="shared" si="28"/>
        <v>1</v>
      </c>
      <c r="AU20" s="506">
        <f>IF(AT20=0,"",IF(AND(AT20=1,M20="F",SUMIF(C2:C177,C20,AS2:AS177)&lt;=1),SUMIF(C2:C177,C20,AS2:AS177),IF(AND(AT20=1,M20="F",SUMIF(C2:C177,C20,AS2:AS177)&gt;1),1,"")))</f>
        <v>1</v>
      </c>
      <c r="AV20" s="506" t="str">
        <f>IF(AT20=0,"",IF(AND(AT20=3,M20="F",SUMIF(C2:C177,C20,AS2:AS177)&lt;=1),SUMIF(C2:C177,C20,AS2:AS177),IF(AND(AT20=3,M20="F",SUMIF(C2:C177,C20,AS2:AS177)&gt;1),1,"")))</f>
        <v/>
      </c>
      <c r="AW20" s="506">
        <f>SUMIF(C2:C177,C20,O2:O177)</f>
        <v>1</v>
      </c>
      <c r="AX20" s="506">
        <f>IF(AND(M20="F",AS20&lt;&gt;0),SUMIF(C2:C177,C20,W2:W177),0)</f>
        <v>45448</v>
      </c>
      <c r="AY20" s="506">
        <f t="shared" si="29"/>
        <v>45448</v>
      </c>
      <c r="AZ20" s="506" t="str">
        <f t="shared" si="30"/>
        <v/>
      </c>
      <c r="BA20" s="506">
        <f t="shared" si="31"/>
        <v>0</v>
      </c>
      <c r="BB20" s="506">
        <f t="shared" si="0"/>
        <v>11650</v>
      </c>
      <c r="BC20" s="506">
        <f t="shared" si="1"/>
        <v>0</v>
      </c>
      <c r="BD20" s="506">
        <f t="shared" si="2"/>
        <v>2817.7759999999998</v>
      </c>
      <c r="BE20" s="506">
        <f t="shared" si="3"/>
        <v>658.99599999999998</v>
      </c>
      <c r="BF20" s="506">
        <f t="shared" si="4"/>
        <v>5426.4912000000004</v>
      </c>
      <c r="BG20" s="506">
        <f t="shared" si="5"/>
        <v>327.68008000000003</v>
      </c>
      <c r="BH20" s="506">
        <f t="shared" si="6"/>
        <v>222.6952</v>
      </c>
      <c r="BI20" s="506">
        <f t="shared" si="7"/>
        <v>251.55467999999999</v>
      </c>
      <c r="BJ20" s="506">
        <f t="shared" si="8"/>
        <v>559.0104</v>
      </c>
      <c r="BK20" s="506">
        <f t="shared" si="9"/>
        <v>0</v>
      </c>
      <c r="BL20" s="506">
        <f t="shared" si="32"/>
        <v>10264.20356</v>
      </c>
      <c r="BM20" s="506">
        <f t="shared" si="33"/>
        <v>0</v>
      </c>
      <c r="BN20" s="506">
        <f t="shared" si="10"/>
        <v>11650</v>
      </c>
      <c r="BO20" s="506">
        <f t="shared" si="11"/>
        <v>0</v>
      </c>
      <c r="BP20" s="506">
        <f t="shared" si="12"/>
        <v>2817.7759999999998</v>
      </c>
      <c r="BQ20" s="506">
        <f t="shared" si="13"/>
        <v>658.99599999999998</v>
      </c>
      <c r="BR20" s="506">
        <f t="shared" si="14"/>
        <v>5426.4912000000004</v>
      </c>
      <c r="BS20" s="506">
        <f t="shared" si="15"/>
        <v>327.68008000000003</v>
      </c>
      <c r="BT20" s="506">
        <f t="shared" si="16"/>
        <v>0</v>
      </c>
      <c r="BU20" s="506">
        <f t="shared" si="17"/>
        <v>251.55467999999999</v>
      </c>
      <c r="BV20" s="506">
        <f t="shared" si="18"/>
        <v>545.37599999999998</v>
      </c>
      <c r="BW20" s="506">
        <f t="shared" si="19"/>
        <v>0</v>
      </c>
      <c r="BX20" s="506">
        <f t="shared" si="34"/>
        <v>10027.873960000001</v>
      </c>
      <c r="BY20" s="506">
        <f t="shared" si="35"/>
        <v>0</v>
      </c>
      <c r="BZ20" s="506">
        <f t="shared" si="36"/>
        <v>0</v>
      </c>
      <c r="CA20" s="506">
        <f t="shared" si="37"/>
        <v>0</v>
      </c>
      <c r="CB20" s="506">
        <f t="shared" si="38"/>
        <v>0</v>
      </c>
      <c r="CC20" s="506">
        <f t="shared" si="20"/>
        <v>0</v>
      </c>
      <c r="CD20" s="506">
        <f t="shared" si="21"/>
        <v>0</v>
      </c>
      <c r="CE20" s="506">
        <f t="shared" si="22"/>
        <v>0</v>
      </c>
      <c r="CF20" s="506">
        <f t="shared" si="23"/>
        <v>-222.6952</v>
      </c>
      <c r="CG20" s="506">
        <f t="shared" si="24"/>
        <v>0</v>
      </c>
      <c r="CH20" s="506">
        <f t="shared" si="25"/>
        <v>-13.634399999999996</v>
      </c>
      <c r="CI20" s="506">
        <f t="shared" si="26"/>
        <v>0</v>
      </c>
      <c r="CJ20" s="506">
        <f t="shared" si="39"/>
        <v>-236.3296</v>
      </c>
      <c r="CK20" s="506" t="str">
        <f t="shared" si="40"/>
        <v/>
      </c>
      <c r="CL20" s="506" t="str">
        <f t="shared" si="41"/>
        <v/>
      </c>
      <c r="CM20" s="506" t="str">
        <f t="shared" si="42"/>
        <v/>
      </c>
      <c r="CN20" s="506" t="str">
        <f t="shared" si="43"/>
        <v>0290-00</v>
      </c>
    </row>
    <row r="21" spans="1:92" ht="15.75" thickBot="1" x14ac:dyDescent="0.3">
      <c r="A21" s="495" t="s">
        <v>187</v>
      </c>
      <c r="B21" s="495" t="s">
        <v>188</v>
      </c>
      <c r="C21" s="495" t="s">
        <v>306</v>
      </c>
      <c r="D21" s="495" t="s">
        <v>190</v>
      </c>
      <c r="E21" s="495" t="s">
        <v>191</v>
      </c>
      <c r="F21" s="496" t="s">
        <v>192</v>
      </c>
      <c r="G21" s="495" t="s">
        <v>193</v>
      </c>
      <c r="H21" s="497"/>
      <c r="I21" s="497"/>
      <c r="J21" s="495" t="s">
        <v>194</v>
      </c>
      <c r="K21" s="495" t="s">
        <v>195</v>
      </c>
      <c r="L21" s="495" t="s">
        <v>196</v>
      </c>
      <c r="M21" s="495" t="s">
        <v>197</v>
      </c>
      <c r="N21" s="495" t="s">
        <v>198</v>
      </c>
      <c r="O21" s="498">
        <v>1</v>
      </c>
      <c r="P21" s="504">
        <v>1</v>
      </c>
      <c r="Q21" s="504">
        <v>1</v>
      </c>
      <c r="R21" s="499">
        <v>80</v>
      </c>
      <c r="S21" s="504">
        <v>1</v>
      </c>
      <c r="T21" s="499">
        <v>46139.01</v>
      </c>
      <c r="U21" s="499">
        <v>164.49</v>
      </c>
      <c r="V21" s="499">
        <v>20934.88</v>
      </c>
      <c r="W21" s="499">
        <v>28204.799999999999</v>
      </c>
      <c r="X21" s="499">
        <v>18020</v>
      </c>
      <c r="Y21" s="499">
        <v>28204.799999999999</v>
      </c>
      <c r="Z21" s="499">
        <v>17873.34</v>
      </c>
      <c r="AA21" s="495" t="s">
        <v>307</v>
      </c>
      <c r="AB21" s="495" t="s">
        <v>308</v>
      </c>
      <c r="AC21" s="495" t="s">
        <v>309</v>
      </c>
      <c r="AD21" s="495" t="s">
        <v>242</v>
      </c>
      <c r="AE21" s="495" t="s">
        <v>195</v>
      </c>
      <c r="AF21" s="495" t="s">
        <v>203</v>
      </c>
      <c r="AG21" s="495" t="s">
        <v>204</v>
      </c>
      <c r="AH21" s="500">
        <v>27.12</v>
      </c>
      <c r="AI21" s="498">
        <v>480</v>
      </c>
      <c r="AJ21" s="495" t="s">
        <v>243</v>
      </c>
      <c r="AK21" s="495" t="s">
        <v>206</v>
      </c>
      <c r="AL21" s="495" t="s">
        <v>207</v>
      </c>
      <c r="AM21" s="495" t="s">
        <v>208</v>
      </c>
      <c r="AN21" s="495" t="s">
        <v>92</v>
      </c>
      <c r="AO21" s="498">
        <v>40</v>
      </c>
      <c r="AP21" s="504">
        <v>1</v>
      </c>
      <c r="AQ21" s="504">
        <v>0.5</v>
      </c>
      <c r="AR21" s="502" t="s">
        <v>209</v>
      </c>
      <c r="AS21" s="506">
        <f t="shared" si="27"/>
        <v>0.5</v>
      </c>
      <c r="AT21">
        <f t="shared" si="28"/>
        <v>1</v>
      </c>
      <c r="AU21" s="506">
        <f>IF(AT21=0,"",IF(AND(AT21=1,M21="F",SUMIF(C2:C177,C21,AS2:AS177)&lt;=1),SUMIF(C2:C177,C21,AS2:AS177),IF(AND(AT21=1,M21="F",SUMIF(C2:C177,C21,AS2:AS177)&gt;1),1,"")))</f>
        <v>0.5</v>
      </c>
      <c r="AV21" s="506" t="str">
        <f>IF(AT21=0,"",IF(AND(AT21=3,M21="F",SUMIF(C2:C177,C21,AS2:AS177)&lt;=1),SUMIF(C2:C177,C21,AS2:AS177),IF(AND(AT21=3,M21="F",SUMIF(C2:C177,C21,AS2:AS177)&gt;1),1,"")))</f>
        <v/>
      </c>
      <c r="AW21" s="506">
        <f>SUMIF(C2:C177,C21,O2:O177)</f>
        <v>1</v>
      </c>
      <c r="AX21" s="506">
        <f>IF(AND(M21="F",AS21&lt;&gt;0),SUMIF(C2:C177,C21,W2:W177),0)</f>
        <v>28204.799999999999</v>
      </c>
      <c r="AY21" s="506">
        <f t="shared" si="29"/>
        <v>28204.799999999999</v>
      </c>
      <c r="AZ21" s="506" t="str">
        <f t="shared" si="30"/>
        <v/>
      </c>
      <c r="BA21" s="506">
        <f t="shared" si="31"/>
        <v>0</v>
      </c>
      <c r="BB21" s="506">
        <f t="shared" si="0"/>
        <v>9320</v>
      </c>
      <c r="BC21" s="506">
        <f t="shared" si="1"/>
        <v>0</v>
      </c>
      <c r="BD21" s="506">
        <f t="shared" si="2"/>
        <v>1748.6976</v>
      </c>
      <c r="BE21" s="506">
        <f t="shared" si="3"/>
        <v>408.96960000000001</v>
      </c>
      <c r="BF21" s="506">
        <f t="shared" si="4"/>
        <v>3367.6531199999999</v>
      </c>
      <c r="BG21" s="506">
        <f t="shared" si="5"/>
        <v>203.35660799999999</v>
      </c>
      <c r="BH21" s="506">
        <f t="shared" si="6"/>
        <v>138.20352</v>
      </c>
      <c r="BI21" s="506">
        <f t="shared" si="7"/>
        <v>156.11356799999999</v>
      </c>
      <c r="BJ21" s="506">
        <f t="shared" si="8"/>
        <v>346.91904</v>
      </c>
      <c r="BK21" s="506">
        <f t="shared" si="9"/>
        <v>0</v>
      </c>
      <c r="BL21" s="506">
        <f t="shared" si="32"/>
        <v>6369.9130559999994</v>
      </c>
      <c r="BM21" s="506">
        <f t="shared" si="33"/>
        <v>0</v>
      </c>
      <c r="BN21" s="506">
        <f t="shared" si="10"/>
        <v>9320</v>
      </c>
      <c r="BO21" s="506">
        <f t="shared" si="11"/>
        <v>0</v>
      </c>
      <c r="BP21" s="506">
        <f t="shared" si="12"/>
        <v>1748.6976</v>
      </c>
      <c r="BQ21" s="506">
        <f t="shared" si="13"/>
        <v>408.96960000000001</v>
      </c>
      <c r="BR21" s="506">
        <f t="shared" si="14"/>
        <v>3367.6531199999999</v>
      </c>
      <c r="BS21" s="506">
        <f t="shared" si="15"/>
        <v>203.35660799999999</v>
      </c>
      <c r="BT21" s="506">
        <f t="shared" si="16"/>
        <v>0</v>
      </c>
      <c r="BU21" s="506">
        <f t="shared" si="17"/>
        <v>156.11356799999999</v>
      </c>
      <c r="BV21" s="506">
        <f t="shared" si="18"/>
        <v>338.45760000000001</v>
      </c>
      <c r="BW21" s="506">
        <f t="shared" si="19"/>
        <v>0</v>
      </c>
      <c r="BX21" s="506">
        <f t="shared" si="34"/>
        <v>6223.2480959999994</v>
      </c>
      <c r="BY21" s="506">
        <f t="shared" si="35"/>
        <v>0</v>
      </c>
      <c r="BZ21" s="506">
        <f t="shared" si="36"/>
        <v>0</v>
      </c>
      <c r="CA21" s="506">
        <f t="shared" si="37"/>
        <v>0</v>
      </c>
      <c r="CB21" s="506">
        <f t="shared" si="38"/>
        <v>0</v>
      </c>
      <c r="CC21" s="506">
        <f t="shared" si="20"/>
        <v>0</v>
      </c>
      <c r="CD21" s="506">
        <f t="shared" si="21"/>
        <v>0</v>
      </c>
      <c r="CE21" s="506">
        <f t="shared" si="22"/>
        <v>0</v>
      </c>
      <c r="CF21" s="506">
        <f t="shared" si="23"/>
        <v>-138.20352</v>
      </c>
      <c r="CG21" s="506">
        <f t="shared" si="24"/>
        <v>0</v>
      </c>
      <c r="CH21" s="506">
        <f t="shared" si="25"/>
        <v>-8.4614399999999979</v>
      </c>
      <c r="CI21" s="506">
        <f t="shared" si="26"/>
        <v>0</v>
      </c>
      <c r="CJ21" s="506">
        <f t="shared" si="39"/>
        <v>-146.66496000000001</v>
      </c>
      <c r="CK21" s="506" t="str">
        <f t="shared" si="40"/>
        <v/>
      </c>
      <c r="CL21" s="506" t="str">
        <f t="shared" si="41"/>
        <v/>
      </c>
      <c r="CM21" s="506" t="str">
        <f t="shared" si="42"/>
        <v/>
      </c>
      <c r="CN21" s="506" t="str">
        <f t="shared" si="43"/>
        <v>0290-00</v>
      </c>
    </row>
    <row r="22" spans="1:92" ht="15.75" thickBot="1" x14ac:dyDescent="0.3">
      <c r="A22" s="495" t="s">
        <v>187</v>
      </c>
      <c r="B22" s="495" t="s">
        <v>188</v>
      </c>
      <c r="C22" s="495" t="s">
        <v>310</v>
      </c>
      <c r="D22" s="495" t="s">
        <v>190</v>
      </c>
      <c r="E22" s="495" t="s">
        <v>191</v>
      </c>
      <c r="F22" s="496" t="s">
        <v>192</v>
      </c>
      <c r="G22" s="495" t="s">
        <v>193</v>
      </c>
      <c r="H22" s="497"/>
      <c r="I22" s="497"/>
      <c r="J22" s="495" t="s">
        <v>225</v>
      </c>
      <c r="K22" s="495" t="s">
        <v>195</v>
      </c>
      <c r="L22" s="495" t="s">
        <v>196</v>
      </c>
      <c r="M22" s="495" t="s">
        <v>213</v>
      </c>
      <c r="N22" s="495" t="s">
        <v>198</v>
      </c>
      <c r="O22" s="498">
        <v>0</v>
      </c>
      <c r="P22" s="504">
        <v>1</v>
      </c>
      <c r="Q22" s="504">
        <v>1</v>
      </c>
      <c r="R22" s="499">
        <v>80</v>
      </c>
      <c r="S22" s="504">
        <v>1</v>
      </c>
      <c r="T22" s="499">
        <v>45945.72</v>
      </c>
      <c r="U22" s="499">
        <v>0</v>
      </c>
      <c r="V22" s="499">
        <v>18207.57</v>
      </c>
      <c r="W22" s="499">
        <v>53476.800000000003</v>
      </c>
      <c r="X22" s="499">
        <v>23422.83</v>
      </c>
      <c r="Y22" s="499">
        <v>53476.800000000003</v>
      </c>
      <c r="Z22" s="499">
        <v>23155.45</v>
      </c>
      <c r="AA22" s="497"/>
      <c r="AB22" s="495" t="s">
        <v>23</v>
      </c>
      <c r="AC22" s="495" t="s">
        <v>23</v>
      </c>
      <c r="AD22" s="497"/>
      <c r="AE22" s="497"/>
      <c r="AF22" s="497"/>
      <c r="AG22" s="497"/>
      <c r="AH22" s="498">
        <v>0</v>
      </c>
      <c r="AI22" s="498">
        <v>0</v>
      </c>
      <c r="AJ22" s="497"/>
      <c r="AK22" s="497"/>
      <c r="AL22" s="495" t="s">
        <v>207</v>
      </c>
      <c r="AM22" s="497"/>
      <c r="AN22" s="497"/>
      <c r="AO22" s="498">
        <v>0</v>
      </c>
      <c r="AP22" s="504">
        <v>0</v>
      </c>
      <c r="AQ22" s="504">
        <v>0</v>
      </c>
      <c r="AR22" s="503"/>
      <c r="AS22" s="506">
        <f t="shared" si="27"/>
        <v>0</v>
      </c>
      <c r="AT22">
        <f t="shared" si="28"/>
        <v>0</v>
      </c>
      <c r="AU22" s="506" t="str">
        <f>IF(AT22=0,"",IF(AND(AT22=1,M22="F",SUMIF(C2:C177,C22,AS2:AS177)&lt;=1),SUMIF(C2:C177,C22,AS2:AS177),IF(AND(AT22=1,M22="F",SUMIF(C2:C177,C22,AS2:AS177)&gt;1),1,"")))</f>
        <v/>
      </c>
      <c r="AV22" s="506" t="str">
        <f>IF(AT22=0,"",IF(AND(AT22=3,M22="F",SUMIF(C2:C177,C22,AS2:AS177)&lt;=1),SUMIF(C2:C177,C22,AS2:AS177),IF(AND(AT22=3,M22="F",SUMIF(C2:C177,C22,AS2:AS177)&gt;1),1,"")))</f>
        <v/>
      </c>
      <c r="AW22" s="506">
        <f>SUMIF(C2:C177,C22,O2:O177)</f>
        <v>0</v>
      </c>
      <c r="AX22" s="506">
        <f>IF(AND(M22="F",AS22&lt;&gt;0),SUMIF(C2:C177,C22,W2:W177),0)</f>
        <v>0</v>
      </c>
      <c r="AY22" s="506" t="str">
        <f t="shared" si="29"/>
        <v/>
      </c>
      <c r="AZ22" s="506" t="str">
        <f t="shared" si="30"/>
        <v/>
      </c>
      <c r="BA22" s="506">
        <f t="shared" si="31"/>
        <v>0</v>
      </c>
      <c r="BB22" s="506">
        <f t="shared" si="0"/>
        <v>0</v>
      </c>
      <c r="BC22" s="506">
        <f t="shared" si="1"/>
        <v>0</v>
      </c>
      <c r="BD22" s="506">
        <f t="shared" si="2"/>
        <v>0</v>
      </c>
      <c r="BE22" s="506">
        <f t="shared" si="3"/>
        <v>0</v>
      </c>
      <c r="BF22" s="506">
        <f t="shared" si="4"/>
        <v>0</v>
      </c>
      <c r="BG22" s="506">
        <f t="shared" si="5"/>
        <v>0</v>
      </c>
      <c r="BH22" s="506">
        <f t="shared" si="6"/>
        <v>0</v>
      </c>
      <c r="BI22" s="506">
        <f t="shared" si="7"/>
        <v>0</v>
      </c>
      <c r="BJ22" s="506">
        <f t="shared" si="8"/>
        <v>0</v>
      </c>
      <c r="BK22" s="506">
        <f t="shared" si="9"/>
        <v>0</v>
      </c>
      <c r="BL22" s="506">
        <f t="shared" si="32"/>
        <v>0</v>
      </c>
      <c r="BM22" s="506">
        <f t="shared" si="33"/>
        <v>0</v>
      </c>
      <c r="BN22" s="506">
        <f t="shared" si="10"/>
        <v>0</v>
      </c>
      <c r="BO22" s="506">
        <f t="shared" si="11"/>
        <v>0</v>
      </c>
      <c r="BP22" s="506">
        <f t="shared" si="12"/>
        <v>0</v>
      </c>
      <c r="BQ22" s="506">
        <f t="shared" si="13"/>
        <v>0</v>
      </c>
      <c r="BR22" s="506">
        <f t="shared" si="14"/>
        <v>0</v>
      </c>
      <c r="BS22" s="506">
        <f t="shared" si="15"/>
        <v>0</v>
      </c>
      <c r="BT22" s="506">
        <f t="shared" si="16"/>
        <v>0</v>
      </c>
      <c r="BU22" s="506">
        <f t="shared" si="17"/>
        <v>0</v>
      </c>
      <c r="BV22" s="506">
        <f t="shared" si="18"/>
        <v>0</v>
      </c>
      <c r="BW22" s="506">
        <f t="shared" si="19"/>
        <v>0</v>
      </c>
      <c r="BX22" s="506">
        <f t="shared" si="34"/>
        <v>0</v>
      </c>
      <c r="BY22" s="506">
        <f t="shared" si="35"/>
        <v>0</v>
      </c>
      <c r="BZ22" s="506">
        <f t="shared" si="36"/>
        <v>0</v>
      </c>
      <c r="CA22" s="506">
        <f t="shared" si="37"/>
        <v>0</v>
      </c>
      <c r="CB22" s="506">
        <f t="shared" si="38"/>
        <v>0</v>
      </c>
      <c r="CC22" s="506">
        <f t="shared" si="20"/>
        <v>0</v>
      </c>
      <c r="CD22" s="506">
        <f t="shared" si="21"/>
        <v>0</v>
      </c>
      <c r="CE22" s="506">
        <f t="shared" si="22"/>
        <v>0</v>
      </c>
      <c r="CF22" s="506">
        <f t="shared" si="23"/>
        <v>0</v>
      </c>
      <c r="CG22" s="506">
        <f t="shared" si="24"/>
        <v>0</v>
      </c>
      <c r="CH22" s="506">
        <f t="shared" si="25"/>
        <v>0</v>
      </c>
      <c r="CI22" s="506">
        <f t="shared" si="26"/>
        <v>0</v>
      </c>
      <c r="CJ22" s="506">
        <f t="shared" si="39"/>
        <v>0</v>
      </c>
      <c r="CK22" s="506" t="str">
        <f t="shared" si="40"/>
        <v/>
      </c>
      <c r="CL22" s="506" t="str">
        <f t="shared" si="41"/>
        <v/>
      </c>
      <c r="CM22" s="506" t="str">
        <f t="shared" si="42"/>
        <v/>
      </c>
      <c r="CN22" s="506" t="str">
        <f t="shared" si="43"/>
        <v>0290-00</v>
      </c>
    </row>
    <row r="23" spans="1:92" ht="15.75" thickBot="1" x14ac:dyDescent="0.3">
      <c r="A23" s="495" t="s">
        <v>187</v>
      </c>
      <c r="B23" s="495" t="s">
        <v>188</v>
      </c>
      <c r="C23" s="495" t="s">
        <v>311</v>
      </c>
      <c r="D23" s="495" t="s">
        <v>215</v>
      </c>
      <c r="E23" s="495" t="s">
        <v>191</v>
      </c>
      <c r="F23" s="496" t="s">
        <v>192</v>
      </c>
      <c r="G23" s="495" t="s">
        <v>193</v>
      </c>
      <c r="H23" s="497"/>
      <c r="I23" s="497"/>
      <c r="J23" s="495" t="s">
        <v>216</v>
      </c>
      <c r="K23" s="495" t="s">
        <v>217</v>
      </c>
      <c r="L23" s="495" t="s">
        <v>218</v>
      </c>
      <c r="M23" s="495" t="s">
        <v>197</v>
      </c>
      <c r="N23" s="495" t="s">
        <v>198</v>
      </c>
      <c r="O23" s="498">
        <v>1</v>
      </c>
      <c r="P23" s="504">
        <v>1</v>
      </c>
      <c r="Q23" s="504">
        <v>1</v>
      </c>
      <c r="R23" s="499">
        <v>80</v>
      </c>
      <c r="S23" s="504">
        <v>1</v>
      </c>
      <c r="T23" s="499">
        <v>20084.419999999998</v>
      </c>
      <c r="U23" s="499">
        <v>833.74</v>
      </c>
      <c r="V23" s="499">
        <v>14054.88</v>
      </c>
      <c r="W23" s="499">
        <v>26956.79</v>
      </c>
      <c r="X23" s="499">
        <v>17738.12</v>
      </c>
      <c r="Y23" s="499">
        <v>26956.79</v>
      </c>
      <c r="Z23" s="499">
        <v>17598</v>
      </c>
      <c r="AA23" s="495" t="s">
        <v>312</v>
      </c>
      <c r="AB23" s="495" t="s">
        <v>313</v>
      </c>
      <c r="AC23" s="495" t="s">
        <v>314</v>
      </c>
      <c r="AD23" s="495" t="s">
        <v>242</v>
      </c>
      <c r="AE23" s="495" t="s">
        <v>217</v>
      </c>
      <c r="AF23" s="495" t="s">
        <v>222</v>
      </c>
      <c r="AG23" s="495" t="s">
        <v>204</v>
      </c>
      <c r="AH23" s="500">
        <v>12.96</v>
      </c>
      <c r="AI23" s="500">
        <v>901.7</v>
      </c>
      <c r="AJ23" s="495" t="s">
        <v>205</v>
      </c>
      <c r="AK23" s="495" t="s">
        <v>206</v>
      </c>
      <c r="AL23" s="495" t="s">
        <v>207</v>
      </c>
      <c r="AM23" s="495" t="s">
        <v>208</v>
      </c>
      <c r="AN23" s="495" t="s">
        <v>92</v>
      </c>
      <c r="AO23" s="498">
        <v>80</v>
      </c>
      <c r="AP23" s="504">
        <v>1</v>
      </c>
      <c r="AQ23" s="504">
        <v>1</v>
      </c>
      <c r="AR23" s="502" t="s">
        <v>209</v>
      </c>
      <c r="AS23" s="506">
        <f t="shared" si="27"/>
        <v>1</v>
      </c>
      <c r="AT23">
        <f t="shared" si="28"/>
        <v>1</v>
      </c>
      <c r="AU23" s="506">
        <f>IF(AT23=0,"",IF(AND(AT23=1,M23="F",SUMIF(C2:C177,C23,AS2:AS177)&lt;=1),SUMIF(C2:C177,C23,AS2:AS177),IF(AND(AT23=1,M23="F",SUMIF(C2:C177,C23,AS2:AS177)&gt;1),1,"")))</f>
        <v>1</v>
      </c>
      <c r="AV23" s="506" t="str">
        <f>IF(AT23=0,"",IF(AND(AT23=3,M23="F",SUMIF(C2:C177,C23,AS2:AS177)&lt;=1),SUMIF(C2:C177,C23,AS2:AS177),IF(AND(AT23=3,M23="F",SUMIF(C2:C177,C23,AS2:AS177)&gt;1),1,"")))</f>
        <v/>
      </c>
      <c r="AW23" s="506">
        <f>SUMIF(C2:C177,C23,O2:O177)</f>
        <v>1</v>
      </c>
      <c r="AX23" s="506">
        <f>IF(AND(M23="F",AS23&lt;&gt;0),SUMIF(C2:C177,C23,W2:W177),0)</f>
        <v>26956.79</v>
      </c>
      <c r="AY23" s="506">
        <f t="shared" si="29"/>
        <v>26956.79</v>
      </c>
      <c r="AZ23" s="506" t="str">
        <f t="shared" si="30"/>
        <v/>
      </c>
      <c r="BA23" s="506">
        <f t="shared" si="31"/>
        <v>0</v>
      </c>
      <c r="BB23" s="506">
        <f t="shared" si="0"/>
        <v>11650</v>
      </c>
      <c r="BC23" s="506">
        <f t="shared" si="1"/>
        <v>0</v>
      </c>
      <c r="BD23" s="506">
        <f t="shared" si="2"/>
        <v>1671.32098</v>
      </c>
      <c r="BE23" s="506">
        <f t="shared" si="3"/>
        <v>390.87345500000004</v>
      </c>
      <c r="BF23" s="506">
        <f t="shared" si="4"/>
        <v>3218.6407260000001</v>
      </c>
      <c r="BG23" s="506">
        <f t="shared" si="5"/>
        <v>194.35845590000002</v>
      </c>
      <c r="BH23" s="506">
        <f t="shared" si="6"/>
        <v>132.08827099999999</v>
      </c>
      <c r="BI23" s="506">
        <f t="shared" si="7"/>
        <v>149.20583264999999</v>
      </c>
      <c r="BJ23" s="506">
        <f t="shared" si="8"/>
        <v>331.56851700000004</v>
      </c>
      <c r="BK23" s="506">
        <f t="shared" si="9"/>
        <v>0</v>
      </c>
      <c r="BL23" s="506">
        <f t="shared" si="32"/>
        <v>6088.0562375499994</v>
      </c>
      <c r="BM23" s="506">
        <f t="shared" si="33"/>
        <v>0</v>
      </c>
      <c r="BN23" s="506">
        <f t="shared" si="10"/>
        <v>11650</v>
      </c>
      <c r="BO23" s="506">
        <f t="shared" si="11"/>
        <v>0</v>
      </c>
      <c r="BP23" s="506">
        <f t="shared" si="12"/>
        <v>1671.32098</v>
      </c>
      <c r="BQ23" s="506">
        <f t="shared" si="13"/>
        <v>390.87345500000004</v>
      </c>
      <c r="BR23" s="506">
        <f t="shared" si="14"/>
        <v>3218.6407260000001</v>
      </c>
      <c r="BS23" s="506">
        <f t="shared" si="15"/>
        <v>194.35845590000002</v>
      </c>
      <c r="BT23" s="506">
        <f t="shared" si="16"/>
        <v>0</v>
      </c>
      <c r="BU23" s="506">
        <f t="shared" si="17"/>
        <v>149.20583264999999</v>
      </c>
      <c r="BV23" s="506">
        <f t="shared" si="18"/>
        <v>323.48148000000003</v>
      </c>
      <c r="BW23" s="506">
        <f t="shared" si="19"/>
        <v>0</v>
      </c>
      <c r="BX23" s="506">
        <f t="shared" si="34"/>
        <v>5947.8809295500005</v>
      </c>
      <c r="BY23" s="506">
        <f t="shared" si="35"/>
        <v>0</v>
      </c>
      <c r="BZ23" s="506">
        <f t="shared" si="36"/>
        <v>0</v>
      </c>
      <c r="CA23" s="506">
        <f t="shared" si="37"/>
        <v>0</v>
      </c>
      <c r="CB23" s="506">
        <f t="shared" si="38"/>
        <v>0</v>
      </c>
      <c r="CC23" s="506">
        <f t="shared" si="20"/>
        <v>0</v>
      </c>
      <c r="CD23" s="506">
        <f t="shared" si="21"/>
        <v>0</v>
      </c>
      <c r="CE23" s="506">
        <f t="shared" si="22"/>
        <v>0</v>
      </c>
      <c r="CF23" s="506">
        <f t="shared" si="23"/>
        <v>-132.08827099999999</v>
      </c>
      <c r="CG23" s="506">
        <f t="shared" si="24"/>
        <v>0</v>
      </c>
      <c r="CH23" s="506">
        <f t="shared" si="25"/>
        <v>-8.0870369999999987</v>
      </c>
      <c r="CI23" s="506">
        <f t="shared" si="26"/>
        <v>0</v>
      </c>
      <c r="CJ23" s="506">
        <f t="shared" si="39"/>
        <v>-140.175308</v>
      </c>
      <c r="CK23" s="506" t="str">
        <f t="shared" si="40"/>
        <v/>
      </c>
      <c r="CL23" s="506" t="str">
        <f t="shared" si="41"/>
        <v/>
      </c>
      <c r="CM23" s="506" t="str">
        <f t="shared" si="42"/>
        <v/>
      </c>
      <c r="CN23" s="506" t="str">
        <f t="shared" si="43"/>
        <v>0290-00</v>
      </c>
    </row>
    <row r="24" spans="1:92" ht="15.75" thickBot="1" x14ac:dyDescent="0.3">
      <c r="A24" s="495" t="s">
        <v>187</v>
      </c>
      <c r="B24" s="495" t="s">
        <v>188</v>
      </c>
      <c r="C24" s="495" t="s">
        <v>315</v>
      </c>
      <c r="D24" s="495" t="s">
        <v>224</v>
      </c>
      <c r="E24" s="495" t="s">
        <v>191</v>
      </c>
      <c r="F24" s="496" t="s">
        <v>192</v>
      </c>
      <c r="G24" s="495" t="s">
        <v>193</v>
      </c>
      <c r="H24" s="497"/>
      <c r="I24" s="497"/>
      <c r="J24" s="495" t="s">
        <v>248</v>
      </c>
      <c r="K24" s="495" t="s">
        <v>226</v>
      </c>
      <c r="L24" s="495" t="s">
        <v>192</v>
      </c>
      <c r="M24" s="495" t="s">
        <v>213</v>
      </c>
      <c r="N24" s="495" t="s">
        <v>227</v>
      </c>
      <c r="O24" s="498">
        <v>0</v>
      </c>
      <c r="P24" s="504">
        <v>1</v>
      </c>
      <c r="Q24" s="504">
        <v>0</v>
      </c>
      <c r="R24" s="499">
        <v>0</v>
      </c>
      <c r="S24" s="504">
        <v>0</v>
      </c>
      <c r="T24" s="499">
        <v>9250.5</v>
      </c>
      <c r="U24" s="499">
        <v>0</v>
      </c>
      <c r="V24" s="499">
        <v>3154.54</v>
      </c>
      <c r="W24" s="499">
        <v>9257</v>
      </c>
      <c r="X24" s="499">
        <v>3155.1</v>
      </c>
      <c r="Y24" s="499">
        <v>9257</v>
      </c>
      <c r="Z24" s="499">
        <v>3155.1</v>
      </c>
      <c r="AA24" s="497"/>
      <c r="AB24" s="495" t="s">
        <v>23</v>
      </c>
      <c r="AC24" s="495" t="s">
        <v>23</v>
      </c>
      <c r="AD24" s="497"/>
      <c r="AE24" s="497"/>
      <c r="AF24" s="497"/>
      <c r="AG24" s="497"/>
      <c r="AH24" s="498">
        <v>0</v>
      </c>
      <c r="AI24" s="498">
        <v>0</v>
      </c>
      <c r="AJ24" s="497"/>
      <c r="AK24" s="497"/>
      <c r="AL24" s="495" t="s">
        <v>207</v>
      </c>
      <c r="AM24" s="497"/>
      <c r="AN24" s="497"/>
      <c r="AO24" s="498">
        <v>0</v>
      </c>
      <c r="AP24" s="504">
        <v>0</v>
      </c>
      <c r="AQ24" s="504">
        <v>0</v>
      </c>
      <c r="AR24" s="503"/>
      <c r="AS24" s="506">
        <f t="shared" si="27"/>
        <v>0</v>
      </c>
      <c r="AT24">
        <f t="shared" si="28"/>
        <v>0</v>
      </c>
      <c r="AU24" s="506" t="str">
        <f>IF(AT24=0,"",IF(AND(AT24=1,M24="F",SUMIF(C2:C177,C24,AS2:AS177)&lt;=1),SUMIF(C2:C177,C24,AS2:AS177),IF(AND(AT24=1,M24="F",SUMIF(C2:C177,C24,AS2:AS177)&gt;1),1,"")))</f>
        <v/>
      </c>
      <c r="AV24" s="506" t="str">
        <f>IF(AT24=0,"",IF(AND(AT24=3,M24="F",SUMIF(C2:C177,C24,AS2:AS177)&lt;=1),SUMIF(C2:C177,C24,AS2:AS177),IF(AND(AT24=3,M24="F",SUMIF(C2:C177,C24,AS2:AS177)&gt;1),1,"")))</f>
        <v/>
      </c>
      <c r="AW24" s="506">
        <f>SUMIF(C2:C177,C24,O2:O177)</f>
        <v>0</v>
      </c>
      <c r="AX24" s="506">
        <f>IF(AND(M24="F",AS24&lt;&gt;0),SUMIF(C2:C177,C24,W2:W177),0)</f>
        <v>0</v>
      </c>
      <c r="AY24" s="506" t="str">
        <f t="shared" si="29"/>
        <v/>
      </c>
      <c r="AZ24" s="506" t="str">
        <f t="shared" si="30"/>
        <v/>
      </c>
      <c r="BA24" s="506">
        <f t="shared" si="31"/>
        <v>0</v>
      </c>
      <c r="BB24" s="506">
        <f t="shared" si="0"/>
        <v>0</v>
      </c>
      <c r="BC24" s="506">
        <f t="shared" si="1"/>
        <v>0</v>
      </c>
      <c r="BD24" s="506">
        <f t="shared" si="2"/>
        <v>0</v>
      </c>
      <c r="BE24" s="506">
        <f t="shared" si="3"/>
        <v>0</v>
      </c>
      <c r="BF24" s="506">
        <f t="shared" si="4"/>
        <v>0</v>
      </c>
      <c r="BG24" s="506">
        <f t="shared" si="5"/>
        <v>0</v>
      </c>
      <c r="BH24" s="506">
        <f t="shared" si="6"/>
        <v>0</v>
      </c>
      <c r="BI24" s="506">
        <f t="shared" si="7"/>
        <v>0</v>
      </c>
      <c r="BJ24" s="506">
        <f t="shared" si="8"/>
        <v>0</v>
      </c>
      <c r="BK24" s="506">
        <f t="shared" si="9"/>
        <v>0</v>
      </c>
      <c r="BL24" s="506">
        <f t="shared" si="32"/>
        <v>0</v>
      </c>
      <c r="BM24" s="506">
        <f t="shared" si="33"/>
        <v>0</v>
      </c>
      <c r="BN24" s="506">
        <f t="shared" si="10"/>
        <v>0</v>
      </c>
      <c r="BO24" s="506">
        <f t="shared" si="11"/>
        <v>0</v>
      </c>
      <c r="BP24" s="506">
        <f t="shared" si="12"/>
        <v>0</v>
      </c>
      <c r="BQ24" s="506">
        <f t="shared" si="13"/>
        <v>0</v>
      </c>
      <c r="BR24" s="506">
        <f t="shared" si="14"/>
        <v>0</v>
      </c>
      <c r="BS24" s="506">
        <f t="shared" si="15"/>
        <v>0</v>
      </c>
      <c r="BT24" s="506">
        <f t="shared" si="16"/>
        <v>0</v>
      </c>
      <c r="BU24" s="506">
        <f t="shared" si="17"/>
        <v>0</v>
      </c>
      <c r="BV24" s="506">
        <f t="shared" si="18"/>
        <v>0</v>
      </c>
      <c r="BW24" s="506">
        <f t="shared" si="19"/>
        <v>0</v>
      </c>
      <c r="BX24" s="506">
        <f t="shared" si="34"/>
        <v>0</v>
      </c>
      <c r="BY24" s="506">
        <f t="shared" si="35"/>
        <v>0</v>
      </c>
      <c r="BZ24" s="506">
        <f t="shared" si="36"/>
        <v>0</v>
      </c>
      <c r="CA24" s="506">
        <f t="shared" si="37"/>
        <v>0</v>
      </c>
      <c r="CB24" s="506">
        <f t="shared" si="38"/>
        <v>0</v>
      </c>
      <c r="CC24" s="506">
        <f t="shared" si="20"/>
        <v>0</v>
      </c>
      <c r="CD24" s="506">
        <f t="shared" si="21"/>
        <v>0</v>
      </c>
      <c r="CE24" s="506">
        <f t="shared" si="22"/>
        <v>0</v>
      </c>
      <c r="CF24" s="506">
        <f t="shared" si="23"/>
        <v>0</v>
      </c>
      <c r="CG24" s="506">
        <f t="shared" si="24"/>
        <v>0</v>
      </c>
      <c r="CH24" s="506">
        <f t="shared" si="25"/>
        <v>0</v>
      </c>
      <c r="CI24" s="506">
        <f t="shared" si="26"/>
        <v>0</v>
      </c>
      <c r="CJ24" s="506">
        <f t="shared" si="39"/>
        <v>0</v>
      </c>
      <c r="CK24" s="506" t="str">
        <f t="shared" si="40"/>
        <v/>
      </c>
      <c r="CL24" s="506">
        <f t="shared" si="41"/>
        <v>9250.5</v>
      </c>
      <c r="CM24" s="506">
        <f t="shared" si="42"/>
        <v>3154.54</v>
      </c>
      <c r="CN24" s="506" t="str">
        <f t="shared" si="43"/>
        <v>0290-00</v>
      </c>
    </row>
    <row r="25" spans="1:92" ht="15.75" thickBot="1" x14ac:dyDescent="0.3">
      <c r="A25" s="495" t="s">
        <v>187</v>
      </c>
      <c r="B25" s="495" t="s">
        <v>188</v>
      </c>
      <c r="C25" s="495" t="s">
        <v>316</v>
      </c>
      <c r="D25" s="495" t="s">
        <v>229</v>
      </c>
      <c r="E25" s="495" t="s">
        <v>191</v>
      </c>
      <c r="F25" s="496" t="s">
        <v>192</v>
      </c>
      <c r="G25" s="495" t="s">
        <v>193</v>
      </c>
      <c r="H25" s="497"/>
      <c r="I25" s="497"/>
      <c r="J25" s="495" t="s">
        <v>230</v>
      </c>
      <c r="K25" s="495" t="s">
        <v>231</v>
      </c>
      <c r="L25" s="495" t="s">
        <v>232</v>
      </c>
      <c r="M25" s="495" t="s">
        <v>197</v>
      </c>
      <c r="N25" s="495" t="s">
        <v>198</v>
      </c>
      <c r="O25" s="498">
        <v>1</v>
      </c>
      <c r="P25" s="504">
        <v>1</v>
      </c>
      <c r="Q25" s="504">
        <v>1</v>
      </c>
      <c r="R25" s="499">
        <v>80</v>
      </c>
      <c r="S25" s="504">
        <v>1</v>
      </c>
      <c r="T25" s="499">
        <v>44110.9</v>
      </c>
      <c r="U25" s="499">
        <v>0</v>
      </c>
      <c r="V25" s="499">
        <v>21518.400000000001</v>
      </c>
      <c r="W25" s="499">
        <v>48068.800000000003</v>
      </c>
      <c r="X25" s="499">
        <v>22506.28</v>
      </c>
      <c r="Y25" s="499">
        <v>48068.800000000003</v>
      </c>
      <c r="Z25" s="499">
        <v>22256.32</v>
      </c>
      <c r="AA25" s="495" t="s">
        <v>317</v>
      </c>
      <c r="AB25" s="495" t="s">
        <v>318</v>
      </c>
      <c r="AC25" s="495" t="s">
        <v>319</v>
      </c>
      <c r="AD25" s="495" t="s">
        <v>242</v>
      </c>
      <c r="AE25" s="495" t="s">
        <v>231</v>
      </c>
      <c r="AF25" s="495" t="s">
        <v>237</v>
      </c>
      <c r="AG25" s="495" t="s">
        <v>204</v>
      </c>
      <c r="AH25" s="500">
        <v>23.11</v>
      </c>
      <c r="AI25" s="500">
        <v>3365.5</v>
      </c>
      <c r="AJ25" s="495" t="s">
        <v>205</v>
      </c>
      <c r="AK25" s="495" t="s">
        <v>206</v>
      </c>
      <c r="AL25" s="495" t="s">
        <v>207</v>
      </c>
      <c r="AM25" s="495" t="s">
        <v>208</v>
      </c>
      <c r="AN25" s="495" t="s">
        <v>92</v>
      </c>
      <c r="AO25" s="498">
        <v>80</v>
      </c>
      <c r="AP25" s="504">
        <v>1</v>
      </c>
      <c r="AQ25" s="504">
        <v>1</v>
      </c>
      <c r="AR25" s="502" t="s">
        <v>209</v>
      </c>
      <c r="AS25" s="506">
        <f t="shared" si="27"/>
        <v>1</v>
      </c>
      <c r="AT25">
        <f t="shared" si="28"/>
        <v>1</v>
      </c>
      <c r="AU25" s="506">
        <f>IF(AT25=0,"",IF(AND(AT25=1,M25="F",SUMIF(C2:C177,C25,AS2:AS177)&lt;=1),SUMIF(C2:C177,C25,AS2:AS177),IF(AND(AT25=1,M25="F",SUMIF(C2:C177,C25,AS2:AS177)&gt;1),1,"")))</f>
        <v>1</v>
      </c>
      <c r="AV25" s="506" t="str">
        <f>IF(AT25=0,"",IF(AND(AT25=3,M25="F",SUMIF(C2:C177,C25,AS2:AS177)&lt;=1),SUMIF(C2:C177,C25,AS2:AS177),IF(AND(AT25=3,M25="F",SUMIF(C2:C177,C25,AS2:AS177)&gt;1),1,"")))</f>
        <v/>
      </c>
      <c r="AW25" s="506">
        <f>SUMIF(C2:C177,C25,O2:O177)</f>
        <v>1</v>
      </c>
      <c r="AX25" s="506">
        <f>IF(AND(M25="F",AS25&lt;&gt;0),SUMIF(C2:C177,C25,W2:W177),0)</f>
        <v>48068.800000000003</v>
      </c>
      <c r="AY25" s="506">
        <f t="shared" si="29"/>
        <v>48068.800000000003</v>
      </c>
      <c r="AZ25" s="506" t="str">
        <f t="shared" si="30"/>
        <v/>
      </c>
      <c r="BA25" s="506">
        <f t="shared" si="31"/>
        <v>0</v>
      </c>
      <c r="BB25" s="506">
        <f t="shared" si="0"/>
        <v>11650</v>
      </c>
      <c r="BC25" s="506">
        <f t="shared" si="1"/>
        <v>0</v>
      </c>
      <c r="BD25" s="506">
        <f t="shared" si="2"/>
        <v>2980.2656000000002</v>
      </c>
      <c r="BE25" s="506">
        <f t="shared" si="3"/>
        <v>696.99760000000003</v>
      </c>
      <c r="BF25" s="506">
        <f t="shared" si="4"/>
        <v>5739.4147200000007</v>
      </c>
      <c r="BG25" s="506">
        <f t="shared" si="5"/>
        <v>346.57604800000001</v>
      </c>
      <c r="BH25" s="506">
        <f t="shared" si="6"/>
        <v>235.53712000000002</v>
      </c>
      <c r="BI25" s="506">
        <f t="shared" si="7"/>
        <v>266.06080800000001</v>
      </c>
      <c r="BJ25" s="506">
        <f t="shared" si="8"/>
        <v>591.24624000000006</v>
      </c>
      <c r="BK25" s="506">
        <f t="shared" si="9"/>
        <v>0</v>
      </c>
      <c r="BL25" s="506">
        <f t="shared" si="32"/>
        <v>10856.098136000004</v>
      </c>
      <c r="BM25" s="506">
        <f t="shared" si="33"/>
        <v>0</v>
      </c>
      <c r="BN25" s="506">
        <f t="shared" si="10"/>
        <v>11650</v>
      </c>
      <c r="BO25" s="506">
        <f t="shared" si="11"/>
        <v>0</v>
      </c>
      <c r="BP25" s="506">
        <f t="shared" si="12"/>
        <v>2980.2656000000002</v>
      </c>
      <c r="BQ25" s="506">
        <f t="shared" si="13"/>
        <v>696.99760000000003</v>
      </c>
      <c r="BR25" s="506">
        <f t="shared" si="14"/>
        <v>5739.4147200000007</v>
      </c>
      <c r="BS25" s="506">
        <f t="shared" si="15"/>
        <v>346.57604800000001</v>
      </c>
      <c r="BT25" s="506">
        <f t="shared" si="16"/>
        <v>0</v>
      </c>
      <c r="BU25" s="506">
        <f t="shared" si="17"/>
        <v>266.06080800000001</v>
      </c>
      <c r="BV25" s="506">
        <f t="shared" si="18"/>
        <v>576.82560000000001</v>
      </c>
      <c r="BW25" s="506">
        <f t="shared" si="19"/>
        <v>0</v>
      </c>
      <c r="BX25" s="506">
        <f t="shared" si="34"/>
        <v>10606.140376000003</v>
      </c>
      <c r="BY25" s="506">
        <f t="shared" si="35"/>
        <v>0</v>
      </c>
      <c r="BZ25" s="506">
        <f t="shared" si="36"/>
        <v>0</v>
      </c>
      <c r="CA25" s="506">
        <f t="shared" si="37"/>
        <v>0</v>
      </c>
      <c r="CB25" s="506">
        <f t="shared" si="38"/>
        <v>0</v>
      </c>
      <c r="CC25" s="506">
        <f t="shared" si="20"/>
        <v>0</v>
      </c>
      <c r="CD25" s="506">
        <f t="shared" si="21"/>
        <v>0</v>
      </c>
      <c r="CE25" s="506">
        <f t="shared" si="22"/>
        <v>0</v>
      </c>
      <c r="CF25" s="506">
        <f t="shared" si="23"/>
        <v>-235.53712000000002</v>
      </c>
      <c r="CG25" s="506">
        <f t="shared" si="24"/>
        <v>0</v>
      </c>
      <c r="CH25" s="506">
        <f t="shared" si="25"/>
        <v>-14.420639999999997</v>
      </c>
      <c r="CI25" s="506">
        <f t="shared" si="26"/>
        <v>0</v>
      </c>
      <c r="CJ25" s="506">
        <f t="shared" si="39"/>
        <v>-249.95776000000001</v>
      </c>
      <c r="CK25" s="506" t="str">
        <f t="shared" si="40"/>
        <v/>
      </c>
      <c r="CL25" s="506" t="str">
        <f t="shared" si="41"/>
        <v/>
      </c>
      <c r="CM25" s="506" t="str">
        <f t="shared" si="42"/>
        <v/>
      </c>
      <c r="CN25" s="506" t="str">
        <f t="shared" si="43"/>
        <v>0290-00</v>
      </c>
    </row>
    <row r="26" spans="1:92" ht="15.75" thickBot="1" x14ac:dyDescent="0.3">
      <c r="A26" s="495" t="s">
        <v>187</v>
      </c>
      <c r="B26" s="495" t="s">
        <v>188</v>
      </c>
      <c r="C26" s="495" t="s">
        <v>320</v>
      </c>
      <c r="D26" s="495" t="s">
        <v>190</v>
      </c>
      <c r="E26" s="495" t="s">
        <v>191</v>
      </c>
      <c r="F26" s="496" t="s">
        <v>192</v>
      </c>
      <c r="G26" s="495" t="s">
        <v>193</v>
      </c>
      <c r="H26" s="497"/>
      <c r="I26" s="497"/>
      <c r="J26" s="495" t="s">
        <v>225</v>
      </c>
      <c r="K26" s="495" t="s">
        <v>195</v>
      </c>
      <c r="L26" s="495" t="s">
        <v>196</v>
      </c>
      <c r="M26" s="495" t="s">
        <v>197</v>
      </c>
      <c r="N26" s="495" t="s">
        <v>198</v>
      </c>
      <c r="O26" s="498">
        <v>1</v>
      </c>
      <c r="P26" s="504">
        <v>1</v>
      </c>
      <c r="Q26" s="504">
        <v>1</v>
      </c>
      <c r="R26" s="499">
        <v>72</v>
      </c>
      <c r="S26" s="504">
        <v>0.9</v>
      </c>
      <c r="T26" s="499">
        <v>67101.14</v>
      </c>
      <c r="U26" s="499">
        <v>0</v>
      </c>
      <c r="V26" s="499">
        <v>26711.61</v>
      </c>
      <c r="W26" s="499">
        <v>59592</v>
      </c>
      <c r="X26" s="499">
        <v>25108.82</v>
      </c>
      <c r="Y26" s="499">
        <v>59592</v>
      </c>
      <c r="Z26" s="499">
        <v>24798.94</v>
      </c>
      <c r="AA26" s="495" t="s">
        <v>321</v>
      </c>
      <c r="AB26" s="495" t="s">
        <v>322</v>
      </c>
      <c r="AC26" s="495" t="s">
        <v>323</v>
      </c>
      <c r="AD26" s="495" t="s">
        <v>305</v>
      </c>
      <c r="AE26" s="495" t="s">
        <v>195</v>
      </c>
      <c r="AF26" s="495" t="s">
        <v>203</v>
      </c>
      <c r="AG26" s="495" t="s">
        <v>204</v>
      </c>
      <c r="AH26" s="500">
        <v>28.65</v>
      </c>
      <c r="AI26" s="500">
        <v>4165.5</v>
      </c>
      <c r="AJ26" s="495" t="s">
        <v>205</v>
      </c>
      <c r="AK26" s="495" t="s">
        <v>206</v>
      </c>
      <c r="AL26" s="495" t="s">
        <v>207</v>
      </c>
      <c r="AM26" s="495" t="s">
        <v>208</v>
      </c>
      <c r="AN26" s="495" t="s">
        <v>92</v>
      </c>
      <c r="AO26" s="498">
        <v>80</v>
      </c>
      <c r="AP26" s="504">
        <v>1</v>
      </c>
      <c r="AQ26" s="504">
        <v>1</v>
      </c>
      <c r="AR26" s="502" t="s">
        <v>209</v>
      </c>
      <c r="AS26" s="506">
        <f t="shared" si="27"/>
        <v>1</v>
      </c>
      <c r="AT26">
        <f t="shared" si="28"/>
        <v>1</v>
      </c>
      <c r="AU26" s="506">
        <f>IF(AT26=0,"",IF(AND(AT26=1,M26="F",SUMIF(C2:C177,C26,AS2:AS177)&lt;=1),SUMIF(C2:C177,C26,AS2:AS177),IF(AND(AT26=1,M26="F",SUMIF(C2:C177,C26,AS2:AS177)&gt;1),1,"")))</f>
        <v>1</v>
      </c>
      <c r="AV26" s="506" t="str">
        <f>IF(AT26=0,"",IF(AND(AT26=3,M26="F",SUMIF(C2:C177,C26,AS2:AS177)&lt;=1),SUMIF(C2:C177,C26,AS2:AS177),IF(AND(AT26=3,M26="F",SUMIF(C2:C177,C26,AS2:AS177)&gt;1),1,"")))</f>
        <v/>
      </c>
      <c r="AW26" s="506">
        <f>SUMIF(C2:C177,C26,O2:O177)</f>
        <v>1</v>
      </c>
      <c r="AX26" s="506">
        <f>IF(AND(M26="F",AS26&lt;&gt;0),SUMIF(C2:C177,C26,W2:W177),0)</f>
        <v>59592</v>
      </c>
      <c r="AY26" s="506">
        <f t="shared" si="29"/>
        <v>59592</v>
      </c>
      <c r="AZ26" s="506" t="str">
        <f t="shared" si="30"/>
        <v/>
      </c>
      <c r="BA26" s="506">
        <f t="shared" si="31"/>
        <v>0</v>
      </c>
      <c r="BB26" s="506">
        <f t="shared" si="0"/>
        <v>11650</v>
      </c>
      <c r="BC26" s="506">
        <f t="shared" si="1"/>
        <v>0</v>
      </c>
      <c r="BD26" s="506">
        <f t="shared" si="2"/>
        <v>3694.7040000000002</v>
      </c>
      <c r="BE26" s="506">
        <f t="shared" si="3"/>
        <v>864.08400000000006</v>
      </c>
      <c r="BF26" s="506">
        <f t="shared" si="4"/>
        <v>7115.2848000000004</v>
      </c>
      <c r="BG26" s="506">
        <f t="shared" si="5"/>
        <v>429.65832</v>
      </c>
      <c r="BH26" s="506">
        <f t="shared" si="6"/>
        <v>292.00079999999997</v>
      </c>
      <c r="BI26" s="506">
        <f t="shared" si="7"/>
        <v>329.84172000000001</v>
      </c>
      <c r="BJ26" s="506">
        <f t="shared" si="8"/>
        <v>732.98159999999996</v>
      </c>
      <c r="BK26" s="506">
        <f t="shared" si="9"/>
        <v>0</v>
      </c>
      <c r="BL26" s="506">
        <f t="shared" si="32"/>
        <v>13458.555240000002</v>
      </c>
      <c r="BM26" s="506">
        <f t="shared" si="33"/>
        <v>0</v>
      </c>
      <c r="BN26" s="506">
        <f t="shared" si="10"/>
        <v>11650</v>
      </c>
      <c r="BO26" s="506">
        <f t="shared" si="11"/>
        <v>0</v>
      </c>
      <c r="BP26" s="506">
        <f t="shared" si="12"/>
        <v>3694.7040000000002</v>
      </c>
      <c r="BQ26" s="506">
        <f t="shared" si="13"/>
        <v>864.08400000000006</v>
      </c>
      <c r="BR26" s="506">
        <f t="shared" si="14"/>
        <v>7115.2848000000004</v>
      </c>
      <c r="BS26" s="506">
        <f t="shared" si="15"/>
        <v>429.65832</v>
      </c>
      <c r="BT26" s="506">
        <f t="shared" si="16"/>
        <v>0</v>
      </c>
      <c r="BU26" s="506">
        <f t="shared" si="17"/>
        <v>329.84172000000001</v>
      </c>
      <c r="BV26" s="506">
        <f t="shared" si="18"/>
        <v>715.10400000000004</v>
      </c>
      <c r="BW26" s="506">
        <f t="shared" si="19"/>
        <v>0</v>
      </c>
      <c r="BX26" s="506">
        <f t="shared" si="34"/>
        <v>13148.676840000002</v>
      </c>
      <c r="BY26" s="506">
        <f t="shared" si="35"/>
        <v>0</v>
      </c>
      <c r="BZ26" s="506">
        <f t="shared" si="36"/>
        <v>0</v>
      </c>
      <c r="CA26" s="506">
        <f t="shared" si="37"/>
        <v>0</v>
      </c>
      <c r="CB26" s="506">
        <f t="shared" si="38"/>
        <v>0</v>
      </c>
      <c r="CC26" s="506">
        <f t="shared" si="20"/>
        <v>0</v>
      </c>
      <c r="CD26" s="506">
        <f t="shared" si="21"/>
        <v>0</v>
      </c>
      <c r="CE26" s="506">
        <f t="shared" si="22"/>
        <v>0</v>
      </c>
      <c r="CF26" s="506">
        <f t="shared" si="23"/>
        <v>-292.00079999999997</v>
      </c>
      <c r="CG26" s="506">
        <f t="shared" si="24"/>
        <v>0</v>
      </c>
      <c r="CH26" s="506">
        <f t="shared" si="25"/>
        <v>-17.877599999999994</v>
      </c>
      <c r="CI26" s="506">
        <f t="shared" si="26"/>
        <v>0</v>
      </c>
      <c r="CJ26" s="506">
        <f t="shared" si="39"/>
        <v>-309.87839999999994</v>
      </c>
      <c r="CK26" s="506" t="str">
        <f t="shared" si="40"/>
        <v/>
      </c>
      <c r="CL26" s="506" t="str">
        <f t="shared" si="41"/>
        <v/>
      </c>
      <c r="CM26" s="506" t="str">
        <f t="shared" si="42"/>
        <v/>
      </c>
      <c r="CN26" s="506" t="str">
        <f t="shared" si="43"/>
        <v>0290-00</v>
      </c>
    </row>
    <row r="27" spans="1:92" ht="15.75" thickBot="1" x14ac:dyDescent="0.3">
      <c r="A27" s="495" t="s">
        <v>187</v>
      </c>
      <c r="B27" s="495" t="s">
        <v>188</v>
      </c>
      <c r="C27" s="495" t="s">
        <v>324</v>
      </c>
      <c r="D27" s="495" t="s">
        <v>284</v>
      </c>
      <c r="E27" s="495" t="s">
        <v>191</v>
      </c>
      <c r="F27" s="496" t="s">
        <v>192</v>
      </c>
      <c r="G27" s="495" t="s">
        <v>193</v>
      </c>
      <c r="H27" s="497"/>
      <c r="I27" s="497"/>
      <c r="J27" s="495" t="s">
        <v>277</v>
      </c>
      <c r="K27" s="495" t="s">
        <v>285</v>
      </c>
      <c r="L27" s="495" t="s">
        <v>286</v>
      </c>
      <c r="M27" s="495" t="s">
        <v>213</v>
      </c>
      <c r="N27" s="495" t="s">
        <v>198</v>
      </c>
      <c r="O27" s="498">
        <v>0</v>
      </c>
      <c r="P27" s="504">
        <v>1</v>
      </c>
      <c r="Q27" s="504">
        <v>1</v>
      </c>
      <c r="R27" s="499">
        <v>80</v>
      </c>
      <c r="S27" s="504">
        <v>1</v>
      </c>
      <c r="T27" s="499">
        <v>7270</v>
      </c>
      <c r="U27" s="499">
        <v>0</v>
      </c>
      <c r="V27" s="499">
        <v>2593.42</v>
      </c>
      <c r="W27" s="499">
        <v>37502.400000000001</v>
      </c>
      <c r="X27" s="499">
        <v>16426.02</v>
      </c>
      <c r="Y27" s="499">
        <v>37502.400000000001</v>
      </c>
      <c r="Z27" s="499">
        <v>16238.48</v>
      </c>
      <c r="AA27" s="497"/>
      <c r="AB27" s="495" t="s">
        <v>23</v>
      </c>
      <c r="AC27" s="495" t="s">
        <v>23</v>
      </c>
      <c r="AD27" s="497"/>
      <c r="AE27" s="497"/>
      <c r="AF27" s="497"/>
      <c r="AG27" s="497"/>
      <c r="AH27" s="498">
        <v>0</v>
      </c>
      <c r="AI27" s="498">
        <v>0</v>
      </c>
      <c r="AJ27" s="497"/>
      <c r="AK27" s="497"/>
      <c r="AL27" s="495" t="s">
        <v>207</v>
      </c>
      <c r="AM27" s="497"/>
      <c r="AN27" s="497"/>
      <c r="AO27" s="498">
        <v>0</v>
      </c>
      <c r="AP27" s="504">
        <v>0</v>
      </c>
      <c r="AQ27" s="504">
        <v>0</v>
      </c>
      <c r="AR27" s="503"/>
      <c r="AS27" s="506">
        <f t="shared" si="27"/>
        <v>0</v>
      </c>
      <c r="AT27">
        <f t="shared" si="28"/>
        <v>0</v>
      </c>
      <c r="AU27" s="506" t="str">
        <f>IF(AT27=0,"",IF(AND(AT27=1,M27="F",SUMIF(C2:C177,C27,AS2:AS177)&lt;=1),SUMIF(C2:C177,C27,AS2:AS177),IF(AND(AT27=1,M27="F",SUMIF(C2:C177,C27,AS2:AS177)&gt;1),1,"")))</f>
        <v/>
      </c>
      <c r="AV27" s="506" t="str">
        <f>IF(AT27=0,"",IF(AND(AT27=3,M27="F",SUMIF(C2:C177,C27,AS2:AS177)&lt;=1),SUMIF(C2:C177,C27,AS2:AS177),IF(AND(AT27=3,M27="F",SUMIF(C2:C177,C27,AS2:AS177)&gt;1),1,"")))</f>
        <v/>
      </c>
      <c r="AW27" s="506">
        <f>SUMIF(C2:C177,C27,O2:O177)</f>
        <v>0</v>
      </c>
      <c r="AX27" s="506">
        <f>IF(AND(M27="F",AS27&lt;&gt;0),SUMIF(C2:C177,C27,W2:W177),0)</f>
        <v>0</v>
      </c>
      <c r="AY27" s="506" t="str">
        <f t="shared" si="29"/>
        <v/>
      </c>
      <c r="AZ27" s="506" t="str">
        <f t="shared" si="30"/>
        <v/>
      </c>
      <c r="BA27" s="506">
        <f t="shared" si="31"/>
        <v>0</v>
      </c>
      <c r="BB27" s="506">
        <f t="shared" si="0"/>
        <v>0</v>
      </c>
      <c r="BC27" s="506">
        <f t="shared" si="1"/>
        <v>0</v>
      </c>
      <c r="BD27" s="506">
        <f t="shared" si="2"/>
        <v>0</v>
      </c>
      <c r="BE27" s="506">
        <f t="shared" si="3"/>
        <v>0</v>
      </c>
      <c r="BF27" s="506">
        <f t="shared" si="4"/>
        <v>0</v>
      </c>
      <c r="BG27" s="506">
        <f t="shared" si="5"/>
        <v>0</v>
      </c>
      <c r="BH27" s="506">
        <f t="shared" si="6"/>
        <v>0</v>
      </c>
      <c r="BI27" s="506">
        <f t="shared" si="7"/>
        <v>0</v>
      </c>
      <c r="BJ27" s="506">
        <f t="shared" si="8"/>
        <v>0</v>
      </c>
      <c r="BK27" s="506">
        <f t="shared" si="9"/>
        <v>0</v>
      </c>
      <c r="BL27" s="506">
        <f t="shared" si="32"/>
        <v>0</v>
      </c>
      <c r="BM27" s="506">
        <f t="shared" si="33"/>
        <v>0</v>
      </c>
      <c r="BN27" s="506">
        <f t="shared" si="10"/>
        <v>0</v>
      </c>
      <c r="BO27" s="506">
        <f t="shared" si="11"/>
        <v>0</v>
      </c>
      <c r="BP27" s="506">
        <f t="shared" si="12"/>
        <v>0</v>
      </c>
      <c r="BQ27" s="506">
        <f t="shared" si="13"/>
        <v>0</v>
      </c>
      <c r="BR27" s="506">
        <f t="shared" si="14"/>
        <v>0</v>
      </c>
      <c r="BS27" s="506">
        <f t="shared" si="15"/>
        <v>0</v>
      </c>
      <c r="BT27" s="506">
        <f t="shared" si="16"/>
        <v>0</v>
      </c>
      <c r="BU27" s="506">
        <f t="shared" si="17"/>
        <v>0</v>
      </c>
      <c r="BV27" s="506">
        <f t="shared" si="18"/>
        <v>0</v>
      </c>
      <c r="BW27" s="506">
        <f t="shared" si="19"/>
        <v>0</v>
      </c>
      <c r="BX27" s="506">
        <f t="shared" si="34"/>
        <v>0</v>
      </c>
      <c r="BY27" s="506">
        <f t="shared" si="35"/>
        <v>0</v>
      </c>
      <c r="BZ27" s="506">
        <f t="shared" si="36"/>
        <v>0</v>
      </c>
      <c r="CA27" s="506">
        <f t="shared" si="37"/>
        <v>0</v>
      </c>
      <c r="CB27" s="506">
        <f t="shared" si="38"/>
        <v>0</v>
      </c>
      <c r="CC27" s="506">
        <f t="shared" si="20"/>
        <v>0</v>
      </c>
      <c r="CD27" s="506">
        <f t="shared" si="21"/>
        <v>0</v>
      </c>
      <c r="CE27" s="506">
        <f t="shared" si="22"/>
        <v>0</v>
      </c>
      <c r="CF27" s="506">
        <f t="shared" si="23"/>
        <v>0</v>
      </c>
      <c r="CG27" s="506">
        <f t="shared" si="24"/>
        <v>0</v>
      </c>
      <c r="CH27" s="506">
        <f t="shared" si="25"/>
        <v>0</v>
      </c>
      <c r="CI27" s="506">
        <f t="shared" si="26"/>
        <v>0</v>
      </c>
      <c r="CJ27" s="506">
        <f t="shared" si="39"/>
        <v>0</v>
      </c>
      <c r="CK27" s="506" t="str">
        <f t="shared" si="40"/>
        <v/>
      </c>
      <c r="CL27" s="506" t="str">
        <f t="shared" si="41"/>
        <v/>
      </c>
      <c r="CM27" s="506" t="str">
        <f t="shared" si="42"/>
        <v/>
      </c>
      <c r="CN27" s="506" t="str">
        <f t="shared" si="43"/>
        <v>0290-00</v>
      </c>
    </row>
    <row r="28" spans="1:92" ht="15.75" thickBot="1" x14ac:dyDescent="0.3">
      <c r="A28" s="495" t="s">
        <v>187</v>
      </c>
      <c r="B28" s="495" t="s">
        <v>188</v>
      </c>
      <c r="C28" s="495" t="s">
        <v>325</v>
      </c>
      <c r="D28" s="495" t="s">
        <v>326</v>
      </c>
      <c r="E28" s="495" t="s">
        <v>191</v>
      </c>
      <c r="F28" s="496" t="s">
        <v>192</v>
      </c>
      <c r="G28" s="495" t="s">
        <v>193</v>
      </c>
      <c r="H28" s="497"/>
      <c r="I28" s="497"/>
      <c r="J28" s="495" t="s">
        <v>248</v>
      </c>
      <c r="K28" s="495" t="s">
        <v>327</v>
      </c>
      <c r="L28" s="495" t="s">
        <v>218</v>
      </c>
      <c r="M28" s="495" t="s">
        <v>197</v>
      </c>
      <c r="N28" s="495" t="s">
        <v>198</v>
      </c>
      <c r="O28" s="498">
        <v>1</v>
      </c>
      <c r="P28" s="504">
        <v>1</v>
      </c>
      <c r="Q28" s="504">
        <v>1</v>
      </c>
      <c r="R28" s="499">
        <v>80</v>
      </c>
      <c r="S28" s="504">
        <v>1</v>
      </c>
      <c r="T28" s="499">
        <v>27598.82</v>
      </c>
      <c r="U28" s="499">
        <v>78.84</v>
      </c>
      <c r="V28" s="499">
        <v>17401</v>
      </c>
      <c r="W28" s="499">
        <v>28995.19</v>
      </c>
      <c r="X28" s="499">
        <v>18198.53</v>
      </c>
      <c r="Y28" s="499">
        <v>28995.19</v>
      </c>
      <c r="Z28" s="499">
        <v>18047.75</v>
      </c>
      <c r="AA28" s="495" t="s">
        <v>328</v>
      </c>
      <c r="AB28" s="495" t="s">
        <v>329</v>
      </c>
      <c r="AC28" s="495" t="s">
        <v>330</v>
      </c>
      <c r="AD28" s="495" t="s">
        <v>242</v>
      </c>
      <c r="AE28" s="495" t="s">
        <v>327</v>
      </c>
      <c r="AF28" s="495" t="s">
        <v>222</v>
      </c>
      <c r="AG28" s="495" t="s">
        <v>204</v>
      </c>
      <c r="AH28" s="500">
        <v>13.94</v>
      </c>
      <c r="AI28" s="500">
        <v>9962.7000000000007</v>
      </c>
      <c r="AJ28" s="495" t="s">
        <v>205</v>
      </c>
      <c r="AK28" s="495" t="s">
        <v>206</v>
      </c>
      <c r="AL28" s="495" t="s">
        <v>207</v>
      </c>
      <c r="AM28" s="495" t="s">
        <v>208</v>
      </c>
      <c r="AN28" s="495" t="s">
        <v>92</v>
      </c>
      <c r="AO28" s="498">
        <v>80</v>
      </c>
      <c r="AP28" s="504">
        <v>1</v>
      </c>
      <c r="AQ28" s="504">
        <v>1</v>
      </c>
      <c r="AR28" s="502" t="s">
        <v>209</v>
      </c>
      <c r="AS28" s="506">
        <f t="shared" si="27"/>
        <v>1</v>
      </c>
      <c r="AT28">
        <f t="shared" si="28"/>
        <v>1</v>
      </c>
      <c r="AU28" s="506">
        <f>IF(AT28=0,"",IF(AND(AT28=1,M28="F",SUMIF(C2:C177,C28,AS2:AS177)&lt;=1),SUMIF(C2:C177,C28,AS2:AS177),IF(AND(AT28=1,M28="F",SUMIF(C2:C177,C28,AS2:AS177)&gt;1),1,"")))</f>
        <v>1</v>
      </c>
      <c r="AV28" s="506" t="str">
        <f>IF(AT28=0,"",IF(AND(AT28=3,M28="F",SUMIF(C2:C177,C28,AS2:AS177)&lt;=1),SUMIF(C2:C177,C28,AS2:AS177),IF(AND(AT28=3,M28="F",SUMIF(C2:C177,C28,AS2:AS177)&gt;1),1,"")))</f>
        <v/>
      </c>
      <c r="AW28" s="506">
        <f>SUMIF(C2:C177,C28,O2:O177)</f>
        <v>2</v>
      </c>
      <c r="AX28" s="506">
        <f>IF(AND(M28="F",AS28&lt;&gt;0),SUMIF(C2:C177,C28,W2:W177),0)</f>
        <v>28995.19</v>
      </c>
      <c r="AY28" s="506">
        <f t="shared" si="29"/>
        <v>28995.19</v>
      </c>
      <c r="AZ28" s="506" t="str">
        <f t="shared" si="30"/>
        <v/>
      </c>
      <c r="BA28" s="506">
        <f t="shared" si="31"/>
        <v>0</v>
      </c>
      <c r="BB28" s="506">
        <f t="shared" si="0"/>
        <v>11650</v>
      </c>
      <c r="BC28" s="506">
        <f t="shared" si="1"/>
        <v>0</v>
      </c>
      <c r="BD28" s="506">
        <f t="shared" si="2"/>
        <v>1797.7017799999999</v>
      </c>
      <c r="BE28" s="506">
        <f t="shared" si="3"/>
        <v>420.43025499999999</v>
      </c>
      <c r="BF28" s="506">
        <f t="shared" si="4"/>
        <v>3462.025686</v>
      </c>
      <c r="BG28" s="506">
        <f t="shared" si="5"/>
        <v>209.0553199</v>
      </c>
      <c r="BH28" s="506">
        <f t="shared" si="6"/>
        <v>142.07643099999999</v>
      </c>
      <c r="BI28" s="506">
        <f t="shared" si="7"/>
        <v>160.48837664999999</v>
      </c>
      <c r="BJ28" s="506">
        <f t="shared" si="8"/>
        <v>356.64083699999998</v>
      </c>
      <c r="BK28" s="506">
        <f t="shared" si="9"/>
        <v>0</v>
      </c>
      <c r="BL28" s="506">
        <f t="shared" si="32"/>
        <v>6548.4186855499993</v>
      </c>
      <c r="BM28" s="506">
        <f t="shared" si="33"/>
        <v>0</v>
      </c>
      <c r="BN28" s="506">
        <f t="shared" si="10"/>
        <v>11650</v>
      </c>
      <c r="BO28" s="506">
        <f t="shared" si="11"/>
        <v>0</v>
      </c>
      <c r="BP28" s="506">
        <f t="shared" si="12"/>
        <v>1797.7017799999999</v>
      </c>
      <c r="BQ28" s="506">
        <f t="shared" si="13"/>
        <v>420.43025499999999</v>
      </c>
      <c r="BR28" s="506">
        <f t="shared" si="14"/>
        <v>3462.025686</v>
      </c>
      <c r="BS28" s="506">
        <f t="shared" si="15"/>
        <v>209.0553199</v>
      </c>
      <c r="BT28" s="506">
        <f t="shared" si="16"/>
        <v>0</v>
      </c>
      <c r="BU28" s="506">
        <f t="shared" si="17"/>
        <v>160.48837664999999</v>
      </c>
      <c r="BV28" s="506">
        <f t="shared" si="18"/>
        <v>347.94227999999998</v>
      </c>
      <c r="BW28" s="506">
        <f t="shared" si="19"/>
        <v>0</v>
      </c>
      <c r="BX28" s="506">
        <f t="shared" si="34"/>
        <v>6397.6436975499992</v>
      </c>
      <c r="BY28" s="506">
        <f t="shared" si="35"/>
        <v>0</v>
      </c>
      <c r="BZ28" s="506">
        <f t="shared" si="36"/>
        <v>0</v>
      </c>
      <c r="CA28" s="506">
        <f t="shared" si="37"/>
        <v>0</v>
      </c>
      <c r="CB28" s="506">
        <f t="shared" si="38"/>
        <v>0</v>
      </c>
      <c r="CC28" s="506">
        <f t="shared" si="20"/>
        <v>0</v>
      </c>
      <c r="CD28" s="506">
        <f t="shared" si="21"/>
        <v>0</v>
      </c>
      <c r="CE28" s="506">
        <f t="shared" si="22"/>
        <v>0</v>
      </c>
      <c r="CF28" s="506">
        <f t="shared" si="23"/>
        <v>-142.07643099999999</v>
      </c>
      <c r="CG28" s="506">
        <f t="shared" si="24"/>
        <v>0</v>
      </c>
      <c r="CH28" s="506">
        <f t="shared" si="25"/>
        <v>-8.6985569999999974</v>
      </c>
      <c r="CI28" s="506">
        <f t="shared" si="26"/>
        <v>0</v>
      </c>
      <c r="CJ28" s="506">
        <f t="shared" si="39"/>
        <v>-150.77498799999998</v>
      </c>
      <c r="CK28" s="506" t="str">
        <f t="shared" si="40"/>
        <v/>
      </c>
      <c r="CL28" s="506" t="str">
        <f t="shared" si="41"/>
        <v/>
      </c>
      <c r="CM28" s="506" t="str">
        <f t="shared" si="42"/>
        <v/>
      </c>
      <c r="CN28" s="506" t="str">
        <f t="shared" si="43"/>
        <v>0290-00</v>
      </c>
    </row>
    <row r="29" spans="1:92" ht="15.75" thickBot="1" x14ac:dyDescent="0.3">
      <c r="A29" s="495" t="s">
        <v>187</v>
      </c>
      <c r="B29" s="495" t="s">
        <v>188</v>
      </c>
      <c r="C29" s="495" t="s">
        <v>331</v>
      </c>
      <c r="D29" s="495" t="s">
        <v>265</v>
      </c>
      <c r="E29" s="495" t="s">
        <v>191</v>
      </c>
      <c r="F29" s="496" t="s">
        <v>192</v>
      </c>
      <c r="G29" s="495" t="s">
        <v>193</v>
      </c>
      <c r="H29" s="497"/>
      <c r="I29" s="497"/>
      <c r="J29" s="495" t="s">
        <v>225</v>
      </c>
      <c r="K29" s="495" t="s">
        <v>266</v>
      </c>
      <c r="L29" s="495" t="s">
        <v>232</v>
      </c>
      <c r="M29" s="495" t="s">
        <v>197</v>
      </c>
      <c r="N29" s="495" t="s">
        <v>227</v>
      </c>
      <c r="O29" s="498">
        <v>0</v>
      </c>
      <c r="P29" s="504">
        <v>1</v>
      </c>
      <c r="Q29" s="504">
        <v>0</v>
      </c>
      <c r="R29" s="499">
        <v>0</v>
      </c>
      <c r="S29" s="504">
        <v>0</v>
      </c>
      <c r="T29" s="499">
        <v>306701.7</v>
      </c>
      <c r="U29" s="499">
        <v>7995.48</v>
      </c>
      <c r="V29" s="499">
        <v>166174.72</v>
      </c>
      <c r="W29" s="499">
        <v>314697.18</v>
      </c>
      <c r="X29" s="499">
        <v>166174.72</v>
      </c>
      <c r="Y29" s="499">
        <v>314697.18</v>
      </c>
      <c r="Z29" s="499">
        <v>166174.72</v>
      </c>
      <c r="AA29" s="497"/>
      <c r="AB29" s="495" t="s">
        <v>23</v>
      </c>
      <c r="AC29" s="495" t="s">
        <v>23</v>
      </c>
      <c r="AD29" s="497"/>
      <c r="AE29" s="497"/>
      <c r="AF29" s="497"/>
      <c r="AG29" s="497"/>
      <c r="AH29" s="498">
        <v>0</v>
      </c>
      <c r="AI29" s="498">
        <v>0</v>
      </c>
      <c r="AJ29" s="497"/>
      <c r="AK29" s="497"/>
      <c r="AL29" s="495" t="s">
        <v>207</v>
      </c>
      <c r="AM29" s="497"/>
      <c r="AN29" s="497"/>
      <c r="AO29" s="498">
        <v>0</v>
      </c>
      <c r="AP29" s="504">
        <v>0</v>
      </c>
      <c r="AQ29" s="504">
        <v>0</v>
      </c>
      <c r="AR29" s="503"/>
      <c r="AS29" s="506">
        <f t="shared" si="27"/>
        <v>0</v>
      </c>
      <c r="AT29">
        <f t="shared" si="28"/>
        <v>0</v>
      </c>
      <c r="AU29" s="506" t="str">
        <f>IF(AT29=0,"",IF(AND(AT29=1,M29="F",SUMIF(C2:C177,C29,AS2:AS177)&lt;=1),SUMIF(C2:C177,C29,AS2:AS177),IF(AND(AT29=1,M29="F",SUMIF(C2:C177,C29,AS2:AS177)&gt;1),1,"")))</f>
        <v/>
      </c>
      <c r="AV29" s="506" t="str">
        <f>IF(AT29=0,"",IF(AND(AT29=3,M29="F",SUMIF(C2:C177,C29,AS2:AS177)&lt;=1),SUMIF(C2:C177,C29,AS2:AS177),IF(AND(AT29=3,M29="F",SUMIF(C2:C177,C29,AS2:AS177)&gt;1),1,"")))</f>
        <v/>
      </c>
      <c r="AW29" s="506">
        <f>SUMIF(C2:C177,C29,O2:O177)</f>
        <v>0</v>
      </c>
      <c r="AX29" s="506">
        <f>IF(AND(M29="F",AS29&lt;&gt;0),SUMIF(C2:C177,C29,W2:W177),0)</f>
        <v>0</v>
      </c>
      <c r="AY29" s="506" t="str">
        <f t="shared" si="29"/>
        <v/>
      </c>
      <c r="AZ29" s="506" t="str">
        <f t="shared" si="30"/>
        <v/>
      </c>
      <c r="BA29" s="506">
        <f t="shared" si="31"/>
        <v>0</v>
      </c>
      <c r="BB29" s="506">
        <f t="shared" si="0"/>
        <v>0</v>
      </c>
      <c r="BC29" s="506">
        <f t="shared" si="1"/>
        <v>0</v>
      </c>
      <c r="BD29" s="506">
        <f t="shared" si="2"/>
        <v>0</v>
      </c>
      <c r="BE29" s="506">
        <f t="shared" si="3"/>
        <v>0</v>
      </c>
      <c r="BF29" s="506">
        <f t="shared" si="4"/>
        <v>0</v>
      </c>
      <c r="BG29" s="506">
        <f t="shared" si="5"/>
        <v>0</v>
      </c>
      <c r="BH29" s="506">
        <f t="shared" si="6"/>
        <v>0</v>
      </c>
      <c r="BI29" s="506">
        <f t="shared" si="7"/>
        <v>0</v>
      </c>
      <c r="BJ29" s="506">
        <f t="shared" si="8"/>
        <v>0</v>
      </c>
      <c r="BK29" s="506">
        <f t="shared" si="9"/>
        <v>0</v>
      </c>
      <c r="BL29" s="506">
        <f t="shared" si="32"/>
        <v>0</v>
      </c>
      <c r="BM29" s="506">
        <f t="shared" si="33"/>
        <v>0</v>
      </c>
      <c r="BN29" s="506">
        <f t="shared" si="10"/>
        <v>0</v>
      </c>
      <c r="BO29" s="506">
        <f t="shared" si="11"/>
        <v>0</v>
      </c>
      <c r="BP29" s="506">
        <f t="shared" si="12"/>
        <v>0</v>
      </c>
      <c r="BQ29" s="506">
        <f t="shared" si="13"/>
        <v>0</v>
      </c>
      <c r="BR29" s="506">
        <f t="shared" si="14"/>
        <v>0</v>
      </c>
      <c r="BS29" s="506">
        <f t="shared" si="15"/>
        <v>0</v>
      </c>
      <c r="BT29" s="506">
        <f t="shared" si="16"/>
        <v>0</v>
      </c>
      <c r="BU29" s="506">
        <f t="shared" si="17"/>
        <v>0</v>
      </c>
      <c r="BV29" s="506">
        <f t="shared" si="18"/>
        <v>0</v>
      </c>
      <c r="BW29" s="506">
        <f t="shared" si="19"/>
        <v>0</v>
      </c>
      <c r="BX29" s="506">
        <f t="shared" si="34"/>
        <v>0</v>
      </c>
      <c r="BY29" s="506">
        <f t="shared" si="35"/>
        <v>0</v>
      </c>
      <c r="BZ29" s="506">
        <f t="shared" si="36"/>
        <v>0</v>
      </c>
      <c r="CA29" s="506">
        <f t="shared" si="37"/>
        <v>0</v>
      </c>
      <c r="CB29" s="506">
        <f t="shared" si="38"/>
        <v>0</v>
      </c>
      <c r="CC29" s="506">
        <f t="shared" si="20"/>
        <v>0</v>
      </c>
      <c r="CD29" s="506">
        <f t="shared" si="21"/>
        <v>0</v>
      </c>
      <c r="CE29" s="506">
        <f t="shared" si="22"/>
        <v>0</v>
      </c>
      <c r="CF29" s="506">
        <f t="shared" si="23"/>
        <v>0</v>
      </c>
      <c r="CG29" s="506">
        <f t="shared" si="24"/>
        <v>0</v>
      </c>
      <c r="CH29" s="506">
        <f t="shared" si="25"/>
        <v>0</v>
      </c>
      <c r="CI29" s="506">
        <f t="shared" si="26"/>
        <v>0</v>
      </c>
      <c r="CJ29" s="506">
        <f t="shared" si="39"/>
        <v>0</v>
      </c>
      <c r="CK29" s="506" t="str">
        <f t="shared" si="40"/>
        <v/>
      </c>
      <c r="CL29" s="506">
        <f t="shared" si="41"/>
        <v>314697.18</v>
      </c>
      <c r="CM29" s="506">
        <f t="shared" si="42"/>
        <v>166174.72</v>
      </c>
      <c r="CN29" s="506" t="str">
        <f t="shared" si="43"/>
        <v>0290-00</v>
      </c>
    </row>
    <row r="30" spans="1:92" ht="15.75" thickBot="1" x14ac:dyDescent="0.3">
      <c r="A30" s="495" t="s">
        <v>187</v>
      </c>
      <c r="B30" s="495" t="s">
        <v>188</v>
      </c>
      <c r="C30" s="495" t="s">
        <v>332</v>
      </c>
      <c r="D30" s="495" t="s">
        <v>229</v>
      </c>
      <c r="E30" s="495" t="s">
        <v>191</v>
      </c>
      <c r="F30" s="496" t="s">
        <v>192</v>
      </c>
      <c r="G30" s="495" t="s">
        <v>193</v>
      </c>
      <c r="H30" s="497"/>
      <c r="I30" s="497"/>
      <c r="J30" s="495" t="s">
        <v>230</v>
      </c>
      <c r="K30" s="495" t="s">
        <v>231</v>
      </c>
      <c r="L30" s="495" t="s">
        <v>232</v>
      </c>
      <c r="M30" s="495" t="s">
        <v>197</v>
      </c>
      <c r="N30" s="495" t="s">
        <v>198</v>
      </c>
      <c r="O30" s="498">
        <v>1</v>
      </c>
      <c r="P30" s="504">
        <v>1</v>
      </c>
      <c r="Q30" s="504">
        <v>1</v>
      </c>
      <c r="R30" s="499">
        <v>80</v>
      </c>
      <c r="S30" s="504">
        <v>1</v>
      </c>
      <c r="T30" s="499">
        <v>41403</v>
      </c>
      <c r="U30" s="499">
        <v>207</v>
      </c>
      <c r="V30" s="499">
        <v>20915.13</v>
      </c>
      <c r="W30" s="499">
        <v>42848</v>
      </c>
      <c r="X30" s="499">
        <v>21327.15</v>
      </c>
      <c r="Y30" s="499">
        <v>42848</v>
      </c>
      <c r="Z30" s="499">
        <v>21104.34</v>
      </c>
      <c r="AA30" s="495" t="s">
        <v>333</v>
      </c>
      <c r="AB30" s="495" t="s">
        <v>334</v>
      </c>
      <c r="AC30" s="495" t="s">
        <v>335</v>
      </c>
      <c r="AD30" s="495" t="s">
        <v>242</v>
      </c>
      <c r="AE30" s="495" t="s">
        <v>258</v>
      </c>
      <c r="AF30" s="495" t="s">
        <v>259</v>
      </c>
      <c r="AG30" s="495" t="s">
        <v>204</v>
      </c>
      <c r="AH30" s="500">
        <v>20.6</v>
      </c>
      <c r="AI30" s="500">
        <v>1396.9</v>
      </c>
      <c r="AJ30" s="495" t="s">
        <v>205</v>
      </c>
      <c r="AK30" s="495" t="s">
        <v>206</v>
      </c>
      <c r="AL30" s="495" t="s">
        <v>207</v>
      </c>
      <c r="AM30" s="495" t="s">
        <v>208</v>
      </c>
      <c r="AN30" s="495" t="s">
        <v>92</v>
      </c>
      <c r="AO30" s="498">
        <v>80</v>
      </c>
      <c r="AP30" s="504">
        <v>1</v>
      </c>
      <c r="AQ30" s="504">
        <v>1</v>
      </c>
      <c r="AR30" s="502">
        <v>3</v>
      </c>
      <c r="AS30" s="506">
        <f t="shared" si="27"/>
        <v>1</v>
      </c>
      <c r="AT30">
        <f t="shared" si="28"/>
        <v>1</v>
      </c>
      <c r="AU30" s="506">
        <f>IF(AT30=0,"",IF(AND(AT30=1,M30="F",SUMIF(C2:C177,C30,AS2:AS177)&lt;=1),SUMIF(C2:C177,C30,AS2:AS177),IF(AND(AT30=1,M30="F",SUMIF(C2:C177,C30,AS2:AS177)&gt;1),1,"")))</f>
        <v>1</v>
      </c>
      <c r="AV30" s="506" t="str">
        <f>IF(AT30=0,"",IF(AND(AT30=3,M30="F",SUMIF(C2:C177,C30,AS2:AS177)&lt;=1),SUMIF(C2:C177,C30,AS2:AS177),IF(AND(AT30=3,M30="F",SUMIF(C2:C177,C30,AS2:AS177)&gt;1),1,"")))</f>
        <v/>
      </c>
      <c r="AW30" s="506">
        <f>SUMIF(C2:C177,C30,O2:O177)</f>
        <v>1</v>
      </c>
      <c r="AX30" s="506">
        <f>IF(AND(M30="F",AS30&lt;&gt;0),SUMIF(C2:C177,C30,W2:W177),0)</f>
        <v>42848</v>
      </c>
      <c r="AY30" s="506">
        <f t="shared" si="29"/>
        <v>42848</v>
      </c>
      <c r="AZ30" s="506" t="str">
        <f t="shared" si="30"/>
        <v/>
      </c>
      <c r="BA30" s="506">
        <f t="shared" si="31"/>
        <v>0</v>
      </c>
      <c r="BB30" s="506">
        <f t="shared" si="0"/>
        <v>11650</v>
      </c>
      <c r="BC30" s="506">
        <f t="shared" si="1"/>
        <v>0</v>
      </c>
      <c r="BD30" s="506">
        <f t="shared" si="2"/>
        <v>2656.576</v>
      </c>
      <c r="BE30" s="506">
        <f t="shared" si="3"/>
        <v>621.29600000000005</v>
      </c>
      <c r="BF30" s="506">
        <f t="shared" si="4"/>
        <v>5116.0511999999999</v>
      </c>
      <c r="BG30" s="506">
        <f t="shared" si="5"/>
        <v>308.93407999999999</v>
      </c>
      <c r="BH30" s="506">
        <f t="shared" si="6"/>
        <v>209.95519999999999</v>
      </c>
      <c r="BI30" s="506">
        <f t="shared" si="7"/>
        <v>237.16368</v>
      </c>
      <c r="BJ30" s="506">
        <f t="shared" si="8"/>
        <v>527.03039999999999</v>
      </c>
      <c r="BK30" s="506">
        <f t="shared" si="9"/>
        <v>0</v>
      </c>
      <c r="BL30" s="506">
        <f t="shared" si="32"/>
        <v>9677.0065599999998</v>
      </c>
      <c r="BM30" s="506">
        <f t="shared" si="33"/>
        <v>0</v>
      </c>
      <c r="BN30" s="506">
        <f t="shared" si="10"/>
        <v>11650</v>
      </c>
      <c r="BO30" s="506">
        <f t="shared" si="11"/>
        <v>0</v>
      </c>
      <c r="BP30" s="506">
        <f t="shared" si="12"/>
        <v>2656.576</v>
      </c>
      <c r="BQ30" s="506">
        <f t="shared" si="13"/>
        <v>621.29600000000005</v>
      </c>
      <c r="BR30" s="506">
        <f t="shared" si="14"/>
        <v>5116.0511999999999</v>
      </c>
      <c r="BS30" s="506">
        <f t="shared" si="15"/>
        <v>308.93407999999999</v>
      </c>
      <c r="BT30" s="506">
        <f t="shared" si="16"/>
        <v>0</v>
      </c>
      <c r="BU30" s="506">
        <f t="shared" si="17"/>
        <v>237.16368</v>
      </c>
      <c r="BV30" s="506">
        <f t="shared" si="18"/>
        <v>514.17600000000004</v>
      </c>
      <c r="BW30" s="506">
        <f t="shared" si="19"/>
        <v>0</v>
      </c>
      <c r="BX30" s="506">
        <f t="shared" si="34"/>
        <v>9454.1969599999993</v>
      </c>
      <c r="BY30" s="506">
        <f t="shared" si="35"/>
        <v>0</v>
      </c>
      <c r="BZ30" s="506">
        <f t="shared" si="36"/>
        <v>0</v>
      </c>
      <c r="CA30" s="506">
        <f t="shared" si="37"/>
        <v>0</v>
      </c>
      <c r="CB30" s="506">
        <f t="shared" si="38"/>
        <v>0</v>
      </c>
      <c r="CC30" s="506">
        <f t="shared" si="20"/>
        <v>0</v>
      </c>
      <c r="CD30" s="506">
        <f t="shared" si="21"/>
        <v>0</v>
      </c>
      <c r="CE30" s="506">
        <f t="shared" si="22"/>
        <v>0</v>
      </c>
      <c r="CF30" s="506">
        <f t="shared" si="23"/>
        <v>-209.95519999999999</v>
      </c>
      <c r="CG30" s="506">
        <f t="shared" si="24"/>
        <v>0</v>
      </c>
      <c r="CH30" s="506">
        <f t="shared" si="25"/>
        <v>-12.854399999999996</v>
      </c>
      <c r="CI30" s="506">
        <f t="shared" si="26"/>
        <v>0</v>
      </c>
      <c r="CJ30" s="506">
        <f t="shared" si="39"/>
        <v>-222.80959999999999</v>
      </c>
      <c r="CK30" s="506" t="str">
        <f t="shared" si="40"/>
        <v/>
      </c>
      <c r="CL30" s="506" t="str">
        <f t="shared" si="41"/>
        <v/>
      </c>
      <c r="CM30" s="506" t="str">
        <f t="shared" si="42"/>
        <v/>
      </c>
      <c r="CN30" s="506" t="str">
        <f t="shared" si="43"/>
        <v>0290-00</v>
      </c>
    </row>
    <row r="31" spans="1:92" ht="15.75" thickBot="1" x14ac:dyDescent="0.3">
      <c r="A31" s="495" t="s">
        <v>187</v>
      </c>
      <c r="B31" s="495" t="s">
        <v>188</v>
      </c>
      <c r="C31" s="495" t="s">
        <v>336</v>
      </c>
      <c r="D31" s="495" t="s">
        <v>211</v>
      </c>
      <c r="E31" s="495" t="s">
        <v>191</v>
      </c>
      <c r="F31" s="496" t="s">
        <v>192</v>
      </c>
      <c r="G31" s="495" t="s">
        <v>193</v>
      </c>
      <c r="H31" s="497"/>
      <c r="I31" s="497"/>
      <c r="J31" s="495" t="s">
        <v>277</v>
      </c>
      <c r="K31" s="495" t="s">
        <v>212</v>
      </c>
      <c r="L31" s="495" t="s">
        <v>207</v>
      </c>
      <c r="M31" s="495" t="s">
        <v>197</v>
      </c>
      <c r="N31" s="495" t="s">
        <v>198</v>
      </c>
      <c r="O31" s="498">
        <v>1</v>
      </c>
      <c r="P31" s="504">
        <v>1</v>
      </c>
      <c r="Q31" s="504">
        <v>1</v>
      </c>
      <c r="R31" s="499">
        <v>80</v>
      </c>
      <c r="S31" s="504">
        <v>1</v>
      </c>
      <c r="T31" s="499">
        <v>73639.210000000006</v>
      </c>
      <c r="U31" s="499">
        <v>11527.09</v>
      </c>
      <c r="V31" s="499">
        <v>30322.25</v>
      </c>
      <c r="W31" s="499">
        <v>76336</v>
      </c>
      <c r="X31" s="499">
        <v>28890.43</v>
      </c>
      <c r="Y31" s="499">
        <v>76336</v>
      </c>
      <c r="Z31" s="499">
        <v>28493.49</v>
      </c>
      <c r="AA31" s="495" t="s">
        <v>337</v>
      </c>
      <c r="AB31" s="495" t="s">
        <v>338</v>
      </c>
      <c r="AC31" s="495" t="s">
        <v>339</v>
      </c>
      <c r="AD31" s="495" t="s">
        <v>305</v>
      </c>
      <c r="AE31" s="495" t="s">
        <v>212</v>
      </c>
      <c r="AF31" s="495" t="s">
        <v>282</v>
      </c>
      <c r="AG31" s="495" t="s">
        <v>204</v>
      </c>
      <c r="AH31" s="500">
        <v>36.700000000000003</v>
      </c>
      <c r="AI31" s="500">
        <v>24726.400000000001</v>
      </c>
      <c r="AJ31" s="495" t="s">
        <v>205</v>
      </c>
      <c r="AK31" s="495" t="s">
        <v>206</v>
      </c>
      <c r="AL31" s="495" t="s">
        <v>207</v>
      </c>
      <c r="AM31" s="495" t="s">
        <v>208</v>
      </c>
      <c r="AN31" s="495" t="s">
        <v>92</v>
      </c>
      <c r="AO31" s="498">
        <v>80</v>
      </c>
      <c r="AP31" s="504">
        <v>1</v>
      </c>
      <c r="AQ31" s="504">
        <v>1</v>
      </c>
      <c r="AR31" s="502" t="s">
        <v>209</v>
      </c>
      <c r="AS31" s="506">
        <f t="shared" si="27"/>
        <v>1</v>
      </c>
      <c r="AT31">
        <f t="shared" si="28"/>
        <v>1</v>
      </c>
      <c r="AU31" s="506">
        <f>IF(AT31=0,"",IF(AND(AT31=1,M31="F",SUMIF(C2:C177,C31,AS2:AS177)&lt;=1),SUMIF(C2:C177,C31,AS2:AS177),IF(AND(AT31=1,M31="F",SUMIF(C2:C177,C31,AS2:AS177)&gt;1),1,"")))</f>
        <v>1</v>
      </c>
      <c r="AV31" s="506" t="str">
        <f>IF(AT31=0,"",IF(AND(AT31=3,M31="F",SUMIF(C2:C177,C31,AS2:AS177)&lt;=1),SUMIF(C2:C177,C31,AS2:AS177),IF(AND(AT31=3,M31="F",SUMIF(C2:C177,C31,AS2:AS177)&gt;1),1,"")))</f>
        <v/>
      </c>
      <c r="AW31" s="506">
        <f>SUMIF(C2:C177,C31,O2:O177)</f>
        <v>1</v>
      </c>
      <c r="AX31" s="506">
        <f>IF(AND(M31="F",AS31&lt;&gt;0),SUMIF(C2:C177,C31,W2:W177),0)</f>
        <v>76336</v>
      </c>
      <c r="AY31" s="506">
        <f t="shared" si="29"/>
        <v>76336</v>
      </c>
      <c r="AZ31" s="506" t="str">
        <f t="shared" si="30"/>
        <v/>
      </c>
      <c r="BA31" s="506">
        <f t="shared" si="31"/>
        <v>0</v>
      </c>
      <c r="BB31" s="506">
        <f t="shared" si="0"/>
        <v>11650</v>
      </c>
      <c r="BC31" s="506">
        <f t="shared" si="1"/>
        <v>0</v>
      </c>
      <c r="BD31" s="506">
        <f t="shared" si="2"/>
        <v>4732.8320000000003</v>
      </c>
      <c r="BE31" s="506">
        <f t="shared" si="3"/>
        <v>1106.8720000000001</v>
      </c>
      <c r="BF31" s="506">
        <f t="shared" si="4"/>
        <v>9114.5184000000008</v>
      </c>
      <c r="BG31" s="506">
        <f t="shared" si="5"/>
        <v>550.38256000000001</v>
      </c>
      <c r="BH31" s="506">
        <f t="shared" si="6"/>
        <v>374.04640000000001</v>
      </c>
      <c r="BI31" s="506">
        <f t="shared" si="7"/>
        <v>422.51976000000002</v>
      </c>
      <c r="BJ31" s="506">
        <f t="shared" si="8"/>
        <v>938.93280000000004</v>
      </c>
      <c r="BK31" s="506">
        <f t="shared" si="9"/>
        <v>0</v>
      </c>
      <c r="BL31" s="506">
        <f t="shared" si="32"/>
        <v>17240.103920000001</v>
      </c>
      <c r="BM31" s="506">
        <f t="shared" si="33"/>
        <v>0</v>
      </c>
      <c r="BN31" s="506">
        <f t="shared" si="10"/>
        <v>11650</v>
      </c>
      <c r="BO31" s="506">
        <f t="shared" si="11"/>
        <v>0</v>
      </c>
      <c r="BP31" s="506">
        <f t="shared" si="12"/>
        <v>4732.8320000000003</v>
      </c>
      <c r="BQ31" s="506">
        <f t="shared" si="13"/>
        <v>1106.8720000000001</v>
      </c>
      <c r="BR31" s="506">
        <f t="shared" si="14"/>
        <v>9114.5184000000008</v>
      </c>
      <c r="BS31" s="506">
        <f t="shared" si="15"/>
        <v>550.38256000000001</v>
      </c>
      <c r="BT31" s="506">
        <f t="shared" si="16"/>
        <v>0</v>
      </c>
      <c r="BU31" s="506">
        <f t="shared" si="17"/>
        <v>422.51976000000002</v>
      </c>
      <c r="BV31" s="506">
        <f t="shared" si="18"/>
        <v>916.03200000000004</v>
      </c>
      <c r="BW31" s="506">
        <f t="shared" si="19"/>
        <v>0</v>
      </c>
      <c r="BX31" s="506">
        <f t="shared" si="34"/>
        <v>16843.156720000003</v>
      </c>
      <c r="BY31" s="506">
        <f t="shared" si="35"/>
        <v>0</v>
      </c>
      <c r="BZ31" s="506">
        <f t="shared" si="36"/>
        <v>0</v>
      </c>
      <c r="CA31" s="506">
        <f t="shared" si="37"/>
        <v>0</v>
      </c>
      <c r="CB31" s="506">
        <f t="shared" si="38"/>
        <v>0</v>
      </c>
      <c r="CC31" s="506">
        <f t="shared" si="20"/>
        <v>0</v>
      </c>
      <c r="CD31" s="506">
        <f t="shared" si="21"/>
        <v>0</v>
      </c>
      <c r="CE31" s="506">
        <f t="shared" si="22"/>
        <v>0</v>
      </c>
      <c r="CF31" s="506">
        <f t="shared" si="23"/>
        <v>-374.04640000000001</v>
      </c>
      <c r="CG31" s="506">
        <f t="shared" si="24"/>
        <v>0</v>
      </c>
      <c r="CH31" s="506">
        <f t="shared" si="25"/>
        <v>-22.900799999999993</v>
      </c>
      <c r="CI31" s="506">
        <f t="shared" si="26"/>
        <v>0</v>
      </c>
      <c r="CJ31" s="506">
        <f t="shared" si="39"/>
        <v>-396.94720000000001</v>
      </c>
      <c r="CK31" s="506" t="str">
        <f t="shared" si="40"/>
        <v/>
      </c>
      <c r="CL31" s="506" t="str">
        <f t="shared" si="41"/>
        <v/>
      </c>
      <c r="CM31" s="506" t="str">
        <f t="shared" si="42"/>
        <v/>
      </c>
      <c r="CN31" s="506" t="str">
        <f t="shared" si="43"/>
        <v>0290-00</v>
      </c>
    </row>
    <row r="32" spans="1:92" ht="15.75" thickBot="1" x14ac:dyDescent="0.3">
      <c r="A32" s="495" t="s">
        <v>187</v>
      </c>
      <c r="B32" s="495" t="s">
        <v>188</v>
      </c>
      <c r="C32" s="495" t="s">
        <v>340</v>
      </c>
      <c r="D32" s="495" t="s">
        <v>294</v>
      </c>
      <c r="E32" s="495" t="s">
        <v>191</v>
      </c>
      <c r="F32" s="496" t="s">
        <v>192</v>
      </c>
      <c r="G32" s="495" t="s">
        <v>193</v>
      </c>
      <c r="H32" s="497"/>
      <c r="I32" s="497"/>
      <c r="J32" s="495" t="s">
        <v>216</v>
      </c>
      <c r="K32" s="495" t="s">
        <v>295</v>
      </c>
      <c r="L32" s="495" t="s">
        <v>204</v>
      </c>
      <c r="M32" s="495" t="s">
        <v>197</v>
      </c>
      <c r="N32" s="495" t="s">
        <v>198</v>
      </c>
      <c r="O32" s="498">
        <v>1</v>
      </c>
      <c r="P32" s="504">
        <v>1</v>
      </c>
      <c r="Q32" s="504">
        <v>1</v>
      </c>
      <c r="R32" s="499">
        <v>80</v>
      </c>
      <c r="S32" s="504">
        <v>1</v>
      </c>
      <c r="T32" s="499">
        <v>36719.75</v>
      </c>
      <c r="U32" s="499">
        <v>1310.33</v>
      </c>
      <c r="V32" s="499">
        <v>19364.2</v>
      </c>
      <c r="W32" s="499">
        <v>38001.58</v>
      </c>
      <c r="X32" s="499">
        <v>20232.580000000002</v>
      </c>
      <c r="Y32" s="499">
        <v>38001.58</v>
      </c>
      <c r="Z32" s="499">
        <v>20035</v>
      </c>
      <c r="AA32" s="495" t="s">
        <v>341</v>
      </c>
      <c r="AB32" s="495" t="s">
        <v>342</v>
      </c>
      <c r="AC32" s="495" t="s">
        <v>343</v>
      </c>
      <c r="AD32" s="495" t="s">
        <v>344</v>
      </c>
      <c r="AE32" s="495" t="s">
        <v>295</v>
      </c>
      <c r="AF32" s="495" t="s">
        <v>274</v>
      </c>
      <c r="AG32" s="495" t="s">
        <v>204</v>
      </c>
      <c r="AH32" s="500">
        <v>18.27</v>
      </c>
      <c r="AI32" s="500">
        <v>15854.5</v>
      </c>
      <c r="AJ32" s="495" t="s">
        <v>205</v>
      </c>
      <c r="AK32" s="495" t="s">
        <v>206</v>
      </c>
      <c r="AL32" s="495" t="s">
        <v>207</v>
      </c>
      <c r="AM32" s="495" t="s">
        <v>208</v>
      </c>
      <c r="AN32" s="495" t="s">
        <v>92</v>
      </c>
      <c r="AO32" s="498">
        <v>80</v>
      </c>
      <c r="AP32" s="504">
        <v>1</v>
      </c>
      <c r="AQ32" s="504">
        <v>1</v>
      </c>
      <c r="AR32" s="502" t="s">
        <v>209</v>
      </c>
      <c r="AS32" s="506">
        <f t="shared" si="27"/>
        <v>1</v>
      </c>
      <c r="AT32">
        <f t="shared" si="28"/>
        <v>1</v>
      </c>
      <c r="AU32" s="506">
        <f>IF(AT32=0,"",IF(AND(AT32=1,M32="F",SUMIF(C2:C177,C32,AS2:AS177)&lt;=1),SUMIF(C2:C177,C32,AS2:AS177),IF(AND(AT32=1,M32="F",SUMIF(C2:C177,C32,AS2:AS177)&gt;1),1,"")))</f>
        <v>1</v>
      </c>
      <c r="AV32" s="506" t="str">
        <f>IF(AT32=0,"",IF(AND(AT32=3,M32="F",SUMIF(C2:C177,C32,AS2:AS177)&lt;=1),SUMIF(C2:C177,C32,AS2:AS177),IF(AND(AT32=3,M32="F",SUMIF(C2:C177,C32,AS2:AS177)&gt;1),1,"")))</f>
        <v/>
      </c>
      <c r="AW32" s="506">
        <f>SUMIF(C2:C177,C32,O2:O177)</f>
        <v>1</v>
      </c>
      <c r="AX32" s="506">
        <f>IF(AND(M32="F",AS32&lt;&gt;0),SUMIF(C2:C177,C32,W2:W177),0)</f>
        <v>38001.58</v>
      </c>
      <c r="AY32" s="506">
        <f t="shared" si="29"/>
        <v>38001.58</v>
      </c>
      <c r="AZ32" s="506" t="str">
        <f t="shared" si="30"/>
        <v/>
      </c>
      <c r="BA32" s="506">
        <f t="shared" si="31"/>
        <v>0</v>
      </c>
      <c r="BB32" s="506">
        <f t="shared" si="0"/>
        <v>11650</v>
      </c>
      <c r="BC32" s="506">
        <f t="shared" si="1"/>
        <v>0</v>
      </c>
      <c r="BD32" s="506">
        <f t="shared" si="2"/>
        <v>2356.0979600000001</v>
      </c>
      <c r="BE32" s="506">
        <f t="shared" si="3"/>
        <v>551.02291000000002</v>
      </c>
      <c r="BF32" s="506">
        <f t="shared" si="4"/>
        <v>4537.3886520000005</v>
      </c>
      <c r="BG32" s="506">
        <f t="shared" si="5"/>
        <v>273.99139180000003</v>
      </c>
      <c r="BH32" s="506">
        <f t="shared" si="6"/>
        <v>186.207742</v>
      </c>
      <c r="BI32" s="506">
        <f t="shared" si="7"/>
        <v>210.3387453</v>
      </c>
      <c r="BJ32" s="506">
        <f t="shared" si="8"/>
        <v>467.41943400000002</v>
      </c>
      <c r="BK32" s="506">
        <f t="shared" si="9"/>
        <v>0</v>
      </c>
      <c r="BL32" s="506">
        <f t="shared" si="32"/>
        <v>8582.4668351</v>
      </c>
      <c r="BM32" s="506">
        <f t="shared" si="33"/>
        <v>0</v>
      </c>
      <c r="BN32" s="506">
        <f t="shared" si="10"/>
        <v>11650</v>
      </c>
      <c r="BO32" s="506">
        <f t="shared" si="11"/>
        <v>0</v>
      </c>
      <c r="BP32" s="506">
        <f t="shared" si="12"/>
        <v>2356.0979600000001</v>
      </c>
      <c r="BQ32" s="506">
        <f t="shared" si="13"/>
        <v>551.02291000000002</v>
      </c>
      <c r="BR32" s="506">
        <f t="shared" si="14"/>
        <v>4537.3886520000005</v>
      </c>
      <c r="BS32" s="506">
        <f t="shared" si="15"/>
        <v>273.99139180000003</v>
      </c>
      <c r="BT32" s="506">
        <f t="shared" si="16"/>
        <v>0</v>
      </c>
      <c r="BU32" s="506">
        <f t="shared" si="17"/>
        <v>210.3387453</v>
      </c>
      <c r="BV32" s="506">
        <f t="shared" si="18"/>
        <v>456.01896000000005</v>
      </c>
      <c r="BW32" s="506">
        <f t="shared" si="19"/>
        <v>0</v>
      </c>
      <c r="BX32" s="506">
        <f t="shared" si="34"/>
        <v>8384.8586190999995</v>
      </c>
      <c r="BY32" s="506">
        <f t="shared" si="35"/>
        <v>0</v>
      </c>
      <c r="BZ32" s="506">
        <f t="shared" si="36"/>
        <v>0</v>
      </c>
      <c r="CA32" s="506">
        <f t="shared" si="37"/>
        <v>0</v>
      </c>
      <c r="CB32" s="506">
        <f t="shared" si="38"/>
        <v>0</v>
      </c>
      <c r="CC32" s="506">
        <f t="shared" si="20"/>
        <v>0</v>
      </c>
      <c r="CD32" s="506">
        <f t="shared" si="21"/>
        <v>0</v>
      </c>
      <c r="CE32" s="506">
        <f t="shared" si="22"/>
        <v>0</v>
      </c>
      <c r="CF32" s="506">
        <f t="shared" si="23"/>
        <v>-186.207742</v>
      </c>
      <c r="CG32" s="506">
        <f t="shared" si="24"/>
        <v>0</v>
      </c>
      <c r="CH32" s="506">
        <f t="shared" si="25"/>
        <v>-11.400473999999997</v>
      </c>
      <c r="CI32" s="506">
        <f t="shared" si="26"/>
        <v>0</v>
      </c>
      <c r="CJ32" s="506">
        <f t="shared" si="39"/>
        <v>-197.608216</v>
      </c>
      <c r="CK32" s="506" t="str">
        <f t="shared" si="40"/>
        <v/>
      </c>
      <c r="CL32" s="506" t="str">
        <f t="shared" si="41"/>
        <v/>
      </c>
      <c r="CM32" s="506" t="str">
        <f t="shared" si="42"/>
        <v/>
      </c>
      <c r="CN32" s="506" t="str">
        <f t="shared" si="43"/>
        <v>0290-00</v>
      </c>
    </row>
    <row r="33" spans="1:92" ht="15.75" thickBot="1" x14ac:dyDescent="0.3">
      <c r="A33" s="495" t="s">
        <v>187</v>
      </c>
      <c r="B33" s="495" t="s">
        <v>188</v>
      </c>
      <c r="C33" s="495" t="s">
        <v>345</v>
      </c>
      <c r="D33" s="495" t="s">
        <v>224</v>
      </c>
      <c r="E33" s="495" t="s">
        <v>191</v>
      </c>
      <c r="F33" s="496" t="s">
        <v>192</v>
      </c>
      <c r="G33" s="495" t="s">
        <v>193</v>
      </c>
      <c r="H33" s="497"/>
      <c r="I33" s="497"/>
      <c r="J33" s="495" t="s">
        <v>277</v>
      </c>
      <c r="K33" s="495" t="s">
        <v>226</v>
      </c>
      <c r="L33" s="495" t="s">
        <v>192</v>
      </c>
      <c r="M33" s="495" t="s">
        <v>197</v>
      </c>
      <c r="N33" s="495" t="s">
        <v>227</v>
      </c>
      <c r="O33" s="498">
        <v>0</v>
      </c>
      <c r="P33" s="504">
        <v>1</v>
      </c>
      <c r="Q33" s="504">
        <v>0</v>
      </c>
      <c r="R33" s="499">
        <v>0</v>
      </c>
      <c r="S33" s="504">
        <v>0</v>
      </c>
      <c r="T33" s="499">
        <v>14524</v>
      </c>
      <c r="U33" s="499">
        <v>0</v>
      </c>
      <c r="V33" s="499">
        <v>8782.3799999999992</v>
      </c>
      <c r="W33" s="499">
        <v>14524</v>
      </c>
      <c r="X33" s="499">
        <v>8782.33</v>
      </c>
      <c r="Y33" s="499">
        <v>14524</v>
      </c>
      <c r="Z33" s="499">
        <v>8782.33</v>
      </c>
      <c r="AA33" s="497"/>
      <c r="AB33" s="495" t="s">
        <v>23</v>
      </c>
      <c r="AC33" s="495" t="s">
        <v>23</v>
      </c>
      <c r="AD33" s="497"/>
      <c r="AE33" s="497"/>
      <c r="AF33" s="497"/>
      <c r="AG33" s="497"/>
      <c r="AH33" s="498">
        <v>0</v>
      </c>
      <c r="AI33" s="498">
        <v>0</v>
      </c>
      <c r="AJ33" s="497"/>
      <c r="AK33" s="497"/>
      <c r="AL33" s="495" t="s">
        <v>207</v>
      </c>
      <c r="AM33" s="497"/>
      <c r="AN33" s="497"/>
      <c r="AO33" s="498">
        <v>0</v>
      </c>
      <c r="AP33" s="504">
        <v>0</v>
      </c>
      <c r="AQ33" s="504">
        <v>0</v>
      </c>
      <c r="AR33" s="503"/>
      <c r="AS33" s="506">
        <f t="shared" si="27"/>
        <v>0</v>
      </c>
      <c r="AT33">
        <f t="shared" si="28"/>
        <v>0</v>
      </c>
      <c r="AU33" s="506" t="str">
        <f>IF(AT33=0,"",IF(AND(AT33=1,M33="F",SUMIF(C2:C177,C33,AS2:AS177)&lt;=1),SUMIF(C2:C177,C33,AS2:AS177),IF(AND(AT33=1,M33="F",SUMIF(C2:C177,C33,AS2:AS177)&gt;1),1,"")))</f>
        <v/>
      </c>
      <c r="AV33" s="506" t="str">
        <f>IF(AT33=0,"",IF(AND(AT33=3,M33="F",SUMIF(C2:C177,C33,AS2:AS177)&lt;=1),SUMIF(C2:C177,C33,AS2:AS177),IF(AND(AT33=3,M33="F",SUMIF(C2:C177,C33,AS2:AS177)&gt;1),1,"")))</f>
        <v/>
      </c>
      <c r="AW33" s="506">
        <f>SUMIF(C2:C177,C33,O2:O177)</f>
        <v>0</v>
      </c>
      <c r="AX33" s="506">
        <f>IF(AND(M33="F",AS33&lt;&gt;0),SUMIF(C2:C177,C33,W2:W177),0)</f>
        <v>0</v>
      </c>
      <c r="AY33" s="506" t="str">
        <f t="shared" si="29"/>
        <v/>
      </c>
      <c r="AZ33" s="506" t="str">
        <f t="shared" si="30"/>
        <v/>
      </c>
      <c r="BA33" s="506">
        <f t="shared" si="31"/>
        <v>0</v>
      </c>
      <c r="BB33" s="506">
        <f t="shared" si="0"/>
        <v>0</v>
      </c>
      <c r="BC33" s="506">
        <f t="shared" si="1"/>
        <v>0</v>
      </c>
      <c r="BD33" s="506">
        <f t="shared" si="2"/>
        <v>0</v>
      </c>
      <c r="BE33" s="506">
        <f t="shared" si="3"/>
        <v>0</v>
      </c>
      <c r="BF33" s="506">
        <f t="shared" si="4"/>
        <v>0</v>
      </c>
      <c r="BG33" s="506">
        <f t="shared" si="5"/>
        <v>0</v>
      </c>
      <c r="BH33" s="506">
        <f t="shared" si="6"/>
        <v>0</v>
      </c>
      <c r="BI33" s="506">
        <f t="shared" si="7"/>
        <v>0</v>
      </c>
      <c r="BJ33" s="506">
        <f t="shared" si="8"/>
        <v>0</v>
      </c>
      <c r="BK33" s="506">
        <f t="shared" si="9"/>
        <v>0</v>
      </c>
      <c r="BL33" s="506">
        <f t="shared" si="32"/>
        <v>0</v>
      </c>
      <c r="BM33" s="506">
        <f t="shared" si="33"/>
        <v>0</v>
      </c>
      <c r="BN33" s="506">
        <f t="shared" si="10"/>
        <v>0</v>
      </c>
      <c r="BO33" s="506">
        <f t="shared" si="11"/>
        <v>0</v>
      </c>
      <c r="BP33" s="506">
        <f t="shared" si="12"/>
        <v>0</v>
      </c>
      <c r="BQ33" s="506">
        <f t="shared" si="13"/>
        <v>0</v>
      </c>
      <c r="BR33" s="506">
        <f t="shared" si="14"/>
        <v>0</v>
      </c>
      <c r="BS33" s="506">
        <f t="shared" si="15"/>
        <v>0</v>
      </c>
      <c r="BT33" s="506">
        <f t="shared" si="16"/>
        <v>0</v>
      </c>
      <c r="BU33" s="506">
        <f t="shared" si="17"/>
        <v>0</v>
      </c>
      <c r="BV33" s="506">
        <f t="shared" si="18"/>
        <v>0</v>
      </c>
      <c r="BW33" s="506">
        <f t="shared" si="19"/>
        <v>0</v>
      </c>
      <c r="BX33" s="506">
        <f t="shared" si="34"/>
        <v>0</v>
      </c>
      <c r="BY33" s="506">
        <f t="shared" si="35"/>
        <v>0</v>
      </c>
      <c r="BZ33" s="506">
        <f t="shared" si="36"/>
        <v>0</v>
      </c>
      <c r="CA33" s="506">
        <f t="shared" si="37"/>
        <v>0</v>
      </c>
      <c r="CB33" s="506">
        <f t="shared" si="38"/>
        <v>0</v>
      </c>
      <c r="CC33" s="506">
        <f t="shared" si="20"/>
        <v>0</v>
      </c>
      <c r="CD33" s="506">
        <f t="shared" si="21"/>
        <v>0</v>
      </c>
      <c r="CE33" s="506">
        <f t="shared" si="22"/>
        <v>0</v>
      </c>
      <c r="CF33" s="506">
        <f t="shared" si="23"/>
        <v>0</v>
      </c>
      <c r="CG33" s="506">
        <f t="shared" si="24"/>
        <v>0</v>
      </c>
      <c r="CH33" s="506">
        <f t="shared" si="25"/>
        <v>0</v>
      </c>
      <c r="CI33" s="506">
        <f t="shared" si="26"/>
        <v>0</v>
      </c>
      <c r="CJ33" s="506">
        <f t="shared" si="39"/>
        <v>0</v>
      </c>
      <c r="CK33" s="506" t="str">
        <f t="shared" si="40"/>
        <v/>
      </c>
      <c r="CL33" s="506">
        <f t="shared" si="41"/>
        <v>14524</v>
      </c>
      <c r="CM33" s="506">
        <f t="shared" si="42"/>
        <v>8782.3799999999992</v>
      </c>
      <c r="CN33" s="506" t="str">
        <f t="shared" si="43"/>
        <v>0290-00</v>
      </c>
    </row>
    <row r="34" spans="1:92" ht="15.75" thickBot="1" x14ac:dyDescent="0.3">
      <c r="A34" s="495" t="s">
        <v>187</v>
      </c>
      <c r="B34" s="495" t="s">
        <v>188</v>
      </c>
      <c r="C34" s="495" t="s">
        <v>346</v>
      </c>
      <c r="D34" s="495" t="s">
        <v>347</v>
      </c>
      <c r="E34" s="495" t="s">
        <v>191</v>
      </c>
      <c r="F34" s="496" t="s">
        <v>192</v>
      </c>
      <c r="G34" s="495" t="s">
        <v>193</v>
      </c>
      <c r="H34" s="497"/>
      <c r="I34" s="497"/>
      <c r="J34" s="495" t="s">
        <v>230</v>
      </c>
      <c r="K34" s="495" t="s">
        <v>348</v>
      </c>
      <c r="L34" s="495" t="s">
        <v>196</v>
      </c>
      <c r="M34" s="495" t="s">
        <v>197</v>
      </c>
      <c r="N34" s="495" t="s">
        <v>198</v>
      </c>
      <c r="O34" s="498">
        <v>1</v>
      </c>
      <c r="P34" s="504">
        <v>1</v>
      </c>
      <c r="Q34" s="504">
        <v>1</v>
      </c>
      <c r="R34" s="499">
        <v>80</v>
      </c>
      <c r="S34" s="504">
        <v>1</v>
      </c>
      <c r="T34" s="499">
        <v>37648.559999999998</v>
      </c>
      <c r="U34" s="499">
        <v>0</v>
      </c>
      <c r="V34" s="499">
        <v>18831.54</v>
      </c>
      <c r="W34" s="499">
        <v>54475.19</v>
      </c>
      <c r="X34" s="499">
        <v>23953.16</v>
      </c>
      <c r="Y34" s="499">
        <v>54475.19</v>
      </c>
      <c r="Z34" s="499">
        <v>23669.91</v>
      </c>
      <c r="AA34" s="495" t="s">
        <v>349</v>
      </c>
      <c r="AB34" s="495" t="s">
        <v>350</v>
      </c>
      <c r="AC34" s="495" t="s">
        <v>351</v>
      </c>
      <c r="AD34" s="495" t="s">
        <v>352</v>
      </c>
      <c r="AE34" s="495" t="s">
        <v>348</v>
      </c>
      <c r="AF34" s="495" t="s">
        <v>203</v>
      </c>
      <c r="AG34" s="495" t="s">
        <v>204</v>
      </c>
      <c r="AH34" s="500">
        <v>26.19</v>
      </c>
      <c r="AI34" s="498">
        <v>8911</v>
      </c>
      <c r="AJ34" s="495" t="s">
        <v>205</v>
      </c>
      <c r="AK34" s="495" t="s">
        <v>206</v>
      </c>
      <c r="AL34" s="495" t="s">
        <v>207</v>
      </c>
      <c r="AM34" s="495" t="s">
        <v>208</v>
      </c>
      <c r="AN34" s="495" t="s">
        <v>92</v>
      </c>
      <c r="AO34" s="498">
        <v>80</v>
      </c>
      <c r="AP34" s="504">
        <v>1</v>
      </c>
      <c r="AQ34" s="504">
        <v>1</v>
      </c>
      <c r="AR34" s="502" t="s">
        <v>209</v>
      </c>
      <c r="AS34" s="506">
        <f t="shared" si="27"/>
        <v>1</v>
      </c>
      <c r="AT34">
        <f t="shared" si="28"/>
        <v>1</v>
      </c>
      <c r="AU34" s="506">
        <f>IF(AT34=0,"",IF(AND(AT34=1,M34="F",SUMIF(C2:C177,C34,AS2:AS177)&lt;=1),SUMIF(C2:C177,C34,AS2:AS177),IF(AND(AT34=1,M34="F",SUMIF(C2:C177,C34,AS2:AS177)&gt;1),1,"")))</f>
        <v>1</v>
      </c>
      <c r="AV34" s="506" t="str">
        <f>IF(AT34=0,"",IF(AND(AT34=3,M34="F",SUMIF(C2:C177,C34,AS2:AS177)&lt;=1),SUMIF(C2:C177,C34,AS2:AS177),IF(AND(AT34=3,M34="F",SUMIF(C2:C177,C34,AS2:AS177)&gt;1),1,"")))</f>
        <v/>
      </c>
      <c r="AW34" s="506">
        <f>SUMIF(C2:C177,C34,O2:O177)</f>
        <v>1</v>
      </c>
      <c r="AX34" s="506">
        <f>IF(AND(M34="F",AS34&lt;&gt;0),SUMIF(C2:C177,C34,W2:W177),0)</f>
        <v>54475.19</v>
      </c>
      <c r="AY34" s="506">
        <f t="shared" si="29"/>
        <v>54475.19</v>
      </c>
      <c r="AZ34" s="506" t="str">
        <f t="shared" si="30"/>
        <v/>
      </c>
      <c r="BA34" s="506">
        <f t="shared" si="31"/>
        <v>0</v>
      </c>
      <c r="BB34" s="506">
        <f t="shared" ref="BB34:BB65" si="44">IF(AND(AT34=1,AK34="E",AU34&gt;=0.75,AW34=1),Health,IF(AND(AT34=1,AK34="E",AU34&gt;=0.75),Health*P34,IF(AND(AT34=1,AK34="E",AU34&gt;=0.5,AW34=1),PTHealth,IF(AND(AT34=1,AK34="E",AU34&gt;=0.5),PTHealth*P34,0))))</f>
        <v>11650</v>
      </c>
      <c r="BC34" s="506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506">
        <f t="shared" ref="BD34:BD65" si="46">IF(AND(AT34&lt;&gt;0,AX34&gt;=MAXSSDI),SSDI*MAXSSDI*P34,IF(AT34&lt;&gt;0,SSDI*W34,0))</f>
        <v>3377.4617800000001</v>
      </c>
      <c r="BE34" s="506">
        <f t="shared" ref="BE34:BE65" si="47">IF(AT34&lt;&gt;0,SSHI*W34,0)</f>
        <v>789.89025500000002</v>
      </c>
      <c r="BF34" s="506">
        <f t="shared" ref="BF34:BF65" si="48">IF(AND(AT34&lt;&gt;0,AN34&lt;&gt;"NE"),VLOOKUP(AN34,Retirement_Rates,3,FALSE)*W34,0)</f>
        <v>6504.3376860000008</v>
      </c>
      <c r="BG34" s="506">
        <f t="shared" ref="BG34:BG65" si="49">IF(AND(AT34&lt;&gt;0,AJ34&lt;&gt;"PF"),Life*W34,0)</f>
        <v>392.76611990000004</v>
      </c>
      <c r="BH34" s="506">
        <f t="shared" ref="BH34:BH65" si="50">IF(AND(AT34&lt;&gt;0,AM34="Y"),UI*W34,0)</f>
        <v>266.92843099999999</v>
      </c>
      <c r="BI34" s="506">
        <f t="shared" ref="BI34:BI65" si="51">IF(AND(AT34&lt;&gt;0,N34&lt;&gt;"NR"),DHR*W34,0)</f>
        <v>301.52017665</v>
      </c>
      <c r="BJ34" s="506">
        <f t="shared" ref="BJ34:BJ65" si="52">IF(AT34&lt;&gt;0,WC*W34,0)</f>
        <v>670.04483700000003</v>
      </c>
      <c r="BK34" s="506">
        <f t="shared" ref="BK34:BK65" si="53">IF(OR(AND(AT34&lt;&gt;0,AJ34&lt;&gt;"PF",AN34&lt;&gt;"NE",AG34&lt;&gt;"A"),AND(AL34="E",OR(AT34=1,AT34=3))),Sick*W34,0)</f>
        <v>0</v>
      </c>
      <c r="BL34" s="506">
        <f t="shared" si="32"/>
        <v>12302.949285549999</v>
      </c>
      <c r="BM34" s="506">
        <f t="shared" si="33"/>
        <v>0</v>
      </c>
      <c r="BN34" s="506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11650</v>
      </c>
      <c r="BO34" s="506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506">
        <f t="shared" ref="BP34:BP65" si="56">IF(AND(AT34&lt;&gt;0,(AX34+BA34)&gt;=MAXSSDIBY),SSDIBY*MAXSSDIBY*P34,IF(AT34&lt;&gt;0,SSDIBY*W34,0))</f>
        <v>3377.4617800000001</v>
      </c>
      <c r="BQ34" s="506">
        <f t="shared" ref="BQ34:BQ65" si="57">IF(AT34&lt;&gt;0,SSHIBY*W34,0)</f>
        <v>789.89025500000002</v>
      </c>
      <c r="BR34" s="506">
        <f t="shared" ref="BR34:BR65" si="58">IF(AND(AT34&lt;&gt;0,AN34&lt;&gt;"NE"),VLOOKUP(AN34,Retirement_Rates,4,FALSE)*W34,0)</f>
        <v>6504.3376860000008</v>
      </c>
      <c r="BS34" s="506">
        <f t="shared" ref="BS34:BS65" si="59">IF(AND(AT34&lt;&gt;0,AJ34&lt;&gt;"PF"),LifeBY*W34,0)</f>
        <v>392.76611990000004</v>
      </c>
      <c r="BT34" s="506">
        <f t="shared" ref="BT34:BT65" si="60">IF(AND(AT34&lt;&gt;0,AM34="Y"),UIBY*W34,0)</f>
        <v>0</v>
      </c>
      <c r="BU34" s="506">
        <f t="shared" ref="BU34:BU65" si="61">IF(AND(AT34&lt;&gt;0,N34&lt;&gt;"NR"),DHRBY*W34,0)</f>
        <v>301.52017665</v>
      </c>
      <c r="BV34" s="506">
        <f t="shared" ref="BV34:BV65" si="62">IF(AT34&lt;&gt;0,WCBY*W34,0)</f>
        <v>653.70228000000009</v>
      </c>
      <c r="BW34" s="506">
        <f t="shared" ref="BW34:BW65" si="63">IF(OR(AND(AT34&lt;&gt;0,AJ34&lt;&gt;"PF",AN34&lt;&gt;"NE",AG34&lt;&gt;"A"),AND(AL34="E",OR(AT34=1,AT34=3))),SickBY*W34,0)</f>
        <v>0</v>
      </c>
      <c r="BX34" s="506">
        <f t="shared" si="34"/>
        <v>12019.678297549999</v>
      </c>
      <c r="BY34" s="506">
        <f t="shared" si="35"/>
        <v>0</v>
      </c>
      <c r="BZ34" s="506">
        <f t="shared" si="36"/>
        <v>0</v>
      </c>
      <c r="CA34" s="506">
        <f t="shared" si="37"/>
        <v>0</v>
      </c>
      <c r="CB34" s="506">
        <f t="shared" si="38"/>
        <v>0</v>
      </c>
      <c r="CC34" s="506">
        <f t="shared" ref="CC34:CC65" si="64">IF(AT34&lt;&gt;0,SSHICHG*Y34,0)</f>
        <v>0</v>
      </c>
      <c r="CD34" s="506">
        <f t="shared" ref="CD34:CD65" si="65">IF(AND(AT34&lt;&gt;0,AN34&lt;&gt;"NE"),VLOOKUP(AN34,Retirement_Rates,5,FALSE)*Y34,0)</f>
        <v>0</v>
      </c>
      <c r="CE34" s="506">
        <f t="shared" ref="CE34:CE65" si="66">IF(AND(AT34&lt;&gt;0,AJ34&lt;&gt;"PF"),LifeCHG*Y34,0)</f>
        <v>0</v>
      </c>
      <c r="CF34" s="506">
        <f t="shared" ref="CF34:CF65" si="67">IF(AND(AT34&lt;&gt;0,AM34="Y"),UICHG*Y34,0)</f>
        <v>-266.92843099999999</v>
      </c>
      <c r="CG34" s="506">
        <f t="shared" ref="CG34:CG65" si="68">IF(AND(AT34&lt;&gt;0,N34&lt;&gt;"NR"),DHRCHG*Y34,0)</f>
        <v>0</v>
      </c>
      <c r="CH34" s="506">
        <f t="shared" ref="CH34:CH65" si="69">IF(AT34&lt;&gt;0,WCCHG*Y34,0)</f>
        <v>-16.342556999999996</v>
      </c>
      <c r="CI34" s="506">
        <f t="shared" ref="CI34:CI65" si="70">IF(OR(AND(AT34&lt;&gt;0,AJ34&lt;&gt;"PF",AN34&lt;&gt;"NE",AG34&lt;&gt;"A"),AND(AL34="E",OR(AT34=1,AT34=3))),SickCHG*Y34,0)</f>
        <v>0</v>
      </c>
      <c r="CJ34" s="506">
        <f t="shared" si="39"/>
        <v>-283.27098799999999</v>
      </c>
      <c r="CK34" s="506" t="str">
        <f t="shared" si="40"/>
        <v/>
      </c>
      <c r="CL34" s="506" t="str">
        <f t="shared" si="41"/>
        <v/>
      </c>
      <c r="CM34" s="506" t="str">
        <f t="shared" si="42"/>
        <v/>
      </c>
      <c r="CN34" s="506" t="str">
        <f t="shared" si="43"/>
        <v>0290-00</v>
      </c>
    </row>
    <row r="35" spans="1:92" ht="15.75" thickBot="1" x14ac:dyDescent="0.3">
      <c r="A35" s="495" t="s">
        <v>187</v>
      </c>
      <c r="B35" s="495" t="s">
        <v>188</v>
      </c>
      <c r="C35" s="495" t="s">
        <v>353</v>
      </c>
      <c r="D35" s="495" t="s">
        <v>265</v>
      </c>
      <c r="E35" s="495" t="s">
        <v>191</v>
      </c>
      <c r="F35" s="496" t="s">
        <v>192</v>
      </c>
      <c r="G35" s="495" t="s">
        <v>193</v>
      </c>
      <c r="H35" s="497"/>
      <c r="I35" s="497"/>
      <c r="J35" s="495" t="s">
        <v>194</v>
      </c>
      <c r="K35" s="495" t="s">
        <v>266</v>
      </c>
      <c r="L35" s="495" t="s">
        <v>232</v>
      </c>
      <c r="M35" s="495" t="s">
        <v>197</v>
      </c>
      <c r="N35" s="495" t="s">
        <v>198</v>
      </c>
      <c r="O35" s="498">
        <v>1</v>
      </c>
      <c r="P35" s="504">
        <v>0.5</v>
      </c>
      <c r="Q35" s="504">
        <v>0.5</v>
      </c>
      <c r="R35" s="499">
        <v>80</v>
      </c>
      <c r="S35" s="504">
        <v>0.5</v>
      </c>
      <c r="T35" s="499">
        <v>27820.68</v>
      </c>
      <c r="U35" s="499">
        <v>0</v>
      </c>
      <c r="V35" s="499">
        <v>12249.19</v>
      </c>
      <c r="W35" s="499">
        <v>26301.599999999999</v>
      </c>
      <c r="X35" s="499">
        <v>11765.19</v>
      </c>
      <c r="Y35" s="499">
        <v>26301.599999999999</v>
      </c>
      <c r="Z35" s="499">
        <v>11628.43</v>
      </c>
      <c r="AA35" s="495" t="s">
        <v>354</v>
      </c>
      <c r="AB35" s="495" t="s">
        <v>355</v>
      </c>
      <c r="AC35" s="495" t="s">
        <v>356</v>
      </c>
      <c r="AD35" s="495" t="s">
        <v>352</v>
      </c>
      <c r="AE35" s="495" t="s">
        <v>266</v>
      </c>
      <c r="AF35" s="495" t="s">
        <v>237</v>
      </c>
      <c r="AG35" s="495" t="s">
        <v>204</v>
      </c>
      <c r="AH35" s="500">
        <v>25.29</v>
      </c>
      <c r="AI35" s="500">
        <v>30453.7</v>
      </c>
      <c r="AJ35" s="495" t="s">
        <v>205</v>
      </c>
      <c r="AK35" s="495" t="s">
        <v>206</v>
      </c>
      <c r="AL35" s="495" t="s">
        <v>207</v>
      </c>
      <c r="AM35" s="495" t="s">
        <v>208</v>
      </c>
      <c r="AN35" s="495" t="s">
        <v>92</v>
      </c>
      <c r="AO35" s="498">
        <v>80</v>
      </c>
      <c r="AP35" s="504">
        <v>1</v>
      </c>
      <c r="AQ35" s="504">
        <v>0.5</v>
      </c>
      <c r="AR35" s="502" t="s">
        <v>209</v>
      </c>
      <c r="AS35" s="506">
        <f t="shared" si="27"/>
        <v>0.5</v>
      </c>
      <c r="AT35">
        <f t="shared" si="28"/>
        <v>1</v>
      </c>
      <c r="AU35" s="506">
        <f>IF(AT35=0,"",IF(AND(AT35=1,M35="F",SUMIF(C2:C177,C35,AS2:AS177)&lt;=1),SUMIF(C2:C177,C35,AS2:AS177),IF(AND(AT35=1,M35="F",SUMIF(C2:C177,C35,AS2:AS177)&gt;1),1,"")))</f>
        <v>1</v>
      </c>
      <c r="AV35" s="506" t="str">
        <f>IF(AT35=0,"",IF(AND(AT35=3,M35="F",SUMIF(C2:C177,C35,AS2:AS177)&lt;=1),SUMIF(C2:C177,C35,AS2:AS177),IF(AND(AT35=3,M35="F",SUMIF(C2:C177,C35,AS2:AS177)&gt;1),1,"")))</f>
        <v/>
      </c>
      <c r="AW35" s="506">
        <f>SUMIF(C2:C177,C35,O2:O177)</f>
        <v>2</v>
      </c>
      <c r="AX35" s="506">
        <f>IF(AND(M35="F",AS35&lt;&gt;0),SUMIF(C2:C177,C35,W2:W177),0)</f>
        <v>52603.199999999997</v>
      </c>
      <c r="AY35" s="506">
        <f t="shared" si="29"/>
        <v>26301.599999999999</v>
      </c>
      <c r="AZ35" s="506" t="str">
        <f t="shared" si="30"/>
        <v/>
      </c>
      <c r="BA35" s="506">
        <f t="shared" si="31"/>
        <v>0</v>
      </c>
      <c r="BB35" s="506">
        <f t="shared" si="44"/>
        <v>5825</v>
      </c>
      <c r="BC35" s="506">
        <f t="shared" si="45"/>
        <v>0</v>
      </c>
      <c r="BD35" s="506">
        <f t="shared" si="46"/>
        <v>1630.6991999999998</v>
      </c>
      <c r="BE35" s="506">
        <f t="shared" si="47"/>
        <v>381.3732</v>
      </c>
      <c r="BF35" s="506">
        <f t="shared" si="48"/>
        <v>3140.41104</v>
      </c>
      <c r="BG35" s="506">
        <f t="shared" si="49"/>
        <v>189.634536</v>
      </c>
      <c r="BH35" s="506">
        <f t="shared" si="50"/>
        <v>128.87783999999999</v>
      </c>
      <c r="BI35" s="506">
        <f t="shared" si="51"/>
        <v>145.57935599999999</v>
      </c>
      <c r="BJ35" s="506">
        <f t="shared" si="52"/>
        <v>323.50968</v>
      </c>
      <c r="BK35" s="506">
        <f t="shared" si="53"/>
        <v>0</v>
      </c>
      <c r="BL35" s="506">
        <f t="shared" si="32"/>
        <v>5940.084852</v>
      </c>
      <c r="BM35" s="506">
        <f t="shared" si="33"/>
        <v>0</v>
      </c>
      <c r="BN35" s="506">
        <f t="shared" si="54"/>
        <v>5825</v>
      </c>
      <c r="BO35" s="506">
        <f t="shared" si="55"/>
        <v>0</v>
      </c>
      <c r="BP35" s="506">
        <f t="shared" si="56"/>
        <v>1630.6991999999998</v>
      </c>
      <c r="BQ35" s="506">
        <f t="shared" si="57"/>
        <v>381.3732</v>
      </c>
      <c r="BR35" s="506">
        <f t="shared" si="58"/>
        <v>3140.41104</v>
      </c>
      <c r="BS35" s="506">
        <f t="shared" si="59"/>
        <v>189.634536</v>
      </c>
      <c r="BT35" s="506">
        <f t="shared" si="60"/>
        <v>0</v>
      </c>
      <c r="BU35" s="506">
        <f t="shared" si="61"/>
        <v>145.57935599999999</v>
      </c>
      <c r="BV35" s="506">
        <f t="shared" si="62"/>
        <v>315.61919999999998</v>
      </c>
      <c r="BW35" s="506">
        <f t="shared" si="63"/>
        <v>0</v>
      </c>
      <c r="BX35" s="506">
        <f t="shared" si="34"/>
        <v>5803.3165319999998</v>
      </c>
      <c r="BY35" s="506">
        <f t="shared" si="35"/>
        <v>0</v>
      </c>
      <c r="BZ35" s="506">
        <f t="shared" si="36"/>
        <v>0</v>
      </c>
      <c r="CA35" s="506">
        <f t="shared" si="37"/>
        <v>0</v>
      </c>
      <c r="CB35" s="506">
        <f t="shared" si="38"/>
        <v>0</v>
      </c>
      <c r="CC35" s="506">
        <f t="shared" si="64"/>
        <v>0</v>
      </c>
      <c r="CD35" s="506">
        <f t="shared" si="65"/>
        <v>0</v>
      </c>
      <c r="CE35" s="506">
        <f t="shared" si="66"/>
        <v>0</v>
      </c>
      <c r="CF35" s="506">
        <f t="shared" si="67"/>
        <v>-128.87783999999999</v>
      </c>
      <c r="CG35" s="506">
        <f t="shared" si="68"/>
        <v>0</v>
      </c>
      <c r="CH35" s="506">
        <f t="shared" si="69"/>
        <v>-7.8904799999999975</v>
      </c>
      <c r="CI35" s="506">
        <f t="shared" si="70"/>
        <v>0</v>
      </c>
      <c r="CJ35" s="506">
        <f t="shared" si="39"/>
        <v>-136.76831999999999</v>
      </c>
      <c r="CK35" s="506" t="str">
        <f t="shared" si="40"/>
        <v/>
      </c>
      <c r="CL35" s="506" t="str">
        <f t="shared" si="41"/>
        <v/>
      </c>
      <c r="CM35" s="506" t="str">
        <f t="shared" si="42"/>
        <v/>
      </c>
      <c r="CN35" s="506" t="str">
        <f t="shared" si="43"/>
        <v>0290-00</v>
      </c>
    </row>
    <row r="36" spans="1:92" ht="15.75" thickBot="1" x14ac:dyDescent="0.3">
      <c r="A36" s="495" t="s">
        <v>187</v>
      </c>
      <c r="B36" s="495" t="s">
        <v>188</v>
      </c>
      <c r="C36" s="495" t="s">
        <v>357</v>
      </c>
      <c r="D36" s="495" t="s">
        <v>245</v>
      </c>
      <c r="E36" s="495" t="s">
        <v>191</v>
      </c>
      <c r="F36" s="496" t="s">
        <v>192</v>
      </c>
      <c r="G36" s="495" t="s">
        <v>193</v>
      </c>
      <c r="H36" s="497"/>
      <c r="I36" s="497"/>
      <c r="J36" s="495" t="s">
        <v>358</v>
      </c>
      <c r="K36" s="495" t="s">
        <v>246</v>
      </c>
      <c r="L36" s="495" t="s">
        <v>207</v>
      </c>
      <c r="M36" s="495" t="s">
        <v>292</v>
      </c>
      <c r="N36" s="495" t="s">
        <v>198</v>
      </c>
      <c r="O36" s="498">
        <v>0</v>
      </c>
      <c r="P36" s="504">
        <v>0</v>
      </c>
      <c r="Q36" s="504">
        <v>0</v>
      </c>
      <c r="R36" s="499">
        <v>80</v>
      </c>
      <c r="S36" s="504">
        <v>0</v>
      </c>
      <c r="T36" s="499">
        <v>9371.61</v>
      </c>
      <c r="U36" s="499">
        <v>42.49</v>
      </c>
      <c r="V36" s="499">
        <v>1351.25</v>
      </c>
      <c r="W36" s="499">
        <v>0</v>
      </c>
      <c r="X36" s="499">
        <v>0</v>
      </c>
      <c r="Y36" s="499">
        <v>0</v>
      </c>
      <c r="Z36" s="499">
        <v>0</v>
      </c>
      <c r="AA36" s="497"/>
      <c r="AB36" s="495" t="s">
        <v>23</v>
      </c>
      <c r="AC36" s="495" t="s">
        <v>23</v>
      </c>
      <c r="AD36" s="497"/>
      <c r="AE36" s="497"/>
      <c r="AF36" s="497"/>
      <c r="AG36" s="497"/>
      <c r="AH36" s="498">
        <v>0</v>
      </c>
      <c r="AI36" s="498">
        <v>0</v>
      </c>
      <c r="AJ36" s="497"/>
      <c r="AK36" s="497"/>
      <c r="AL36" s="495" t="s">
        <v>207</v>
      </c>
      <c r="AM36" s="497"/>
      <c r="AN36" s="497"/>
      <c r="AO36" s="498">
        <v>0</v>
      </c>
      <c r="AP36" s="504">
        <v>0</v>
      </c>
      <c r="AQ36" s="504">
        <v>0</v>
      </c>
      <c r="AR36" s="503"/>
      <c r="AS36" s="506">
        <f t="shared" si="27"/>
        <v>0</v>
      </c>
      <c r="AT36">
        <f t="shared" si="28"/>
        <v>0</v>
      </c>
      <c r="AU36" s="506" t="str">
        <f>IF(AT36=0,"",IF(AND(AT36=1,M36="F",SUMIF(C2:C177,C36,AS2:AS177)&lt;=1),SUMIF(C2:C177,C36,AS2:AS177),IF(AND(AT36=1,M36="F",SUMIF(C2:C177,C36,AS2:AS177)&gt;1),1,"")))</f>
        <v/>
      </c>
      <c r="AV36" s="506" t="str">
        <f>IF(AT36=0,"",IF(AND(AT36=3,M36="F",SUMIF(C2:C177,C36,AS2:AS177)&lt;=1),SUMIF(C2:C177,C36,AS2:AS177),IF(AND(AT36=3,M36="F",SUMIF(C2:C177,C36,AS2:AS177)&gt;1),1,"")))</f>
        <v/>
      </c>
      <c r="AW36" s="506">
        <f>SUMIF(C2:C177,C36,O2:O177)</f>
        <v>0</v>
      </c>
      <c r="AX36" s="506">
        <f>IF(AND(M36="F",AS36&lt;&gt;0),SUMIF(C2:C177,C36,W2:W177),0)</f>
        <v>0</v>
      </c>
      <c r="AY36" s="506" t="str">
        <f t="shared" si="29"/>
        <v/>
      </c>
      <c r="AZ36" s="506" t="str">
        <f t="shared" si="30"/>
        <v/>
      </c>
      <c r="BA36" s="506">
        <f t="shared" si="31"/>
        <v>0</v>
      </c>
      <c r="BB36" s="506">
        <f t="shared" si="44"/>
        <v>0</v>
      </c>
      <c r="BC36" s="506">
        <f t="shared" si="45"/>
        <v>0</v>
      </c>
      <c r="BD36" s="506">
        <f t="shared" si="46"/>
        <v>0</v>
      </c>
      <c r="BE36" s="506">
        <f t="shared" si="47"/>
        <v>0</v>
      </c>
      <c r="BF36" s="506">
        <f t="shared" si="48"/>
        <v>0</v>
      </c>
      <c r="BG36" s="506">
        <f t="shared" si="49"/>
        <v>0</v>
      </c>
      <c r="BH36" s="506">
        <f t="shared" si="50"/>
        <v>0</v>
      </c>
      <c r="BI36" s="506">
        <f t="shared" si="51"/>
        <v>0</v>
      </c>
      <c r="BJ36" s="506">
        <f t="shared" si="52"/>
        <v>0</v>
      </c>
      <c r="BK36" s="506">
        <f t="shared" si="53"/>
        <v>0</v>
      </c>
      <c r="BL36" s="506">
        <f t="shared" si="32"/>
        <v>0</v>
      </c>
      <c r="BM36" s="506">
        <f t="shared" si="33"/>
        <v>0</v>
      </c>
      <c r="BN36" s="506">
        <f t="shared" si="54"/>
        <v>0</v>
      </c>
      <c r="BO36" s="506">
        <f t="shared" si="55"/>
        <v>0</v>
      </c>
      <c r="BP36" s="506">
        <f t="shared" si="56"/>
        <v>0</v>
      </c>
      <c r="BQ36" s="506">
        <f t="shared" si="57"/>
        <v>0</v>
      </c>
      <c r="BR36" s="506">
        <f t="shared" si="58"/>
        <v>0</v>
      </c>
      <c r="BS36" s="506">
        <f t="shared" si="59"/>
        <v>0</v>
      </c>
      <c r="BT36" s="506">
        <f t="shared" si="60"/>
        <v>0</v>
      </c>
      <c r="BU36" s="506">
        <f t="shared" si="61"/>
        <v>0</v>
      </c>
      <c r="BV36" s="506">
        <f t="shared" si="62"/>
        <v>0</v>
      </c>
      <c r="BW36" s="506">
        <f t="shared" si="63"/>
        <v>0</v>
      </c>
      <c r="BX36" s="506">
        <f t="shared" si="34"/>
        <v>0</v>
      </c>
      <c r="BY36" s="506">
        <f t="shared" si="35"/>
        <v>0</v>
      </c>
      <c r="BZ36" s="506">
        <f t="shared" si="36"/>
        <v>0</v>
      </c>
      <c r="CA36" s="506">
        <f t="shared" si="37"/>
        <v>0</v>
      </c>
      <c r="CB36" s="506">
        <f t="shared" si="38"/>
        <v>0</v>
      </c>
      <c r="CC36" s="506">
        <f t="shared" si="64"/>
        <v>0</v>
      </c>
      <c r="CD36" s="506">
        <f t="shared" si="65"/>
        <v>0</v>
      </c>
      <c r="CE36" s="506">
        <f t="shared" si="66"/>
        <v>0</v>
      </c>
      <c r="CF36" s="506">
        <f t="shared" si="67"/>
        <v>0</v>
      </c>
      <c r="CG36" s="506">
        <f t="shared" si="68"/>
        <v>0</v>
      </c>
      <c r="CH36" s="506">
        <f t="shared" si="69"/>
        <v>0</v>
      </c>
      <c r="CI36" s="506">
        <f t="shared" si="70"/>
        <v>0</v>
      </c>
      <c r="CJ36" s="506">
        <f t="shared" si="39"/>
        <v>0</v>
      </c>
      <c r="CK36" s="506" t="str">
        <f t="shared" si="40"/>
        <v/>
      </c>
      <c r="CL36" s="506" t="str">
        <f t="shared" si="41"/>
        <v/>
      </c>
      <c r="CM36" s="506" t="str">
        <f t="shared" si="42"/>
        <v/>
      </c>
      <c r="CN36" s="506" t="str">
        <f t="shared" si="43"/>
        <v>0290-00</v>
      </c>
    </row>
    <row r="37" spans="1:92" ht="15.75" thickBot="1" x14ac:dyDescent="0.3">
      <c r="A37" s="495" t="s">
        <v>187</v>
      </c>
      <c r="B37" s="495" t="s">
        <v>188</v>
      </c>
      <c r="C37" s="495" t="s">
        <v>359</v>
      </c>
      <c r="D37" s="495" t="s">
        <v>360</v>
      </c>
      <c r="E37" s="495" t="s">
        <v>191</v>
      </c>
      <c r="F37" s="496" t="s">
        <v>192</v>
      </c>
      <c r="G37" s="495" t="s">
        <v>193</v>
      </c>
      <c r="H37" s="497"/>
      <c r="I37" s="497"/>
      <c r="J37" s="495" t="s">
        <v>216</v>
      </c>
      <c r="K37" s="495" t="s">
        <v>361</v>
      </c>
      <c r="L37" s="495" t="s">
        <v>286</v>
      </c>
      <c r="M37" s="495" t="s">
        <v>197</v>
      </c>
      <c r="N37" s="495" t="s">
        <v>198</v>
      </c>
      <c r="O37" s="498">
        <v>1</v>
      </c>
      <c r="P37" s="504">
        <v>1</v>
      </c>
      <c r="Q37" s="504">
        <v>1</v>
      </c>
      <c r="R37" s="499">
        <v>80</v>
      </c>
      <c r="S37" s="504">
        <v>1</v>
      </c>
      <c r="T37" s="499">
        <v>28755.03</v>
      </c>
      <c r="U37" s="499">
        <v>1983.38</v>
      </c>
      <c r="V37" s="499">
        <v>14713.72</v>
      </c>
      <c r="W37" s="499">
        <v>37814.400000000001</v>
      </c>
      <c r="X37" s="499">
        <v>20190.310000000001</v>
      </c>
      <c r="Y37" s="499">
        <v>37814.400000000001</v>
      </c>
      <c r="Z37" s="499">
        <v>19993.68</v>
      </c>
      <c r="AA37" s="495" t="s">
        <v>362</v>
      </c>
      <c r="AB37" s="495" t="s">
        <v>363</v>
      </c>
      <c r="AC37" s="495" t="s">
        <v>364</v>
      </c>
      <c r="AD37" s="495" t="s">
        <v>204</v>
      </c>
      <c r="AE37" s="495" t="s">
        <v>361</v>
      </c>
      <c r="AF37" s="495" t="s">
        <v>290</v>
      </c>
      <c r="AG37" s="495" t="s">
        <v>204</v>
      </c>
      <c r="AH37" s="500">
        <v>18.18</v>
      </c>
      <c r="AI37" s="500">
        <v>9499.7000000000007</v>
      </c>
      <c r="AJ37" s="495" t="s">
        <v>205</v>
      </c>
      <c r="AK37" s="495" t="s">
        <v>206</v>
      </c>
      <c r="AL37" s="495" t="s">
        <v>207</v>
      </c>
      <c r="AM37" s="495" t="s">
        <v>208</v>
      </c>
      <c r="AN37" s="495" t="s">
        <v>92</v>
      </c>
      <c r="AO37" s="498">
        <v>80</v>
      </c>
      <c r="AP37" s="504">
        <v>1</v>
      </c>
      <c r="AQ37" s="504">
        <v>1</v>
      </c>
      <c r="AR37" s="502" t="s">
        <v>209</v>
      </c>
      <c r="AS37" s="506">
        <f t="shared" si="27"/>
        <v>1</v>
      </c>
      <c r="AT37">
        <f t="shared" si="28"/>
        <v>1</v>
      </c>
      <c r="AU37" s="506">
        <f>IF(AT37=0,"",IF(AND(AT37=1,M37="F",SUMIF(C2:C177,C37,AS2:AS177)&lt;=1),SUMIF(C2:C177,C37,AS2:AS177),IF(AND(AT37=1,M37="F",SUMIF(C2:C177,C37,AS2:AS177)&gt;1),1,"")))</f>
        <v>1</v>
      </c>
      <c r="AV37" s="506" t="str">
        <f>IF(AT37=0,"",IF(AND(AT37=3,M37="F",SUMIF(C2:C177,C37,AS2:AS177)&lt;=1),SUMIF(C2:C177,C37,AS2:AS177),IF(AND(AT37=3,M37="F",SUMIF(C2:C177,C37,AS2:AS177)&gt;1),1,"")))</f>
        <v/>
      </c>
      <c r="AW37" s="506">
        <f>SUMIF(C2:C177,C37,O2:O177)</f>
        <v>1</v>
      </c>
      <c r="AX37" s="506">
        <f>IF(AND(M37="F",AS37&lt;&gt;0),SUMIF(C2:C177,C37,W2:W177),0)</f>
        <v>37814.400000000001</v>
      </c>
      <c r="AY37" s="506">
        <f t="shared" si="29"/>
        <v>37814.400000000001</v>
      </c>
      <c r="AZ37" s="506" t="str">
        <f t="shared" si="30"/>
        <v/>
      </c>
      <c r="BA37" s="506">
        <f t="shared" si="31"/>
        <v>0</v>
      </c>
      <c r="BB37" s="506">
        <f t="shared" si="44"/>
        <v>11650</v>
      </c>
      <c r="BC37" s="506">
        <f t="shared" si="45"/>
        <v>0</v>
      </c>
      <c r="BD37" s="506">
        <f t="shared" si="46"/>
        <v>2344.4928</v>
      </c>
      <c r="BE37" s="506">
        <f t="shared" si="47"/>
        <v>548.30880000000002</v>
      </c>
      <c r="BF37" s="506">
        <f t="shared" si="48"/>
        <v>4515.0393600000007</v>
      </c>
      <c r="BG37" s="506">
        <f t="shared" si="49"/>
        <v>272.64182400000004</v>
      </c>
      <c r="BH37" s="506">
        <f t="shared" si="50"/>
        <v>185.29056</v>
      </c>
      <c r="BI37" s="506">
        <f t="shared" si="51"/>
        <v>209.30270400000001</v>
      </c>
      <c r="BJ37" s="506">
        <f t="shared" si="52"/>
        <v>465.11712</v>
      </c>
      <c r="BK37" s="506">
        <f t="shared" si="53"/>
        <v>0</v>
      </c>
      <c r="BL37" s="506">
        <f t="shared" si="32"/>
        <v>8540.1931680000016</v>
      </c>
      <c r="BM37" s="506">
        <f t="shared" si="33"/>
        <v>0</v>
      </c>
      <c r="BN37" s="506">
        <f t="shared" si="54"/>
        <v>11650</v>
      </c>
      <c r="BO37" s="506">
        <f t="shared" si="55"/>
        <v>0</v>
      </c>
      <c r="BP37" s="506">
        <f t="shared" si="56"/>
        <v>2344.4928</v>
      </c>
      <c r="BQ37" s="506">
        <f t="shared" si="57"/>
        <v>548.30880000000002</v>
      </c>
      <c r="BR37" s="506">
        <f t="shared" si="58"/>
        <v>4515.0393600000007</v>
      </c>
      <c r="BS37" s="506">
        <f t="shared" si="59"/>
        <v>272.64182400000004</v>
      </c>
      <c r="BT37" s="506">
        <f t="shared" si="60"/>
        <v>0</v>
      </c>
      <c r="BU37" s="506">
        <f t="shared" si="61"/>
        <v>209.30270400000001</v>
      </c>
      <c r="BV37" s="506">
        <f t="shared" si="62"/>
        <v>453.77280000000002</v>
      </c>
      <c r="BW37" s="506">
        <f t="shared" si="63"/>
        <v>0</v>
      </c>
      <c r="BX37" s="506">
        <f t="shared" si="34"/>
        <v>8343.5582880000002</v>
      </c>
      <c r="BY37" s="506">
        <f t="shared" si="35"/>
        <v>0</v>
      </c>
      <c r="BZ37" s="506">
        <f t="shared" si="36"/>
        <v>0</v>
      </c>
      <c r="CA37" s="506">
        <f t="shared" si="37"/>
        <v>0</v>
      </c>
      <c r="CB37" s="506">
        <f t="shared" si="38"/>
        <v>0</v>
      </c>
      <c r="CC37" s="506">
        <f t="shared" si="64"/>
        <v>0</v>
      </c>
      <c r="CD37" s="506">
        <f t="shared" si="65"/>
        <v>0</v>
      </c>
      <c r="CE37" s="506">
        <f t="shared" si="66"/>
        <v>0</v>
      </c>
      <c r="CF37" s="506">
        <f t="shared" si="67"/>
        <v>-185.29056</v>
      </c>
      <c r="CG37" s="506">
        <f t="shared" si="68"/>
        <v>0</v>
      </c>
      <c r="CH37" s="506">
        <f t="shared" si="69"/>
        <v>-11.344319999999998</v>
      </c>
      <c r="CI37" s="506">
        <f t="shared" si="70"/>
        <v>0</v>
      </c>
      <c r="CJ37" s="506">
        <f t="shared" si="39"/>
        <v>-196.63488000000001</v>
      </c>
      <c r="CK37" s="506" t="str">
        <f t="shared" si="40"/>
        <v/>
      </c>
      <c r="CL37" s="506" t="str">
        <f t="shared" si="41"/>
        <v/>
      </c>
      <c r="CM37" s="506" t="str">
        <f t="shared" si="42"/>
        <v/>
      </c>
      <c r="CN37" s="506" t="str">
        <f t="shared" si="43"/>
        <v>0290-00</v>
      </c>
    </row>
    <row r="38" spans="1:92" ht="15.75" thickBot="1" x14ac:dyDescent="0.3">
      <c r="A38" s="495" t="s">
        <v>187</v>
      </c>
      <c r="B38" s="495" t="s">
        <v>188</v>
      </c>
      <c r="C38" s="495" t="s">
        <v>365</v>
      </c>
      <c r="D38" s="495" t="s">
        <v>366</v>
      </c>
      <c r="E38" s="495" t="s">
        <v>191</v>
      </c>
      <c r="F38" s="496" t="s">
        <v>192</v>
      </c>
      <c r="G38" s="495" t="s">
        <v>193</v>
      </c>
      <c r="H38" s="497"/>
      <c r="I38" s="497"/>
      <c r="J38" s="495" t="s">
        <v>248</v>
      </c>
      <c r="K38" s="495" t="s">
        <v>367</v>
      </c>
      <c r="L38" s="495" t="s">
        <v>286</v>
      </c>
      <c r="M38" s="495" t="s">
        <v>197</v>
      </c>
      <c r="N38" s="495" t="s">
        <v>227</v>
      </c>
      <c r="O38" s="498">
        <v>0</v>
      </c>
      <c r="P38" s="504">
        <v>1</v>
      </c>
      <c r="Q38" s="504">
        <v>0</v>
      </c>
      <c r="R38" s="499">
        <v>0</v>
      </c>
      <c r="S38" s="504">
        <v>0</v>
      </c>
      <c r="T38" s="499">
        <v>21717.38</v>
      </c>
      <c r="U38" s="499">
        <v>781.35</v>
      </c>
      <c r="V38" s="499">
        <v>12397.51</v>
      </c>
      <c r="W38" s="499">
        <v>22498.720000000001</v>
      </c>
      <c r="X38" s="499">
        <v>12397.49</v>
      </c>
      <c r="Y38" s="499">
        <v>22498.720000000001</v>
      </c>
      <c r="Z38" s="499">
        <v>12397.49</v>
      </c>
      <c r="AA38" s="497"/>
      <c r="AB38" s="495" t="s">
        <v>23</v>
      </c>
      <c r="AC38" s="495" t="s">
        <v>23</v>
      </c>
      <c r="AD38" s="497"/>
      <c r="AE38" s="497"/>
      <c r="AF38" s="497"/>
      <c r="AG38" s="497"/>
      <c r="AH38" s="498">
        <v>0</v>
      </c>
      <c r="AI38" s="498">
        <v>0</v>
      </c>
      <c r="AJ38" s="497"/>
      <c r="AK38" s="497"/>
      <c r="AL38" s="495" t="s">
        <v>207</v>
      </c>
      <c r="AM38" s="497"/>
      <c r="AN38" s="497"/>
      <c r="AO38" s="498">
        <v>0</v>
      </c>
      <c r="AP38" s="504">
        <v>0</v>
      </c>
      <c r="AQ38" s="504">
        <v>0</v>
      </c>
      <c r="AR38" s="503"/>
      <c r="AS38" s="506">
        <f t="shared" si="27"/>
        <v>0</v>
      </c>
      <c r="AT38">
        <f t="shared" si="28"/>
        <v>0</v>
      </c>
      <c r="AU38" s="506" t="str">
        <f>IF(AT38=0,"",IF(AND(AT38=1,M38="F",SUMIF(C2:C177,C38,AS2:AS177)&lt;=1),SUMIF(C2:C177,C38,AS2:AS177),IF(AND(AT38=1,M38="F",SUMIF(C2:C177,C38,AS2:AS177)&gt;1),1,"")))</f>
        <v/>
      </c>
      <c r="AV38" s="506" t="str">
        <f>IF(AT38=0,"",IF(AND(AT38=3,M38="F",SUMIF(C2:C177,C38,AS2:AS177)&lt;=1),SUMIF(C2:C177,C38,AS2:AS177),IF(AND(AT38=3,M38="F",SUMIF(C2:C177,C38,AS2:AS177)&gt;1),1,"")))</f>
        <v/>
      </c>
      <c r="AW38" s="506">
        <f>SUMIF(C2:C177,C38,O2:O177)</f>
        <v>0</v>
      </c>
      <c r="AX38" s="506">
        <f>IF(AND(M38="F",AS38&lt;&gt;0),SUMIF(C2:C177,C38,W2:W177),0)</f>
        <v>0</v>
      </c>
      <c r="AY38" s="506" t="str">
        <f t="shared" si="29"/>
        <v/>
      </c>
      <c r="AZ38" s="506" t="str">
        <f t="shared" si="30"/>
        <v/>
      </c>
      <c r="BA38" s="506">
        <f t="shared" si="31"/>
        <v>0</v>
      </c>
      <c r="BB38" s="506">
        <f t="shared" si="44"/>
        <v>0</v>
      </c>
      <c r="BC38" s="506">
        <f t="shared" si="45"/>
        <v>0</v>
      </c>
      <c r="BD38" s="506">
        <f t="shared" si="46"/>
        <v>0</v>
      </c>
      <c r="BE38" s="506">
        <f t="shared" si="47"/>
        <v>0</v>
      </c>
      <c r="BF38" s="506">
        <f t="shared" si="48"/>
        <v>0</v>
      </c>
      <c r="BG38" s="506">
        <f t="shared" si="49"/>
        <v>0</v>
      </c>
      <c r="BH38" s="506">
        <f t="shared" si="50"/>
        <v>0</v>
      </c>
      <c r="BI38" s="506">
        <f t="shared" si="51"/>
        <v>0</v>
      </c>
      <c r="BJ38" s="506">
        <f t="shared" si="52"/>
        <v>0</v>
      </c>
      <c r="BK38" s="506">
        <f t="shared" si="53"/>
        <v>0</v>
      </c>
      <c r="BL38" s="506">
        <f t="shared" si="32"/>
        <v>0</v>
      </c>
      <c r="BM38" s="506">
        <f t="shared" si="33"/>
        <v>0</v>
      </c>
      <c r="BN38" s="506">
        <f t="shared" si="54"/>
        <v>0</v>
      </c>
      <c r="BO38" s="506">
        <f t="shared" si="55"/>
        <v>0</v>
      </c>
      <c r="BP38" s="506">
        <f t="shared" si="56"/>
        <v>0</v>
      </c>
      <c r="BQ38" s="506">
        <f t="shared" si="57"/>
        <v>0</v>
      </c>
      <c r="BR38" s="506">
        <f t="shared" si="58"/>
        <v>0</v>
      </c>
      <c r="BS38" s="506">
        <f t="shared" si="59"/>
        <v>0</v>
      </c>
      <c r="BT38" s="506">
        <f t="shared" si="60"/>
        <v>0</v>
      </c>
      <c r="BU38" s="506">
        <f t="shared" si="61"/>
        <v>0</v>
      </c>
      <c r="BV38" s="506">
        <f t="shared" si="62"/>
        <v>0</v>
      </c>
      <c r="BW38" s="506">
        <f t="shared" si="63"/>
        <v>0</v>
      </c>
      <c r="BX38" s="506">
        <f t="shared" si="34"/>
        <v>0</v>
      </c>
      <c r="BY38" s="506">
        <f t="shared" si="35"/>
        <v>0</v>
      </c>
      <c r="BZ38" s="506">
        <f t="shared" si="36"/>
        <v>0</v>
      </c>
      <c r="CA38" s="506">
        <f t="shared" si="37"/>
        <v>0</v>
      </c>
      <c r="CB38" s="506">
        <f t="shared" si="38"/>
        <v>0</v>
      </c>
      <c r="CC38" s="506">
        <f t="shared" si="64"/>
        <v>0</v>
      </c>
      <c r="CD38" s="506">
        <f t="shared" si="65"/>
        <v>0</v>
      </c>
      <c r="CE38" s="506">
        <f t="shared" si="66"/>
        <v>0</v>
      </c>
      <c r="CF38" s="506">
        <f t="shared" si="67"/>
        <v>0</v>
      </c>
      <c r="CG38" s="506">
        <f t="shared" si="68"/>
        <v>0</v>
      </c>
      <c r="CH38" s="506">
        <f t="shared" si="69"/>
        <v>0</v>
      </c>
      <c r="CI38" s="506">
        <f t="shared" si="70"/>
        <v>0</v>
      </c>
      <c r="CJ38" s="506">
        <f t="shared" si="39"/>
        <v>0</v>
      </c>
      <c r="CK38" s="506" t="str">
        <f t="shared" si="40"/>
        <v/>
      </c>
      <c r="CL38" s="506">
        <f t="shared" si="41"/>
        <v>22498.73</v>
      </c>
      <c r="CM38" s="506">
        <f t="shared" si="42"/>
        <v>12397.51</v>
      </c>
      <c r="CN38" s="506" t="str">
        <f t="shared" si="43"/>
        <v>0290-00</v>
      </c>
    </row>
    <row r="39" spans="1:92" ht="15.75" thickBot="1" x14ac:dyDescent="0.3">
      <c r="A39" s="495" t="s">
        <v>187</v>
      </c>
      <c r="B39" s="495" t="s">
        <v>188</v>
      </c>
      <c r="C39" s="495" t="s">
        <v>368</v>
      </c>
      <c r="D39" s="495" t="s">
        <v>229</v>
      </c>
      <c r="E39" s="495" t="s">
        <v>191</v>
      </c>
      <c r="F39" s="496" t="s">
        <v>192</v>
      </c>
      <c r="G39" s="495" t="s">
        <v>193</v>
      </c>
      <c r="H39" s="497"/>
      <c r="I39" s="497"/>
      <c r="J39" s="495" t="s">
        <v>230</v>
      </c>
      <c r="K39" s="495" t="s">
        <v>231</v>
      </c>
      <c r="L39" s="495" t="s">
        <v>232</v>
      </c>
      <c r="M39" s="495" t="s">
        <v>197</v>
      </c>
      <c r="N39" s="495" t="s">
        <v>198</v>
      </c>
      <c r="O39" s="498">
        <v>1</v>
      </c>
      <c r="P39" s="504">
        <v>1</v>
      </c>
      <c r="Q39" s="504">
        <v>1</v>
      </c>
      <c r="R39" s="499">
        <v>80</v>
      </c>
      <c r="S39" s="504">
        <v>1</v>
      </c>
      <c r="T39" s="499">
        <v>49800.800000000003</v>
      </c>
      <c r="U39" s="499">
        <v>0</v>
      </c>
      <c r="V39" s="499">
        <v>22423.8</v>
      </c>
      <c r="W39" s="499">
        <v>52020.78</v>
      </c>
      <c r="X39" s="499">
        <v>23398.83</v>
      </c>
      <c r="Y39" s="499">
        <v>52020.78</v>
      </c>
      <c r="Z39" s="499">
        <v>23128.34</v>
      </c>
      <c r="AA39" s="495" t="s">
        <v>369</v>
      </c>
      <c r="AB39" s="495" t="s">
        <v>370</v>
      </c>
      <c r="AC39" s="495" t="s">
        <v>371</v>
      </c>
      <c r="AD39" s="495" t="s">
        <v>301</v>
      </c>
      <c r="AE39" s="495" t="s">
        <v>231</v>
      </c>
      <c r="AF39" s="495" t="s">
        <v>237</v>
      </c>
      <c r="AG39" s="495" t="s">
        <v>204</v>
      </c>
      <c r="AH39" s="500">
        <v>25.01</v>
      </c>
      <c r="AI39" s="498">
        <v>8086</v>
      </c>
      <c r="AJ39" s="495" t="s">
        <v>205</v>
      </c>
      <c r="AK39" s="495" t="s">
        <v>206</v>
      </c>
      <c r="AL39" s="495" t="s">
        <v>207</v>
      </c>
      <c r="AM39" s="495" t="s">
        <v>208</v>
      </c>
      <c r="AN39" s="495" t="s">
        <v>92</v>
      </c>
      <c r="AO39" s="498">
        <v>80</v>
      </c>
      <c r="AP39" s="504">
        <v>1</v>
      </c>
      <c r="AQ39" s="504">
        <v>1</v>
      </c>
      <c r="AR39" s="502" t="s">
        <v>209</v>
      </c>
      <c r="AS39" s="506">
        <f t="shared" si="27"/>
        <v>1</v>
      </c>
      <c r="AT39">
        <f t="shared" si="28"/>
        <v>1</v>
      </c>
      <c r="AU39" s="506">
        <f>IF(AT39=0,"",IF(AND(AT39=1,M39="F",SUMIF(C2:C177,C39,AS2:AS177)&lt;=1),SUMIF(C2:C177,C39,AS2:AS177),IF(AND(AT39=1,M39="F",SUMIF(C2:C177,C39,AS2:AS177)&gt;1),1,"")))</f>
        <v>1</v>
      </c>
      <c r="AV39" s="506" t="str">
        <f>IF(AT39=0,"",IF(AND(AT39=3,M39="F",SUMIF(C2:C177,C39,AS2:AS177)&lt;=1),SUMIF(C2:C177,C39,AS2:AS177),IF(AND(AT39=3,M39="F",SUMIF(C2:C177,C39,AS2:AS177)&gt;1),1,"")))</f>
        <v/>
      </c>
      <c r="AW39" s="506">
        <f>SUMIF(C2:C177,C39,O2:O177)</f>
        <v>1</v>
      </c>
      <c r="AX39" s="506">
        <f>IF(AND(M39="F",AS39&lt;&gt;0),SUMIF(C2:C177,C39,W2:W177),0)</f>
        <v>52020.78</v>
      </c>
      <c r="AY39" s="506">
        <f t="shared" si="29"/>
        <v>52020.78</v>
      </c>
      <c r="AZ39" s="506" t="str">
        <f t="shared" si="30"/>
        <v/>
      </c>
      <c r="BA39" s="506">
        <f t="shared" si="31"/>
        <v>0</v>
      </c>
      <c r="BB39" s="506">
        <f t="shared" si="44"/>
        <v>11650</v>
      </c>
      <c r="BC39" s="506">
        <f t="shared" si="45"/>
        <v>0</v>
      </c>
      <c r="BD39" s="506">
        <f t="shared" si="46"/>
        <v>3225.28836</v>
      </c>
      <c r="BE39" s="506">
        <f t="shared" si="47"/>
        <v>754.30131000000006</v>
      </c>
      <c r="BF39" s="506">
        <f t="shared" si="48"/>
        <v>6211.2811320000001</v>
      </c>
      <c r="BG39" s="506">
        <f t="shared" si="49"/>
        <v>375.06982379999999</v>
      </c>
      <c r="BH39" s="506">
        <f t="shared" si="50"/>
        <v>254.90182199999998</v>
      </c>
      <c r="BI39" s="506">
        <f t="shared" si="51"/>
        <v>287.93501729999997</v>
      </c>
      <c r="BJ39" s="506">
        <f t="shared" si="52"/>
        <v>639.855594</v>
      </c>
      <c r="BK39" s="506">
        <f t="shared" si="53"/>
        <v>0</v>
      </c>
      <c r="BL39" s="506">
        <f t="shared" si="32"/>
        <v>11748.633059100002</v>
      </c>
      <c r="BM39" s="506">
        <f t="shared" si="33"/>
        <v>0</v>
      </c>
      <c r="BN39" s="506">
        <f t="shared" si="54"/>
        <v>11650</v>
      </c>
      <c r="BO39" s="506">
        <f t="shared" si="55"/>
        <v>0</v>
      </c>
      <c r="BP39" s="506">
        <f t="shared" si="56"/>
        <v>3225.28836</v>
      </c>
      <c r="BQ39" s="506">
        <f t="shared" si="57"/>
        <v>754.30131000000006</v>
      </c>
      <c r="BR39" s="506">
        <f t="shared" si="58"/>
        <v>6211.2811320000001</v>
      </c>
      <c r="BS39" s="506">
        <f t="shared" si="59"/>
        <v>375.06982379999999</v>
      </c>
      <c r="BT39" s="506">
        <f t="shared" si="60"/>
        <v>0</v>
      </c>
      <c r="BU39" s="506">
        <f t="shared" si="61"/>
        <v>287.93501729999997</v>
      </c>
      <c r="BV39" s="506">
        <f t="shared" si="62"/>
        <v>624.24936000000002</v>
      </c>
      <c r="BW39" s="506">
        <f t="shared" si="63"/>
        <v>0</v>
      </c>
      <c r="BX39" s="506">
        <f t="shared" si="34"/>
        <v>11478.125003100002</v>
      </c>
      <c r="BY39" s="506">
        <f t="shared" si="35"/>
        <v>0</v>
      </c>
      <c r="BZ39" s="506">
        <f t="shared" si="36"/>
        <v>0</v>
      </c>
      <c r="CA39" s="506">
        <f t="shared" si="37"/>
        <v>0</v>
      </c>
      <c r="CB39" s="506">
        <f t="shared" si="38"/>
        <v>0</v>
      </c>
      <c r="CC39" s="506">
        <f t="shared" si="64"/>
        <v>0</v>
      </c>
      <c r="CD39" s="506">
        <f t="shared" si="65"/>
        <v>0</v>
      </c>
      <c r="CE39" s="506">
        <f t="shared" si="66"/>
        <v>0</v>
      </c>
      <c r="CF39" s="506">
        <f t="shared" si="67"/>
        <v>-254.90182199999998</v>
      </c>
      <c r="CG39" s="506">
        <f t="shared" si="68"/>
        <v>0</v>
      </c>
      <c r="CH39" s="506">
        <f t="shared" si="69"/>
        <v>-15.606233999999995</v>
      </c>
      <c r="CI39" s="506">
        <f t="shared" si="70"/>
        <v>0</v>
      </c>
      <c r="CJ39" s="506">
        <f t="shared" si="39"/>
        <v>-270.50805599999995</v>
      </c>
      <c r="CK39" s="506" t="str">
        <f t="shared" si="40"/>
        <v/>
      </c>
      <c r="CL39" s="506" t="str">
        <f t="shared" si="41"/>
        <v/>
      </c>
      <c r="CM39" s="506" t="str">
        <f t="shared" si="42"/>
        <v/>
      </c>
      <c r="CN39" s="506" t="str">
        <f t="shared" si="43"/>
        <v>0290-00</v>
      </c>
    </row>
    <row r="40" spans="1:92" ht="15.75" thickBot="1" x14ac:dyDescent="0.3">
      <c r="A40" s="495" t="s">
        <v>187</v>
      </c>
      <c r="B40" s="495" t="s">
        <v>188</v>
      </c>
      <c r="C40" s="495" t="s">
        <v>372</v>
      </c>
      <c r="D40" s="495" t="s">
        <v>373</v>
      </c>
      <c r="E40" s="495" t="s">
        <v>191</v>
      </c>
      <c r="F40" s="496" t="s">
        <v>192</v>
      </c>
      <c r="G40" s="495" t="s">
        <v>193</v>
      </c>
      <c r="H40" s="497"/>
      <c r="I40" s="497"/>
      <c r="J40" s="495" t="s">
        <v>358</v>
      </c>
      <c r="K40" s="495" t="s">
        <v>374</v>
      </c>
      <c r="L40" s="495" t="s">
        <v>207</v>
      </c>
      <c r="M40" s="495" t="s">
        <v>197</v>
      </c>
      <c r="N40" s="495" t="s">
        <v>198</v>
      </c>
      <c r="O40" s="498">
        <v>1</v>
      </c>
      <c r="P40" s="504">
        <v>1</v>
      </c>
      <c r="Q40" s="504">
        <v>1</v>
      </c>
      <c r="R40" s="499">
        <v>80</v>
      </c>
      <c r="S40" s="504">
        <v>1</v>
      </c>
      <c r="T40" s="499">
        <v>85741.46</v>
      </c>
      <c r="U40" s="499">
        <v>578.63</v>
      </c>
      <c r="V40" s="499">
        <v>30902.9</v>
      </c>
      <c r="W40" s="499">
        <v>89256.93</v>
      </c>
      <c r="X40" s="499">
        <v>31808.63</v>
      </c>
      <c r="Y40" s="499">
        <v>89256.93</v>
      </c>
      <c r="Z40" s="499">
        <v>31344.5</v>
      </c>
      <c r="AA40" s="495" t="s">
        <v>375</v>
      </c>
      <c r="AB40" s="495" t="s">
        <v>376</v>
      </c>
      <c r="AC40" s="495" t="s">
        <v>377</v>
      </c>
      <c r="AD40" s="495" t="s">
        <v>378</v>
      </c>
      <c r="AE40" s="495" t="s">
        <v>374</v>
      </c>
      <c r="AF40" s="495" t="s">
        <v>282</v>
      </c>
      <c r="AG40" s="495" t="s">
        <v>204</v>
      </c>
      <c r="AH40" s="500">
        <v>47.68</v>
      </c>
      <c r="AI40" s="500">
        <v>44424.6</v>
      </c>
      <c r="AJ40" s="495" t="s">
        <v>243</v>
      </c>
      <c r="AK40" s="495" t="s">
        <v>206</v>
      </c>
      <c r="AL40" s="495" t="s">
        <v>207</v>
      </c>
      <c r="AM40" s="495" t="s">
        <v>208</v>
      </c>
      <c r="AN40" s="495" t="s">
        <v>92</v>
      </c>
      <c r="AO40" s="498">
        <v>72</v>
      </c>
      <c r="AP40" s="504">
        <v>1</v>
      </c>
      <c r="AQ40" s="504">
        <v>0.9</v>
      </c>
      <c r="AR40" s="502" t="s">
        <v>209</v>
      </c>
      <c r="AS40" s="506">
        <f t="shared" si="27"/>
        <v>0.9</v>
      </c>
      <c r="AT40">
        <f t="shared" si="28"/>
        <v>1</v>
      </c>
      <c r="AU40" s="506">
        <f>IF(AT40=0,"",IF(AND(AT40=1,M40="F",SUMIF(C2:C177,C40,AS2:AS177)&lt;=1),SUMIF(C2:C177,C40,AS2:AS177),IF(AND(AT40=1,M40="F",SUMIF(C2:C177,C40,AS2:AS177)&gt;1),1,"")))</f>
        <v>0.9</v>
      </c>
      <c r="AV40" s="506" t="str">
        <f>IF(AT40=0,"",IF(AND(AT40=3,M40="F",SUMIF(C2:C177,C40,AS2:AS177)&lt;=1),SUMIF(C2:C177,C40,AS2:AS177),IF(AND(AT40=3,M40="F",SUMIF(C2:C177,C40,AS2:AS177)&gt;1),1,"")))</f>
        <v/>
      </c>
      <c r="AW40" s="506">
        <f>SUMIF(C2:C177,C40,O2:O177)</f>
        <v>1</v>
      </c>
      <c r="AX40" s="506">
        <f>IF(AND(M40="F",AS40&lt;&gt;0),SUMIF(C2:C177,C40,W2:W177),0)</f>
        <v>89256.93</v>
      </c>
      <c r="AY40" s="506">
        <f t="shared" si="29"/>
        <v>89256.93</v>
      </c>
      <c r="AZ40" s="506" t="str">
        <f t="shared" si="30"/>
        <v/>
      </c>
      <c r="BA40" s="506">
        <f t="shared" si="31"/>
        <v>0</v>
      </c>
      <c r="BB40" s="506">
        <f t="shared" si="44"/>
        <v>11650</v>
      </c>
      <c r="BC40" s="506">
        <f t="shared" si="45"/>
        <v>0</v>
      </c>
      <c r="BD40" s="506">
        <f t="shared" si="46"/>
        <v>5533.9296599999998</v>
      </c>
      <c r="BE40" s="506">
        <f t="shared" si="47"/>
        <v>1294.2254849999999</v>
      </c>
      <c r="BF40" s="506">
        <f t="shared" si="48"/>
        <v>10657.277442000001</v>
      </c>
      <c r="BG40" s="506">
        <f t="shared" si="49"/>
        <v>643.5424653</v>
      </c>
      <c r="BH40" s="506">
        <f t="shared" si="50"/>
        <v>437.35895699999998</v>
      </c>
      <c r="BI40" s="506">
        <f t="shared" si="51"/>
        <v>494.03710754999997</v>
      </c>
      <c r="BJ40" s="506">
        <f t="shared" si="52"/>
        <v>1097.8602389999999</v>
      </c>
      <c r="BK40" s="506">
        <f t="shared" si="53"/>
        <v>0</v>
      </c>
      <c r="BL40" s="506">
        <f t="shared" si="32"/>
        <v>20158.231355850003</v>
      </c>
      <c r="BM40" s="506">
        <f t="shared" si="33"/>
        <v>0</v>
      </c>
      <c r="BN40" s="506">
        <f t="shared" si="54"/>
        <v>11650</v>
      </c>
      <c r="BO40" s="506">
        <f t="shared" si="55"/>
        <v>0</v>
      </c>
      <c r="BP40" s="506">
        <f t="shared" si="56"/>
        <v>5533.9296599999998</v>
      </c>
      <c r="BQ40" s="506">
        <f t="shared" si="57"/>
        <v>1294.2254849999999</v>
      </c>
      <c r="BR40" s="506">
        <f t="shared" si="58"/>
        <v>10657.277442000001</v>
      </c>
      <c r="BS40" s="506">
        <f t="shared" si="59"/>
        <v>643.5424653</v>
      </c>
      <c r="BT40" s="506">
        <f t="shared" si="60"/>
        <v>0</v>
      </c>
      <c r="BU40" s="506">
        <f t="shared" si="61"/>
        <v>494.03710754999997</v>
      </c>
      <c r="BV40" s="506">
        <f t="shared" si="62"/>
        <v>1071.0831599999999</v>
      </c>
      <c r="BW40" s="506">
        <f t="shared" si="63"/>
        <v>0</v>
      </c>
      <c r="BX40" s="506">
        <f t="shared" si="34"/>
        <v>19694.095319849999</v>
      </c>
      <c r="BY40" s="506">
        <f t="shared" si="35"/>
        <v>0</v>
      </c>
      <c r="BZ40" s="506">
        <f t="shared" si="36"/>
        <v>0</v>
      </c>
      <c r="CA40" s="506">
        <f t="shared" si="37"/>
        <v>0</v>
      </c>
      <c r="CB40" s="506">
        <f t="shared" si="38"/>
        <v>0</v>
      </c>
      <c r="CC40" s="506">
        <f t="shared" si="64"/>
        <v>0</v>
      </c>
      <c r="CD40" s="506">
        <f t="shared" si="65"/>
        <v>0</v>
      </c>
      <c r="CE40" s="506">
        <f t="shared" si="66"/>
        <v>0</v>
      </c>
      <c r="CF40" s="506">
        <f t="shared" si="67"/>
        <v>-437.35895699999998</v>
      </c>
      <c r="CG40" s="506">
        <f t="shared" si="68"/>
        <v>0</v>
      </c>
      <c r="CH40" s="506">
        <f t="shared" si="69"/>
        <v>-26.77707899999999</v>
      </c>
      <c r="CI40" s="506">
        <f t="shared" si="70"/>
        <v>0</v>
      </c>
      <c r="CJ40" s="506">
        <f t="shared" si="39"/>
        <v>-464.13603599999999</v>
      </c>
      <c r="CK40" s="506" t="str">
        <f t="shared" si="40"/>
        <v/>
      </c>
      <c r="CL40" s="506" t="str">
        <f t="shared" si="41"/>
        <v/>
      </c>
      <c r="CM40" s="506" t="str">
        <f t="shared" si="42"/>
        <v/>
      </c>
      <c r="CN40" s="506" t="str">
        <f t="shared" si="43"/>
        <v>0290-00</v>
      </c>
    </row>
    <row r="41" spans="1:92" ht="15.75" thickBot="1" x14ac:dyDescent="0.3">
      <c r="A41" s="495" t="s">
        <v>187</v>
      </c>
      <c r="B41" s="495" t="s">
        <v>188</v>
      </c>
      <c r="C41" s="495" t="s">
        <v>379</v>
      </c>
      <c r="D41" s="495" t="s">
        <v>380</v>
      </c>
      <c r="E41" s="495" t="s">
        <v>191</v>
      </c>
      <c r="F41" s="496" t="s">
        <v>192</v>
      </c>
      <c r="G41" s="495" t="s">
        <v>193</v>
      </c>
      <c r="H41" s="497"/>
      <c r="I41" s="497"/>
      <c r="J41" s="495" t="s">
        <v>248</v>
      </c>
      <c r="K41" s="495" t="s">
        <v>381</v>
      </c>
      <c r="L41" s="495" t="s">
        <v>196</v>
      </c>
      <c r="M41" s="495" t="s">
        <v>213</v>
      </c>
      <c r="N41" s="495" t="s">
        <v>198</v>
      </c>
      <c r="O41" s="498">
        <v>0</v>
      </c>
      <c r="P41" s="504">
        <v>1</v>
      </c>
      <c r="Q41" s="504">
        <v>1</v>
      </c>
      <c r="R41" s="499">
        <v>80</v>
      </c>
      <c r="S41" s="504">
        <v>1</v>
      </c>
      <c r="T41" s="499">
        <v>7685.1</v>
      </c>
      <c r="U41" s="499">
        <v>0</v>
      </c>
      <c r="V41" s="499">
        <v>1964.72</v>
      </c>
      <c r="W41" s="499">
        <v>53476.800000000003</v>
      </c>
      <c r="X41" s="499">
        <v>23422.82</v>
      </c>
      <c r="Y41" s="499">
        <v>53476.800000000003</v>
      </c>
      <c r="Z41" s="499">
        <v>23155.439999999999</v>
      </c>
      <c r="AA41" s="497"/>
      <c r="AB41" s="495" t="s">
        <v>23</v>
      </c>
      <c r="AC41" s="495" t="s">
        <v>23</v>
      </c>
      <c r="AD41" s="497"/>
      <c r="AE41" s="497"/>
      <c r="AF41" s="497"/>
      <c r="AG41" s="497"/>
      <c r="AH41" s="498">
        <v>0</v>
      </c>
      <c r="AI41" s="498">
        <v>0</v>
      </c>
      <c r="AJ41" s="497"/>
      <c r="AK41" s="497"/>
      <c r="AL41" s="495" t="s">
        <v>207</v>
      </c>
      <c r="AM41" s="497"/>
      <c r="AN41" s="497"/>
      <c r="AO41" s="498">
        <v>0</v>
      </c>
      <c r="AP41" s="504">
        <v>0</v>
      </c>
      <c r="AQ41" s="504">
        <v>0</v>
      </c>
      <c r="AR41" s="503"/>
      <c r="AS41" s="506">
        <f t="shared" si="27"/>
        <v>0</v>
      </c>
      <c r="AT41">
        <f t="shared" si="28"/>
        <v>0</v>
      </c>
      <c r="AU41" s="506" t="str">
        <f>IF(AT41=0,"",IF(AND(AT41=1,M41="F",SUMIF(C2:C177,C41,AS2:AS177)&lt;=1),SUMIF(C2:C177,C41,AS2:AS177),IF(AND(AT41=1,M41="F",SUMIF(C2:C177,C41,AS2:AS177)&gt;1),1,"")))</f>
        <v/>
      </c>
      <c r="AV41" s="506" t="str">
        <f>IF(AT41=0,"",IF(AND(AT41=3,M41="F",SUMIF(C2:C177,C41,AS2:AS177)&lt;=1),SUMIF(C2:C177,C41,AS2:AS177),IF(AND(AT41=3,M41="F",SUMIF(C2:C177,C41,AS2:AS177)&gt;1),1,"")))</f>
        <v/>
      </c>
      <c r="AW41" s="506">
        <f>SUMIF(C2:C177,C41,O2:O177)</f>
        <v>0</v>
      </c>
      <c r="AX41" s="506">
        <f>IF(AND(M41="F",AS41&lt;&gt;0),SUMIF(C2:C177,C41,W2:W177),0)</f>
        <v>0</v>
      </c>
      <c r="AY41" s="506" t="str">
        <f t="shared" si="29"/>
        <v/>
      </c>
      <c r="AZ41" s="506" t="str">
        <f t="shared" si="30"/>
        <v/>
      </c>
      <c r="BA41" s="506">
        <f t="shared" si="31"/>
        <v>0</v>
      </c>
      <c r="BB41" s="506">
        <f t="shared" si="44"/>
        <v>0</v>
      </c>
      <c r="BC41" s="506">
        <f t="shared" si="45"/>
        <v>0</v>
      </c>
      <c r="BD41" s="506">
        <f t="shared" si="46"/>
        <v>0</v>
      </c>
      <c r="BE41" s="506">
        <f t="shared" si="47"/>
        <v>0</v>
      </c>
      <c r="BF41" s="506">
        <f t="shared" si="48"/>
        <v>0</v>
      </c>
      <c r="BG41" s="506">
        <f t="shared" si="49"/>
        <v>0</v>
      </c>
      <c r="BH41" s="506">
        <f t="shared" si="50"/>
        <v>0</v>
      </c>
      <c r="BI41" s="506">
        <f t="shared" si="51"/>
        <v>0</v>
      </c>
      <c r="BJ41" s="506">
        <f t="shared" si="52"/>
        <v>0</v>
      </c>
      <c r="BK41" s="506">
        <f t="shared" si="53"/>
        <v>0</v>
      </c>
      <c r="BL41" s="506">
        <f t="shared" si="32"/>
        <v>0</v>
      </c>
      <c r="BM41" s="506">
        <f t="shared" si="33"/>
        <v>0</v>
      </c>
      <c r="BN41" s="506">
        <f t="shared" si="54"/>
        <v>0</v>
      </c>
      <c r="BO41" s="506">
        <f t="shared" si="55"/>
        <v>0</v>
      </c>
      <c r="BP41" s="506">
        <f t="shared" si="56"/>
        <v>0</v>
      </c>
      <c r="BQ41" s="506">
        <f t="shared" si="57"/>
        <v>0</v>
      </c>
      <c r="BR41" s="506">
        <f t="shared" si="58"/>
        <v>0</v>
      </c>
      <c r="BS41" s="506">
        <f t="shared" si="59"/>
        <v>0</v>
      </c>
      <c r="BT41" s="506">
        <f t="shared" si="60"/>
        <v>0</v>
      </c>
      <c r="BU41" s="506">
        <f t="shared" si="61"/>
        <v>0</v>
      </c>
      <c r="BV41" s="506">
        <f t="shared" si="62"/>
        <v>0</v>
      </c>
      <c r="BW41" s="506">
        <f t="shared" si="63"/>
        <v>0</v>
      </c>
      <c r="BX41" s="506">
        <f t="shared" si="34"/>
        <v>0</v>
      </c>
      <c r="BY41" s="506">
        <f t="shared" si="35"/>
        <v>0</v>
      </c>
      <c r="BZ41" s="506">
        <f t="shared" si="36"/>
        <v>0</v>
      </c>
      <c r="CA41" s="506">
        <f t="shared" si="37"/>
        <v>0</v>
      </c>
      <c r="CB41" s="506">
        <f t="shared" si="38"/>
        <v>0</v>
      </c>
      <c r="CC41" s="506">
        <f t="shared" si="64"/>
        <v>0</v>
      </c>
      <c r="CD41" s="506">
        <f t="shared" si="65"/>
        <v>0</v>
      </c>
      <c r="CE41" s="506">
        <f t="shared" si="66"/>
        <v>0</v>
      </c>
      <c r="CF41" s="506">
        <f t="shared" si="67"/>
        <v>0</v>
      </c>
      <c r="CG41" s="506">
        <f t="shared" si="68"/>
        <v>0</v>
      </c>
      <c r="CH41" s="506">
        <f t="shared" si="69"/>
        <v>0</v>
      </c>
      <c r="CI41" s="506">
        <f t="shared" si="70"/>
        <v>0</v>
      </c>
      <c r="CJ41" s="506">
        <f t="shared" si="39"/>
        <v>0</v>
      </c>
      <c r="CK41" s="506" t="str">
        <f t="shared" si="40"/>
        <v/>
      </c>
      <c r="CL41" s="506" t="str">
        <f t="shared" si="41"/>
        <v/>
      </c>
      <c r="CM41" s="506" t="str">
        <f t="shared" si="42"/>
        <v/>
      </c>
      <c r="CN41" s="506" t="str">
        <f t="shared" si="43"/>
        <v>0290-00</v>
      </c>
    </row>
    <row r="42" spans="1:92" ht="15.75" thickBot="1" x14ac:dyDescent="0.3">
      <c r="A42" s="495" t="s">
        <v>187</v>
      </c>
      <c r="B42" s="495" t="s">
        <v>188</v>
      </c>
      <c r="C42" s="495" t="s">
        <v>382</v>
      </c>
      <c r="D42" s="495" t="s">
        <v>360</v>
      </c>
      <c r="E42" s="495" t="s">
        <v>191</v>
      </c>
      <c r="F42" s="496" t="s">
        <v>192</v>
      </c>
      <c r="G42" s="495" t="s">
        <v>193</v>
      </c>
      <c r="H42" s="497"/>
      <c r="I42" s="497"/>
      <c r="J42" s="495" t="s">
        <v>277</v>
      </c>
      <c r="K42" s="495" t="s">
        <v>383</v>
      </c>
      <c r="L42" s="495" t="s">
        <v>232</v>
      </c>
      <c r="M42" s="495" t="s">
        <v>197</v>
      </c>
      <c r="N42" s="495" t="s">
        <v>198</v>
      </c>
      <c r="O42" s="498">
        <v>1</v>
      </c>
      <c r="P42" s="504">
        <v>1</v>
      </c>
      <c r="Q42" s="504">
        <v>1</v>
      </c>
      <c r="R42" s="499">
        <v>80</v>
      </c>
      <c r="S42" s="504">
        <v>1</v>
      </c>
      <c r="T42" s="499">
        <v>45838.63</v>
      </c>
      <c r="U42" s="499">
        <v>1486.26</v>
      </c>
      <c r="V42" s="499">
        <v>21151.18</v>
      </c>
      <c r="W42" s="499">
        <v>47985.57</v>
      </c>
      <c r="X42" s="499">
        <v>22487.49</v>
      </c>
      <c r="Y42" s="499">
        <v>47985.57</v>
      </c>
      <c r="Z42" s="499">
        <v>22238</v>
      </c>
      <c r="AA42" s="495" t="s">
        <v>384</v>
      </c>
      <c r="AB42" s="495" t="s">
        <v>385</v>
      </c>
      <c r="AC42" s="495" t="s">
        <v>386</v>
      </c>
      <c r="AD42" s="495" t="s">
        <v>196</v>
      </c>
      <c r="AE42" s="495" t="s">
        <v>383</v>
      </c>
      <c r="AF42" s="495" t="s">
        <v>237</v>
      </c>
      <c r="AG42" s="495" t="s">
        <v>204</v>
      </c>
      <c r="AH42" s="500">
        <v>23.07</v>
      </c>
      <c r="AI42" s="500">
        <v>11740.4</v>
      </c>
      <c r="AJ42" s="495" t="s">
        <v>205</v>
      </c>
      <c r="AK42" s="495" t="s">
        <v>206</v>
      </c>
      <c r="AL42" s="495" t="s">
        <v>207</v>
      </c>
      <c r="AM42" s="495" t="s">
        <v>208</v>
      </c>
      <c r="AN42" s="495" t="s">
        <v>92</v>
      </c>
      <c r="AO42" s="498">
        <v>80</v>
      </c>
      <c r="AP42" s="504">
        <v>1</v>
      </c>
      <c r="AQ42" s="504">
        <v>1</v>
      </c>
      <c r="AR42" s="502" t="s">
        <v>209</v>
      </c>
      <c r="AS42" s="506">
        <f t="shared" si="27"/>
        <v>1</v>
      </c>
      <c r="AT42">
        <f t="shared" si="28"/>
        <v>1</v>
      </c>
      <c r="AU42" s="506">
        <f>IF(AT42=0,"",IF(AND(AT42=1,M42="F",SUMIF(C2:C177,C42,AS2:AS177)&lt;=1),SUMIF(C2:C177,C42,AS2:AS177),IF(AND(AT42=1,M42="F",SUMIF(C2:C177,C42,AS2:AS177)&gt;1),1,"")))</f>
        <v>1</v>
      </c>
      <c r="AV42" s="506" t="str">
        <f>IF(AT42=0,"",IF(AND(AT42=3,M42="F",SUMIF(C2:C177,C42,AS2:AS177)&lt;=1),SUMIF(C2:C177,C42,AS2:AS177),IF(AND(AT42=3,M42="F",SUMIF(C2:C177,C42,AS2:AS177)&gt;1),1,"")))</f>
        <v/>
      </c>
      <c r="AW42" s="506">
        <f>SUMIF(C2:C177,C42,O2:O177)</f>
        <v>1</v>
      </c>
      <c r="AX42" s="506">
        <f>IF(AND(M42="F",AS42&lt;&gt;0),SUMIF(C2:C177,C42,W2:W177),0)</f>
        <v>47985.57</v>
      </c>
      <c r="AY42" s="506">
        <f t="shared" si="29"/>
        <v>47985.57</v>
      </c>
      <c r="AZ42" s="506" t="str">
        <f t="shared" si="30"/>
        <v/>
      </c>
      <c r="BA42" s="506">
        <f t="shared" si="31"/>
        <v>0</v>
      </c>
      <c r="BB42" s="506">
        <f t="shared" si="44"/>
        <v>11650</v>
      </c>
      <c r="BC42" s="506">
        <f t="shared" si="45"/>
        <v>0</v>
      </c>
      <c r="BD42" s="506">
        <f t="shared" si="46"/>
        <v>2975.1053400000001</v>
      </c>
      <c r="BE42" s="506">
        <f t="shared" si="47"/>
        <v>695.79076500000008</v>
      </c>
      <c r="BF42" s="506">
        <f t="shared" si="48"/>
        <v>5729.4770580000004</v>
      </c>
      <c r="BG42" s="506">
        <f t="shared" si="49"/>
        <v>345.97595970000003</v>
      </c>
      <c r="BH42" s="506">
        <f t="shared" si="50"/>
        <v>235.12929299999999</v>
      </c>
      <c r="BI42" s="506">
        <f t="shared" si="51"/>
        <v>265.60012995</v>
      </c>
      <c r="BJ42" s="506">
        <f t="shared" si="52"/>
        <v>590.22251100000005</v>
      </c>
      <c r="BK42" s="506">
        <f t="shared" si="53"/>
        <v>0</v>
      </c>
      <c r="BL42" s="506">
        <f t="shared" si="32"/>
        <v>10837.30105665</v>
      </c>
      <c r="BM42" s="506">
        <f t="shared" si="33"/>
        <v>0</v>
      </c>
      <c r="BN42" s="506">
        <f t="shared" si="54"/>
        <v>11650</v>
      </c>
      <c r="BO42" s="506">
        <f t="shared" si="55"/>
        <v>0</v>
      </c>
      <c r="BP42" s="506">
        <f t="shared" si="56"/>
        <v>2975.1053400000001</v>
      </c>
      <c r="BQ42" s="506">
        <f t="shared" si="57"/>
        <v>695.79076500000008</v>
      </c>
      <c r="BR42" s="506">
        <f t="shared" si="58"/>
        <v>5729.4770580000004</v>
      </c>
      <c r="BS42" s="506">
        <f t="shared" si="59"/>
        <v>345.97595970000003</v>
      </c>
      <c r="BT42" s="506">
        <f t="shared" si="60"/>
        <v>0</v>
      </c>
      <c r="BU42" s="506">
        <f t="shared" si="61"/>
        <v>265.60012995</v>
      </c>
      <c r="BV42" s="506">
        <f t="shared" si="62"/>
        <v>575.82684000000006</v>
      </c>
      <c r="BW42" s="506">
        <f t="shared" si="63"/>
        <v>0</v>
      </c>
      <c r="BX42" s="506">
        <f t="shared" si="34"/>
        <v>10587.77609265</v>
      </c>
      <c r="BY42" s="506">
        <f t="shared" si="35"/>
        <v>0</v>
      </c>
      <c r="BZ42" s="506">
        <f t="shared" si="36"/>
        <v>0</v>
      </c>
      <c r="CA42" s="506">
        <f t="shared" si="37"/>
        <v>0</v>
      </c>
      <c r="CB42" s="506">
        <f t="shared" si="38"/>
        <v>0</v>
      </c>
      <c r="CC42" s="506">
        <f t="shared" si="64"/>
        <v>0</v>
      </c>
      <c r="CD42" s="506">
        <f t="shared" si="65"/>
        <v>0</v>
      </c>
      <c r="CE42" s="506">
        <f t="shared" si="66"/>
        <v>0</v>
      </c>
      <c r="CF42" s="506">
        <f t="shared" si="67"/>
        <v>-235.12929299999999</v>
      </c>
      <c r="CG42" s="506">
        <f t="shared" si="68"/>
        <v>0</v>
      </c>
      <c r="CH42" s="506">
        <f t="shared" si="69"/>
        <v>-14.395670999999997</v>
      </c>
      <c r="CI42" s="506">
        <f t="shared" si="70"/>
        <v>0</v>
      </c>
      <c r="CJ42" s="506">
        <f t="shared" si="39"/>
        <v>-249.52496399999998</v>
      </c>
      <c r="CK42" s="506" t="str">
        <f t="shared" si="40"/>
        <v/>
      </c>
      <c r="CL42" s="506" t="str">
        <f t="shared" si="41"/>
        <v/>
      </c>
      <c r="CM42" s="506" t="str">
        <f t="shared" si="42"/>
        <v/>
      </c>
      <c r="CN42" s="506" t="str">
        <f t="shared" si="43"/>
        <v>0290-00</v>
      </c>
    </row>
    <row r="43" spans="1:92" ht="15.75" thickBot="1" x14ac:dyDescent="0.3">
      <c r="A43" s="495" t="s">
        <v>187</v>
      </c>
      <c r="B43" s="495" t="s">
        <v>188</v>
      </c>
      <c r="C43" s="495" t="s">
        <v>387</v>
      </c>
      <c r="D43" s="495" t="s">
        <v>388</v>
      </c>
      <c r="E43" s="495" t="s">
        <v>191</v>
      </c>
      <c r="F43" s="496" t="s">
        <v>192</v>
      </c>
      <c r="G43" s="495" t="s">
        <v>193</v>
      </c>
      <c r="H43" s="497"/>
      <c r="I43" s="497"/>
      <c r="J43" s="495" t="s">
        <v>225</v>
      </c>
      <c r="K43" s="495" t="s">
        <v>389</v>
      </c>
      <c r="L43" s="495" t="s">
        <v>232</v>
      </c>
      <c r="M43" s="495" t="s">
        <v>213</v>
      </c>
      <c r="N43" s="495" t="s">
        <v>227</v>
      </c>
      <c r="O43" s="498">
        <v>0</v>
      </c>
      <c r="P43" s="504">
        <v>1</v>
      </c>
      <c r="Q43" s="504">
        <v>0</v>
      </c>
      <c r="R43" s="499">
        <v>0</v>
      </c>
      <c r="S43" s="504">
        <v>0</v>
      </c>
      <c r="T43" s="499">
        <v>11313.71</v>
      </c>
      <c r="U43" s="499">
        <v>1034.79</v>
      </c>
      <c r="V43" s="499">
        <v>1071.6099999999999</v>
      </c>
      <c r="W43" s="499">
        <v>12348.5</v>
      </c>
      <c r="X43" s="499">
        <v>1071.6099999999999</v>
      </c>
      <c r="Y43" s="499">
        <v>12348.5</v>
      </c>
      <c r="Z43" s="499">
        <v>1071.6099999999999</v>
      </c>
      <c r="AA43" s="497"/>
      <c r="AB43" s="495" t="s">
        <v>23</v>
      </c>
      <c r="AC43" s="495" t="s">
        <v>23</v>
      </c>
      <c r="AD43" s="497"/>
      <c r="AE43" s="497"/>
      <c r="AF43" s="497"/>
      <c r="AG43" s="497"/>
      <c r="AH43" s="498">
        <v>0</v>
      </c>
      <c r="AI43" s="498">
        <v>0</v>
      </c>
      <c r="AJ43" s="497"/>
      <c r="AK43" s="497"/>
      <c r="AL43" s="495" t="s">
        <v>207</v>
      </c>
      <c r="AM43" s="497"/>
      <c r="AN43" s="497"/>
      <c r="AO43" s="498">
        <v>0</v>
      </c>
      <c r="AP43" s="504">
        <v>0</v>
      </c>
      <c r="AQ43" s="504">
        <v>0</v>
      </c>
      <c r="AR43" s="503"/>
      <c r="AS43" s="506">
        <f t="shared" si="27"/>
        <v>0</v>
      </c>
      <c r="AT43">
        <f t="shared" si="28"/>
        <v>0</v>
      </c>
      <c r="AU43" s="506" t="str">
        <f>IF(AT43=0,"",IF(AND(AT43=1,M43="F",SUMIF(C2:C177,C43,AS2:AS177)&lt;=1),SUMIF(C2:C177,C43,AS2:AS177),IF(AND(AT43=1,M43="F",SUMIF(C2:C177,C43,AS2:AS177)&gt;1),1,"")))</f>
        <v/>
      </c>
      <c r="AV43" s="506" t="str">
        <f>IF(AT43=0,"",IF(AND(AT43=3,M43="F",SUMIF(C2:C177,C43,AS2:AS177)&lt;=1),SUMIF(C2:C177,C43,AS2:AS177),IF(AND(AT43=3,M43="F",SUMIF(C2:C177,C43,AS2:AS177)&gt;1),1,"")))</f>
        <v/>
      </c>
      <c r="AW43" s="506">
        <f>SUMIF(C2:C177,C43,O2:O177)</f>
        <v>0</v>
      </c>
      <c r="AX43" s="506">
        <f>IF(AND(M43="F",AS43&lt;&gt;0),SUMIF(C2:C177,C43,W2:W177),0)</f>
        <v>0</v>
      </c>
      <c r="AY43" s="506" t="str">
        <f t="shared" si="29"/>
        <v/>
      </c>
      <c r="AZ43" s="506" t="str">
        <f t="shared" si="30"/>
        <v/>
      </c>
      <c r="BA43" s="506">
        <f t="shared" si="31"/>
        <v>0</v>
      </c>
      <c r="BB43" s="506">
        <f t="shared" si="44"/>
        <v>0</v>
      </c>
      <c r="BC43" s="506">
        <f t="shared" si="45"/>
        <v>0</v>
      </c>
      <c r="BD43" s="506">
        <f t="shared" si="46"/>
        <v>0</v>
      </c>
      <c r="BE43" s="506">
        <f t="shared" si="47"/>
        <v>0</v>
      </c>
      <c r="BF43" s="506">
        <f t="shared" si="48"/>
        <v>0</v>
      </c>
      <c r="BG43" s="506">
        <f t="shared" si="49"/>
        <v>0</v>
      </c>
      <c r="BH43" s="506">
        <f t="shared" si="50"/>
        <v>0</v>
      </c>
      <c r="BI43" s="506">
        <f t="shared" si="51"/>
        <v>0</v>
      </c>
      <c r="BJ43" s="506">
        <f t="shared" si="52"/>
        <v>0</v>
      </c>
      <c r="BK43" s="506">
        <f t="shared" si="53"/>
        <v>0</v>
      </c>
      <c r="BL43" s="506">
        <f t="shared" si="32"/>
        <v>0</v>
      </c>
      <c r="BM43" s="506">
        <f t="shared" si="33"/>
        <v>0</v>
      </c>
      <c r="BN43" s="506">
        <f t="shared" si="54"/>
        <v>0</v>
      </c>
      <c r="BO43" s="506">
        <f t="shared" si="55"/>
        <v>0</v>
      </c>
      <c r="BP43" s="506">
        <f t="shared" si="56"/>
        <v>0</v>
      </c>
      <c r="BQ43" s="506">
        <f t="shared" si="57"/>
        <v>0</v>
      </c>
      <c r="BR43" s="506">
        <f t="shared" si="58"/>
        <v>0</v>
      </c>
      <c r="BS43" s="506">
        <f t="shared" si="59"/>
        <v>0</v>
      </c>
      <c r="BT43" s="506">
        <f t="shared" si="60"/>
        <v>0</v>
      </c>
      <c r="BU43" s="506">
        <f t="shared" si="61"/>
        <v>0</v>
      </c>
      <c r="BV43" s="506">
        <f t="shared" si="62"/>
        <v>0</v>
      </c>
      <c r="BW43" s="506">
        <f t="shared" si="63"/>
        <v>0</v>
      </c>
      <c r="BX43" s="506">
        <f t="shared" si="34"/>
        <v>0</v>
      </c>
      <c r="BY43" s="506">
        <f t="shared" si="35"/>
        <v>0</v>
      </c>
      <c r="BZ43" s="506">
        <f t="shared" si="36"/>
        <v>0</v>
      </c>
      <c r="CA43" s="506">
        <f t="shared" si="37"/>
        <v>0</v>
      </c>
      <c r="CB43" s="506">
        <f t="shared" si="38"/>
        <v>0</v>
      </c>
      <c r="CC43" s="506">
        <f t="shared" si="64"/>
        <v>0</v>
      </c>
      <c r="CD43" s="506">
        <f t="shared" si="65"/>
        <v>0</v>
      </c>
      <c r="CE43" s="506">
        <f t="shared" si="66"/>
        <v>0</v>
      </c>
      <c r="CF43" s="506">
        <f t="shared" si="67"/>
        <v>0</v>
      </c>
      <c r="CG43" s="506">
        <f t="shared" si="68"/>
        <v>0</v>
      </c>
      <c r="CH43" s="506">
        <f t="shared" si="69"/>
        <v>0</v>
      </c>
      <c r="CI43" s="506">
        <f t="shared" si="70"/>
        <v>0</v>
      </c>
      <c r="CJ43" s="506">
        <f t="shared" si="39"/>
        <v>0</v>
      </c>
      <c r="CK43" s="506" t="str">
        <f t="shared" si="40"/>
        <v/>
      </c>
      <c r="CL43" s="506">
        <f t="shared" si="41"/>
        <v>12348.5</v>
      </c>
      <c r="CM43" s="506">
        <f t="shared" si="42"/>
        <v>1071.6099999999999</v>
      </c>
      <c r="CN43" s="506" t="str">
        <f t="shared" si="43"/>
        <v>0290-00</v>
      </c>
    </row>
    <row r="44" spans="1:92" ht="15.75" thickBot="1" x14ac:dyDescent="0.3">
      <c r="A44" s="495" t="s">
        <v>187</v>
      </c>
      <c r="B44" s="495" t="s">
        <v>188</v>
      </c>
      <c r="C44" s="495" t="s">
        <v>390</v>
      </c>
      <c r="D44" s="495" t="s">
        <v>300</v>
      </c>
      <c r="E44" s="495" t="s">
        <v>191</v>
      </c>
      <c r="F44" s="496" t="s">
        <v>192</v>
      </c>
      <c r="G44" s="495" t="s">
        <v>193</v>
      </c>
      <c r="H44" s="497"/>
      <c r="I44" s="497"/>
      <c r="J44" s="495" t="s">
        <v>194</v>
      </c>
      <c r="K44" s="495" t="s">
        <v>258</v>
      </c>
      <c r="L44" s="495" t="s">
        <v>301</v>
      </c>
      <c r="M44" s="495" t="s">
        <v>197</v>
      </c>
      <c r="N44" s="495" t="s">
        <v>198</v>
      </c>
      <c r="O44" s="498">
        <v>1</v>
      </c>
      <c r="P44" s="504">
        <v>1</v>
      </c>
      <c r="Q44" s="504">
        <v>1</v>
      </c>
      <c r="R44" s="499">
        <v>80</v>
      </c>
      <c r="S44" s="504">
        <v>1</v>
      </c>
      <c r="T44" s="499">
        <v>6400</v>
      </c>
      <c r="U44" s="499">
        <v>0</v>
      </c>
      <c r="V44" s="499">
        <v>3397.55</v>
      </c>
      <c r="W44" s="499">
        <v>41600</v>
      </c>
      <c r="X44" s="499">
        <v>21045.34</v>
      </c>
      <c r="Y44" s="499">
        <v>41600</v>
      </c>
      <c r="Z44" s="499">
        <v>20829.02</v>
      </c>
      <c r="AA44" s="495" t="s">
        <v>391</v>
      </c>
      <c r="AB44" s="495" t="s">
        <v>392</v>
      </c>
      <c r="AC44" s="495" t="s">
        <v>393</v>
      </c>
      <c r="AD44" s="495" t="s">
        <v>242</v>
      </c>
      <c r="AE44" s="495" t="s">
        <v>258</v>
      </c>
      <c r="AF44" s="495" t="s">
        <v>259</v>
      </c>
      <c r="AG44" s="495" t="s">
        <v>204</v>
      </c>
      <c r="AH44" s="498">
        <v>20</v>
      </c>
      <c r="AI44" s="500">
        <v>402.4</v>
      </c>
      <c r="AJ44" s="495" t="s">
        <v>205</v>
      </c>
      <c r="AK44" s="495" t="s">
        <v>206</v>
      </c>
      <c r="AL44" s="495" t="s">
        <v>207</v>
      </c>
      <c r="AM44" s="495" t="s">
        <v>208</v>
      </c>
      <c r="AN44" s="495" t="s">
        <v>92</v>
      </c>
      <c r="AO44" s="498">
        <v>80</v>
      </c>
      <c r="AP44" s="504">
        <v>1</v>
      </c>
      <c r="AQ44" s="504">
        <v>1</v>
      </c>
      <c r="AR44" s="502" t="s">
        <v>209</v>
      </c>
      <c r="AS44" s="506">
        <f t="shared" si="27"/>
        <v>1</v>
      </c>
      <c r="AT44">
        <f t="shared" si="28"/>
        <v>1</v>
      </c>
      <c r="AU44" s="506">
        <f>IF(AT44=0,"",IF(AND(AT44=1,M44="F",SUMIF(C2:C177,C44,AS2:AS177)&lt;=1),SUMIF(C2:C177,C44,AS2:AS177),IF(AND(AT44=1,M44="F",SUMIF(C2:C177,C44,AS2:AS177)&gt;1),1,"")))</f>
        <v>1</v>
      </c>
      <c r="AV44" s="506" t="str">
        <f>IF(AT44=0,"",IF(AND(AT44=3,M44="F",SUMIF(C2:C177,C44,AS2:AS177)&lt;=1),SUMIF(C2:C177,C44,AS2:AS177),IF(AND(AT44=3,M44="F",SUMIF(C2:C177,C44,AS2:AS177)&gt;1),1,"")))</f>
        <v/>
      </c>
      <c r="AW44" s="506">
        <f>SUMIF(C2:C177,C44,O2:O177)</f>
        <v>1</v>
      </c>
      <c r="AX44" s="506">
        <f>IF(AND(M44="F",AS44&lt;&gt;0),SUMIF(C2:C177,C44,W2:W177),0)</f>
        <v>41600</v>
      </c>
      <c r="AY44" s="506">
        <f t="shared" si="29"/>
        <v>41600</v>
      </c>
      <c r="AZ44" s="506" t="str">
        <f t="shared" si="30"/>
        <v/>
      </c>
      <c r="BA44" s="506">
        <f t="shared" si="31"/>
        <v>0</v>
      </c>
      <c r="BB44" s="506">
        <f t="shared" si="44"/>
        <v>11650</v>
      </c>
      <c r="BC44" s="506">
        <f t="shared" si="45"/>
        <v>0</v>
      </c>
      <c r="BD44" s="506">
        <f t="shared" si="46"/>
        <v>2579.1999999999998</v>
      </c>
      <c r="BE44" s="506">
        <f t="shared" si="47"/>
        <v>603.20000000000005</v>
      </c>
      <c r="BF44" s="506">
        <f t="shared" si="48"/>
        <v>4967.04</v>
      </c>
      <c r="BG44" s="506">
        <f t="shared" si="49"/>
        <v>299.93600000000004</v>
      </c>
      <c r="BH44" s="506">
        <f t="shared" si="50"/>
        <v>203.84</v>
      </c>
      <c r="BI44" s="506">
        <f t="shared" si="51"/>
        <v>230.256</v>
      </c>
      <c r="BJ44" s="506">
        <f t="shared" si="52"/>
        <v>511.68</v>
      </c>
      <c r="BK44" s="506">
        <f t="shared" si="53"/>
        <v>0</v>
      </c>
      <c r="BL44" s="506">
        <f t="shared" si="32"/>
        <v>9395.152</v>
      </c>
      <c r="BM44" s="506">
        <f t="shared" si="33"/>
        <v>0</v>
      </c>
      <c r="BN44" s="506">
        <f t="shared" si="54"/>
        <v>11650</v>
      </c>
      <c r="BO44" s="506">
        <f t="shared" si="55"/>
        <v>0</v>
      </c>
      <c r="BP44" s="506">
        <f t="shared" si="56"/>
        <v>2579.1999999999998</v>
      </c>
      <c r="BQ44" s="506">
        <f t="shared" si="57"/>
        <v>603.20000000000005</v>
      </c>
      <c r="BR44" s="506">
        <f t="shared" si="58"/>
        <v>4967.04</v>
      </c>
      <c r="BS44" s="506">
        <f t="shared" si="59"/>
        <v>299.93600000000004</v>
      </c>
      <c r="BT44" s="506">
        <f t="shared" si="60"/>
        <v>0</v>
      </c>
      <c r="BU44" s="506">
        <f t="shared" si="61"/>
        <v>230.256</v>
      </c>
      <c r="BV44" s="506">
        <f t="shared" si="62"/>
        <v>499.2</v>
      </c>
      <c r="BW44" s="506">
        <f t="shared" si="63"/>
        <v>0</v>
      </c>
      <c r="BX44" s="506">
        <f t="shared" si="34"/>
        <v>9178.8320000000003</v>
      </c>
      <c r="BY44" s="506">
        <f t="shared" si="35"/>
        <v>0</v>
      </c>
      <c r="BZ44" s="506">
        <f t="shared" si="36"/>
        <v>0</v>
      </c>
      <c r="CA44" s="506">
        <f t="shared" si="37"/>
        <v>0</v>
      </c>
      <c r="CB44" s="506">
        <f t="shared" si="38"/>
        <v>0</v>
      </c>
      <c r="CC44" s="506">
        <f t="shared" si="64"/>
        <v>0</v>
      </c>
      <c r="CD44" s="506">
        <f t="shared" si="65"/>
        <v>0</v>
      </c>
      <c r="CE44" s="506">
        <f t="shared" si="66"/>
        <v>0</v>
      </c>
      <c r="CF44" s="506">
        <f t="shared" si="67"/>
        <v>-203.84</v>
      </c>
      <c r="CG44" s="506">
        <f t="shared" si="68"/>
        <v>0</v>
      </c>
      <c r="CH44" s="506">
        <f t="shared" si="69"/>
        <v>-12.479999999999997</v>
      </c>
      <c r="CI44" s="506">
        <f t="shared" si="70"/>
        <v>0</v>
      </c>
      <c r="CJ44" s="506">
        <f t="shared" si="39"/>
        <v>-216.32</v>
      </c>
      <c r="CK44" s="506" t="str">
        <f t="shared" si="40"/>
        <v/>
      </c>
      <c r="CL44" s="506" t="str">
        <f t="shared" si="41"/>
        <v/>
      </c>
      <c r="CM44" s="506" t="str">
        <f t="shared" si="42"/>
        <v/>
      </c>
      <c r="CN44" s="506" t="str">
        <f t="shared" si="43"/>
        <v>0290-00</v>
      </c>
    </row>
    <row r="45" spans="1:92" ht="15.75" thickBot="1" x14ac:dyDescent="0.3">
      <c r="A45" s="495" t="s">
        <v>187</v>
      </c>
      <c r="B45" s="495" t="s">
        <v>188</v>
      </c>
      <c r="C45" s="495" t="s">
        <v>394</v>
      </c>
      <c r="D45" s="495" t="s">
        <v>190</v>
      </c>
      <c r="E45" s="495" t="s">
        <v>191</v>
      </c>
      <c r="F45" s="496" t="s">
        <v>192</v>
      </c>
      <c r="G45" s="495" t="s">
        <v>193</v>
      </c>
      <c r="H45" s="497"/>
      <c r="I45" s="497"/>
      <c r="J45" s="495" t="s">
        <v>225</v>
      </c>
      <c r="K45" s="495" t="s">
        <v>195</v>
      </c>
      <c r="L45" s="495" t="s">
        <v>196</v>
      </c>
      <c r="M45" s="495" t="s">
        <v>197</v>
      </c>
      <c r="N45" s="495" t="s">
        <v>198</v>
      </c>
      <c r="O45" s="498">
        <v>1</v>
      </c>
      <c r="P45" s="504">
        <v>1</v>
      </c>
      <c r="Q45" s="504">
        <v>1</v>
      </c>
      <c r="R45" s="499">
        <v>80</v>
      </c>
      <c r="S45" s="504">
        <v>1</v>
      </c>
      <c r="T45" s="499">
        <v>57568.47</v>
      </c>
      <c r="U45" s="499">
        <v>67.8</v>
      </c>
      <c r="V45" s="499">
        <v>24807.4</v>
      </c>
      <c r="W45" s="499">
        <v>59300.800000000003</v>
      </c>
      <c r="X45" s="499">
        <v>25043.040000000001</v>
      </c>
      <c r="Y45" s="499">
        <v>59300.800000000003</v>
      </c>
      <c r="Z45" s="499">
        <v>24734.68</v>
      </c>
      <c r="AA45" s="495" t="s">
        <v>395</v>
      </c>
      <c r="AB45" s="495" t="s">
        <v>396</v>
      </c>
      <c r="AC45" s="495" t="s">
        <v>397</v>
      </c>
      <c r="AD45" s="495" t="s">
        <v>398</v>
      </c>
      <c r="AE45" s="495" t="s">
        <v>195</v>
      </c>
      <c r="AF45" s="495" t="s">
        <v>203</v>
      </c>
      <c r="AG45" s="495" t="s">
        <v>204</v>
      </c>
      <c r="AH45" s="500">
        <v>28.51</v>
      </c>
      <c r="AI45" s="500">
        <v>14214.3</v>
      </c>
      <c r="AJ45" s="495" t="s">
        <v>205</v>
      </c>
      <c r="AK45" s="495" t="s">
        <v>206</v>
      </c>
      <c r="AL45" s="495" t="s">
        <v>207</v>
      </c>
      <c r="AM45" s="495" t="s">
        <v>208</v>
      </c>
      <c r="AN45" s="495" t="s">
        <v>92</v>
      </c>
      <c r="AO45" s="498">
        <v>80</v>
      </c>
      <c r="AP45" s="504">
        <v>1</v>
      </c>
      <c r="AQ45" s="504">
        <v>1</v>
      </c>
      <c r="AR45" s="502" t="s">
        <v>209</v>
      </c>
      <c r="AS45" s="506">
        <f t="shared" si="27"/>
        <v>1</v>
      </c>
      <c r="AT45">
        <f t="shared" si="28"/>
        <v>1</v>
      </c>
      <c r="AU45" s="506">
        <f>IF(AT45=0,"",IF(AND(AT45=1,M45="F",SUMIF(C2:C177,C45,AS2:AS177)&lt;=1),SUMIF(C2:C177,C45,AS2:AS177),IF(AND(AT45=1,M45="F",SUMIF(C2:C177,C45,AS2:AS177)&gt;1),1,"")))</f>
        <v>1</v>
      </c>
      <c r="AV45" s="506" t="str">
        <f>IF(AT45=0,"",IF(AND(AT45=3,M45="F",SUMIF(C2:C177,C45,AS2:AS177)&lt;=1),SUMIF(C2:C177,C45,AS2:AS177),IF(AND(AT45=3,M45="F",SUMIF(C2:C177,C45,AS2:AS177)&gt;1),1,"")))</f>
        <v/>
      </c>
      <c r="AW45" s="506">
        <f>SUMIF(C2:C177,C45,O2:O177)</f>
        <v>1</v>
      </c>
      <c r="AX45" s="506">
        <f>IF(AND(M45="F",AS45&lt;&gt;0),SUMIF(C2:C177,C45,W2:W177),0)</f>
        <v>59300.800000000003</v>
      </c>
      <c r="AY45" s="506">
        <f t="shared" si="29"/>
        <v>59300.800000000003</v>
      </c>
      <c r="AZ45" s="506" t="str">
        <f t="shared" si="30"/>
        <v/>
      </c>
      <c r="BA45" s="506">
        <f t="shared" si="31"/>
        <v>0</v>
      </c>
      <c r="BB45" s="506">
        <f t="shared" si="44"/>
        <v>11650</v>
      </c>
      <c r="BC45" s="506">
        <f t="shared" si="45"/>
        <v>0</v>
      </c>
      <c r="BD45" s="506">
        <f t="shared" si="46"/>
        <v>3676.6496000000002</v>
      </c>
      <c r="BE45" s="506">
        <f t="shared" si="47"/>
        <v>859.86160000000007</v>
      </c>
      <c r="BF45" s="506">
        <f t="shared" si="48"/>
        <v>7080.5155200000008</v>
      </c>
      <c r="BG45" s="506">
        <f t="shared" si="49"/>
        <v>427.55876800000004</v>
      </c>
      <c r="BH45" s="506">
        <f t="shared" si="50"/>
        <v>290.57391999999999</v>
      </c>
      <c r="BI45" s="506">
        <f t="shared" si="51"/>
        <v>328.22992800000003</v>
      </c>
      <c r="BJ45" s="506">
        <f t="shared" si="52"/>
        <v>729.39984000000004</v>
      </c>
      <c r="BK45" s="506">
        <f t="shared" si="53"/>
        <v>0</v>
      </c>
      <c r="BL45" s="506">
        <f t="shared" si="32"/>
        <v>13392.789176000004</v>
      </c>
      <c r="BM45" s="506">
        <f t="shared" si="33"/>
        <v>0</v>
      </c>
      <c r="BN45" s="506">
        <f t="shared" si="54"/>
        <v>11650</v>
      </c>
      <c r="BO45" s="506">
        <f t="shared" si="55"/>
        <v>0</v>
      </c>
      <c r="BP45" s="506">
        <f t="shared" si="56"/>
        <v>3676.6496000000002</v>
      </c>
      <c r="BQ45" s="506">
        <f t="shared" si="57"/>
        <v>859.86160000000007</v>
      </c>
      <c r="BR45" s="506">
        <f t="shared" si="58"/>
        <v>7080.5155200000008</v>
      </c>
      <c r="BS45" s="506">
        <f t="shared" si="59"/>
        <v>427.55876800000004</v>
      </c>
      <c r="BT45" s="506">
        <f t="shared" si="60"/>
        <v>0</v>
      </c>
      <c r="BU45" s="506">
        <f t="shared" si="61"/>
        <v>328.22992800000003</v>
      </c>
      <c r="BV45" s="506">
        <f t="shared" si="62"/>
        <v>711.6096</v>
      </c>
      <c r="BW45" s="506">
        <f t="shared" si="63"/>
        <v>0</v>
      </c>
      <c r="BX45" s="506">
        <f t="shared" si="34"/>
        <v>13084.425016000003</v>
      </c>
      <c r="BY45" s="506">
        <f t="shared" si="35"/>
        <v>0</v>
      </c>
      <c r="BZ45" s="506">
        <f t="shared" si="36"/>
        <v>0</v>
      </c>
      <c r="CA45" s="506">
        <f t="shared" si="37"/>
        <v>0</v>
      </c>
      <c r="CB45" s="506">
        <f t="shared" si="38"/>
        <v>0</v>
      </c>
      <c r="CC45" s="506">
        <f t="shared" si="64"/>
        <v>0</v>
      </c>
      <c r="CD45" s="506">
        <f t="shared" si="65"/>
        <v>0</v>
      </c>
      <c r="CE45" s="506">
        <f t="shared" si="66"/>
        <v>0</v>
      </c>
      <c r="CF45" s="506">
        <f t="shared" si="67"/>
        <v>-290.57391999999999</v>
      </c>
      <c r="CG45" s="506">
        <f t="shared" si="68"/>
        <v>0</v>
      </c>
      <c r="CH45" s="506">
        <f t="shared" si="69"/>
        <v>-17.790239999999997</v>
      </c>
      <c r="CI45" s="506">
        <f t="shared" si="70"/>
        <v>0</v>
      </c>
      <c r="CJ45" s="506">
        <f t="shared" si="39"/>
        <v>-308.36415999999997</v>
      </c>
      <c r="CK45" s="506" t="str">
        <f t="shared" si="40"/>
        <v/>
      </c>
      <c r="CL45" s="506" t="str">
        <f t="shared" si="41"/>
        <v/>
      </c>
      <c r="CM45" s="506" t="str">
        <f t="shared" si="42"/>
        <v/>
      </c>
      <c r="CN45" s="506" t="str">
        <f t="shared" si="43"/>
        <v>0290-00</v>
      </c>
    </row>
    <row r="46" spans="1:92" ht="15.75" thickBot="1" x14ac:dyDescent="0.3">
      <c r="A46" s="495" t="s">
        <v>187</v>
      </c>
      <c r="B46" s="495" t="s">
        <v>188</v>
      </c>
      <c r="C46" s="495" t="s">
        <v>399</v>
      </c>
      <c r="D46" s="495" t="s">
        <v>360</v>
      </c>
      <c r="E46" s="495" t="s">
        <v>191</v>
      </c>
      <c r="F46" s="496" t="s">
        <v>192</v>
      </c>
      <c r="G46" s="495" t="s">
        <v>193</v>
      </c>
      <c r="H46" s="497"/>
      <c r="I46" s="497"/>
      <c r="J46" s="495" t="s">
        <v>254</v>
      </c>
      <c r="K46" s="495" t="s">
        <v>361</v>
      </c>
      <c r="L46" s="495" t="s">
        <v>286</v>
      </c>
      <c r="M46" s="495" t="s">
        <v>197</v>
      </c>
      <c r="N46" s="495" t="s">
        <v>198</v>
      </c>
      <c r="O46" s="498">
        <v>1</v>
      </c>
      <c r="P46" s="504">
        <v>1</v>
      </c>
      <c r="Q46" s="504">
        <v>1</v>
      </c>
      <c r="R46" s="499">
        <v>80</v>
      </c>
      <c r="S46" s="504">
        <v>1</v>
      </c>
      <c r="T46" s="499">
        <v>35908.31</v>
      </c>
      <c r="U46" s="499">
        <v>46.06</v>
      </c>
      <c r="V46" s="499">
        <v>18939.7</v>
      </c>
      <c r="W46" s="499">
        <v>37835.19</v>
      </c>
      <c r="X46" s="499">
        <v>20195.04</v>
      </c>
      <c r="Y46" s="499">
        <v>37835.19</v>
      </c>
      <c r="Z46" s="499">
        <v>19998.3</v>
      </c>
      <c r="AA46" s="495" t="s">
        <v>400</v>
      </c>
      <c r="AB46" s="495" t="s">
        <v>401</v>
      </c>
      <c r="AC46" s="495" t="s">
        <v>402</v>
      </c>
      <c r="AD46" s="495" t="s">
        <v>202</v>
      </c>
      <c r="AE46" s="495" t="s">
        <v>361</v>
      </c>
      <c r="AF46" s="495" t="s">
        <v>290</v>
      </c>
      <c r="AG46" s="495" t="s">
        <v>204</v>
      </c>
      <c r="AH46" s="500">
        <v>18.190000000000001</v>
      </c>
      <c r="AI46" s="500">
        <v>28953.9</v>
      </c>
      <c r="AJ46" s="495" t="s">
        <v>205</v>
      </c>
      <c r="AK46" s="495" t="s">
        <v>206</v>
      </c>
      <c r="AL46" s="495" t="s">
        <v>207</v>
      </c>
      <c r="AM46" s="495" t="s">
        <v>208</v>
      </c>
      <c r="AN46" s="495" t="s">
        <v>92</v>
      </c>
      <c r="AO46" s="498">
        <v>80</v>
      </c>
      <c r="AP46" s="504">
        <v>1</v>
      </c>
      <c r="AQ46" s="504">
        <v>1</v>
      </c>
      <c r="AR46" s="502" t="s">
        <v>209</v>
      </c>
      <c r="AS46" s="506">
        <f t="shared" si="27"/>
        <v>1</v>
      </c>
      <c r="AT46">
        <f t="shared" si="28"/>
        <v>1</v>
      </c>
      <c r="AU46" s="506">
        <f>IF(AT46=0,"",IF(AND(AT46=1,M46="F",SUMIF(C2:C177,C46,AS2:AS177)&lt;=1),SUMIF(C2:C177,C46,AS2:AS177),IF(AND(AT46=1,M46="F",SUMIF(C2:C177,C46,AS2:AS177)&gt;1),1,"")))</f>
        <v>1</v>
      </c>
      <c r="AV46" s="506" t="str">
        <f>IF(AT46=0,"",IF(AND(AT46=3,M46="F",SUMIF(C2:C177,C46,AS2:AS177)&lt;=1),SUMIF(C2:C177,C46,AS2:AS177),IF(AND(AT46=3,M46="F",SUMIF(C2:C177,C46,AS2:AS177)&gt;1),1,"")))</f>
        <v/>
      </c>
      <c r="AW46" s="506">
        <f>SUMIF(C2:C177,C46,O2:O177)</f>
        <v>2</v>
      </c>
      <c r="AX46" s="506">
        <f>IF(AND(M46="F",AS46&lt;&gt;0),SUMIF(C2:C177,C46,W2:W177),0)</f>
        <v>37835.19</v>
      </c>
      <c r="AY46" s="506">
        <f t="shared" si="29"/>
        <v>37835.19</v>
      </c>
      <c r="AZ46" s="506" t="str">
        <f t="shared" si="30"/>
        <v/>
      </c>
      <c r="BA46" s="506">
        <f t="shared" si="31"/>
        <v>0</v>
      </c>
      <c r="BB46" s="506">
        <f t="shared" si="44"/>
        <v>11650</v>
      </c>
      <c r="BC46" s="506">
        <f t="shared" si="45"/>
        <v>0</v>
      </c>
      <c r="BD46" s="506">
        <f t="shared" si="46"/>
        <v>2345.7817800000003</v>
      </c>
      <c r="BE46" s="506">
        <f t="shared" si="47"/>
        <v>548.61025500000005</v>
      </c>
      <c r="BF46" s="506">
        <f t="shared" si="48"/>
        <v>4517.521686000001</v>
      </c>
      <c r="BG46" s="506">
        <f t="shared" si="49"/>
        <v>272.79171990000003</v>
      </c>
      <c r="BH46" s="506">
        <f t="shared" si="50"/>
        <v>185.39243100000002</v>
      </c>
      <c r="BI46" s="506">
        <f t="shared" si="51"/>
        <v>209.41777665000001</v>
      </c>
      <c r="BJ46" s="506">
        <f t="shared" si="52"/>
        <v>465.37283700000006</v>
      </c>
      <c r="BK46" s="506">
        <f t="shared" si="53"/>
        <v>0</v>
      </c>
      <c r="BL46" s="506">
        <f t="shared" si="32"/>
        <v>8544.8884855500019</v>
      </c>
      <c r="BM46" s="506">
        <f t="shared" si="33"/>
        <v>0</v>
      </c>
      <c r="BN46" s="506">
        <f t="shared" si="54"/>
        <v>11650</v>
      </c>
      <c r="BO46" s="506">
        <f t="shared" si="55"/>
        <v>0</v>
      </c>
      <c r="BP46" s="506">
        <f t="shared" si="56"/>
        <v>2345.7817800000003</v>
      </c>
      <c r="BQ46" s="506">
        <f t="shared" si="57"/>
        <v>548.61025500000005</v>
      </c>
      <c r="BR46" s="506">
        <f t="shared" si="58"/>
        <v>4517.521686000001</v>
      </c>
      <c r="BS46" s="506">
        <f t="shared" si="59"/>
        <v>272.79171990000003</v>
      </c>
      <c r="BT46" s="506">
        <f t="shared" si="60"/>
        <v>0</v>
      </c>
      <c r="BU46" s="506">
        <f t="shared" si="61"/>
        <v>209.41777665000001</v>
      </c>
      <c r="BV46" s="506">
        <f t="shared" si="62"/>
        <v>454.02228000000002</v>
      </c>
      <c r="BW46" s="506">
        <f t="shared" si="63"/>
        <v>0</v>
      </c>
      <c r="BX46" s="506">
        <f t="shared" si="34"/>
        <v>8348.1454975500001</v>
      </c>
      <c r="BY46" s="506">
        <f t="shared" si="35"/>
        <v>0</v>
      </c>
      <c r="BZ46" s="506">
        <f t="shared" si="36"/>
        <v>0</v>
      </c>
      <c r="CA46" s="506">
        <f t="shared" si="37"/>
        <v>0</v>
      </c>
      <c r="CB46" s="506">
        <f t="shared" si="38"/>
        <v>0</v>
      </c>
      <c r="CC46" s="506">
        <f t="shared" si="64"/>
        <v>0</v>
      </c>
      <c r="CD46" s="506">
        <f t="shared" si="65"/>
        <v>0</v>
      </c>
      <c r="CE46" s="506">
        <f t="shared" si="66"/>
        <v>0</v>
      </c>
      <c r="CF46" s="506">
        <f t="shared" si="67"/>
        <v>-185.39243100000002</v>
      </c>
      <c r="CG46" s="506">
        <f t="shared" si="68"/>
        <v>0</v>
      </c>
      <c r="CH46" s="506">
        <f t="shared" si="69"/>
        <v>-11.350556999999998</v>
      </c>
      <c r="CI46" s="506">
        <f t="shared" si="70"/>
        <v>0</v>
      </c>
      <c r="CJ46" s="506">
        <f t="shared" si="39"/>
        <v>-196.74298800000003</v>
      </c>
      <c r="CK46" s="506" t="str">
        <f t="shared" si="40"/>
        <v/>
      </c>
      <c r="CL46" s="506" t="str">
        <f t="shared" si="41"/>
        <v/>
      </c>
      <c r="CM46" s="506" t="str">
        <f t="shared" si="42"/>
        <v/>
      </c>
      <c r="CN46" s="506" t="str">
        <f t="shared" si="43"/>
        <v>0290-00</v>
      </c>
    </row>
    <row r="47" spans="1:92" ht="15.75" thickBot="1" x14ac:dyDescent="0.3">
      <c r="A47" s="495" t="s">
        <v>187</v>
      </c>
      <c r="B47" s="495" t="s">
        <v>188</v>
      </c>
      <c r="C47" s="495" t="s">
        <v>403</v>
      </c>
      <c r="D47" s="495" t="s">
        <v>224</v>
      </c>
      <c r="E47" s="495" t="s">
        <v>191</v>
      </c>
      <c r="F47" s="496" t="s">
        <v>192</v>
      </c>
      <c r="G47" s="495" t="s">
        <v>193</v>
      </c>
      <c r="H47" s="497"/>
      <c r="I47" s="497"/>
      <c r="J47" s="495" t="s">
        <v>194</v>
      </c>
      <c r="K47" s="495" t="s">
        <v>226</v>
      </c>
      <c r="L47" s="495" t="s">
        <v>192</v>
      </c>
      <c r="M47" s="495" t="s">
        <v>197</v>
      </c>
      <c r="N47" s="495" t="s">
        <v>227</v>
      </c>
      <c r="O47" s="498">
        <v>0</v>
      </c>
      <c r="P47" s="504">
        <v>1</v>
      </c>
      <c r="Q47" s="504">
        <v>0</v>
      </c>
      <c r="R47" s="499">
        <v>0</v>
      </c>
      <c r="S47" s="504">
        <v>0</v>
      </c>
      <c r="T47" s="499">
        <v>185966.1</v>
      </c>
      <c r="U47" s="499">
        <v>2974.09</v>
      </c>
      <c r="V47" s="499">
        <v>86870.15</v>
      </c>
      <c r="W47" s="499">
        <v>188940.18</v>
      </c>
      <c r="X47" s="499">
        <v>86870.15</v>
      </c>
      <c r="Y47" s="499">
        <v>188940.18</v>
      </c>
      <c r="Z47" s="499">
        <v>86870.15</v>
      </c>
      <c r="AA47" s="497"/>
      <c r="AB47" s="495" t="s">
        <v>23</v>
      </c>
      <c r="AC47" s="495" t="s">
        <v>23</v>
      </c>
      <c r="AD47" s="497"/>
      <c r="AE47" s="497"/>
      <c r="AF47" s="497"/>
      <c r="AG47" s="497"/>
      <c r="AH47" s="498">
        <v>0</v>
      </c>
      <c r="AI47" s="498">
        <v>0</v>
      </c>
      <c r="AJ47" s="497"/>
      <c r="AK47" s="497"/>
      <c r="AL47" s="495" t="s">
        <v>207</v>
      </c>
      <c r="AM47" s="497"/>
      <c r="AN47" s="497"/>
      <c r="AO47" s="498">
        <v>0</v>
      </c>
      <c r="AP47" s="504">
        <v>0</v>
      </c>
      <c r="AQ47" s="504">
        <v>0</v>
      </c>
      <c r="AR47" s="503"/>
      <c r="AS47" s="506">
        <f t="shared" si="27"/>
        <v>0</v>
      </c>
      <c r="AT47">
        <f t="shared" si="28"/>
        <v>0</v>
      </c>
      <c r="AU47" s="506" t="str">
        <f>IF(AT47=0,"",IF(AND(AT47=1,M47="F",SUMIF(C2:C177,C47,AS2:AS177)&lt;=1),SUMIF(C2:C177,C47,AS2:AS177),IF(AND(AT47=1,M47="F",SUMIF(C2:C177,C47,AS2:AS177)&gt;1),1,"")))</f>
        <v/>
      </c>
      <c r="AV47" s="506" t="str">
        <f>IF(AT47=0,"",IF(AND(AT47=3,M47="F",SUMIF(C2:C177,C47,AS2:AS177)&lt;=1),SUMIF(C2:C177,C47,AS2:AS177),IF(AND(AT47=3,M47="F",SUMIF(C2:C177,C47,AS2:AS177)&gt;1),1,"")))</f>
        <v/>
      </c>
      <c r="AW47" s="506">
        <f>SUMIF(C2:C177,C47,O2:O177)</f>
        <v>0</v>
      </c>
      <c r="AX47" s="506">
        <f>IF(AND(M47="F",AS47&lt;&gt;0),SUMIF(C2:C177,C47,W2:W177),0)</f>
        <v>0</v>
      </c>
      <c r="AY47" s="506" t="str">
        <f t="shared" si="29"/>
        <v/>
      </c>
      <c r="AZ47" s="506" t="str">
        <f t="shared" si="30"/>
        <v/>
      </c>
      <c r="BA47" s="506">
        <f t="shared" si="31"/>
        <v>0</v>
      </c>
      <c r="BB47" s="506">
        <f t="shared" si="44"/>
        <v>0</v>
      </c>
      <c r="BC47" s="506">
        <f t="shared" si="45"/>
        <v>0</v>
      </c>
      <c r="BD47" s="506">
        <f t="shared" si="46"/>
        <v>0</v>
      </c>
      <c r="BE47" s="506">
        <f t="shared" si="47"/>
        <v>0</v>
      </c>
      <c r="BF47" s="506">
        <f t="shared" si="48"/>
        <v>0</v>
      </c>
      <c r="BG47" s="506">
        <f t="shared" si="49"/>
        <v>0</v>
      </c>
      <c r="BH47" s="506">
        <f t="shared" si="50"/>
        <v>0</v>
      </c>
      <c r="BI47" s="506">
        <f t="shared" si="51"/>
        <v>0</v>
      </c>
      <c r="BJ47" s="506">
        <f t="shared" si="52"/>
        <v>0</v>
      </c>
      <c r="BK47" s="506">
        <f t="shared" si="53"/>
        <v>0</v>
      </c>
      <c r="BL47" s="506">
        <f t="shared" si="32"/>
        <v>0</v>
      </c>
      <c r="BM47" s="506">
        <f t="shared" si="33"/>
        <v>0</v>
      </c>
      <c r="BN47" s="506">
        <f t="shared" si="54"/>
        <v>0</v>
      </c>
      <c r="BO47" s="506">
        <f t="shared" si="55"/>
        <v>0</v>
      </c>
      <c r="BP47" s="506">
        <f t="shared" si="56"/>
        <v>0</v>
      </c>
      <c r="BQ47" s="506">
        <f t="shared" si="57"/>
        <v>0</v>
      </c>
      <c r="BR47" s="506">
        <f t="shared" si="58"/>
        <v>0</v>
      </c>
      <c r="BS47" s="506">
        <f t="shared" si="59"/>
        <v>0</v>
      </c>
      <c r="BT47" s="506">
        <f t="shared" si="60"/>
        <v>0</v>
      </c>
      <c r="BU47" s="506">
        <f t="shared" si="61"/>
        <v>0</v>
      </c>
      <c r="BV47" s="506">
        <f t="shared" si="62"/>
        <v>0</v>
      </c>
      <c r="BW47" s="506">
        <f t="shared" si="63"/>
        <v>0</v>
      </c>
      <c r="BX47" s="506">
        <f t="shared" si="34"/>
        <v>0</v>
      </c>
      <c r="BY47" s="506">
        <f t="shared" si="35"/>
        <v>0</v>
      </c>
      <c r="BZ47" s="506">
        <f t="shared" si="36"/>
        <v>0</v>
      </c>
      <c r="CA47" s="506">
        <f t="shared" si="37"/>
        <v>0</v>
      </c>
      <c r="CB47" s="506">
        <f t="shared" si="38"/>
        <v>0</v>
      </c>
      <c r="CC47" s="506">
        <f t="shared" si="64"/>
        <v>0</v>
      </c>
      <c r="CD47" s="506">
        <f t="shared" si="65"/>
        <v>0</v>
      </c>
      <c r="CE47" s="506">
        <f t="shared" si="66"/>
        <v>0</v>
      </c>
      <c r="CF47" s="506">
        <f t="shared" si="67"/>
        <v>0</v>
      </c>
      <c r="CG47" s="506">
        <f t="shared" si="68"/>
        <v>0</v>
      </c>
      <c r="CH47" s="506">
        <f t="shared" si="69"/>
        <v>0</v>
      </c>
      <c r="CI47" s="506">
        <f t="shared" si="70"/>
        <v>0</v>
      </c>
      <c r="CJ47" s="506">
        <f t="shared" si="39"/>
        <v>0</v>
      </c>
      <c r="CK47" s="506" t="str">
        <f t="shared" si="40"/>
        <v/>
      </c>
      <c r="CL47" s="506">
        <f t="shared" si="41"/>
        <v>188940.19</v>
      </c>
      <c r="CM47" s="506">
        <f t="shared" si="42"/>
        <v>86870.15</v>
      </c>
      <c r="CN47" s="506" t="str">
        <f t="shared" si="43"/>
        <v>0290-00</v>
      </c>
    </row>
    <row r="48" spans="1:92" ht="15.75" thickBot="1" x14ac:dyDescent="0.3">
      <c r="A48" s="495" t="s">
        <v>187</v>
      </c>
      <c r="B48" s="495" t="s">
        <v>188</v>
      </c>
      <c r="C48" s="495" t="s">
        <v>404</v>
      </c>
      <c r="D48" s="495" t="s">
        <v>229</v>
      </c>
      <c r="E48" s="495" t="s">
        <v>191</v>
      </c>
      <c r="F48" s="496" t="s">
        <v>192</v>
      </c>
      <c r="G48" s="495" t="s">
        <v>193</v>
      </c>
      <c r="H48" s="497"/>
      <c r="I48" s="497"/>
      <c r="J48" s="495" t="s">
        <v>230</v>
      </c>
      <c r="K48" s="495" t="s">
        <v>231</v>
      </c>
      <c r="L48" s="495" t="s">
        <v>232</v>
      </c>
      <c r="M48" s="495" t="s">
        <v>197</v>
      </c>
      <c r="N48" s="495" t="s">
        <v>198</v>
      </c>
      <c r="O48" s="498">
        <v>1</v>
      </c>
      <c r="P48" s="504">
        <v>1</v>
      </c>
      <c r="Q48" s="504">
        <v>1</v>
      </c>
      <c r="R48" s="499">
        <v>80</v>
      </c>
      <c r="S48" s="504">
        <v>1</v>
      </c>
      <c r="T48" s="499">
        <v>44228.9</v>
      </c>
      <c r="U48" s="499">
        <v>341</v>
      </c>
      <c r="V48" s="499">
        <v>21466.84</v>
      </c>
      <c r="W48" s="499">
        <v>48068.79</v>
      </c>
      <c r="X48" s="499">
        <v>22506.27</v>
      </c>
      <c r="Y48" s="499">
        <v>48068.79</v>
      </c>
      <c r="Z48" s="499">
        <v>22256.33</v>
      </c>
      <c r="AA48" s="495" t="s">
        <v>405</v>
      </c>
      <c r="AB48" s="495" t="s">
        <v>392</v>
      </c>
      <c r="AC48" s="495" t="s">
        <v>406</v>
      </c>
      <c r="AD48" s="495" t="s">
        <v>242</v>
      </c>
      <c r="AE48" s="495" t="s">
        <v>231</v>
      </c>
      <c r="AF48" s="495" t="s">
        <v>237</v>
      </c>
      <c r="AG48" s="495" t="s">
        <v>204</v>
      </c>
      <c r="AH48" s="500">
        <v>23.11</v>
      </c>
      <c r="AI48" s="500">
        <v>2975.1</v>
      </c>
      <c r="AJ48" s="495" t="s">
        <v>205</v>
      </c>
      <c r="AK48" s="495" t="s">
        <v>206</v>
      </c>
      <c r="AL48" s="495" t="s">
        <v>207</v>
      </c>
      <c r="AM48" s="495" t="s">
        <v>208</v>
      </c>
      <c r="AN48" s="495" t="s">
        <v>92</v>
      </c>
      <c r="AO48" s="498">
        <v>80</v>
      </c>
      <c r="AP48" s="504">
        <v>1</v>
      </c>
      <c r="AQ48" s="504">
        <v>1</v>
      </c>
      <c r="AR48" s="502" t="s">
        <v>209</v>
      </c>
      <c r="AS48" s="506">
        <f t="shared" si="27"/>
        <v>1</v>
      </c>
      <c r="AT48">
        <f t="shared" si="28"/>
        <v>1</v>
      </c>
      <c r="AU48" s="506">
        <f>IF(AT48=0,"",IF(AND(AT48=1,M48="F",SUMIF(C2:C177,C48,AS2:AS177)&lt;=1),SUMIF(C2:C177,C48,AS2:AS177),IF(AND(AT48=1,M48="F",SUMIF(C2:C177,C48,AS2:AS177)&gt;1),1,"")))</f>
        <v>1</v>
      </c>
      <c r="AV48" s="506" t="str">
        <f>IF(AT48=0,"",IF(AND(AT48=3,M48="F",SUMIF(C2:C177,C48,AS2:AS177)&lt;=1),SUMIF(C2:C177,C48,AS2:AS177),IF(AND(AT48=3,M48="F",SUMIF(C2:C177,C48,AS2:AS177)&gt;1),1,"")))</f>
        <v/>
      </c>
      <c r="AW48" s="506">
        <f>SUMIF(C2:C177,C48,O2:O177)</f>
        <v>1</v>
      </c>
      <c r="AX48" s="506">
        <f>IF(AND(M48="F",AS48&lt;&gt;0),SUMIF(C2:C177,C48,W2:W177),0)</f>
        <v>48068.79</v>
      </c>
      <c r="AY48" s="506">
        <f t="shared" si="29"/>
        <v>48068.79</v>
      </c>
      <c r="AZ48" s="506" t="str">
        <f t="shared" si="30"/>
        <v/>
      </c>
      <c r="BA48" s="506">
        <f t="shared" si="31"/>
        <v>0</v>
      </c>
      <c r="BB48" s="506">
        <f t="shared" si="44"/>
        <v>11650</v>
      </c>
      <c r="BC48" s="506">
        <f t="shared" si="45"/>
        <v>0</v>
      </c>
      <c r="BD48" s="506">
        <f t="shared" si="46"/>
        <v>2980.2649799999999</v>
      </c>
      <c r="BE48" s="506">
        <f t="shared" si="47"/>
        <v>696.99745500000006</v>
      </c>
      <c r="BF48" s="506">
        <f t="shared" si="48"/>
        <v>5739.4135260000003</v>
      </c>
      <c r="BG48" s="506">
        <f t="shared" si="49"/>
        <v>346.5759759</v>
      </c>
      <c r="BH48" s="506">
        <f t="shared" si="50"/>
        <v>235.537071</v>
      </c>
      <c r="BI48" s="506">
        <f t="shared" si="51"/>
        <v>266.06075264999998</v>
      </c>
      <c r="BJ48" s="506">
        <f t="shared" si="52"/>
        <v>591.24611700000003</v>
      </c>
      <c r="BK48" s="506">
        <f t="shared" si="53"/>
        <v>0</v>
      </c>
      <c r="BL48" s="506">
        <f t="shared" si="32"/>
        <v>10856.095877550002</v>
      </c>
      <c r="BM48" s="506">
        <f t="shared" si="33"/>
        <v>0</v>
      </c>
      <c r="BN48" s="506">
        <f t="shared" si="54"/>
        <v>11650</v>
      </c>
      <c r="BO48" s="506">
        <f t="shared" si="55"/>
        <v>0</v>
      </c>
      <c r="BP48" s="506">
        <f t="shared" si="56"/>
        <v>2980.2649799999999</v>
      </c>
      <c r="BQ48" s="506">
        <f t="shared" si="57"/>
        <v>696.99745500000006</v>
      </c>
      <c r="BR48" s="506">
        <f t="shared" si="58"/>
        <v>5739.4135260000003</v>
      </c>
      <c r="BS48" s="506">
        <f t="shared" si="59"/>
        <v>346.5759759</v>
      </c>
      <c r="BT48" s="506">
        <f t="shared" si="60"/>
        <v>0</v>
      </c>
      <c r="BU48" s="506">
        <f t="shared" si="61"/>
        <v>266.06075264999998</v>
      </c>
      <c r="BV48" s="506">
        <f t="shared" si="62"/>
        <v>576.82547999999997</v>
      </c>
      <c r="BW48" s="506">
        <f t="shared" si="63"/>
        <v>0</v>
      </c>
      <c r="BX48" s="506">
        <f t="shared" si="34"/>
        <v>10606.13816955</v>
      </c>
      <c r="BY48" s="506">
        <f t="shared" si="35"/>
        <v>0</v>
      </c>
      <c r="BZ48" s="506">
        <f t="shared" si="36"/>
        <v>0</v>
      </c>
      <c r="CA48" s="506">
        <f t="shared" si="37"/>
        <v>0</v>
      </c>
      <c r="CB48" s="506">
        <f t="shared" si="38"/>
        <v>0</v>
      </c>
      <c r="CC48" s="506">
        <f t="shared" si="64"/>
        <v>0</v>
      </c>
      <c r="CD48" s="506">
        <f t="shared" si="65"/>
        <v>0</v>
      </c>
      <c r="CE48" s="506">
        <f t="shared" si="66"/>
        <v>0</v>
      </c>
      <c r="CF48" s="506">
        <f t="shared" si="67"/>
        <v>-235.537071</v>
      </c>
      <c r="CG48" s="506">
        <f t="shared" si="68"/>
        <v>0</v>
      </c>
      <c r="CH48" s="506">
        <f t="shared" si="69"/>
        <v>-14.420636999999996</v>
      </c>
      <c r="CI48" s="506">
        <f t="shared" si="70"/>
        <v>0</v>
      </c>
      <c r="CJ48" s="506">
        <f t="shared" si="39"/>
        <v>-249.957708</v>
      </c>
      <c r="CK48" s="506" t="str">
        <f t="shared" si="40"/>
        <v/>
      </c>
      <c r="CL48" s="506" t="str">
        <f t="shared" si="41"/>
        <v/>
      </c>
      <c r="CM48" s="506" t="str">
        <f t="shared" si="42"/>
        <v/>
      </c>
      <c r="CN48" s="506" t="str">
        <f t="shared" si="43"/>
        <v>0290-00</v>
      </c>
    </row>
    <row r="49" spans="1:92" ht="15.75" thickBot="1" x14ac:dyDescent="0.3">
      <c r="A49" s="495" t="s">
        <v>187</v>
      </c>
      <c r="B49" s="495" t="s">
        <v>188</v>
      </c>
      <c r="C49" s="495" t="s">
        <v>407</v>
      </c>
      <c r="D49" s="495" t="s">
        <v>190</v>
      </c>
      <c r="E49" s="495" t="s">
        <v>191</v>
      </c>
      <c r="F49" s="496" t="s">
        <v>192</v>
      </c>
      <c r="G49" s="495" t="s">
        <v>193</v>
      </c>
      <c r="H49" s="497"/>
      <c r="I49" s="497"/>
      <c r="J49" s="495" t="s">
        <v>225</v>
      </c>
      <c r="K49" s="495" t="s">
        <v>195</v>
      </c>
      <c r="L49" s="495" t="s">
        <v>196</v>
      </c>
      <c r="M49" s="495" t="s">
        <v>197</v>
      </c>
      <c r="N49" s="495" t="s">
        <v>198</v>
      </c>
      <c r="O49" s="498">
        <v>1</v>
      </c>
      <c r="P49" s="504">
        <v>1</v>
      </c>
      <c r="Q49" s="504">
        <v>1</v>
      </c>
      <c r="R49" s="499">
        <v>80</v>
      </c>
      <c r="S49" s="504">
        <v>1</v>
      </c>
      <c r="T49" s="499">
        <v>70363.679999999993</v>
      </c>
      <c r="U49" s="499">
        <v>120.79</v>
      </c>
      <c r="V49" s="499">
        <v>27444.74</v>
      </c>
      <c r="W49" s="499">
        <v>63835.199999999997</v>
      </c>
      <c r="X49" s="499">
        <v>26067.16</v>
      </c>
      <c r="Y49" s="499">
        <v>63835.199999999997</v>
      </c>
      <c r="Z49" s="499">
        <v>25735.22</v>
      </c>
      <c r="AA49" s="495" t="s">
        <v>408</v>
      </c>
      <c r="AB49" s="495" t="s">
        <v>409</v>
      </c>
      <c r="AC49" s="495" t="s">
        <v>377</v>
      </c>
      <c r="AD49" s="495" t="s">
        <v>206</v>
      </c>
      <c r="AE49" s="495" t="s">
        <v>195</v>
      </c>
      <c r="AF49" s="495" t="s">
        <v>203</v>
      </c>
      <c r="AG49" s="495" t="s">
        <v>204</v>
      </c>
      <c r="AH49" s="500">
        <v>30.69</v>
      </c>
      <c r="AI49" s="500">
        <v>30063.5</v>
      </c>
      <c r="AJ49" s="495" t="s">
        <v>205</v>
      </c>
      <c r="AK49" s="495" t="s">
        <v>206</v>
      </c>
      <c r="AL49" s="495" t="s">
        <v>207</v>
      </c>
      <c r="AM49" s="495" t="s">
        <v>208</v>
      </c>
      <c r="AN49" s="495" t="s">
        <v>92</v>
      </c>
      <c r="AO49" s="498">
        <v>80</v>
      </c>
      <c r="AP49" s="504">
        <v>1</v>
      </c>
      <c r="AQ49" s="504">
        <v>1</v>
      </c>
      <c r="AR49" s="502" t="s">
        <v>209</v>
      </c>
      <c r="AS49" s="506">
        <f t="shared" si="27"/>
        <v>1</v>
      </c>
      <c r="AT49">
        <f t="shared" si="28"/>
        <v>1</v>
      </c>
      <c r="AU49" s="506">
        <f>IF(AT49=0,"",IF(AND(AT49=1,M49="F",SUMIF(C2:C177,C49,AS2:AS177)&lt;=1),SUMIF(C2:C177,C49,AS2:AS177),IF(AND(AT49=1,M49="F",SUMIF(C2:C177,C49,AS2:AS177)&gt;1),1,"")))</f>
        <v>1</v>
      </c>
      <c r="AV49" s="506" t="str">
        <f>IF(AT49=0,"",IF(AND(AT49=3,M49="F",SUMIF(C2:C177,C49,AS2:AS177)&lt;=1),SUMIF(C2:C177,C49,AS2:AS177),IF(AND(AT49=3,M49="F",SUMIF(C2:C177,C49,AS2:AS177)&gt;1),1,"")))</f>
        <v/>
      </c>
      <c r="AW49" s="506">
        <f>SUMIF(C2:C177,C49,O2:O177)</f>
        <v>1</v>
      </c>
      <c r="AX49" s="506">
        <f>IF(AND(M49="F",AS49&lt;&gt;0),SUMIF(C2:C177,C49,W2:W177),0)</f>
        <v>63835.199999999997</v>
      </c>
      <c r="AY49" s="506">
        <f t="shared" si="29"/>
        <v>63835.199999999997</v>
      </c>
      <c r="AZ49" s="506" t="str">
        <f t="shared" si="30"/>
        <v/>
      </c>
      <c r="BA49" s="506">
        <f t="shared" si="31"/>
        <v>0</v>
      </c>
      <c r="BB49" s="506">
        <f t="shared" si="44"/>
        <v>11650</v>
      </c>
      <c r="BC49" s="506">
        <f t="shared" si="45"/>
        <v>0</v>
      </c>
      <c r="BD49" s="506">
        <f t="shared" si="46"/>
        <v>3957.7823999999996</v>
      </c>
      <c r="BE49" s="506">
        <f t="shared" si="47"/>
        <v>925.61040000000003</v>
      </c>
      <c r="BF49" s="506">
        <f t="shared" si="48"/>
        <v>7621.9228800000001</v>
      </c>
      <c r="BG49" s="506">
        <f t="shared" si="49"/>
        <v>460.25179200000002</v>
      </c>
      <c r="BH49" s="506">
        <f t="shared" si="50"/>
        <v>312.79247999999995</v>
      </c>
      <c r="BI49" s="506">
        <f t="shared" si="51"/>
        <v>353.327832</v>
      </c>
      <c r="BJ49" s="506">
        <f t="shared" si="52"/>
        <v>785.17295999999999</v>
      </c>
      <c r="BK49" s="506">
        <f t="shared" si="53"/>
        <v>0</v>
      </c>
      <c r="BL49" s="506">
        <f t="shared" si="32"/>
        <v>14416.860744</v>
      </c>
      <c r="BM49" s="506">
        <f t="shared" si="33"/>
        <v>0</v>
      </c>
      <c r="BN49" s="506">
        <f t="shared" si="54"/>
        <v>11650</v>
      </c>
      <c r="BO49" s="506">
        <f t="shared" si="55"/>
        <v>0</v>
      </c>
      <c r="BP49" s="506">
        <f t="shared" si="56"/>
        <v>3957.7823999999996</v>
      </c>
      <c r="BQ49" s="506">
        <f t="shared" si="57"/>
        <v>925.61040000000003</v>
      </c>
      <c r="BR49" s="506">
        <f t="shared" si="58"/>
        <v>7621.9228800000001</v>
      </c>
      <c r="BS49" s="506">
        <f t="shared" si="59"/>
        <v>460.25179200000002</v>
      </c>
      <c r="BT49" s="506">
        <f t="shared" si="60"/>
        <v>0</v>
      </c>
      <c r="BU49" s="506">
        <f t="shared" si="61"/>
        <v>353.327832</v>
      </c>
      <c r="BV49" s="506">
        <f t="shared" si="62"/>
        <v>766.02239999999995</v>
      </c>
      <c r="BW49" s="506">
        <f t="shared" si="63"/>
        <v>0</v>
      </c>
      <c r="BX49" s="506">
        <f t="shared" si="34"/>
        <v>14084.917704</v>
      </c>
      <c r="BY49" s="506">
        <f t="shared" si="35"/>
        <v>0</v>
      </c>
      <c r="BZ49" s="506">
        <f t="shared" si="36"/>
        <v>0</v>
      </c>
      <c r="CA49" s="506">
        <f t="shared" si="37"/>
        <v>0</v>
      </c>
      <c r="CB49" s="506">
        <f t="shared" si="38"/>
        <v>0</v>
      </c>
      <c r="CC49" s="506">
        <f t="shared" si="64"/>
        <v>0</v>
      </c>
      <c r="CD49" s="506">
        <f t="shared" si="65"/>
        <v>0</v>
      </c>
      <c r="CE49" s="506">
        <f t="shared" si="66"/>
        <v>0</v>
      </c>
      <c r="CF49" s="506">
        <f t="shared" si="67"/>
        <v>-312.79247999999995</v>
      </c>
      <c r="CG49" s="506">
        <f t="shared" si="68"/>
        <v>0</v>
      </c>
      <c r="CH49" s="506">
        <f t="shared" si="69"/>
        <v>-19.150559999999995</v>
      </c>
      <c r="CI49" s="506">
        <f t="shared" si="70"/>
        <v>0</v>
      </c>
      <c r="CJ49" s="506">
        <f t="shared" si="39"/>
        <v>-331.94303999999994</v>
      </c>
      <c r="CK49" s="506" t="str">
        <f t="shared" si="40"/>
        <v/>
      </c>
      <c r="CL49" s="506" t="str">
        <f t="shared" si="41"/>
        <v/>
      </c>
      <c r="CM49" s="506" t="str">
        <f t="shared" si="42"/>
        <v/>
      </c>
      <c r="CN49" s="506" t="str">
        <f t="shared" si="43"/>
        <v>0290-00</v>
      </c>
    </row>
    <row r="50" spans="1:92" ht="15.75" thickBot="1" x14ac:dyDescent="0.3">
      <c r="A50" s="495" t="s">
        <v>187</v>
      </c>
      <c r="B50" s="495" t="s">
        <v>188</v>
      </c>
      <c r="C50" s="495" t="s">
        <v>410</v>
      </c>
      <c r="D50" s="495" t="s">
        <v>268</v>
      </c>
      <c r="E50" s="495" t="s">
        <v>191</v>
      </c>
      <c r="F50" s="496" t="s">
        <v>192</v>
      </c>
      <c r="G50" s="495" t="s">
        <v>193</v>
      </c>
      <c r="H50" s="497"/>
      <c r="I50" s="497"/>
      <c r="J50" s="495" t="s">
        <v>225</v>
      </c>
      <c r="K50" s="495" t="s">
        <v>269</v>
      </c>
      <c r="L50" s="495" t="s">
        <v>204</v>
      </c>
      <c r="M50" s="495" t="s">
        <v>197</v>
      </c>
      <c r="N50" s="495" t="s">
        <v>198</v>
      </c>
      <c r="O50" s="498">
        <v>1</v>
      </c>
      <c r="P50" s="504">
        <v>1</v>
      </c>
      <c r="Q50" s="504">
        <v>1</v>
      </c>
      <c r="R50" s="499">
        <v>80</v>
      </c>
      <c r="S50" s="504">
        <v>1</v>
      </c>
      <c r="T50" s="499">
        <v>33185.29</v>
      </c>
      <c r="U50" s="499">
        <v>278.05</v>
      </c>
      <c r="V50" s="499">
        <v>18005.05</v>
      </c>
      <c r="W50" s="499">
        <v>31304</v>
      </c>
      <c r="X50" s="499">
        <v>18719.96</v>
      </c>
      <c r="Y50" s="499">
        <v>31304</v>
      </c>
      <c r="Z50" s="499">
        <v>18557.189999999999</v>
      </c>
      <c r="AA50" s="495" t="s">
        <v>411</v>
      </c>
      <c r="AB50" s="495" t="s">
        <v>412</v>
      </c>
      <c r="AC50" s="495" t="s">
        <v>413</v>
      </c>
      <c r="AD50" s="495" t="s">
        <v>242</v>
      </c>
      <c r="AE50" s="495" t="s">
        <v>269</v>
      </c>
      <c r="AF50" s="495" t="s">
        <v>274</v>
      </c>
      <c r="AG50" s="495" t="s">
        <v>204</v>
      </c>
      <c r="AH50" s="500">
        <v>15.05</v>
      </c>
      <c r="AI50" s="498">
        <v>1720</v>
      </c>
      <c r="AJ50" s="495" t="s">
        <v>205</v>
      </c>
      <c r="AK50" s="495" t="s">
        <v>206</v>
      </c>
      <c r="AL50" s="495" t="s">
        <v>207</v>
      </c>
      <c r="AM50" s="495" t="s">
        <v>208</v>
      </c>
      <c r="AN50" s="495" t="s">
        <v>92</v>
      </c>
      <c r="AO50" s="498">
        <v>80</v>
      </c>
      <c r="AP50" s="504">
        <v>1</v>
      </c>
      <c r="AQ50" s="504">
        <v>1</v>
      </c>
      <c r="AR50" s="502" t="s">
        <v>209</v>
      </c>
      <c r="AS50" s="506">
        <f t="shared" si="27"/>
        <v>1</v>
      </c>
      <c r="AT50">
        <f t="shared" si="28"/>
        <v>1</v>
      </c>
      <c r="AU50" s="506">
        <f>IF(AT50=0,"",IF(AND(AT50=1,M50="F",SUMIF(C2:C177,C50,AS2:AS177)&lt;=1),SUMIF(C2:C177,C50,AS2:AS177),IF(AND(AT50=1,M50="F",SUMIF(C2:C177,C50,AS2:AS177)&gt;1),1,"")))</f>
        <v>1</v>
      </c>
      <c r="AV50" s="506" t="str">
        <f>IF(AT50=0,"",IF(AND(AT50=3,M50="F",SUMIF(C2:C177,C50,AS2:AS177)&lt;=1),SUMIF(C2:C177,C50,AS2:AS177),IF(AND(AT50=3,M50="F",SUMIF(C2:C177,C50,AS2:AS177)&gt;1),1,"")))</f>
        <v/>
      </c>
      <c r="AW50" s="506">
        <f>SUMIF(C2:C177,C50,O2:O177)</f>
        <v>1</v>
      </c>
      <c r="AX50" s="506">
        <f>IF(AND(M50="F",AS50&lt;&gt;0),SUMIF(C2:C177,C50,W2:W177),0)</f>
        <v>31304</v>
      </c>
      <c r="AY50" s="506">
        <f t="shared" si="29"/>
        <v>31304</v>
      </c>
      <c r="AZ50" s="506" t="str">
        <f t="shared" si="30"/>
        <v/>
      </c>
      <c r="BA50" s="506">
        <f t="shared" si="31"/>
        <v>0</v>
      </c>
      <c r="BB50" s="506">
        <f t="shared" si="44"/>
        <v>11650</v>
      </c>
      <c r="BC50" s="506">
        <f t="shared" si="45"/>
        <v>0</v>
      </c>
      <c r="BD50" s="506">
        <f t="shared" si="46"/>
        <v>1940.848</v>
      </c>
      <c r="BE50" s="506">
        <f t="shared" si="47"/>
        <v>453.90800000000002</v>
      </c>
      <c r="BF50" s="506">
        <f t="shared" si="48"/>
        <v>3737.6976</v>
      </c>
      <c r="BG50" s="506">
        <f t="shared" si="49"/>
        <v>225.70184</v>
      </c>
      <c r="BH50" s="506">
        <f t="shared" si="50"/>
        <v>153.3896</v>
      </c>
      <c r="BI50" s="506">
        <f t="shared" si="51"/>
        <v>173.26764</v>
      </c>
      <c r="BJ50" s="506">
        <f t="shared" si="52"/>
        <v>385.03919999999999</v>
      </c>
      <c r="BK50" s="506">
        <f t="shared" si="53"/>
        <v>0</v>
      </c>
      <c r="BL50" s="506">
        <f t="shared" si="32"/>
        <v>7069.8518800000002</v>
      </c>
      <c r="BM50" s="506">
        <f t="shared" si="33"/>
        <v>0</v>
      </c>
      <c r="BN50" s="506">
        <f t="shared" si="54"/>
        <v>11650</v>
      </c>
      <c r="BO50" s="506">
        <f t="shared" si="55"/>
        <v>0</v>
      </c>
      <c r="BP50" s="506">
        <f t="shared" si="56"/>
        <v>1940.848</v>
      </c>
      <c r="BQ50" s="506">
        <f t="shared" si="57"/>
        <v>453.90800000000002</v>
      </c>
      <c r="BR50" s="506">
        <f t="shared" si="58"/>
        <v>3737.6976</v>
      </c>
      <c r="BS50" s="506">
        <f t="shared" si="59"/>
        <v>225.70184</v>
      </c>
      <c r="BT50" s="506">
        <f t="shared" si="60"/>
        <v>0</v>
      </c>
      <c r="BU50" s="506">
        <f t="shared" si="61"/>
        <v>173.26764</v>
      </c>
      <c r="BV50" s="506">
        <f t="shared" si="62"/>
        <v>375.64800000000002</v>
      </c>
      <c r="BW50" s="506">
        <f t="shared" si="63"/>
        <v>0</v>
      </c>
      <c r="BX50" s="506">
        <f t="shared" si="34"/>
        <v>6907.0710799999997</v>
      </c>
      <c r="BY50" s="506">
        <f t="shared" si="35"/>
        <v>0</v>
      </c>
      <c r="BZ50" s="506">
        <f t="shared" si="36"/>
        <v>0</v>
      </c>
      <c r="CA50" s="506">
        <f t="shared" si="37"/>
        <v>0</v>
      </c>
      <c r="CB50" s="506">
        <f t="shared" si="38"/>
        <v>0</v>
      </c>
      <c r="CC50" s="506">
        <f t="shared" si="64"/>
        <v>0</v>
      </c>
      <c r="CD50" s="506">
        <f t="shared" si="65"/>
        <v>0</v>
      </c>
      <c r="CE50" s="506">
        <f t="shared" si="66"/>
        <v>0</v>
      </c>
      <c r="CF50" s="506">
        <f t="shared" si="67"/>
        <v>-153.3896</v>
      </c>
      <c r="CG50" s="506">
        <f t="shared" si="68"/>
        <v>0</v>
      </c>
      <c r="CH50" s="506">
        <f t="shared" si="69"/>
        <v>-9.3911999999999978</v>
      </c>
      <c r="CI50" s="506">
        <f t="shared" si="70"/>
        <v>0</v>
      </c>
      <c r="CJ50" s="506">
        <f t="shared" si="39"/>
        <v>-162.7808</v>
      </c>
      <c r="CK50" s="506" t="str">
        <f t="shared" si="40"/>
        <v/>
      </c>
      <c r="CL50" s="506" t="str">
        <f t="shared" si="41"/>
        <v/>
      </c>
      <c r="CM50" s="506" t="str">
        <f t="shared" si="42"/>
        <v/>
      </c>
      <c r="CN50" s="506" t="str">
        <f t="shared" si="43"/>
        <v>0290-00</v>
      </c>
    </row>
    <row r="51" spans="1:92" ht="15.75" thickBot="1" x14ac:dyDescent="0.3">
      <c r="A51" s="495" t="s">
        <v>187</v>
      </c>
      <c r="B51" s="495" t="s">
        <v>188</v>
      </c>
      <c r="C51" s="495" t="s">
        <v>414</v>
      </c>
      <c r="D51" s="495" t="s">
        <v>265</v>
      </c>
      <c r="E51" s="495" t="s">
        <v>191</v>
      </c>
      <c r="F51" s="496" t="s">
        <v>192</v>
      </c>
      <c r="G51" s="495" t="s">
        <v>193</v>
      </c>
      <c r="H51" s="497"/>
      <c r="I51" s="497"/>
      <c r="J51" s="495" t="s">
        <v>225</v>
      </c>
      <c r="K51" s="495" t="s">
        <v>415</v>
      </c>
      <c r="L51" s="495" t="s">
        <v>196</v>
      </c>
      <c r="M51" s="495" t="s">
        <v>292</v>
      </c>
      <c r="N51" s="495" t="s">
        <v>198</v>
      </c>
      <c r="O51" s="498">
        <v>0</v>
      </c>
      <c r="P51" s="504">
        <v>0</v>
      </c>
      <c r="Q51" s="504">
        <v>0</v>
      </c>
      <c r="R51" s="499">
        <v>80</v>
      </c>
      <c r="S51" s="504">
        <v>0</v>
      </c>
      <c r="T51" s="499">
        <v>14257.4</v>
      </c>
      <c r="U51" s="499">
        <v>0</v>
      </c>
      <c r="V51" s="499">
        <v>7377.25</v>
      </c>
      <c r="W51" s="499">
        <v>0</v>
      </c>
      <c r="X51" s="499">
        <v>0</v>
      </c>
      <c r="Y51" s="499">
        <v>0</v>
      </c>
      <c r="Z51" s="499">
        <v>0</v>
      </c>
      <c r="AA51" s="497"/>
      <c r="AB51" s="495" t="s">
        <v>23</v>
      </c>
      <c r="AC51" s="495" t="s">
        <v>23</v>
      </c>
      <c r="AD51" s="497"/>
      <c r="AE51" s="497"/>
      <c r="AF51" s="497"/>
      <c r="AG51" s="497"/>
      <c r="AH51" s="498">
        <v>0</v>
      </c>
      <c r="AI51" s="498">
        <v>0</v>
      </c>
      <c r="AJ51" s="497"/>
      <c r="AK51" s="497"/>
      <c r="AL51" s="495" t="s">
        <v>207</v>
      </c>
      <c r="AM51" s="497"/>
      <c r="AN51" s="497"/>
      <c r="AO51" s="498">
        <v>0</v>
      </c>
      <c r="AP51" s="504">
        <v>0</v>
      </c>
      <c r="AQ51" s="504">
        <v>0</v>
      </c>
      <c r="AR51" s="503"/>
      <c r="AS51" s="506">
        <f t="shared" si="27"/>
        <v>0</v>
      </c>
      <c r="AT51">
        <f t="shared" si="28"/>
        <v>0</v>
      </c>
      <c r="AU51" s="506" t="str">
        <f>IF(AT51=0,"",IF(AND(AT51=1,M51="F",SUMIF(C2:C177,C51,AS2:AS177)&lt;=1),SUMIF(C2:C177,C51,AS2:AS177),IF(AND(AT51=1,M51="F",SUMIF(C2:C177,C51,AS2:AS177)&gt;1),1,"")))</f>
        <v/>
      </c>
      <c r="AV51" s="506" t="str">
        <f>IF(AT51=0,"",IF(AND(AT51=3,M51="F",SUMIF(C2:C177,C51,AS2:AS177)&lt;=1),SUMIF(C2:C177,C51,AS2:AS177),IF(AND(AT51=3,M51="F",SUMIF(C2:C177,C51,AS2:AS177)&gt;1),1,"")))</f>
        <v/>
      </c>
      <c r="AW51" s="506">
        <f>SUMIF(C2:C177,C51,O2:O177)</f>
        <v>0</v>
      </c>
      <c r="AX51" s="506">
        <f>IF(AND(M51="F",AS51&lt;&gt;0),SUMIF(C2:C177,C51,W2:W177),0)</f>
        <v>0</v>
      </c>
      <c r="AY51" s="506" t="str">
        <f t="shared" si="29"/>
        <v/>
      </c>
      <c r="AZ51" s="506" t="str">
        <f t="shared" si="30"/>
        <v/>
      </c>
      <c r="BA51" s="506">
        <f t="shared" si="31"/>
        <v>0</v>
      </c>
      <c r="BB51" s="506">
        <f t="shared" si="44"/>
        <v>0</v>
      </c>
      <c r="BC51" s="506">
        <f t="shared" si="45"/>
        <v>0</v>
      </c>
      <c r="BD51" s="506">
        <f t="shared" si="46"/>
        <v>0</v>
      </c>
      <c r="BE51" s="506">
        <f t="shared" si="47"/>
        <v>0</v>
      </c>
      <c r="BF51" s="506">
        <f t="shared" si="48"/>
        <v>0</v>
      </c>
      <c r="BG51" s="506">
        <f t="shared" si="49"/>
        <v>0</v>
      </c>
      <c r="BH51" s="506">
        <f t="shared" si="50"/>
        <v>0</v>
      </c>
      <c r="BI51" s="506">
        <f t="shared" si="51"/>
        <v>0</v>
      </c>
      <c r="BJ51" s="506">
        <f t="shared" si="52"/>
        <v>0</v>
      </c>
      <c r="BK51" s="506">
        <f t="shared" si="53"/>
        <v>0</v>
      </c>
      <c r="BL51" s="506">
        <f t="shared" si="32"/>
        <v>0</v>
      </c>
      <c r="BM51" s="506">
        <f t="shared" si="33"/>
        <v>0</v>
      </c>
      <c r="BN51" s="506">
        <f t="shared" si="54"/>
        <v>0</v>
      </c>
      <c r="BO51" s="506">
        <f t="shared" si="55"/>
        <v>0</v>
      </c>
      <c r="BP51" s="506">
        <f t="shared" si="56"/>
        <v>0</v>
      </c>
      <c r="BQ51" s="506">
        <f t="shared" si="57"/>
        <v>0</v>
      </c>
      <c r="BR51" s="506">
        <f t="shared" si="58"/>
        <v>0</v>
      </c>
      <c r="BS51" s="506">
        <f t="shared" si="59"/>
        <v>0</v>
      </c>
      <c r="BT51" s="506">
        <f t="shared" si="60"/>
        <v>0</v>
      </c>
      <c r="BU51" s="506">
        <f t="shared" si="61"/>
        <v>0</v>
      </c>
      <c r="BV51" s="506">
        <f t="shared" si="62"/>
        <v>0</v>
      </c>
      <c r="BW51" s="506">
        <f t="shared" si="63"/>
        <v>0</v>
      </c>
      <c r="BX51" s="506">
        <f t="shared" si="34"/>
        <v>0</v>
      </c>
      <c r="BY51" s="506">
        <f t="shared" si="35"/>
        <v>0</v>
      </c>
      <c r="BZ51" s="506">
        <f t="shared" si="36"/>
        <v>0</v>
      </c>
      <c r="CA51" s="506">
        <f t="shared" si="37"/>
        <v>0</v>
      </c>
      <c r="CB51" s="506">
        <f t="shared" si="38"/>
        <v>0</v>
      </c>
      <c r="CC51" s="506">
        <f t="shared" si="64"/>
        <v>0</v>
      </c>
      <c r="CD51" s="506">
        <f t="shared" si="65"/>
        <v>0</v>
      </c>
      <c r="CE51" s="506">
        <f t="shared" si="66"/>
        <v>0</v>
      </c>
      <c r="CF51" s="506">
        <f t="shared" si="67"/>
        <v>0</v>
      </c>
      <c r="CG51" s="506">
        <f t="shared" si="68"/>
        <v>0</v>
      </c>
      <c r="CH51" s="506">
        <f t="shared" si="69"/>
        <v>0</v>
      </c>
      <c r="CI51" s="506">
        <f t="shared" si="70"/>
        <v>0</v>
      </c>
      <c r="CJ51" s="506">
        <f t="shared" si="39"/>
        <v>0</v>
      </c>
      <c r="CK51" s="506" t="str">
        <f t="shared" si="40"/>
        <v/>
      </c>
      <c r="CL51" s="506" t="str">
        <f t="shared" si="41"/>
        <v/>
      </c>
      <c r="CM51" s="506" t="str">
        <f t="shared" si="42"/>
        <v/>
      </c>
      <c r="CN51" s="506" t="str">
        <f t="shared" si="43"/>
        <v>0290-00</v>
      </c>
    </row>
    <row r="52" spans="1:92" ht="15.75" thickBot="1" x14ac:dyDescent="0.3">
      <c r="A52" s="495" t="s">
        <v>187</v>
      </c>
      <c r="B52" s="495" t="s">
        <v>188</v>
      </c>
      <c r="C52" s="495" t="s">
        <v>416</v>
      </c>
      <c r="D52" s="495" t="s">
        <v>265</v>
      </c>
      <c r="E52" s="495" t="s">
        <v>191</v>
      </c>
      <c r="F52" s="496" t="s">
        <v>192</v>
      </c>
      <c r="G52" s="495" t="s">
        <v>193</v>
      </c>
      <c r="H52" s="497"/>
      <c r="I52" s="497"/>
      <c r="J52" s="495" t="s">
        <v>225</v>
      </c>
      <c r="K52" s="495" t="s">
        <v>415</v>
      </c>
      <c r="L52" s="495" t="s">
        <v>196</v>
      </c>
      <c r="M52" s="495" t="s">
        <v>197</v>
      </c>
      <c r="N52" s="495" t="s">
        <v>270</v>
      </c>
      <c r="O52" s="498">
        <v>1</v>
      </c>
      <c r="P52" s="504">
        <v>1</v>
      </c>
      <c r="Q52" s="504">
        <v>1</v>
      </c>
      <c r="R52" s="499">
        <v>80</v>
      </c>
      <c r="S52" s="504">
        <v>1</v>
      </c>
      <c r="T52" s="499">
        <v>30169.200000000001</v>
      </c>
      <c r="U52" s="499">
        <v>0</v>
      </c>
      <c r="V52" s="499">
        <v>14084.01</v>
      </c>
      <c r="W52" s="499">
        <v>52124.800000000003</v>
      </c>
      <c r="X52" s="499">
        <v>23422.35</v>
      </c>
      <c r="Y52" s="499">
        <v>52124.800000000003</v>
      </c>
      <c r="Z52" s="499">
        <v>23151.3</v>
      </c>
      <c r="AA52" s="495" t="s">
        <v>417</v>
      </c>
      <c r="AB52" s="495" t="s">
        <v>418</v>
      </c>
      <c r="AC52" s="495" t="s">
        <v>419</v>
      </c>
      <c r="AD52" s="495" t="s">
        <v>242</v>
      </c>
      <c r="AE52" s="495" t="s">
        <v>415</v>
      </c>
      <c r="AF52" s="495" t="s">
        <v>203</v>
      </c>
      <c r="AG52" s="495" t="s">
        <v>204</v>
      </c>
      <c r="AH52" s="500">
        <v>25.06</v>
      </c>
      <c r="AI52" s="498">
        <v>1320</v>
      </c>
      <c r="AJ52" s="495" t="s">
        <v>205</v>
      </c>
      <c r="AK52" s="495" t="s">
        <v>206</v>
      </c>
      <c r="AL52" s="495" t="s">
        <v>207</v>
      </c>
      <c r="AM52" s="495" t="s">
        <v>208</v>
      </c>
      <c r="AN52" s="495" t="s">
        <v>92</v>
      </c>
      <c r="AO52" s="498">
        <v>80</v>
      </c>
      <c r="AP52" s="504">
        <v>1</v>
      </c>
      <c r="AQ52" s="504">
        <v>1</v>
      </c>
      <c r="AR52" s="502" t="s">
        <v>209</v>
      </c>
      <c r="AS52" s="506">
        <f t="shared" si="27"/>
        <v>1</v>
      </c>
      <c r="AT52">
        <f t="shared" si="28"/>
        <v>1</v>
      </c>
      <c r="AU52" s="506">
        <f>IF(AT52=0,"",IF(AND(AT52=1,M52="F",SUMIF(C2:C177,C52,AS2:AS177)&lt;=1),SUMIF(C2:C177,C52,AS2:AS177),IF(AND(AT52=1,M52="F",SUMIF(C2:C177,C52,AS2:AS177)&gt;1),1,"")))</f>
        <v>1</v>
      </c>
      <c r="AV52" s="506" t="str">
        <f>IF(AT52=0,"",IF(AND(AT52=3,M52="F",SUMIF(C2:C177,C52,AS2:AS177)&lt;=1),SUMIF(C2:C177,C52,AS2:AS177),IF(AND(AT52=3,M52="F",SUMIF(C2:C177,C52,AS2:AS177)&gt;1),1,"")))</f>
        <v/>
      </c>
      <c r="AW52" s="506">
        <f>SUMIF(C2:C177,C52,O2:O177)</f>
        <v>1</v>
      </c>
      <c r="AX52" s="506">
        <f>IF(AND(M52="F",AS52&lt;&gt;0),SUMIF(C2:C177,C52,W2:W177),0)</f>
        <v>52124.800000000003</v>
      </c>
      <c r="AY52" s="506">
        <f t="shared" si="29"/>
        <v>52124.800000000003</v>
      </c>
      <c r="AZ52" s="506" t="str">
        <f t="shared" si="30"/>
        <v/>
      </c>
      <c r="BA52" s="506">
        <f t="shared" si="31"/>
        <v>0</v>
      </c>
      <c r="BB52" s="506">
        <f t="shared" si="44"/>
        <v>11650</v>
      </c>
      <c r="BC52" s="506">
        <f t="shared" si="45"/>
        <v>0</v>
      </c>
      <c r="BD52" s="506">
        <f t="shared" si="46"/>
        <v>3231.7376000000004</v>
      </c>
      <c r="BE52" s="506">
        <f t="shared" si="47"/>
        <v>755.80960000000005</v>
      </c>
      <c r="BF52" s="506">
        <f t="shared" si="48"/>
        <v>6223.7011200000006</v>
      </c>
      <c r="BG52" s="506">
        <f t="shared" si="49"/>
        <v>375.81980800000002</v>
      </c>
      <c r="BH52" s="506">
        <f t="shared" si="50"/>
        <v>255.41152</v>
      </c>
      <c r="BI52" s="506">
        <f t="shared" si="51"/>
        <v>288.51076800000004</v>
      </c>
      <c r="BJ52" s="506">
        <f t="shared" si="52"/>
        <v>641.13504</v>
      </c>
      <c r="BK52" s="506">
        <f t="shared" si="53"/>
        <v>0</v>
      </c>
      <c r="BL52" s="506">
        <f t="shared" si="32"/>
        <v>11772.125456</v>
      </c>
      <c r="BM52" s="506">
        <f t="shared" si="33"/>
        <v>0</v>
      </c>
      <c r="BN52" s="506">
        <f t="shared" si="54"/>
        <v>11650</v>
      </c>
      <c r="BO52" s="506">
        <f t="shared" si="55"/>
        <v>0</v>
      </c>
      <c r="BP52" s="506">
        <f t="shared" si="56"/>
        <v>3231.7376000000004</v>
      </c>
      <c r="BQ52" s="506">
        <f t="shared" si="57"/>
        <v>755.80960000000005</v>
      </c>
      <c r="BR52" s="506">
        <f t="shared" si="58"/>
        <v>6223.7011200000006</v>
      </c>
      <c r="BS52" s="506">
        <f t="shared" si="59"/>
        <v>375.81980800000002</v>
      </c>
      <c r="BT52" s="506">
        <f t="shared" si="60"/>
        <v>0</v>
      </c>
      <c r="BU52" s="506">
        <f t="shared" si="61"/>
        <v>288.51076800000004</v>
      </c>
      <c r="BV52" s="506">
        <f t="shared" si="62"/>
        <v>625.49760000000003</v>
      </c>
      <c r="BW52" s="506">
        <f t="shared" si="63"/>
        <v>0</v>
      </c>
      <c r="BX52" s="506">
        <f t="shared" si="34"/>
        <v>11501.076496000001</v>
      </c>
      <c r="BY52" s="506">
        <f t="shared" si="35"/>
        <v>0</v>
      </c>
      <c r="BZ52" s="506">
        <f t="shared" si="36"/>
        <v>0</v>
      </c>
      <c r="CA52" s="506">
        <f t="shared" si="37"/>
        <v>0</v>
      </c>
      <c r="CB52" s="506">
        <f t="shared" si="38"/>
        <v>0</v>
      </c>
      <c r="CC52" s="506">
        <f t="shared" si="64"/>
        <v>0</v>
      </c>
      <c r="CD52" s="506">
        <f t="shared" si="65"/>
        <v>0</v>
      </c>
      <c r="CE52" s="506">
        <f t="shared" si="66"/>
        <v>0</v>
      </c>
      <c r="CF52" s="506">
        <f t="shared" si="67"/>
        <v>-255.41152</v>
      </c>
      <c r="CG52" s="506">
        <f t="shared" si="68"/>
        <v>0</v>
      </c>
      <c r="CH52" s="506">
        <f t="shared" si="69"/>
        <v>-15.637439999999996</v>
      </c>
      <c r="CI52" s="506">
        <f t="shared" si="70"/>
        <v>0</v>
      </c>
      <c r="CJ52" s="506">
        <f t="shared" si="39"/>
        <v>-271.04895999999997</v>
      </c>
      <c r="CK52" s="506" t="str">
        <f t="shared" si="40"/>
        <v/>
      </c>
      <c r="CL52" s="506" t="str">
        <f t="shared" si="41"/>
        <v/>
      </c>
      <c r="CM52" s="506" t="str">
        <f t="shared" si="42"/>
        <v/>
      </c>
      <c r="CN52" s="506" t="str">
        <f t="shared" si="43"/>
        <v>0290-00</v>
      </c>
    </row>
    <row r="53" spans="1:92" ht="15.75" thickBot="1" x14ac:dyDescent="0.3">
      <c r="A53" s="495" t="s">
        <v>187</v>
      </c>
      <c r="B53" s="495" t="s">
        <v>188</v>
      </c>
      <c r="C53" s="495" t="s">
        <v>420</v>
      </c>
      <c r="D53" s="495" t="s">
        <v>347</v>
      </c>
      <c r="E53" s="495" t="s">
        <v>191</v>
      </c>
      <c r="F53" s="496" t="s">
        <v>192</v>
      </c>
      <c r="G53" s="495" t="s">
        <v>193</v>
      </c>
      <c r="H53" s="497"/>
      <c r="I53" s="497"/>
      <c r="J53" s="495" t="s">
        <v>225</v>
      </c>
      <c r="K53" s="495" t="s">
        <v>348</v>
      </c>
      <c r="L53" s="495" t="s">
        <v>196</v>
      </c>
      <c r="M53" s="495" t="s">
        <v>197</v>
      </c>
      <c r="N53" s="495" t="s">
        <v>198</v>
      </c>
      <c r="O53" s="498">
        <v>1</v>
      </c>
      <c r="P53" s="504">
        <v>1</v>
      </c>
      <c r="Q53" s="504">
        <v>1</v>
      </c>
      <c r="R53" s="499">
        <v>80</v>
      </c>
      <c r="S53" s="504">
        <v>1</v>
      </c>
      <c r="T53" s="499">
        <v>45139.62</v>
      </c>
      <c r="U53" s="499">
        <v>0</v>
      </c>
      <c r="V53" s="499">
        <v>21498.17</v>
      </c>
      <c r="W53" s="499">
        <v>45536.4</v>
      </c>
      <c r="X53" s="499">
        <v>21934.35</v>
      </c>
      <c r="Y53" s="499">
        <v>45536.4</v>
      </c>
      <c r="Z53" s="499">
        <v>21697.57</v>
      </c>
      <c r="AA53" s="495" t="s">
        <v>421</v>
      </c>
      <c r="AB53" s="495" t="s">
        <v>422</v>
      </c>
      <c r="AC53" s="495" t="s">
        <v>423</v>
      </c>
      <c r="AD53" s="495" t="s">
        <v>352</v>
      </c>
      <c r="AE53" s="495" t="s">
        <v>348</v>
      </c>
      <c r="AF53" s="495" t="s">
        <v>203</v>
      </c>
      <c r="AG53" s="495" t="s">
        <v>204</v>
      </c>
      <c r="AH53" s="500">
        <v>29.19</v>
      </c>
      <c r="AI53" s="500">
        <v>40643.300000000003</v>
      </c>
      <c r="AJ53" s="495" t="s">
        <v>243</v>
      </c>
      <c r="AK53" s="495" t="s">
        <v>206</v>
      </c>
      <c r="AL53" s="495" t="s">
        <v>207</v>
      </c>
      <c r="AM53" s="495" t="s">
        <v>208</v>
      </c>
      <c r="AN53" s="495" t="s">
        <v>92</v>
      </c>
      <c r="AO53" s="498">
        <v>60</v>
      </c>
      <c r="AP53" s="504">
        <v>1</v>
      </c>
      <c r="AQ53" s="504">
        <v>0.75</v>
      </c>
      <c r="AR53" s="502" t="s">
        <v>209</v>
      </c>
      <c r="AS53" s="506">
        <f t="shared" si="27"/>
        <v>0.75</v>
      </c>
      <c r="AT53">
        <f t="shared" si="28"/>
        <v>1</v>
      </c>
      <c r="AU53" s="506">
        <f>IF(AT53=0,"",IF(AND(AT53=1,M53="F",SUMIF(C2:C177,C53,AS2:AS177)&lt;=1),SUMIF(C2:C177,C53,AS2:AS177),IF(AND(AT53=1,M53="F",SUMIF(C2:C177,C53,AS2:AS177)&gt;1),1,"")))</f>
        <v>0.75</v>
      </c>
      <c r="AV53" s="506" t="str">
        <f>IF(AT53=0,"",IF(AND(AT53=3,M53="F",SUMIF(C2:C177,C53,AS2:AS177)&lt;=1),SUMIF(C2:C177,C53,AS2:AS177),IF(AND(AT53=3,M53="F",SUMIF(C2:C177,C53,AS2:AS177)&gt;1),1,"")))</f>
        <v/>
      </c>
      <c r="AW53" s="506">
        <f>SUMIF(C2:C177,C53,O2:O177)</f>
        <v>1</v>
      </c>
      <c r="AX53" s="506">
        <f>IF(AND(M53="F",AS53&lt;&gt;0),SUMIF(C2:C177,C53,W2:W177),0)</f>
        <v>45536.4</v>
      </c>
      <c r="AY53" s="506">
        <f t="shared" si="29"/>
        <v>45536.4</v>
      </c>
      <c r="AZ53" s="506" t="str">
        <f t="shared" si="30"/>
        <v/>
      </c>
      <c r="BA53" s="506">
        <f t="shared" si="31"/>
        <v>0</v>
      </c>
      <c r="BB53" s="506">
        <f t="shared" si="44"/>
        <v>11650</v>
      </c>
      <c r="BC53" s="506">
        <f t="shared" si="45"/>
        <v>0</v>
      </c>
      <c r="BD53" s="506">
        <f t="shared" si="46"/>
        <v>2823.2568000000001</v>
      </c>
      <c r="BE53" s="506">
        <f t="shared" si="47"/>
        <v>660.27780000000007</v>
      </c>
      <c r="BF53" s="506">
        <f t="shared" si="48"/>
        <v>5437.0461600000008</v>
      </c>
      <c r="BG53" s="506">
        <f t="shared" si="49"/>
        <v>328.31744400000002</v>
      </c>
      <c r="BH53" s="506">
        <f t="shared" si="50"/>
        <v>223.12835999999999</v>
      </c>
      <c r="BI53" s="506">
        <f t="shared" si="51"/>
        <v>252.04397400000002</v>
      </c>
      <c r="BJ53" s="506">
        <f t="shared" si="52"/>
        <v>560.09771999999998</v>
      </c>
      <c r="BK53" s="506">
        <f t="shared" si="53"/>
        <v>0</v>
      </c>
      <c r="BL53" s="506">
        <f t="shared" si="32"/>
        <v>10284.168258000002</v>
      </c>
      <c r="BM53" s="506">
        <f t="shared" si="33"/>
        <v>0</v>
      </c>
      <c r="BN53" s="506">
        <f t="shared" si="54"/>
        <v>11650</v>
      </c>
      <c r="BO53" s="506">
        <f t="shared" si="55"/>
        <v>0</v>
      </c>
      <c r="BP53" s="506">
        <f t="shared" si="56"/>
        <v>2823.2568000000001</v>
      </c>
      <c r="BQ53" s="506">
        <f t="shared" si="57"/>
        <v>660.27780000000007</v>
      </c>
      <c r="BR53" s="506">
        <f t="shared" si="58"/>
        <v>5437.0461600000008</v>
      </c>
      <c r="BS53" s="506">
        <f t="shared" si="59"/>
        <v>328.31744400000002</v>
      </c>
      <c r="BT53" s="506">
        <f t="shared" si="60"/>
        <v>0</v>
      </c>
      <c r="BU53" s="506">
        <f t="shared" si="61"/>
        <v>252.04397400000002</v>
      </c>
      <c r="BV53" s="506">
        <f t="shared" si="62"/>
        <v>546.43680000000006</v>
      </c>
      <c r="BW53" s="506">
        <f t="shared" si="63"/>
        <v>0</v>
      </c>
      <c r="BX53" s="506">
        <f t="shared" si="34"/>
        <v>10047.378978000001</v>
      </c>
      <c r="BY53" s="506">
        <f t="shared" si="35"/>
        <v>0</v>
      </c>
      <c r="BZ53" s="506">
        <f t="shared" si="36"/>
        <v>0</v>
      </c>
      <c r="CA53" s="506">
        <f t="shared" si="37"/>
        <v>0</v>
      </c>
      <c r="CB53" s="506">
        <f t="shared" si="38"/>
        <v>0</v>
      </c>
      <c r="CC53" s="506">
        <f t="shared" si="64"/>
        <v>0</v>
      </c>
      <c r="CD53" s="506">
        <f t="shared" si="65"/>
        <v>0</v>
      </c>
      <c r="CE53" s="506">
        <f t="shared" si="66"/>
        <v>0</v>
      </c>
      <c r="CF53" s="506">
        <f t="shared" si="67"/>
        <v>-223.12835999999999</v>
      </c>
      <c r="CG53" s="506">
        <f t="shared" si="68"/>
        <v>0</v>
      </c>
      <c r="CH53" s="506">
        <f t="shared" si="69"/>
        <v>-13.660919999999997</v>
      </c>
      <c r="CI53" s="506">
        <f t="shared" si="70"/>
        <v>0</v>
      </c>
      <c r="CJ53" s="506">
        <f t="shared" si="39"/>
        <v>-236.78927999999999</v>
      </c>
      <c r="CK53" s="506" t="str">
        <f t="shared" si="40"/>
        <v/>
      </c>
      <c r="CL53" s="506" t="str">
        <f t="shared" si="41"/>
        <v/>
      </c>
      <c r="CM53" s="506" t="str">
        <f t="shared" si="42"/>
        <v/>
      </c>
      <c r="CN53" s="506" t="str">
        <f t="shared" si="43"/>
        <v>0290-00</v>
      </c>
    </row>
    <row r="54" spans="1:92" ht="15.75" thickBot="1" x14ac:dyDescent="0.3">
      <c r="A54" s="495" t="s">
        <v>187</v>
      </c>
      <c r="B54" s="495" t="s">
        <v>188</v>
      </c>
      <c r="C54" s="495" t="s">
        <v>424</v>
      </c>
      <c r="D54" s="495" t="s">
        <v>284</v>
      </c>
      <c r="E54" s="495" t="s">
        <v>191</v>
      </c>
      <c r="F54" s="496" t="s">
        <v>192</v>
      </c>
      <c r="G54" s="495" t="s">
        <v>193</v>
      </c>
      <c r="H54" s="497"/>
      <c r="I54" s="497"/>
      <c r="J54" s="495" t="s">
        <v>277</v>
      </c>
      <c r="K54" s="495" t="s">
        <v>285</v>
      </c>
      <c r="L54" s="495" t="s">
        <v>286</v>
      </c>
      <c r="M54" s="495" t="s">
        <v>197</v>
      </c>
      <c r="N54" s="495" t="s">
        <v>198</v>
      </c>
      <c r="O54" s="498">
        <v>1</v>
      </c>
      <c r="P54" s="504">
        <v>1</v>
      </c>
      <c r="Q54" s="504">
        <v>1</v>
      </c>
      <c r="R54" s="499">
        <v>48</v>
      </c>
      <c r="S54" s="504">
        <v>0.6</v>
      </c>
      <c r="T54" s="499">
        <v>44492.800000000003</v>
      </c>
      <c r="U54" s="499">
        <v>104.01</v>
      </c>
      <c r="V54" s="499">
        <v>21792.16</v>
      </c>
      <c r="W54" s="499">
        <v>44137.599999999999</v>
      </c>
      <c r="X54" s="499">
        <v>21618.43</v>
      </c>
      <c r="Y54" s="499">
        <v>44137.599999999999</v>
      </c>
      <c r="Z54" s="499">
        <v>21388.9</v>
      </c>
      <c r="AA54" s="495" t="s">
        <v>425</v>
      </c>
      <c r="AB54" s="495" t="s">
        <v>426</v>
      </c>
      <c r="AC54" s="495" t="s">
        <v>427</v>
      </c>
      <c r="AD54" s="495" t="s">
        <v>218</v>
      </c>
      <c r="AE54" s="495" t="s">
        <v>285</v>
      </c>
      <c r="AF54" s="495" t="s">
        <v>290</v>
      </c>
      <c r="AG54" s="495" t="s">
        <v>204</v>
      </c>
      <c r="AH54" s="500">
        <v>21.22</v>
      </c>
      <c r="AI54" s="500">
        <v>8757.2999999999993</v>
      </c>
      <c r="AJ54" s="495" t="s">
        <v>205</v>
      </c>
      <c r="AK54" s="495" t="s">
        <v>206</v>
      </c>
      <c r="AL54" s="495" t="s">
        <v>207</v>
      </c>
      <c r="AM54" s="495" t="s">
        <v>208</v>
      </c>
      <c r="AN54" s="495" t="s">
        <v>92</v>
      </c>
      <c r="AO54" s="498">
        <v>80</v>
      </c>
      <c r="AP54" s="504">
        <v>1</v>
      </c>
      <c r="AQ54" s="504">
        <v>1</v>
      </c>
      <c r="AR54" s="502" t="s">
        <v>209</v>
      </c>
      <c r="AS54" s="506">
        <f t="shared" si="27"/>
        <v>1</v>
      </c>
      <c r="AT54">
        <f t="shared" si="28"/>
        <v>1</v>
      </c>
      <c r="AU54" s="506">
        <f>IF(AT54=0,"",IF(AND(AT54=1,M54="F",SUMIF(C2:C177,C54,AS2:AS177)&lt;=1),SUMIF(C2:C177,C54,AS2:AS177),IF(AND(AT54=1,M54="F",SUMIF(C2:C177,C54,AS2:AS177)&gt;1),1,"")))</f>
        <v>1</v>
      </c>
      <c r="AV54" s="506" t="str">
        <f>IF(AT54=0,"",IF(AND(AT54=3,M54="F",SUMIF(C2:C177,C54,AS2:AS177)&lt;=1),SUMIF(C2:C177,C54,AS2:AS177),IF(AND(AT54=3,M54="F",SUMIF(C2:C177,C54,AS2:AS177)&gt;1),1,"")))</f>
        <v/>
      </c>
      <c r="AW54" s="506">
        <f>SUMIF(C2:C177,C54,O2:O177)</f>
        <v>1</v>
      </c>
      <c r="AX54" s="506">
        <f>IF(AND(M54="F",AS54&lt;&gt;0),SUMIF(C2:C177,C54,W2:W177),0)</f>
        <v>44137.599999999999</v>
      </c>
      <c r="AY54" s="506">
        <f t="shared" si="29"/>
        <v>44137.599999999999</v>
      </c>
      <c r="AZ54" s="506" t="str">
        <f t="shared" si="30"/>
        <v/>
      </c>
      <c r="BA54" s="506">
        <f t="shared" si="31"/>
        <v>0</v>
      </c>
      <c r="BB54" s="506">
        <f t="shared" si="44"/>
        <v>11650</v>
      </c>
      <c r="BC54" s="506">
        <f t="shared" si="45"/>
        <v>0</v>
      </c>
      <c r="BD54" s="506">
        <f t="shared" si="46"/>
        <v>2736.5311999999999</v>
      </c>
      <c r="BE54" s="506">
        <f t="shared" si="47"/>
        <v>639.99520000000007</v>
      </c>
      <c r="BF54" s="506">
        <f t="shared" si="48"/>
        <v>5270.0294400000002</v>
      </c>
      <c r="BG54" s="506">
        <f t="shared" si="49"/>
        <v>318.23209600000001</v>
      </c>
      <c r="BH54" s="506">
        <f t="shared" si="50"/>
        <v>216.27423999999999</v>
      </c>
      <c r="BI54" s="506">
        <f t="shared" si="51"/>
        <v>244.301616</v>
      </c>
      <c r="BJ54" s="506">
        <f t="shared" si="52"/>
        <v>542.89247999999998</v>
      </c>
      <c r="BK54" s="506">
        <f t="shared" si="53"/>
        <v>0</v>
      </c>
      <c r="BL54" s="506">
        <f t="shared" si="32"/>
        <v>9968.2562720000024</v>
      </c>
      <c r="BM54" s="506">
        <f t="shared" si="33"/>
        <v>0</v>
      </c>
      <c r="BN54" s="506">
        <f t="shared" si="54"/>
        <v>11650</v>
      </c>
      <c r="BO54" s="506">
        <f t="shared" si="55"/>
        <v>0</v>
      </c>
      <c r="BP54" s="506">
        <f t="shared" si="56"/>
        <v>2736.5311999999999</v>
      </c>
      <c r="BQ54" s="506">
        <f t="shared" si="57"/>
        <v>639.99520000000007</v>
      </c>
      <c r="BR54" s="506">
        <f t="shared" si="58"/>
        <v>5270.0294400000002</v>
      </c>
      <c r="BS54" s="506">
        <f t="shared" si="59"/>
        <v>318.23209600000001</v>
      </c>
      <c r="BT54" s="506">
        <f t="shared" si="60"/>
        <v>0</v>
      </c>
      <c r="BU54" s="506">
        <f t="shared" si="61"/>
        <v>244.301616</v>
      </c>
      <c r="BV54" s="506">
        <f t="shared" si="62"/>
        <v>529.65120000000002</v>
      </c>
      <c r="BW54" s="506">
        <f t="shared" si="63"/>
        <v>0</v>
      </c>
      <c r="BX54" s="506">
        <f t="shared" si="34"/>
        <v>9738.7407520000015</v>
      </c>
      <c r="BY54" s="506">
        <f t="shared" si="35"/>
        <v>0</v>
      </c>
      <c r="BZ54" s="506">
        <f t="shared" si="36"/>
        <v>0</v>
      </c>
      <c r="CA54" s="506">
        <f t="shared" si="37"/>
        <v>0</v>
      </c>
      <c r="CB54" s="506">
        <f t="shared" si="38"/>
        <v>0</v>
      </c>
      <c r="CC54" s="506">
        <f t="shared" si="64"/>
        <v>0</v>
      </c>
      <c r="CD54" s="506">
        <f t="shared" si="65"/>
        <v>0</v>
      </c>
      <c r="CE54" s="506">
        <f t="shared" si="66"/>
        <v>0</v>
      </c>
      <c r="CF54" s="506">
        <f t="shared" si="67"/>
        <v>-216.27423999999999</v>
      </c>
      <c r="CG54" s="506">
        <f t="shared" si="68"/>
        <v>0</v>
      </c>
      <c r="CH54" s="506">
        <f t="shared" si="69"/>
        <v>-13.241279999999996</v>
      </c>
      <c r="CI54" s="506">
        <f t="shared" si="70"/>
        <v>0</v>
      </c>
      <c r="CJ54" s="506">
        <f t="shared" si="39"/>
        <v>-229.51551999999998</v>
      </c>
      <c r="CK54" s="506" t="str">
        <f t="shared" si="40"/>
        <v/>
      </c>
      <c r="CL54" s="506" t="str">
        <f t="shared" si="41"/>
        <v/>
      </c>
      <c r="CM54" s="506" t="str">
        <f t="shared" si="42"/>
        <v/>
      </c>
      <c r="CN54" s="506" t="str">
        <f t="shared" si="43"/>
        <v>0290-00</v>
      </c>
    </row>
    <row r="55" spans="1:92" ht="15.75" thickBot="1" x14ac:dyDescent="0.3">
      <c r="A55" s="495" t="s">
        <v>187</v>
      </c>
      <c r="B55" s="495" t="s">
        <v>188</v>
      </c>
      <c r="C55" s="495" t="s">
        <v>428</v>
      </c>
      <c r="D55" s="495" t="s">
        <v>294</v>
      </c>
      <c r="E55" s="495" t="s">
        <v>191</v>
      </c>
      <c r="F55" s="496" t="s">
        <v>192</v>
      </c>
      <c r="G55" s="495" t="s">
        <v>193</v>
      </c>
      <c r="H55" s="497"/>
      <c r="I55" s="497"/>
      <c r="J55" s="495" t="s">
        <v>216</v>
      </c>
      <c r="K55" s="495" t="s">
        <v>295</v>
      </c>
      <c r="L55" s="495" t="s">
        <v>204</v>
      </c>
      <c r="M55" s="495" t="s">
        <v>197</v>
      </c>
      <c r="N55" s="495" t="s">
        <v>198</v>
      </c>
      <c r="O55" s="498">
        <v>1</v>
      </c>
      <c r="P55" s="504">
        <v>1</v>
      </c>
      <c r="Q55" s="504">
        <v>1</v>
      </c>
      <c r="R55" s="499">
        <v>80</v>
      </c>
      <c r="S55" s="504">
        <v>1</v>
      </c>
      <c r="T55" s="499">
        <v>30625.8</v>
      </c>
      <c r="U55" s="499">
        <v>315.89</v>
      </c>
      <c r="V55" s="499">
        <v>16530.79</v>
      </c>
      <c r="W55" s="499">
        <v>33404.79</v>
      </c>
      <c r="X55" s="499">
        <v>19194.39</v>
      </c>
      <c r="Y55" s="499">
        <v>33404.79</v>
      </c>
      <c r="Z55" s="499">
        <v>19020.689999999999</v>
      </c>
      <c r="AA55" s="495" t="s">
        <v>429</v>
      </c>
      <c r="AB55" s="495" t="s">
        <v>430</v>
      </c>
      <c r="AC55" s="495" t="s">
        <v>431</v>
      </c>
      <c r="AD55" s="495" t="s">
        <v>218</v>
      </c>
      <c r="AE55" s="495" t="s">
        <v>295</v>
      </c>
      <c r="AF55" s="495" t="s">
        <v>274</v>
      </c>
      <c r="AG55" s="495" t="s">
        <v>204</v>
      </c>
      <c r="AH55" s="500">
        <v>16.059999999999999</v>
      </c>
      <c r="AI55" s="500">
        <v>13961.1</v>
      </c>
      <c r="AJ55" s="495" t="s">
        <v>205</v>
      </c>
      <c r="AK55" s="495" t="s">
        <v>206</v>
      </c>
      <c r="AL55" s="495" t="s">
        <v>207</v>
      </c>
      <c r="AM55" s="495" t="s">
        <v>208</v>
      </c>
      <c r="AN55" s="495" t="s">
        <v>92</v>
      </c>
      <c r="AO55" s="498">
        <v>80</v>
      </c>
      <c r="AP55" s="504">
        <v>1</v>
      </c>
      <c r="AQ55" s="504">
        <v>1</v>
      </c>
      <c r="AR55" s="502" t="s">
        <v>209</v>
      </c>
      <c r="AS55" s="506">
        <f t="shared" si="27"/>
        <v>1</v>
      </c>
      <c r="AT55">
        <f t="shared" si="28"/>
        <v>1</v>
      </c>
      <c r="AU55" s="506">
        <f>IF(AT55=0,"",IF(AND(AT55=1,M55="F",SUMIF(C2:C177,C55,AS2:AS177)&lt;=1),SUMIF(C2:C177,C55,AS2:AS177),IF(AND(AT55=1,M55="F",SUMIF(C2:C177,C55,AS2:AS177)&gt;1),1,"")))</f>
        <v>1</v>
      </c>
      <c r="AV55" s="506" t="str">
        <f>IF(AT55=0,"",IF(AND(AT55=3,M55="F",SUMIF(C2:C177,C55,AS2:AS177)&lt;=1),SUMIF(C2:C177,C55,AS2:AS177),IF(AND(AT55=3,M55="F",SUMIF(C2:C177,C55,AS2:AS177)&gt;1),1,"")))</f>
        <v/>
      </c>
      <c r="AW55" s="506">
        <f>SUMIF(C2:C177,C55,O2:O177)</f>
        <v>1</v>
      </c>
      <c r="AX55" s="506">
        <f>IF(AND(M55="F",AS55&lt;&gt;0),SUMIF(C2:C177,C55,W2:W177),0)</f>
        <v>33404.79</v>
      </c>
      <c r="AY55" s="506">
        <f t="shared" si="29"/>
        <v>33404.79</v>
      </c>
      <c r="AZ55" s="506" t="str">
        <f t="shared" si="30"/>
        <v/>
      </c>
      <c r="BA55" s="506">
        <f t="shared" si="31"/>
        <v>0</v>
      </c>
      <c r="BB55" s="506">
        <f t="shared" si="44"/>
        <v>11650</v>
      </c>
      <c r="BC55" s="506">
        <f t="shared" si="45"/>
        <v>0</v>
      </c>
      <c r="BD55" s="506">
        <f t="shared" si="46"/>
        <v>2071.0969800000003</v>
      </c>
      <c r="BE55" s="506">
        <f t="shared" si="47"/>
        <v>484.36945500000002</v>
      </c>
      <c r="BF55" s="506">
        <f t="shared" si="48"/>
        <v>3988.5319260000001</v>
      </c>
      <c r="BG55" s="506">
        <f t="shared" si="49"/>
        <v>240.8485359</v>
      </c>
      <c r="BH55" s="506">
        <f t="shared" si="50"/>
        <v>163.683471</v>
      </c>
      <c r="BI55" s="506">
        <f t="shared" si="51"/>
        <v>184.89551265</v>
      </c>
      <c r="BJ55" s="506">
        <f t="shared" si="52"/>
        <v>410.878917</v>
      </c>
      <c r="BK55" s="506">
        <f t="shared" si="53"/>
        <v>0</v>
      </c>
      <c r="BL55" s="506">
        <f t="shared" si="32"/>
        <v>7544.3047975499994</v>
      </c>
      <c r="BM55" s="506">
        <f t="shared" si="33"/>
        <v>0</v>
      </c>
      <c r="BN55" s="506">
        <f t="shared" si="54"/>
        <v>11650</v>
      </c>
      <c r="BO55" s="506">
        <f t="shared" si="55"/>
        <v>0</v>
      </c>
      <c r="BP55" s="506">
        <f t="shared" si="56"/>
        <v>2071.0969800000003</v>
      </c>
      <c r="BQ55" s="506">
        <f t="shared" si="57"/>
        <v>484.36945500000002</v>
      </c>
      <c r="BR55" s="506">
        <f t="shared" si="58"/>
        <v>3988.5319260000001</v>
      </c>
      <c r="BS55" s="506">
        <f t="shared" si="59"/>
        <v>240.8485359</v>
      </c>
      <c r="BT55" s="506">
        <f t="shared" si="60"/>
        <v>0</v>
      </c>
      <c r="BU55" s="506">
        <f t="shared" si="61"/>
        <v>184.89551265</v>
      </c>
      <c r="BV55" s="506">
        <f t="shared" si="62"/>
        <v>400.85748000000001</v>
      </c>
      <c r="BW55" s="506">
        <f t="shared" si="63"/>
        <v>0</v>
      </c>
      <c r="BX55" s="506">
        <f t="shared" si="34"/>
        <v>7370.5998895499988</v>
      </c>
      <c r="BY55" s="506">
        <f t="shared" si="35"/>
        <v>0</v>
      </c>
      <c r="BZ55" s="506">
        <f t="shared" si="36"/>
        <v>0</v>
      </c>
      <c r="CA55" s="506">
        <f t="shared" si="37"/>
        <v>0</v>
      </c>
      <c r="CB55" s="506">
        <f t="shared" si="38"/>
        <v>0</v>
      </c>
      <c r="CC55" s="506">
        <f t="shared" si="64"/>
        <v>0</v>
      </c>
      <c r="CD55" s="506">
        <f t="shared" si="65"/>
        <v>0</v>
      </c>
      <c r="CE55" s="506">
        <f t="shared" si="66"/>
        <v>0</v>
      </c>
      <c r="CF55" s="506">
        <f t="shared" si="67"/>
        <v>-163.683471</v>
      </c>
      <c r="CG55" s="506">
        <f t="shared" si="68"/>
        <v>0</v>
      </c>
      <c r="CH55" s="506">
        <f t="shared" si="69"/>
        <v>-10.021436999999997</v>
      </c>
      <c r="CI55" s="506">
        <f t="shared" si="70"/>
        <v>0</v>
      </c>
      <c r="CJ55" s="506">
        <f t="shared" si="39"/>
        <v>-173.70490799999999</v>
      </c>
      <c r="CK55" s="506" t="str">
        <f t="shared" si="40"/>
        <v/>
      </c>
      <c r="CL55" s="506" t="str">
        <f t="shared" si="41"/>
        <v/>
      </c>
      <c r="CM55" s="506" t="str">
        <f t="shared" si="42"/>
        <v/>
      </c>
      <c r="CN55" s="506" t="str">
        <f t="shared" si="43"/>
        <v>0290-00</v>
      </c>
    </row>
    <row r="56" spans="1:92" ht="15.75" thickBot="1" x14ac:dyDescent="0.3">
      <c r="A56" s="495" t="s">
        <v>187</v>
      </c>
      <c r="B56" s="495" t="s">
        <v>188</v>
      </c>
      <c r="C56" s="495" t="s">
        <v>432</v>
      </c>
      <c r="D56" s="495" t="s">
        <v>265</v>
      </c>
      <c r="E56" s="495" t="s">
        <v>191</v>
      </c>
      <c r="F56" s="496" t="s">
        <v>192</v>
      </c>
      <c r="G56" s="495" t="s">
        <v>193</v>
      </c>
      <c r="H56" s="497"/>
      <c r="I56" s="497"/>
      <c r="J56" s="495" t="s">
        <v>230</v>
      </c>
      <c r="K56" s="495" t="s">
        <v>266</v>
      </c>
      <c r="L56" s="495" t="s">
        <v>232</v>
      </c>
      <c r="M56" s="495" t="s">
        <v>197</v>
      </c>
      <c r="N56" s="495" t="s">
        <v>198</v>
      </c>
      <c r="O56" s="498">
        <v>1</v>
      </c>
      <c r="P56" s="504">
        <v>0.81</v>
      </c>
      <c r="Q56" s="504">
        <v>0.81</v>
      </c>
      <c r="R56" s="499">
        <v>80</v>
      </c>
      <c r="S56" s="504">
        <v>0.81</v>
      </c>
      <c r="T56" s="499">
        <v>39633.82</v>
      </c>
      <c r="U56" s="499">
        <v>922.08</v>
      </c>
      <c r="V56" s="499">
        <v>19465.05</v>
      </c>
      <c r="W56" s="499">
        <v>35414.49</v>
      </c>
      <c r="X56" s="499">
        <v>17434.810000000001</v>
      </c>
      <c r="Y56" s="499">
        <v>35414.49</v>
      </c>
      <c r="Z56" s="499">
        <v>17250.66</v>
      </c>
      <c r="AA56" s="495" t="s">
        <v>433</v>
      </c>
      <c r="AB56" s="495" t="s">
        <v>434</v>
      </c>
      <c r="AC56" s="495" t="s">
        <v>435</v>
      </c>
      <c r="AD56" s="495" t="s">
        <v>242</v>
      </c>
      <c r="AE56" s="495" t="s">
        <v>266</v>
      </c>
      <c r="AF56" s="495" t="s">
        <v>237</v>
      </c>
      <c r="AG56" s="495" t="s">
        <v>204</v>
      </c>
      <c r="AH56" s="500">
        <v>21.02</v>
      </c>
      <c r="AI56" s="500">
        <v>2761.4</v>
      </c>
      <c r="AJ56" s="495" t="s">
        <v>205</v>
      </c>
      <c r="AK56" s="495" t="s">
        <v>206</v>
      </c>
      <c r="AL56" s="495" t="s">
        <v>207</v>
      </c>
      <c r="AM56" s="495" t="s">
        <v>208</v>
      </c>
      <c r="AN56" s="495" t="s">
        <v>92</v>
      </c>
      <c r="AO56" s="498">
        <v>80</v>
      </c>
      <c r="AP56" s="504">
        <v>1</v>
      </c>
      <c r="AQ56" s="504">
        <v>0.81</v>
      </c>
      <c r="AR56" s="502" t="s">
        <v>209</v>
      </c>
      <c r="AS56" s="506">
        <f t="shared" si="27"/>
        <v>0.81</v>
      </c>
      <c r="AT56">
        <f t="shared" si="28"/>
        <v>1</v>
      </c>
      <c r="AU56" s="506">
        <f>IF(AT56=0,"",IF(AND(AT56=1,M56="F",SUMIF(C2:C177,C56,AS2:AS177)&lt;=1),SUMIF(C2:C177,C56,AS2:AS177),IF(AND(AT56=1,M56="F",SUMIF(C2:C177,C56,AS2:AS177)&gt;1),1,"")))</f>
        <v>1</v>
      </c>
      <c r="AV56" s="506" t="str">
        <f>IF(AT56=0,"",IF(AND(AT56=3,M56="F",SUMIF(C2:C177,C56,AS2:AS177)&lt;=1),SUMIF(C2:C177,C56,AS2:AS177),IF(AND(AT56=3,M56="F",SUMIF(C2:C177,C56,AS2:AS177)&gt;1),1,"")))</f>
        <v/>
      </c>
      <c r="AW56" s="506">
        <f>SUMIF(C2:C177,C56,O2:O177)</f>
        <v>2</v>
      </c>
      <c r="AX56" s="506">
        <f>IF(AND(M56="F",AS56&lt;&gt;0),SUMIF(C2:C177,C56,W2:W177),0)</f>
        <v>43721.59</v>
      </c>
      <c r="AY56" s="506">
        <f t="shared" si="29"/>
        <v>35414.49</v>
      </c>
      <c r="AZ56" s="506" t="str">
        <f t="shared" si="30"/>
        <v/>
      </c>
      <c r="BA56" s="506">
        <f t="shared" si="31"/>
        <v>0</v>
      </c>
      <c r="BB56" s="506">
        <f t="shared" si="44"/>
        <v>9436.5</v>
      </c>
      <c r="BC56" s="506">
        <f t="shared" si="45"/>
        <v>0</v>
      </c>
      <c r="BD56" s="506">
        <f t="shared" si="46"/>
        <v>2195.6983799999998</v>
      </c>
      <c r="BE56" s="506">
        <f t="shared" si="47"/>
        <v>513.51010499999995</v>
      </c>
      <c r="BF56" s="506">
        <f t="shared" si="48"/>
        <v>4228.4901060000002</v>
      </c>
      <c r="BG56" s="506">
        <f t="shared" si="49"/>
        <v>255.3384729</v>
      </c>
      <c r="BH56" s="506">
        <f t="shared" si="50"/>
        <v>173.53100099999997</v>
      </c>
      <c r="BI56" s="506">
        <f t="shared" si="51"/>
        <v>196.01920214999998</v>
      </c>
      <c r="BJ56" s="506">
        <f t="shared" si="52"/>
        <v>435.59822700000001</v>
      </c>
      <c r="BK56" s="506">
        <f t="shared" si="53"/>
        <v>0</v>
      </c>
      <c r="BL56" s="506">
        <f t="shared" si="32"/>
        <v>7998.1854940500007</v>
      </c>
      <c r="BM56" s="506">
        <f t="shared" si="33"/>
        <v>0</v>
      </c>
      <c r="BN56" s="506">
        <f t="shared" si="54"/>
        <v>9436.5</v>
      </c>
      <c r="BO56" s="506">
        <f t="shared" si="55"/>
        <v>0</v>
      </c>
      <c r="BP56" s="506">
        <f t="shared" si="56"/>
        <v>2195.6983799999998</v>
      </c>
      <c r="BQ56" s="506">
        <f t="shared" si="57"/>
        <v>513.51010499999995</v>
      </c>
      <c r="BR56" s="506">
        <f t="shared" si="58"/>
        <v>4228.4901060000002</v>
      </c>
      <c r="BS56" s="506">
        <f t="shared" si="59"/>
        <v>255.3384729</v>
      </c>
      <c r="BT56" s="506">
        <f t="shared" si="60"/>
        <v>0</v>
      </c>
      <c r="BU56" s="506">
        <f t="shared" si="61"/>
        <v>196.01920214999998</v>
      </c>
      <c r="BV56" s="506">
        <f t="shared" si="62"/>
        <v>424.97388000000001</v>
      </c>
      <c r="BW56" s="506">
        <f t="shared" si="63"/>
        <v>0</v>
      </c>
      <c r="BX56" s="506">
        <f t="shared" si="34"/>
        <v>7814.0301460499995</v>
      </c>
      <c r="BY56" s="506">
        <f t="shared" si="35"/>
        <v>0</v>
      </c>
      <c r="BZ56" s="506">
        <f t="shared" si="36"/>
        <v>0</v>
      </c>
      <c r="CA56" s="506">
        <f t="shared" si="37"/>
        <v>0</v>
      </c>
      <c r="CB56" s="506">
        <f t="shared" si="38"/>
        <v>0</v>
      </c>
      <c r="CC56" s="506">
        <f t="shared" si="64"/>
        <v>0</v>
      </c>
      <c r="CD56" s="506">
        <f t="shared" si="65"/>
        <v>0</v>
      </c>
      <c r="CE56" s="506">
        <f t="shared" si="66"/>
        <v>0</v>
      </c>
      <c r="CF56" s="506">
        <f t="shared" si="67"/>
        <v>-173.53100099999997</v>
      </c>
      <c r="CG56" s="506">
        <f t="shared" si="68"/>
        <v>0</v>
      </c>
      <c r="CH56" s="506">
        <f t="shared" si="69"/>
        <v>-10.624346999999997</v>
      </c>
      <c r="CI56" s="506">
        <f t="shared" si="70"/>
        <v>0</v>
      </c>
      <c r="CJ56" s="506">
        <f t="shared" si="39"/>
        <v>-184.15534799999998</v>
      </c>
      <c r="CK56" s="506" t="str">
        <f t="shared" si="40"/>
        <v/>
      </c>
      <c r="CL56" s="506" t="str">
        <f t="shared" si="41"/>
        <v/>
      </c>
      <c r="CM56" s="506" t="str">
        <f t="shared" si="42"/>
        <v/>
      </c>
      <c r="CN56" s="506" t="str">
        <f t="shared" si="43"/>
        <v>0290-00</v>
      </c>
    </row>
    <row r="57" spans="1:92" ht="15.75" thickBot="1" x14ac:dyDescent="0.3">
      <c r="A57" s="495" t="s">
        <v>187</v>
      </c>
      <c r="B57" s="495" t="s">
        <v>188</v>
      </c>
      <c r="C57" s="495" t="s">
        <v>436</v>
      </c>
      <c r="D57" s="495" t="s">
        <v>245</v>
      </c>
      <c r="E57" s="495" t="s">
        <v>191</v>
      </c>
      <c r="F57" s="496" t="s">
        <v>192</v>
      </c>
      <c r="G57" s="495" t="s">
        <v>193</v>
      </c>
      <c r="H57" s="497"/>
      <c r="I57" s="497"/>
      <c r="J57" s="495" t="s">
        <v>216</v>
      </c>
      <c r="K57" s="495" t="s">
        <v>437</v>
      </c>
      <c r="L57" s="495" t="s">
        <v>305</v>
      </c>
      <c r="M57" s="495" t="s">
        <v>197</v>
      </c>
      <c r="N57" s="495" t="s">
        <v>198</v>
      </c>
      <c r="O57" s="498">
        <v>1</v>
      </c>
      <c r="P57" s="504">
        <v>1</v>
      </c>
      <c r="Q57" s="504">
        <v>1</v>
      </c>
      <c r="R57" s="499">
        <v>80</v>
      </c>
      <c r="S57" s="504">
        <v>1</v>
      </c>
      <c r="T57" s="499">
        <v>45074.04</v>
      </c>
      <c r="U57" s="499">
        <v>70.86</v>
      </c>
      <c r="V57" s="499">
        <v>17652.189999999999</v>
      </c>
      <c r="W57" s="499">
        <v>62088</v>
      </c>
      <c r="X57" s="499">
        <v>25672.5</v>
      </c>
      <c r="Y57" s="499">
        <v>62088</v>
      </c>
      <c r="Z57" s="499">
        <v>25349.64</v>
      </c>
      <c r="AA57" s="495" t="s">
        <v>438</v>
      </c>
      <c r="AB57" s="495" t="s">
        <v>439</v>
      </c>
      <c r="AC57" s="495" t="s">
        <v>377</v>
      </c>
      <c r="AD57" s="495" t="s">
        <v>305</v>
      </c>
      <c r="AE57" s="495" t="s">
        <v>437</v>
      </c>
      <c r="AF57" s="495" t="s">
        <v>440</v>
      </c>
      <c r="AG57" s="495" t="s">
        <v>204</v>
      </c>
      <c r="AH57" s="500">
        <v>29.85</v>
      </c>
      <c r="AI57" s="500">
        <v>19687.400000000001</v>
      </c>
      <c r="AJ57" s="495" t="s">
        <v>205</v>
      </c>
      <c r="AK57" s="495" t="s">
        <v>206</v>
      </c>
      <c r="AL57" s="495" t="s">
        <v>207</v>
      </c>
      <c r="AM57" s="495" t="s">
        <v>208</v>
      </c>
      <c r="AN57" s="495" t="s">
        <v>92</v>
      </c>
      <c r="AO57" s="498">
        <v>80</v>
      </c>
      <c r="AP57" s="504">
        <v>1</v>
      </c>
      <c r="AQ57" s="504">
        <v>1</v>
      </c>
      <c r="AR57" s="502" t="s">
        <v>209</v>
      </c>
      <c r="AS57" s="506">
        <f t="shared" si="27"/>
        <v>1</v>
      </c>
      <c r="AT57">
        <f t="shared" si="28"/>
        <v>1</v>
      </c>
      <c r="AU57" s="506">
        <f>IF(AT57=0,"",IF(AND(AT57=1,M57="F",SUMIF(C2:C177,C57,AS2:AS177)&lt;=1),SUMIF(C2:C177,C57,AS2:AS177),IF(AND(AT57=1,M57="F",SUMIF(C2:C177,C57,AS2:AS177)&gt;1),1,"")))</f>
        <v>1</v>
      </c>
      <c r="AV57" s="506" t="str">
        <f>IF(AT57=0,"",IF(AND(AT57=3,M57="F",SUMIF(C2:C177,C57,AS2:AS177)&lt;=1),SUMIF(C2:C177,C57,AS2:AS177),IF(AND(AT57=3,M57="F",SUMIF(C2:C177,C57,AS2:AS177)&gt;1),1,"")))</f>
        <v/>
      </c>
      <c r="AW57" s="506">
        <f>SUMIF(C2:C177,C57,O2:O177)</f>
        <v>1</v>
      </c>
      <c r="AX57" s="506">
        <f>IF(AND(M57="F",AS57&lt;&gt;0),SUMIF(C2:C177,C57,W2:W177),0)</f>
        <v>62088</v>
      </c>
      <c r="AY57" s="506">
        <f t="shared" si="29"/>
        <v>62088</v>
      </c>
      <c r="AZ57" s="506" t="str">
        <f t="shared" si="30"/>
        <v/>
      </c>
      <c r="BA57" s="506">
        <f t="shared" si="31"/>
        <v>0</v>
      </c>
      <c r="BB57" s="506">
        <f t="shared" si="44"/>
        <v>11650</v>
      </c>
      <c r="BC57" s="506">
        <f t="shared" si="45"/>
        <v>0</v>
      </c>
      <c r="BD57" s="506">
        <f t="shared" si="46"/>
        <v>3849.4560000000001</v>
      </c>
      <c r="BE57" s="506">
        <f t="shared" si="47"/>
        <v>900.27600000000007</v>
      </c>
      <c r="BF57" s="506">
        <f t="shared" si="48"/>
        <v>7413.3072000000002</v>
      </c>
      <c r="BG57" s="506">
        <f t="shared" si="49"/>
        <v>447.65448000000004</v>
      </c>
      <c r="BH57" s="506">
        <f t="shared" si="50"/>
        <v>304.2312</v>
      </c>
      <c r="BI57" s="506">
        <f t="shared" si="51"/>
        <v>343.65708000000001</v>
      </c>
      <c r="BJ57" s="506">
        <f t="shared" si="52"/>
        <v>763.68240000000003</v>
      </c>
      <c r="BK57" s="506">
        <f t="shared" si="53"/>
        <v>0</v>
      </c>
      <c r="BL57" s="506">
        <f t="shared" si="32"/>
        <v>14022.264359999999</v>
      </c>
      <c r="BM57" s="506">
        <f t="shared" si="33"/>
        <v>0</v>
      </c>
      <c r="BN57" s="506">
        <f t="shared" si="54"/>
        <v>11650</v>
      </c>
      <c r="BO57" s="506">
        <f t="shared" si="55"/>
        <v>0</v>
      </c>
      <c r="BP57" s="506">
        <f t="shared" si="56"/>
        <v>3849.4560000000001</v>
      </c>
      <c r="BQ57" s="506">
        <f t="shared" si="57"/>
        <v>900.27600000000007</v>
      </c>
      <c r="BR57" s="506">
        <f t="shared" si="58"/>
        <v>7413.3072000000002</v>
      </c>
      <c r="BS57" s="506">
        <f t="shared" si="59"/>
        <v>447.65448000000004</v>
      </c>
      <c r="BT57" s="506">
        <f t="shared" si="60"/>
        <v>0</v>
      </c>
      <c r="BU57" s="506">
        <f t="shared" si="61"/>
        <v>343.65708000000001</v>
      </c>
      <c r="BV57" s="506">
        <f t="shared" si="62"/>
        <v>745.05600000000004</v>
      </c>
      <c r="BW57" s="506">
        <f t="shared" si="63"/>
        <v>0</v>
      </c>
      <c r="BX57" s="506">
        <f t="shared" si="34"/>
        <v>13699.40676</v>
      </c>
      <c r="BY57" s="506">
        <f t="shared" si="35"/>
        <v>0</v>
      </c>
      <c r="BZ57" s="506">
        <f t="shared" si="36"/>
        <v>0</v>
      </c>
      <c r="CA57" s="506">
        <f t="shared" si="37"/>
        <v>0</v>
      </c>
      <c r="CB57" s="506">
        <f t="shared" si="38"/>
        <v>0</v>
      </c>
      <c r="CC57" s="506">
        <f t="shared" si="64"/>
        <v>0</v>
      </c>
      <c r="CD57" s="506">
        <f t="shared" si="65"/>
        <v>0</v>
      </c>
      <c r="CE57" s="506">
        <f t="shared" si="66"/>
        <v>0</v>
      </c>
      <c r="CF57" s="506">
        <f t="shared" si="67"/>
        <v>-304.2312</v>
      </c>
      <c r="CG57" s="506">
        <f t="shared" si="68"/>
        <v>0</v>
      </c>
      <c r="CH57" s="506">
        <f t="shared" si="69"/>
        <v>-18.626399999999997</v>
      </c>
      <c r="CI57" s="506">
        <f t="shared" si="70"/>
        <v>0</v>
      </c>
      <c r="CJ57" s="506">
        <f t="shared" si="39"/>
        <v>-322.85759999999999</v>
      </c>
      <c r="CK57" s="506" t="str">
        <f t="shared" si="40"/>
        <v/>
      </c>
      <c r="CL57" s="506" t="str">
        <f t="shared" si="41"/>
        <v/>
      </c>
      <c r="CM57" s="506" t="str">
        <f t="shared" si="42"/>
        <v/>
      </c>
      <c r="CN57" s="506" t="str">
        <f t="shared" si="43"/>
        <v>0290-00</v>
      </c>
    </row>
    <row r="58" spans="1:92" ht="15.75" thickBot="1" x14ac:dyDescent="0.3">
      <c r="A58" s="495" t="s">
        <v>187</v>
      </c>
      <c r="B58" s="495" t="s">
        <v>188</v>
      </c>
      <c r="C58" s="495" t="s">
        <v>441</v>
      </c>
      <c r="D58" s="495" t="s">
        <v>284</v>
      </c>
      <c r="E58" s="495" t="s">
        <v>191</v>
      </c>
      <c r="F58" s="496" t="s">
        <v>192</v>
      </c>
      <c r="G58" s="495" t="s">
        <v>193</v>
      </c>
      <c r="H58" s="497"/>
      <c r="I58" s="497"/>
      <c r="J58" s="495" t="s">
        <v>358</v>
      </c>
      <c r="K58" s="495" t="s">
        <v>285</v>
      </c>
      <c r="L58" s="495" t="s">
        <v>286</v>
      </c>
      <c r="M58" s="495" t="s">
        <v>197</v>
      </c>
      <c r="N58" s="495" t="s">
        <v>198</v>
      </c>
      <c r="O58" s="498">
        <v>1</v>
      </c>
      <c r="P58" s="504">
        <v>1</v>
      </c>
      <c r="Q58" s="504">
        <v>1</v>
      </c>
      <c r="R58" s="499">
        <v>80</v>
      </c>
      <c r="S58" s="504">
        <v>1</v>
      </c>
      <c r="T58" s="499">
        <v>45025.03</v>
      </c>
      <c r="U58" s="499">
        <v>80.12</v>
      </c>
      <c r="V58" s="499">
        <v>21988.22</v>
      </c>
      <c r="W58" s="499">
        <v>44137.599999999999</v>
      </c>
      <c r="X58" s="499">
        <v>21618.43</v>
      </c>
      <c r="Y58" s="499">
        <v>44137.599999999999</v>
      </c>
      <c r="Z58" s="499">
        <v>21388.91</v>
      </c>
      <c r="AA58" s="495" t="s">
        <v>442</v>
      </c>
      <c r="AB58" s="495" t="s">
        <v>443</v>
      </c>
      <c r="AC58" s="495" t="s">
        <v>444</v>
      </c>
      <c r="AD58" s="495" t="s">
        <v>301</v>
      </c>
      <c r="AE58" s="495" t="s">
        <v>285</v>
      </c>
      <c r="AF58" s="495" t="s">
        <v>290</v>
      </c>
      <c r="AG58" s="495" t="s">
        <v>204</v>
      </c>
      <c r="AH58" s="500">
        <v>21.22</v>
      </c>
      <c r="AI58" s="500">
        <v>8758.7999999999993</v>
      </c>
      <c r="AJ58" s="495" t="s">
        <v>205</v>
      </c>
      <c r="AK58" s="495" t="s">
        <v>206</v>
      </c>
      <c r="AL58" s="495" t="s">
        <v>207</v>
      </c>
      <c r="AM58" s="495" t="s">
        <v>208</v>
      </c>
      <c r="AN58" s="495" t="s">
        <v>92</v>
      </c>
      <c r="AO58" s="498">
        <v>80</v>
      </c>
      <c r="AP58" s="504">
        <v>1</v>
      </c>
      <c r="AQ58" s="504">
        <v>1</v>
      </c>
      <c r="AR58" s="502" t="s">
        <v>209</v>
      </c>
      <c r="AS58" s="506">
        <f t="shared" si="27"/>
        <v>1</v>
      </c>
      <c r="AT58">
        <f t="shared" si="28"/>
        <v>1</v>
      </c>
      <c r="AU58" s="506">
        <f>IF(AT58=0,"",IF(AND(AT58=1,M58="F",SUMIF(C2:C177,C58,AS2:AS177)&lt;=1),SUMIF(C2:C177,C58,AS2:AS177),IF(AND(AT58=1,M58="F",SUMIF(C2:C177,C58,AS2:AS177)&gt;1),1,"")))</f>
        <v>1</v>
      </c>
      <c r="AV58" s="506" t="str">
        <f>IF(AT58=0,"",IF(AND(AT58=3,M58="F",SUMIF(C2:C177,C58,AS2:AS177)&lt;=1),SUMIF(C2:C177,C58,AS2:AS177),IF(AND(AT58=3,M58="F",SUMIF(C2:C177,C58,AS2:AS177)&gt;1),1,"")))</f>
        <v/>
      </c>
      <c r="AW58" s="506">
        <f>SUMIF(C2:C177,C58,O2:O177)</f>
        <v>1</v>
      </c>
      <c r="AX58" s="506">
        <f>IF(AND(M58="F",AS58&lt;&gt;0),SUMIF(C2:C177,C58,W2:W177),0)</f>
        <v>44137.599999999999</v>
      </c>
      <c r="AY58" s="506">
        <f t="shared" si="29"/>
        <v>44137.599999999999</v>
      </c>
      <c r="AZ58" s="506" t="str">
        <f t="shared" si="30"/>
        <v/>
      </c>
      <c r="BA58" s="506">
        <f t="shared" si="31"/>
        <v>0</v>
      </c>
      <c r="BB58" s="506">
        <f t="shared" si="44"/>
        <v>11650</v>
      </c>
      <c r="BC58" s="506">
        <f t="shared" si="45"/>
        <v>0</v>
      </c>
      <c r="BD58" s="506">
        <f t="shared" si="46"/>
        <v>2736.5311999999999</v>
      </c>
      <c r="BE58" s="506">
        <f t="shared" si="47"/>
        <v>639.99520000000007</v>
      </c>
      <c r="BF58" s="506">
        <f t="shared" si="48"/>
        <v>5270.0294400000002</v>
      </c>
      <c r="BG58" s="506">
        <f t="shared" si="49"/>
        <v>318.23209600000001</v>
      </c>
      <c r="BH58" s="506">
        <f t="shared" si="50"/>
        <v>216.27423999999999</v>
      </c>
      <c r="BI58" s="506">
        <f t="shared" si="51"/>
        <v>244.301616</v>
      </c>
      <c r="BJ58" s="506">
        <f t="shared" si="52"/>
        <v>542.89247999999998</v>
      </c>
      <c r="BK58" s="506">
        <f t="shared" si="53"/>
        <v>0</v>
      </c>
      <c r="BL58" s="506">
        <f t="shared" si="32"/>
        <v>9968.2562720000024</v>
      </c>
      <c r="BM58" s="506">
        <f t="shared" si="33"/>
        <v>0</v>
      </c>
      <c r="BN58" s="506">
        <f t="shared" si="54"/>
        <v>11650</v>
      </c>
      <c r="BO58" s="506">
        <f t="shared" si="55"/>
        <v>0</v>
      </c>
      <c r="BP58" s="506">
        <f t="shared" si="56"/>
        <v>2736.5311999999999</v>
      </c>
      <c r="BQ58" s="506">
        <f t="shared" si="57"/>
        <v>639.99520000000007</v>
      </c>
      <c r="BR58" s="506">
        <f t="shared" si="58"/>
        <v>5270.0294400000002</v>
      </c>
      <c r="BS58" s="506">
        <f t="shared" si="59"/>
        <v>318.23209600000001</v>
      </c>
      <c r="BT58" s="506">
        <f t="shared" si="60"/>
        <v>0</v>
      </c>
      <c r="BU58" s="506">
        <f t="shared" si="61"/>
        <v>244.301616</v>
      </c>
      <c r="BV58" s="506">
        <f t="shared" si="62"/>
        <v>529.65120000000002</v>
      </c>
      <c r="BW58" s="506">
        <f t="shared" si="63"/>
        <v>0</v>
      </c>
      <c r="BX58" s="506">
        <f t="shared" si="34"/>
        <v>9738.7407520000015</v>
      </c>
      <c r="BY58" s="506">
        <f t="shared" si="35"/>
        <v>0</v>
      </c>
      <c r="BZ58" s="506">
        <f t="shared" si="36"/>
        <v>0</v>
      </c>
      <c r="CA58" s="506">
        <f t="shared" si="37"/>
        <v>0</v>
      </c>
      <c r="CB58" s="506">
        <f t="shared" si="38"/>
        <v>0</v>
      </c>
      <c r="CC58" s="506">
        <f t="shared" si="64"/>
        <v>0</v>
      </c>
      <c r="CD58" s="506">
        <f t="shared" si="65"/>
        <v>0</v>
      </c>
      <c r="CE58" s="506">
        <f t="shared" si="66"/>
        <v>0</v>
      </c>
      <c r="CF58" s="506">
        <f t="shared" si="67"/>
        <v>-216.27423999999999</v>
      </c>
      <c r="CG58" s="506">
        <f t="shared" si="68"/>
        <v>0</v>
      </c>
      <c r="CH58" s="506">
        <f t="shared" si="69"/>
        <v>-13.241279999999996</v>
      </c>
      <c r="CI58" s="506">
        <f t="shared" si="70"/>
        <v>0</v>
      </c>
      <c r="CJ58" s="506">
        <f t="shared" si="39"/>
        <v>-229.51551999999998</v>
      </c>
      <c r="CK58" s="506" t="str">
        <f t="shared" si="40"/>
        <v/>
      </c>
      <c r="CL58" s="506" t="str">
        <f t="shared" si="41"/>
        <v/>
      </c>
      <c r="CM58" s="506" t="str">
        <f t="shared" si="42"/>
        <v/>
      </c>
      <c r="CN58" s="506" t="str">
        <f t="shared" si="43"/>
        <v>0290-00</v>
      </c>
    </row>
    <row r="59" spans="1:92" ht="15.75" thickBot="1" x14ac:dyDescent="0.3">
      <c r="A59" s="495" t="s">
        <v>187</v>
      </c>
      <c r="B59" s="495" t="s">
        <v>188</v>
      </c>
      <c r="C59" s="495" t="s">
        <v>445</v>
      </c>
      <c r="D59" s="495" t="s">
        <v>294</v>
      </c>
      <c r="E59" s="495" t="s">
        <v>191</v>
      </c>
      <c r="F59" s="496" t="s">
        <v>192</v>
      </c>
      <c r="G59" s="495" t="s">
        <v>193</v>
      </c>
      <c r="H59" s="497"/>
      <c r="I59" s="497"/>
      <c r="J59" s="495" t="s">
        <v>216</v>
      </c>
      <c r="K59" s="495" t="s">
        <v>295</v>
      </c>
      <c r="L59" s="495" t="s">
        <v>204</v>
      </c>
      <c r="M59" s="495" t="s">
        <v>197</v>
      </c>
      <c r="N59" s="495" t="s">
        <v>198</v>
      </c>
      <c r="O59" s="498">
        <v>1</v>
      </c>
      <c r="P59" s="504">
        <v>1</v>
      </c>
      <c r="Q59" s="504">
        <v>1</v>
      </c>
      <c r="R59" s="499">
        <v>80</v>
      </c>
      <c r="S59" s="504">
        <v>1</v>
      </c>
      <c r="T59" s="499">
        <v>31306.73</v>
      </c>
      <c r="U59" s="499">
        <v>1256.82</v>
      </c>
      <c r="V59" s="499">
        <v>18510.7</v>
      </c>
      <c r="W59" s="499">
        <v>30717.4</v>
      </c>
      <c r="X59" s="499">
        <v>18587.48</v>
      </c>
      <c r="Y59" s="499">
        <v>30717.4</v>
      </c>
      <c r="Z59" s="499">
        <v>18427.73</v>
      </c>
      <c r="AA59" s="495" t="s">
        <v>446</v>
      </c>
      <c r="AB59" s="495" t="s">
        <v>447</v>
      </c>
      <c r="AC59" s="495" t="s">
        <v>448</v>
      </c>
      <c r="AD59" s="495" t="s">
        <v>196</v>
      </c>
      <c r="AE59" s="495" t="s">
        <v>295</v>
      </c>
      <c r="AF59" s="495" t="s">
        <v>274</v>
      </c>
      <c r="AG59" s="495" t="s">
        <v>204</v>
      </c>
      <c r="AH59" s="500">
        <v>18.46</v>
      </c>
      <c r="AI59" s="500">
        <v>36798.6</v>
      </c>
      <c r="AJ59" s="495" t="s">
        <v>243</v>
      </c>
      <c r="AK59" s="495" t="s">
        <v>206</v>
      </c>
      <c r="AL59" s="495" t="s">
        <v>207</v>
      </c>
      <c r="AM59" s="495" t="s">
        <v>208</v>
      </c>
      <c r="AN59" s="495" t="s">
        <v>92</v>
      </c>
      <c r="AO59" s="498">
        <v>64</v>
      </c>
      <c r="AP59" s="504">
        <v>1</v>
      </c>
      <c r="AQ59" s="504">
        <v>0.8</v>
      </c>
      <c r="AR59" s="502" t="s">
        <v>209</v>
      </c>
      <c r="AS59" s="506">
        <f t="shared" si="27"/>
        <v>0.8</v>
      </c>
      <c r="AT59">
        <f t="shared" si="28"/>
        <v>1</v>
      </c>
      <c r="AU59" s="506">
        <f>IF(AT59=0,"",IF(AND(AT59=1,M59="F",SUMIF(C2:C177,C59,AS2:AS177)&lt;=1),SUMIF(C2:C177,C59,AS2:AS177),IF(AND(AT59=1,M59="F",SUMIF(C2:C177,C59,AS2:AS177)&gt;1),1,"")))</f>
        <v>0.8</v>
      </c>
      <c r="AV59" s="506" t="str">
        <f>IF(AT59=0,"",IF(AND(AT59=3,M59="F",SUMIF(C2:C177,C59,AS2:AS177)&lt;=1),SUMIF(C2:C177,C59,AS2:AS177),IF(AND(AT59=3,M59="F",SUMIF(C2:C177,C59,AS2:AS177)&gt;1),1,"")))</f>
        <v/>
      </c>
      <c r="AW59" s="506">
        <f>SUMIF(C2:C177,C59,O2:O177)</f>
        <v>1</v>
      </c>
      <c r="AX59" s="506">
        <f>IF(AND(M59="F",AS59&lt;&gt;0),SUMIF(C2:C177,C59,W2:W177),0)</f>
        <v>30717.4</v>
      </c>
      <c r="AY59" s="506">
        <f t="shared" si="29"/>
        <v>30717.4</v>
      </c>
      <c r="AZ59" s="506" t="str">
        <f t="shared" si="30"/>
        <v/>
      </c>
      <c r="BA59" s="506">
        <f t="shared" si="31"/>
        <v>0</v>
      </c>
      <c r="BB59" s="506">
        <f t="shared" si="44"/>
        <v>11650</v>
      </c>
      <c r="BC59" s="506">
        <f t="shared" si="45"/>
        <v>0</v>
      </c>
      <c r="BD59" s="506">
        <f t="shared" si="46"/>
        <v>1904.4788000000001</v>
      </c>
      <c r="BE59" s="506">
        <f t="shared" si="47"/>
        <v>445.40230000000003</v>
      </c>
      <c r="BF59" s="506">
        <f t="shared" si="48"/>
        <v>3667.6575600000006</v>
      </c>
      <c r="BG59" s="506">
        <f t="shared" si="49"/>
        <v>221.47245400000003</v>
      </c>
      <c r="BH59" s="506">
        <f t="shared" si="50"/>
        <v>150.51526000000001</v>
      </c>
      <c r="BI59" s="506">
        <f t="shared" si="51"/>
        <v>170.02080900000001</v>
      </c>
      <c r="BJ59" s="506">
        <f t="shared" si="52"/>
        <v>377.82402000000002</v>
      </c>
      <c r="BK59" s="506">
        <f t="shared" si="53"/>
        <v>0</v>
      </c>
      <c r="BL59" s="506">
        <f t="shared" si="32"/>
        <v>6937.3712029999997</v>
      </c>
      <c r="BM59" s="506">
        <f t="shared" si="33"/>
        <v>0</v>
      </c>
      <c r="BN59" s="506">
        <f t="shared" si="54"/>
        <v>11650</v>
      </c>
      <c r="BO59" s="506">
        <f t="shared" si="55"/>
        <v>0</v>
      </c>
      <c r="BP59" s="506">
        <f t="shared" si="56"/>
        <v>1904.4788000000001</v>
      </c>
      <c r="BQ59" s="506">
        <f t="shared" si="57"/>
        <v>445.40230000000003</v>
      </c>
      <c r="BR59" s="506">
        <f t="shared" si="58"/>
        <v>3667.6575600000006</v>
      </c>
      <c r="BS59" s="506">
        <f t="shared" si="59"/>
        <v>221.47245400000003</v>
      </c>
      <c r="BT59" s="506">
        <f t="shared" si="60"/>
        <v>0</v>
      </c>
      <c r="BU59" s="506">
        <f t="shared" si="61"/>
        <v>170.02080900000001</v>
      </c>
      <c r="BV59" s="506">
        <f t="shared" si="62"/>
        <v>368.60880000000003</v>
      </c>
      <c r="BW59" s="506">
        <f t="shared" si="63"/>
        <v>0</v>
      </c>
      <c r="BX59" s="506">
        <f t="shared" si="34"/>
        <v>6777.6407229999995</v>
      </c>
      <c r="BY59" s="506">
        <f t="shared" si="35"/>
        <v>0</v>
      </c>
      <c r="BZ59" s="506">
        <f t="shared" si="36"/>
        <v>0</v>
      </c>
      <c r="CA59" s="506">
        <f t="shared" si="37"/>
        <v>0</v>
      </c>
      <c r="CB59" s="506">
        <f t="shared" si="38"/>
        <v>0</v>
      </c>
      <c r="CC59" s="506">
        <f t="shared" si="64"/>
        <v>0</v>
      </c>
      <c r="CD59" s="506">
        <f t="shared" si="65"/>
        <v>0</v>
      </c>
      <c r="CE59" s="506">
        <f t="shared" si="66"/>
        <v>0</v>
      </c>
      <c r="CF59" s="506">
        <f t="shared" si="67"/>
        <v>-150.51526000000001</v>
      </c>
      <c r="CG59" s="506">
        <f t="shared" si="68"/>
        <v>0</v>
      </c>
      <c r="CH59" s="506">
        <f t="shared" si="69"/>
        <v>-9.2152199999999986</v>
      </c>
      <c r="CI59" s="506">
        <f t="shared" si="70"/>
        <v>0</v>
      </c>
      <c r="CJ59" s="506">
        <f t="shared" si="39"/>
        <v>-159.73048</v>
      </c>
      <c r="CK59" s="506" t="str">
        <f t="shared" si="40"/>
        <v/>
      </c>
      <c r="CL59" s="506" t="str">
        <f t="shared" si="41"/>
        <v/>
      </c>
      <c r="CM59" s="506" t="str">
        <f t="shared" si="42"/>
        <v/>
      </c>
      <c r="CN59" s="506" t="str">
        <f t="shared" si="43"/>
        <v>0290-00</v>
      </c>
    </row>
    <row r="60" spans="1:92" ht="15.75" thickBot="1" x14ac:dyDescent="0.3">
      <c r="A60" s="495" t="s">
        <v>187</v>
      </c>
      <c r="B60" s="495" t="s">
        <v>188</v>
      </c>
      <c r="C60" s="495" t="s">
        <v>449</v>
      </c>
      <c r="D60" s="495" t="s">
        <v>265</v>
      </c>
      <c r="E60" s="495" t="s">
        <v>191</v>
      </c>
      <c r="F60" s="496" t="s">
        <v>192</v>
      </c>
      <c r="G60" s="495" t="s">
        <v>193</v>
      </c>
      <c r="H60" s="497"/>
      <c r="I60" s="497"/>
      <c r="J60" s="495" t="s">
        <v>225</v>
      </c>
      <c r="K60" s="495" t="s">
        <v>266</v>
      </c>
      <c r="L60" s="495" t="s">
        <v>232</v>
      </c>
      <c r="M60" s="495" t="s">
        <v>213</v>
      </c>
      <c r="N60" s="495" t="s">
        <v>198</v>
      </c>
      <c r="O60" s="498">
        <v>0</v>
      </c>
      <c r="P60" s="504">
        <v>0</v>
      </c>
      <c r="Q60" s="504">
        <v>0</v>
      </c>
      <c r="R60" s="499">
        <v>80</v>
      </c>
      <c r="S60" s="504">
        <v>0</v>
      </c>
      <c r="T60" s="499">
        <v>27213.64</v>
      </c>
      <c r="U60" s="499">
        <v>3355.93</v>
      </c>
      <c r="V60" s="499">
        <v>11895.54</v>
      </c>
      <c r="W60" s="499">
        <v>0</v>
      </c>
      <c r="X60" s="499">
        <v>0</v>
      </c>
      <c r="Y60" s="499">
        <v>0</v>
      </c>
      <c r="Z60" s="499">
        <v>0</v>
      </c>
      <c r="AA60" s="497"/>
      <c r="AB60" s="495" t="s">
        <v>23</v>
      </c>
      <c r="AC60" s="495" t="s">
        <v>23</v>
      </c>
      <c r="AD60" s="497"/>
      <c r="AE60" s="497"/>
      <c r="AF60" s="497"/>
      <c r="AG60" s="497"/>
      <c r="AH60" s="498">
        <v>0</v>
      </c>
      <c r="AI60" s="498">
        <v>0</v>
      </c>
      <c r="AJ60" s="497"/>
      <c r="AK60" s="497"/>
      <c r="AL60" s="495" t="s">
        <v>207</v>
      </c>
      <c r="AM60" s="497"/>
      <c r="AN60" s="497"/>
      <c r="AO60" s="498">
        <v>0</v>
      </c>
      <c r="AP60" s="504">
        <v>0</v>
      </c>
      <c r="AQ60" s="504">
        <v>0</v>
      </c>
      <c r="AR60" s="503"/>
      <c r="AS60" s="506">
        <f t="shared" si="27"/>
        <v>0</v>
      </c>
      <c r="AT60">
        <f t="shared" si="28"/>
        <v>0</v>
      </c>
      <c r="AU60" s="506" t="str">
        <f>IF(AT60=0,"",IF(AND(AT60=1,M60="F",SUMIF(C2:C177,C60,AS2:AS177)&lt;=1),SUMIF(C2:C177,C60,AS2:AS177),IF(AND(AT60=1,M60="F",SUMIF(C2:C177,C60,AS2:AS177)&gt;1),1,"")))</f>
        <v/>
      </c>
      <c r="AV60" s="506" t="str">
        <f>IF(AT60=0,"",IF(AND(AT60=3,M60="F",SUMIF(C2:C177,C60,AS2:AS177)&lt;=1),SUMIF(C2:C177,C60,AS2:AS177),IF(AND(AT60=3,M60="F",SUMIF(C2:C177,C60,AS2:AS177)&gt;1),1,"")))</f>
        <v/>
      </c>
      <c r="AW60" s="506">
        <f>SUMIF(C2:C177,C60,O2:O177)</f>
        <v>0</v>
      </c>
      <c r="AX60" s="506">
        <f>IF(AND(M60="F",AS60&lt;&gt;0),SUMIF(C2:C177,C60,W2:W177),0)</f>
        <v>0</v>
      </c>
      <c r="AY60" s="506" t="str">
        <f t="shared" si="29"/>
        <v/>
      </c>
      <c r="AZ60" s="506" t="str">
        <f t="shared" si="30"/>
        <v/>
      </c>
      <c r="BA60" s="506">
        <f t="shared" si="31"/>
        <v>0</v>
      </c>
      <c r="BB60" s="506">
        <f t="shared" si="44"/>
        <v>0</v>
      </c>
      <c r="BC60" s="506">
        <f t="shared" si="45"/>
        <v>0</v>
      </c>
      <c r="BD60" s="506">
        <f t="shared" si="46"/>
        <v>0</v>
      </c>
      <c r="BE60" s="506">
        <f t="shared" si="47"/>
        <v>0</v>
      </c>
      <c r="BF60" s="506">
        <f t="shared" si="48"/>
        <v>0</v>
      </c>
      <c r="BG60" s="506">
        <f t="shared" si="49"/>
        <v>0</v>
      </c>
      <c r="BH60" s="506">
        <f t="shared" si="50"/>
        <v>0</v>
      </c>
      <c r="BI60" s="506">
        <f t="shared" si="51"/>
        <v>0</v>
      </c>
      <c r="BJ60" s="506">
        <f t="shared" si="52"/>
        <v>0</v>
      </c>
      <c r="BK60" s="506">
        <f t="shared" si="53"/>
        <v>0</v>
      </c>
      <c r="BL60" s="506">
        <f t="shared" si="32"/>
        <v>0</v>
      </c>
      <c r="BM60" s="506">
        <f t="shared" si="33"/>
        <v>0</v>
      </c>
      <c r="BN60" s="506">
        <f t="shared" si="54"/>
        <v>0</v>
      </c>
      <c r="BO60" s="506">
        <f t="shared" si="55"/>
        <v>0</v>
      </c>
      <c r="BP60" s="506">
        <f t="shared" si="56"/>
        <v>0</v>
      </c>
      <c r="BQ60" s="506">
        <f t="shared" si="57"/>
        <v>0</v>
      </c>
      <c r="BR60" s="506">
        <f t="shared" si="58"/>
        <v>0</v>
      </c>
      <c r="BS60" s="506">
        <f t="shared" si="59"/>
        <v>0</v>
      </c>
      <c r="BT60" s="506">
        <f t="shared" si="60"/>
        <v>0</v>
      </c>
      <c r="BU60" s="506">
        <f t="shared" si="61"/>
        <v>0</v>
      </c>
      <c r="BV60" s="506">
        <f t="shared" si="62"/>
        <v>0</v>
      </c>
      <c r="BW60" s="506">
        <f t="shared" si="63"/>
        <v>0</v>
      </c>
      <c r="BX60" s="506">
        <f t="shared" si="34"/>
        <v>0</v>
      </c>
      <c r="BY60" s="506">
        <f t="shared" si="35"/>
        <v>0</v>
      </c>
      <c r="BZ60" s="506">
        <f t="shared" si="36"/>
        <v>0</v>
      </c>
      <c r="CA60" s="506">
        <f t="shared" si="37"/>
        <v>0</v>
      </c>
      <c r="CB60" s="506">
        <f t="shared" si="38"/>
        <v>0</v>
      </c>
      <c r="CC60" s="506">
        <f t="shared" si="64"/>
        <v>0</v>
      </c>
      <c r="CD60" s="506">
        <f t="shared" si="65"/>
        <v>0</v>
      </c>
      <c r="CE60" s="506">
        <f t="shared" si="66"/>
        <v>0</v>
      </c>
      <c r="CF60" s="506">
        <f t="shared" si="67"/>
        <v>0</v>
      </c>
      <c r="CG60" s="506">
        <f t="shared" si="68"/>
        <v>0</v>
      </c>
      <c r="CH60" s="506">
        <f t="shared" si="69"/>
        <v>0</v>
      </c>
      <c r="CI60" s="506">
        <f t="shared" si="70"/>
        <v>0</v>
      </c>
      <c r="CJ60" s="506">
        <f t="shared" si="39"/>
        <v>0</v>
      </c>
      <c r="CK60" s="506" t="str">
        <f t="shared" si="40"/>
        <v/>
      </c>
      <c r="CL60" s="506" t="str">
        <f t="shared" si="41"/>
        <v/>
      </c>
      <c r="CM60" s="506" t="str">
        <f t="shared" si="42"/>
        <v/>
      </c>
      <c r="CN60" s="506" t="str">
        <f t="shared" si="43"/>
        <v>0290-00</v>
      </c>
    </row>
    <row r="61" spans="1:92" ht="15.75" thickBot="1" x14ac:dyDescent="0.3">
      <c r="A61" s="495" t="s">
        <v>187</v>
      </c>
      <c r="B61" s="495" t="s">
        <v>188</v>
      </c>
      <c r="C61" s="495" t="s">
        <v>450</v>
      </c>
      <c r="D61" s="495" t="s">
        <v>265</v>
      </c>
      <c r="E61" s="495" t="s">
        <v>191</v>
      </c>
      <c r="F61" s="496" t="s">
        <v>192</v>
      </c>
      <c r="G61" s="495" t="s">
        <v>193</v>
      </c>
      <c r="H61" s="497"/>
      <c r="I61" s="497"/>
      <c r="J61" s="495" t="s">
        <v>225</v>
      </c>
      <c r="K61" s="495" t="s">
        <v>266</v>
      </c>
      <c r="L61" s="495" t="s">
        <v>232</v>
      </c>
      <c r="M61" s="495" t="s">
        <v>197</v>
      </c>
      <c r="N61" s="495" t="s">
        <v>198</v>
      </c>
      <c r="O61" s="498">
        <v>1</v>
      </c>
      <c r="P61" s="504">
        <v>1</v>
      </c>
      <c r="Q61" s="504">
        <v>1</v>
      </c>
      <c r="R61" s="499">
        <v>80</v>
      </c>
      <c r="S61" s="504">
        <v>1</v>
      </c>
      <c r="T61" s="499">
        <v>44968.98</v>
      </c>
      <c r="U61" s="499">
        <v>8.61</v>
      </c>
      <c r="V61" s="499">
        <v>21194.26</v>
      </c>
      <c r="W61" s="499">
        <v>46841.599999999999</v>
      </c>
      <c r="X61" s="499">
        <v>22229.14</v>
      </c>
      <c r="Y61" s="499">
        <v>46841.599999999999</v>
      </c>
      <c r="Z61" s="499">
        <v>21985.56</v>
      </c>
      <c r="AA61" s="495" t="s">
        <v>451</v>
      </c>
      <c r="AB61" s="495" t="s">
        <v>452</v>
      </c>
      <c r="AC61" s="495" t="s">
        <v>453</v>
      </c>
      <c r="AD61" s="495" t="s">
        <v>242</v>
      </c>
      <c r="AE61" s="495" t="s">
        <v>266</v>
      </c>
      <c r="AF61" s="495" t="s">
        <v>237</v>
      </c>
      <c r="AG61" s="495" t="s">
        <v>204</v>
      </c>
      <c r="AH61" s="500">
        <v>22.52</v>
      </c>
      <c r="AI61" s="500">
        <v>4511.2</v>
      </c>
      <c r="AJ61" s="495" t="s">
        <v>205</v>
      </c>
      <c r="AK61" s="495" t="s">
        <v>206</v>
      </c>
      <c r="AL61" s="495" t="s">
        <v>207</v>
      </c>
      <c r="AM61" s="495" t="s">
        <v>208</v>
      </c>
      <c r="AN61" s="495" t="s">
        <v>92</v>
      </c>
      <c r="AO61" s="498">
        <v>80</v>
      </c>
      <c r="AP61" s="504">
        <v>1</v>
      </c>
      <c r="AQ61" s="504">
        <v>1</v>
      </c>
      <c r="AR61" s="502" t="s">
        <v>209</v>
      </c>
      <c r="AS61" s="506">
        <f t="shared" si="27"/>
        <v>1</v>
      </c>
      <c r="AT61">
        <f t="shared" si="28"/>
        <v>1</v>
      </c>
      <c r="AU61" s="506">
        <f>IF(AT61=0,"",IF(AND(AT61=1,M61="F",SUMIF(C2:C177,C61,AS2:AS177)&lt;=1),SUMIF(C2:C177,C61,AS2:AS177),IF(AND(AT61=1,M61="F",SUMIF(C2:C177,C61,AS2:AS177)&gt;1),1,"")))</f>
        <v>1</v>
      </c>
      <c r="AV61" s="506" t="str">
        <f>IF(AT61=0,"",IF(AND(AT61=3,M61="F",SUMIF(C2:C177,C61,AS2:AS177)&lt;=1),SUMIF(C2:C177,C61,AS2:AS177),IF(AND(AT61=3,M61="F",SUMIF(C2:C177,C61,AS2:AS177)&gt;1),1,"")))</f>
        <v/>
      </c>
      <c r="AW61" s="506">
        <f>SUMIF(C2:C177,C61,O2:O177)</f>
        <v>1</v>
      </c>
      <c r="AX61" s="506">
        <f>IF(AND(M61="F",AS61&lt;&gt;0),SUMIF(C2:C177,C61,W2:W177),0)</f>
        <v>46841.599999999999</v>
      </c>
      <c r="AY61" s="506">
        <f t="shared" si="29"/>
        <v>46841.599999999999</v>
      </c>
      <c r="AZ61" s="506" t="str">
        <f t="shared" si="30"/>
        <v/>
      </c>
      <c r="BA61" s="506">
        <f t="shared" si="31"/>
        <v>0</v>
      </c>
      <c r="BB61" s="506">
        <f t="shared" si="44"/>
        <v>11650</v>
      </c>
      <c r="BC61" s="506">
        <f t="shared" si="45"/>
        <v>0</v>
      </c>
      <c r="BD61" s="506">
        <f t="shared" si="46"/>
        <v>2904.1792</v>
      </c>
      <c r="BE61" s="506">
        <f t="shared" si="47"/>
        <v>679.20320000000004</v>
      </c>
      <c r="BF61" s="506">
        <f t="shared" si="48"/>
        <v>5592.8870400000005</v>
      </c>
      <c r="BG61" s="506">
        <f t="shared" si="49"/>
        <v>337.727936</v>
      </c>
      <c r="BH61" s="506">
        <f t="shared" si="50"/>
        <v>229.52383999999998</v>
      </c>
      <c r="BI61" s="506">
        <f t="shared" si="51"/>
        <v>259.26825600000001</v>
      </c>
      <c r="BJ61" s="506">
        <f t="shared" si="52"/>
        <v>576.15167999999994</v>
      </c>
      <c r="BK61" s="506">
        <f t="shared" si="53"/>
        <v>0</v>
      </c>
      <c r="BL61" s="506">
        <f t="shared" si="32"/>
        <v>10578.941151999999</v>
      </c>
      <c r="BM61" s="506">
        <f t="shared" si="33"/>
        <v>0</v>
      </c>
      <c r="BN61" s="506">
        <f t="shared" si="54"/>
        <v>11650</v>
      </c>
      <c r="BO61" s="506">
        <f t="shared" si="55"/>
        <v>0</v>
      </c>
      <c r="BP61" s="506">
        <f t="shared" si="56"/>
        <v>2904.1792</v>
      </c>
      <c r="BQ61" s="506">
        <f t="shared" si="57"/>
        <v>679.20320000000004</v>
      </c>
      <c r="BR61" s="506">
        <f t="shared" si="58"/>
        <v>5592.8870400000005</v>
      </c>
      <c r="BS61" s="506">
        <f t="shared" si="59"/>
        <v>337.727936</v>
      </c>
      <c r="BT61" s="506">
        <f t="shared" si="60"/>
        <v>0</v>
      </c>
      <c r="BU61" s="506">
        <f t="shared" si="61"/>
        <v>259.26825600000001</v>
      </c>
      <c r="BV61" s="506">
        <f t="shared" si="62"/>
        <v>562.0992</v>
      </c>
      <c r="BW61" s="506">
        <f t="shared" si="63"/>
        <v>0</v>
      </c>
      <c r="BX61" s="506">
        <f t="shared" si="34"/>
        <v>10335.364831999999</v>
      </c>
      <c r="BY61" s="506">
        <f t="shared" si="35"/>
        <v>0</v>
      </c>
      <c r="BZ61" s="506">
        <f t="shared" si="36"/>
        <v>0</v>
      </c>
      <c r="CA61" s="506">
        <f t="shared" si="37"/>
        <v>0</v>
      </c>
      <c r="CB61" s="506">
        <f t="shared" si="38"/>
        <v>0</v>
      </c>
      <c r="CC61" s="506">
        <f t="shared" si="64"/>
        <v>0</v>
      </c>
      <c r="CD61" s="506">
        <f t="shared" si="65"/>
        <v>0</v>
      </c>
      <c r="CE61" s="506">
        <f t="shared" si="66"/>
        <v>0</v>
      </c>
      <c r="CF61" s="506">
        <f t="shared" si="67"/>
        <v>-229.52383999999998</v>
      </c>
      <c r="CG61" s="506">
        <f t="shared" si="68"/>
        <v>0</v>
      </c>
      <c r="CH61" s="506">
        <f t="shared" si="69"/>
        <v>-14.052479999999996</v>
      </c>
      <c r="CI61" s="506">
        <f t="shared" si="70"/>
        <v>0</v>
      </c>
      <c r="CJ61" s="506">
        <f t="shared" si="39"/>
        <v>-243.57631999999998</v>
      </c>
      <c r="CK61" s="506" t="str">
        <f t="shared" si="40"/>
        <v/>
      </c>
      <c r="CL61" s="506" t="str">
        <f t="shared" si="41"/>
        <v/>
      </c>
      <c r="CM61" s="506" t="str">
        <f t="shared" si="42"/>
        <v/>
      </c>
      <c r="CN61" s="506" t="str">
        <f t="shared" si="43"/>
        <v>0290-00</v>
      </c>
    </row>
    <row r="62" spans="1:92" ht="15.75" thickBot="1" x14ac:dyDescent="0.3">
      <c r="A62" s="495" t="s">
        <v>187</v>
      </c>
      <c r="B62" s="495" t="s">
        <v>188</v>
      </c>
      <c r="C62" s="495" t="s">
        <v>454</v>
      </c>
      <c r="D62" s="495" t="s">
        <v>229</v>
      </c>
      <c r="E62" s="495" t="s">
        <v>191</v>
      </c>
      <c r="F62" s="496" t="s">
        <v>192</v>
      </c>
      <c r="G62" s="495" t="s">
        <v>193</v>
      </c>
      <c r="H62" s="497"/>
      <c r="I62" s="497"/>
      <c r="J62" s="495" t="s">
        <v>277</v>
      </c>
      <c r="K62" s="495" t="s">
        <v>231</v>
      </c>
      <c r="L62" s="495" t="s">
        <v>232</v>
      </c>
      <c r="M62" s="495" t="s">
        <v>197</v>
      </c>
      <c r="N62" s="495" t="s">
        <v>198</v>
      </c>
      <c r="O62" s="498">
        <v>1</v>
      </c>
      <c r="P62" s="504">
        <v>1</v>
      </c>
      <c r="Q62" s="504">
        <v>1</v>
      </c>
      <c r="R62" s="499">
        <v>72</v>
      </c>
      <c r="S62" s="504">
        <v>0.9</v>
      </c>
      <c r="T62" s="499">
        <v>49488.47</v>
      </c>
      <c r="U62" s="499">
        <v>0</v>
      </c>
      <c r="V62" s="499">
        <v>22495.26</v>
      </c>
      <c r="W62" s="499">
        <v>52020.76</v>
      </c>
      <c r="X62" s="499">
        <v>23398.81</v>
      </c>
      <c r="Y62" s="499">
        <v>52020.76</v>
      </c>
      <c r="Z62" s="499">
        <v>23128.32</v>
      </c>
      <c r="AA62" s="495" t="s">
        <v>455</v>
      </c>
      <c r="AB62" s="495" t="s">
        <v>456</v>
      </c>
      <c r="AC62" s="495" t="s">
        <v>457</v>
      </c>
      <c r="AD62" s="495" t="s">
        <v>232</v>
      </c>
      <c r="AE62" s="495" t="s">
        <v>231</v>
      </c>
      <c r="AF62" s="495" t="s">
        <v>237</v>
      </c>
      <c r="AG62" s="495" t="s">
        <v>204</v>
      </c>
      <c r="AH62" s="500">
        <v>25.01</v>
      </c>
      <c r="AI62" s="500">
        <v>9086.5</v>
      </c>
      <c r="AJ62" s="495" t="s">
        <v>205</v>
      </c>
      <c r="AK62" s="495" t="s">
        <v>206</v>
      </c>
      <c r="AL62" s="495" t="s">
        <v>207</v>
      </c>
      <c r="AM62" s="495" t="s">
        <v>208</v>
      </c>
      <c r="AN62" s="495" t="s">
        <v>92</v>
      </c>
      <c r="AO62" s="498">
        <v>80</v>
      </c>
      <c r="AP62" s="504">
        <v>1</v>
      </c>
      <c r="AQ62" s="504">
        <v>1</v>
      </c>
      <c r="AR62" s="502" t="s">
        <v>209</v>
      </c>
      <c r="AS62" s="506">
        <f t="shared" si="27"/>
        <v>1</v>
      </c>
      <c r="AT62">
        <f t="shared" si="28"/>
        <v>1</v>
      </c>
      <c r="AU62" s="506">
        <f>IF(AT62=0,"",IF(AND(AT62=1,M62="F",SUMIF(C2:C177,C62,AS2:AS177)&lt;=1),SUMIF(C2:C177,C62,AS2:AS177),IF(AND(AT62=1,M62="F",SUMIF(C2:C177,C62,AS2:AS177)&gt;1),1,"")))</f>
        <v>1</v>
      </c>
      <c r="AV62" s="506" t="str">
        <f>IF(AT62=0,"",IF(AND(AT62=3,M62="F",SUMIF(C2:C177,C62,AS2:AS177)&lt;=1),SUMIF(C2:C177,C62,AS2:AS177),IF(AND(AT62=3,M62="F",SUMIF(C2:C177,C62,AS2:AS177)&gt;1),1,"")))</f>
        <v/>
      </c>
      <c r="AW62" s="506">
        <f>SUMIF(C2:C177,C62,O2:O177)</f>
        <v>1</v>
      </c>
      <c r="AX62" s="506">
        <f>IF(AND(M62="F",AS62&lt;&gt;0),SUMIF(C2:C177,C62,W2:W177),0)</f>
        <v>52020.76</v>
      </c>
      <c r="AY62" s="506">
        <f t="shared" si="29"/>
        <v>52020.76</v>
      </c>
      <c r="AZ62" s="506" t="str">
        <f t="shared" si="30"/>
        <v/>
      </c>
      <c r="BA62" s="506">
        <f t="shared" si="31"/>
        <v>0</v>
      </c>
      <c r="BB62" s="506">
        <f t="shared" si="44"/>
        <v>11650</v>
      </c>
      <c r="BC62" s="506">
        <f t="shared" si="45"/>
        <v>0</v>
      </c>
      <c r="BD62" s="506">
        <f t="shared" si="46"/>
        <v>3225.28712</v>
      </c>
      <c r="BE62" s="506">
        <f t="shared" si="47"/>
        <v>754.30102000000011</v>
      </c>
      <c r="BF62" s="506">
        <f t="shared" si="48"/>
        <v>6211.2787440000002</v>
      </c>
      <c r="BG62" s="506">
        <f t="shared" si="49"/>
        <v>375.06967960000003</v>
      </c>
      <c r="BH62" s="506">
        <f t="shared" si="50"/>
        <v>254.901724</v>
      </c>
      <c r="BI62" s="506">
        <f t="shared" si="51"/>
        <v>287.93490660000003</v>
      </c>
      <c r="BJ62" s="506">
        <f t="shared" si="52"/>
        <v>639.85534800000005</v>
      </c>
      <c r="BK62" s="506">
        <f t="shared" si="53"/>
        <v>0</v>
      </c>
      <c r="BL62" s="506">
        <f t="shared" si="32"/>
        <v>11748.628542199996</v>
      </c>
      <c r="BM62" s="506">
        <f t="shared" si="33"/>
        <v>0</v>
      </c>
      <c r="BN62" s="506">
        <f t="shared" si="54"/>
        <v>11650</v>
      </c>
      <c r="BO62" s="506">
        <f t="shared" si="55"/>
        <v>0</v>
      </c>
      <c r="BP62" s="506">
        <f t="shared" si="56"/>
        <v>3225.28712</v>
      </c>
      <c r="BQ62" s="506">
        <f t="shared" si="57"/>
        <v>754.30102000000011</v>
      </c>
      <c r="BR62" s="506">
        <f t="shared" si="58"/>
        <v>6211.2787440000002</v>
      </c>
      <c r="BS62" s="506">
        <f t="shared" si="59"/>
        <v>375.06967960000003</v>
      </c>
      <c r="BT62" s="506">
        <f t="shared" si="60"/>
        <v>0</v>
      </c>
      <c r="BU62" s="506">
        <f t="shared" si="61"/>
        <v>287.93490660000003</v>
      </c>
      <c r="BV62" s="506">
        <f t="shared" si="62"/>
        <v>624.24912000000006</v>
      </c>
      <c r="BW62" s="506">
        <f t="shared" si="63"/>
        <v>0</v>
      </c>
      <c r="BX62" s="506">
        <f t="shared" si="34"/>
        <v>11478.120590199998</v>
      </c>
      <c r="BY62" s="506">
        <f t="shared" si="35"/>
        <v>0</v>
      </c>
      <c r="BZ62" s="506">
        <f t="shared" si="36"/>
        <v>0</v>
      </c>
      <c r="CA62" s="506">
        <f t="shared" si="37"/>
        <v>0</v>
      </c>
      <c r="CB62" s="506">
        <f t="shared" si="38"/>
        <v>0</v>
      </c>
      <c r="CC62" s="506">
        <f t="shared" si="64"/>
        <v>0</v>
      </c>
      <c r="CD62" s="506">
        <f t="shared" si="65"/>
        <v>0</v>
      </c>
      <c r="CE62" s="506">
        <f t="shared" si="66"/>
        <v>0</v>
      </c>
      <c r="CF62" s="506">
        <f t="shared" si="67"/>
        <v>-254.901724</v>
      </c>
      <c r="CG62" s="506">
        <f t="shared" si="68"/>
        <v>0</v>
      </c>
      <c r="CH62" s="506">
        <f t="shared" si="69"/>
        <v>-15.606227999999996</v>
      </c>
      <c r="CI62" s="506">
        <f t="shared" si="70"/>
        <v>0</v>
      </c>
      <c r="CJ62" s="506">
        <f t="shared" si="39"/>
        <v>-270.50795199999999</v>
      </c>
      <c r="CK62" s="506" t="str">
        <f t="shared" si="40"/>
        <v/>
      </c>
      <c r="CL62" s="506" t="str">
        <f t="shared" si="41"/>
        <v/>
      </c>
      <c r="CM62" s="506" t="str">
        <f t="shared" si="42"/>
        <v/>
      </c>
      <c r="CN62" s="506" t="str">
        <f t="shared" si="43"/>
        <v>0290-00</v>
      </c>
    </row>
    <row r="63" spans="1:92" ht="15.75" thickBot="1" x14ac:dyDescent="0.3">
      <c r="A63" s="495" t="s">
        <v>187</v>
      </c>
      <c r="B63" s="495" t="s">
        <v>188</v>
      </c>
      <c r="C63" s="495" t="s">
        <v>458</v>
      </c>
      <c r="D63" s="495" t="s">
        <v>284</v>
      </c>
      <c r="E63" s="495" t="s">
        <v>191</v>
      </c>
      <c r="F63" s="496" t="s">
        <v>192</v>
      </c>
      <c r="G63" s="495" t="s">
        <v>193</v>
      </c>
      <c r="H63" s="497"/>
      <c r="I63" s="497"/>
      <c r="J63" s="495" t="s">
        <v>277</v>
      </c>
      <c r="K63" s="495" t="s">
        <v>285</v>
      </c>
      <c r="L63" s="495" t="s">
        <v>286</v>
      </c>
      <c r="M63" s="495" t="s">
        <v>197</v>
      </c>
      <c r="N63" s="495" t="s">
        <v>198</v>
      </c>
      <c r="O63" s="498">
        <v>1</v>
      </c>
      <c r="P63" s="504">
        <v>1</v>
      </c>
      <c r="Q63" s="504">
        <v>1</v>
      </c>
      <c r="R63" s="499">
        <v>80</v>
      </c>
      <c r="S63" s="504">
        <v>1</v>
      </c>
      <c r="T63" s="499">
        <v>28702.560000000001</v>
      </c>
      <c r="U63" s="499">
        <v>0</v>
      </c>
      <c r="V63" s="499">
        <v>18943.18</v>
      </c>
      <c r="W63" s="499">
        <v>26220.45</v>
      </c>
      <c r="X63" s="499">
        <v>17571.82</v>
      </c>
      <c r="Y63" s="499">
        <v>26220.45</v>
      </c>
      <c r="Z63" s="499">
        <v>17435.48</v>
      </c>
      <c r="AA63" s="495" t="s">
        <v>459</v>
      </c>
      <c r="AB63" s="495" t="s">
        <v>460</v>
      </c>
      <c r="AC63" s="495" t="s">
        <v>461</v>
      </c>
      <c r="AD63" s="495" t="s">
        <v>242</v>
      </c>
      <c r="AE63" s="495" t="s">
        <v>285</v>
      </c>
      <c r="AF63" s="495" t="s">
        <v>290</v>
      </c>
      <c r="AG63" s="495" t="s">
        <v>204</v>
      </c>
      <c r="AH63" s="500">
        <v>21.01</v>
      </c>
      <c r="AI63" s="498">
        <v>5579</v>
      </c>
      <c r="AJ63" s="495" t="s">
        <v>243</v>
      </c>
      <c r="AK63" s="495" t="s">
        <v>206</v>
      </c>
      <c r="AL63" s="495" t="s">
        <v>207</v>
      </c>
      <c r="AM63" s="495" t="s">
        <v>208</v>
      </c>
      <c r="AN63" s="495" t="s">
        <v>92</v>
      </c>
      <c r="AO63" s="498">
        <v>48</v>
      </c>
      <c r="AP63" s="504">
        <v>1</v>
      </c>
      <c r="AQ63" s="504">
        <v>0.6</v>
      </c>
      <c r="AR63" s="502" t="s">
        <v>209</v>
      </c>
      <c r="AS63" s="506">
        <f t="shared" si="27"/>
        <v>0.6</v>
      </c>
      <c r="AT63">
        <f t="shared" si="28"/>
        <v>1</v>
      </c>
      <c r="AU63" s="506">
        <f>IF(AT63=0,"",IF(AND(AT63=1,M63="F",SUMIF(C2:C177,C63,AS2:AS177)&lt;=1),SUMIF(C2:C177,C63,AS2:AS177),IF(AND(AT63=1,M63="F",SUMIF(C2:C177,C63,AS2:AS177)&gt;1),1,"")))</f>
        <v>0.6</v>
      </c>
      <c r="AV63" s="506" t="str">
        <f>IF(AT63=0,"",IF(AND(AT63=3,M63="F",SUMIF(C2:C177,C63,AS2:AS177)&lt;=1),SUMIF(C2:C177,C63,AS2:AS177),IF(AND(AT63=3,M63="F",SUMIF(C2:C177,C63,AS2:AS177)&gt;1),1,"")))</f>
        <v/>
      </c>
      <c r="AW63" s="506">
        <f>SUMIF(C2:C177,C63,O2:O177)</f>
        <v>1</v>
      </c>
      <c r="AX63" s="506">
        <f>IF(AND(M63="F",AS63&lt;&gt;0),SUMIF(C2:C177,C63,W2:W177),0)</f>
        <v>26220.45</v>
      </c>
      <c r="AY63" s="506">
        <f t="shared" si="29"/>
        <v>26220.45</v>
      </c>
      <c r="AZ63" s="506" t="str">
        <f t="shared" si="30"/>
        <v/>
      </c>
      <c r="BA63" s="506">
        <f t="shared" si="31"/>
        <v>0</v>
      </c>
      <c r="BB63" s="506">
        <f t="shared" si="44"/>
        <v>9320</v>
      </c>
      <c r="BC63" s="506">
        <f t="shared" si="45"/>
        <v>0</v>
      </c>
      <c r="BD63" s="506">
        <f t="shared" si="46"/>
        <v>1625.6679000000001</v>
      </c>
      <c r="BE63" s="506">
        <f t="shared" si="47"/>
        <v>380.19652500000001</v>
      </c>
      <c r="BF63" s="506">
        <f t="shared" si="48"/>
        <v>3130.7217300000002</v>
      </c>
      <c r="BG63" s="506">
        <f t="shared" si="49"/>
        <v>189.04944450000002</v>
      </c>
      <c r="BH63" s="506">
        <f t="shared" si="50"/>
        <v>128.48020500000001</v>
      </c>
      <c r="BI63" s="506">
        <f t="shared" si="51"/>
        <v>145.13019075</v>
      </c>
      <c r="BJ63" s="506">
        <f t="shared" si="52"/>
        <v>322.51153500000004</v>
      </c>
      <c r="BK63" s="506">
        <f t="shared" si="53"/>
        <v>0</v>
      </c>
      <c r="BL63" s="506">
        <f t="shared" si="32"/>
        <v>5921.7575302500009</v>
      </c>
      <c r="BM63" s="506">
        <f t="shared" si="33"/>
        <v>0</v>
      </c>
      <c r="BN63" s="506">
        <f t="shared" si="54"/>
        <v>9320</v>
      </c>
      <c r="BO63" s="506">
        <f t="shared" si="55"/>
        <v>0</v>
      </c>
      <c r="BP63" s="506">
        <f t="shared" si="56"/>
        <v>1625.6679000000001</v>
      </c>
      <c r="BQ63" s="506">
        <f t="shared" si="57"/>
        <v>380.19652500000001</v>
      </c>
      <c r="BR63" s="506">
        <f t="shared" si="58"/>
        <v>3130.7217300000002</v>
      </c>
      <c r="BS63" s="506">
        <f t="shared" si="59"/>
        <v>189.04944450000002</v>
      </c>
      <c r="BT63" s="506">
        <f t="shared" si="60"/>
        <v>0</v>
      </c>
      <c r="BU63" s="506">
        <f t="shared" si="61"/>
        <v>145.13019075</v>
      </c>
      <c r="BV63" s="506">
        <f t="shared" si="62"/>
        <v>314.6454</v>
      </c>
      <c r="BW63" s="506">
        <f t="shared" si="63"/>
        <v>0</v>
      </c>
      <c r="BX63" s="506">
        <f t="shared" si="34"/>
        <v>5785.4111902500017</v>
      </c>
      <c r="BY63" s="506">
        <f t="shared" si="35"/>
        <v>0</v>
      </c>
      <c r="BZ63" s="506">
        <f t="shared" si="36"/>
        <v>0</v>
      </c>
      <c r="CA63" s="506">
        <f t="shared" si="37"/>
        <v>0</v>
      </c>
      <c r="CB63" s="506">
        <f t="shared" si="38"/>
        <v>0</v>
      </c>
      <c r="CC63" s="506">
        <f t="shared" si="64"/>
        <v>0</v>
      </c>
      <c r="CD63" s="506">
        <f t="shared" si="65"/>
        <v>0</v>
      </c>
      <c r="CE63" s="506">
        <f t="shared" si="66"/>
        <v>0</v>
      </c>
      <c r="CF63" s="506">
        <f t="shared" si="67"/>
        <v>-128.48020500000001</v>
      </c>
      <c r="CG63" s="506">
        <f t="shared" si="68"/>
        <v>0</v>
      </c>
      <c r="CH63" s="506">
        <f t="shared" si="69"/>
        <v>-7.8661349999999981</v>
      </c>
      <c r="CI63" s="506">
        <f t="shared" si="70"/>
        <v>0</v>
      </c>
      <c r="CJ63" s="506">
        <f t="shared" si="39"/>
        <v>-136.34634</v>
      </c>
      <c r="CK63" s="506" t="str">
        <f t="shared" si="40"/>
        <v/>
      </c>
      <c r="CL63" s="506" t="str">
        <f t="shared" si="41"/>
        <v/>
      </c>
      <c r="CM63" s="506" t="str">
        <f t="shared" si="42"/>
        <v/>
      </c>
      <c r="CN63" s="506" t="str">
        <f t="shared" si="43"/>
        <v>0290-00</v>
      </c>
    </row>
    <row r="64" spans="1:92" ht="15.75" thickBot="1" x14ac:dyDescent="0.3">
      <c r="A64" s="495" t="s">
        <v>187</v>
      </c>
      <c r="B64" s="495" t="s">
        <v>188</v>
      </c>
      <c r="C64" s="495" t="s">
        <v>462</v>
      </c>
      <c r="D64" s="495" t="s">
        <v>463</v>
      </c>
      <c r="E64" s="495" t="s">
        <v>191</v>
      </c>
      <c r="F64" s="496" t="s">
        <v>192</v>
      </c>
      <c r="G64" s="495" t="s">
        <v>193</v>
      </c>
      <c r="H64" s="497"/>
      <c r="I64" s="497"/>
      <c r="J64" s="495" t="s">
        <v>216</v>
      </c>
      <c r="K64" s="495" t="s">
        <v>464</v>
      </c>
      <c r="L64" s="495" t="s">
        <v>204</v>
      </c>
      <c r="M64" s="495" t="s">
        <v>197</v>
      </c>
      <c r="N64" s="495" t="s">
        <v>198</v>
      </c>
      <c r="O64" s="498">
        <v>1</v>
      </c>
      <c r="P64" s="504">
        <v>1</v>
      </c>
      <c r="Q64" s="504">
        <v>1</v>
      </c>
      <c r="R64" s="499">
        <v>80</v>
      </c>
      <c r="S64" s="504">
        <v>1</v>
      </c>
      <c r="T64" s="499">
        <v>27465.9</v>
      </c>
      <c r="U64" s="499">
        <v>2598.54</v>
      </c>
      <c r="V64" s="499">
        <v>16579.560000000001</v>
      </c>
      <c r="W64" s="499">
        <v>32115.200000000001</v>
      </c>
      <c r="X64" s="499">
        <v>18903.12</v>
      </c>
      <c r="Y64" s="499">
        <v>32115.200000000001</v>
      </c>
      <c r="Z64" s="499">
        <v>18736.2</v>
      </c>
      <c r="AA64" s="495" t="s">
        <v>465</v>
      </c>
      <c r="AB64" s="495" t="s">
        <v>466</v>
      </c>
      <c r="AC64" s="495" t="s">
        <v>467</v>
      </c>
      <c r="AD64" s="495" t="s">
        <v>242</v>
      </c>
      <c r="AE64" s="495" t="s">
        <v>464</v>
      </c>
      <c r="AF64" s="495" t="s">
        <v>274</v>
      </c>
      <c r="AG64" s="495" t="s">
        <v>204</v>
      </c>
      <c r="AH64" s="500">
        <v>15.44</v>
      </c>
      <c r="AI64" s="500">
        <v>3578.9</v>
      </c>
      <c r="AJ64" s="495" t="s">
        <v>205</v>
      </c>
      <c r="AK64" s="495" t="s">
        <v>206</v>
      </c>
      <c r="AL64" s="495" t="s">
        <v>207</v>
      </c>
      <c r="AM64" s="495" t="s">
        <v>208</v>
      </c>
      <c r="AN64" s="495" t="s">
        <v>92</v>
      </c>
      <c r="AO64" s="498">
        <v>80</v>
      </c>
      <c r="AP64" s="504">
        <v>1</v>
      </c>
      <c r="AQ64" s="504">
        <v>1</v>
      </c>
      <c r="AR64" s="502" t="s">
        <v>209</v>
      </c>
      <c r="AS64" s="506">
        <f t="shared" si="27"/>
        <v>1</v>
      </c>
      <c r="AT64">
        <f t="shared" si="28"/>
        <v>1</v>
      </c>
      <c r="AU64" s="506">
        <f>IF(AT64=0,"",IF(AND(AT64=1,M64="F",SUMIF(C2:C177,C64,AS2:AS177)&lt;=1),SUMIF(C2:C177,C64,AS2:AS177),IF(AND(AT64=1,M64="F",SUMIF(C2:C177,C64,AS2:AS177)&gt;1),1,"")))</f>
        <v>1</v>
      </c>
      <c r="AV64" s="506" t="str">
        <f>IF(AT64=0,"",IF(AND(AT64=3,M64="F",SUMIF(C2:C177,C64,AS2:AS177)&lt;=1),SUMIF(C2:C177,C64,AS2:AS177),IF(AND(AT64=3,M64="F",SUMIF(C2:C177,C64,AS2:AS177)&gt;1),1,"")))</f>
        <v/>
      </c>
      <c r="AW64" s="506">
        <f>SUMIF(C2:C177,C64,O2:O177)</f>
        <v>1</v>
      </c>
      <c r="AX64" s="506">
        <f>IF(AND(M64="F",AS64&lt;&gt;0),SUMIF(C2:C177,C64,W2:W177),0)</f>
        <v>32115.200000000001</v>
      </c>
      <c r="AY64" s="506">
        <f t="shared" si="29"/>
        <v>32115.200000000001</v>
      </c>
      <c r="AZ64" s="506" t="str">
        <f t="shared" si="30"/>
        <v/>
      </c>
      <c r="BA64" s="506">
        <f t="shared" si="31"/>
        <v>0</v>
      </c>
      <c r="BB64" s="506">
        <f t="shared" si="44"/>
        <v>11650</v>
      </c>
      <c r="BC64" s="506">
        <f t="shared" si="45"/>
        <v>0</v>
      </c>
      <c r="BD64" s="506">
        <f t="shared" si="46"/>
        <v>1991.1424</v>
      </c>
      <c r="BE64" s="506">
        <f t="shared" si="47"/>
        <v>465.67040000000003</v>
      </c>
      <c r="BF64" s="506">
        <f t="shared" si="48"/>
        <v>3834.5548800000001</v>
      </c>
      <c r="BG64" s="506">
        <f t="shared" si="49"/>
        <v>231.55059200000002</v>
      </c>
      <c r="BH64" s="506">
        <f t="shared" si="50"/>
        <v>157.36447999999999</v>
      </c>
      <c r="BI64" s="506">
        <f t="shared" si="51"/>
        <v>177.757632</v>
      </c>
      <c r="BJ64" s="506">
        <f t="shared" si="52"/>
        <v>395.01696000000004</v>
      </c>
      <c r="BK64" s="506">
        <f t="shared" si="53"/>
        <v>0</v>
      </c>
      <c r="BL64" s="506">
        <f t="shared" si="32"/>
        <v>7253.0573439999998</v>
      </c>
      <c r="BM64" s="506">
        <f t="shared" si="33"/>
        <v>0</v>
      </c>
      <c r="BN64" s="506">
        <f t="shared" si="54"/>
        <v>11650</v>
      </c>
      <c r="BO64" s="506">
        <f t="shared" si="55"/>
        <v>0</v>
      </c>
      <c r="BP64" s="506">
        <f t="shared" si="56"/>
        <v>1991.1424</v>
      </c>
      <c r="BQ64" s="506">
        <f t="shared" si="57"/>
        <v>465.67040000000003</v>
      </c>
      <c r="BR64" s="506">
        <f t="shared" si="58"/>
        <v>3834.5548800000001</v>
      </c>
      <c r="BS64" s="506">
        <f t="shared" si="59"/>
        <v>231.55059200000002</v>
      </c>
      <c r="BT64" s="506">
        <f t="shared" si="60"/>
        <v>0</v>
      </c>
      <c r="BU64" s="506">
        <f t="shared" si="61"/>
        <v>177.757632</v>
      </c>
      <c r="BV64" s="506">
        <f t="shared" si="62"/>
        <v>385.38240000000002</v>
      </c>
      <c r="BW64" s="506">
        <f t="shared" si="63"/>
        <v>0</v>
      </c>
      <c r="BX64" s="506">
        <f t="shared" si="34"/>
        <v>7086.0583040000001</v>
      </c>
      <c r="BY64" s="506">
        <f t="shared" si="35"/>
        <v>0</v>
      </c>
      <c r="BZ64" s="506">
        <f t="shared" si="36"/>
        <v>0</v>
      </c>
      <c r="CA64" s="506">
        <f t="shared" si="37"/>
        <v>0</v>
      </c>
      <c r="CB64" s="506">
        <f t="shared" si="38"/>
        <v>0</v>
      </c>
      <c r="CC64" s="506">
        <f t="shared" si="64"/>
        <v>0</v>
      </c>
      <c r="CD64" s="506">
        <f t="shared" si="65"/>
        <v>0</v>
      </c>
      <c r="CE64" s="506">
        <f t="shared" si="66"/>
        <v>0</v>
      </c>
      <c r="CF64" s="506">
        <f t="shared" si="67"/>
        <v>-157.36447999999999</v>
      </c>
      <c r="CG64" s="506">
        <f t="shared" si="68"/>
        <v>0</v>
      </c>
      <c r="CH64" s="506">
        <f t="shared" si="69"/>
        <v>-9.6345599999999969</v>
      </c>
      <c r="CI64" s="506">
        <f t="shared" si="70"/>
        <v>0</v>
      </c>
      <c r="CJ64" s="506">
        <f t="shared" si="39"/>
        <v>-166.99903999999998</v>
      </c>
      <c r="CK64" s="506" t="str">
        <f t="shared" si="40"/>
        <v/>
      </c>
      <c r="CL64" s="506" t="str">
        <f t="shared" si="41"/>
        <v/>
      </c>
      <c r="CM64" s="506" t="str">
        <f t="shared" si="42"/>
        <v/>
      </c>
      <c r="CN64" s="506" t="str">
        <f t="shared" si="43"/>
        <v>0290-00</v>
      </c>
    </row>
    <row r="65" spans="1:92" ht="15.75" thickBot="1" x14ac:dyDescent="0.3">
      <c r="A65" s="495" t="s">
        <v>187</v>
      </c>
      <c r="B65" s="495" t="s">
        <v>188</v>
      </c>
      <c r="C65" s="495" t="s">
        <v>468</v>
      </c>
      <c r="D65" s="495" t="s">
        <v>265</v>
      </c>
      <c r="E65" s="495" t="s">
        <v>191</v>
      </c>
      <c r="F65" s="496" t="s">
        <v>192</v>
      </c>
      <c r="G65" s="495" t="s">
        <v>193</v>
      </c>
      <c r="H65" s="497"/>
      <c r="I65" s="497"/>
      <c r="J65" s="495" t="s">
        <v>194</v>
      </c>
      <c r="K65" s="495" t="s">
        <v>266</v>
      </c>
      <c r="L65" s="495" t="s">
        <v>232</v>
      </c>
      <c r="M65" s="495" t="s">
        <v>197</v>
      </c>
      <c r="N65" s="495" t="s">
        <v>198</v>
      </c>
      <c r="O65" s="498">
        <v>1</v>
      </c>
      <c r="P65" s="504">
        <v>1</v>
      </c>
      <c r="Q65" s="504">
        <v>1</v>
      </c>
      <c r="R65" s="499">
        <v>80</v>
      </c>
      <c r="S65" s="504">
        <v>1</v>
      </c>
      <c r="T65" s="499">
        <v>42509.63</v>
      </c>
      <c r="U65" s="499">
        <v>481.71</v>
      </c>
      <c r="V65" s="499">
        <v>20709.400000000001</v>
      </c>
      <c r="W65" s="499">
        <v>44158.39</v>
      </c>
      <c r="X65" s="499">
        <v>21623.13</v>
      </c>
      <c r="Y65" s="499">
        <v>44158.39</v>
      </c>
      <c r="Z65" s="499">
        <v>21393.52</v>
      </c>
      <c r="AA65" s="495" t="s">
        <v>469</v>
      </c>
      <c r="AB65" s="495" t="s">
        <v>470</v>
      </c>
      <c r="AC65" s="495" t="s">
        <v>471</v>
      </c>
      <c r="AD65" s="495" t="s">
        <v>196</v>
      </c>
      <c r="AE65" s="495" t="s">
        <v>266</v>
      </c>
      <c r="AF65" s="495" t="s">
        <v>237</v>
      </c>
      <c r="AG65" s="495" t="s">
        <v>204</v>
      </c>
      <c r="AH65" s="500">
        <v>21.23</v>
      </c>
      <c r="AI65" s="500">
        <v>4198.3</v>
      </c>
      <c r="AJ65" s="495" t="s">
        <v>205</v>
      </c>
      <c r="AK65" s="495" t="s">
        <v>206</v>
      </c>
      <c r="AL65" s="495" t="s">
        <v>207</v>
      </c>
      <c r="AM65" s="495" t="s">
        <v>208</v>
      </c>
      <c r="AN65" s="495" t="s">
        <v>92</v>
      </c>
      <c r="AO65" s="498">
        <v>80</v>
      </c>
      <c r="AP65" s="504">
        <v>1</v>
      </c>
      <c r="AQ65" s="504">
        <v>1</v>
      </c>
      <c r="AR65" s="502" t="s">
        <v>209</v>
      </c>
      <c r="AS65" s="506">
        <f t="shared" si="27"/>
        <v>1</v>
      </c>
      <c r="AT65">
        <f t="shared" si="28"/>
        <v>1</v>
      </c>
      <c r="AU65" s="506">
        <f>IF(AT65=0,"",IF(AND(AT65=1,M65="F",SUMIF(C2:C177,C65,AS2:AS177)&lt;=1),SUMIF(C2:C177,C65,AS2:AS177),IF(AND(AT65=1,M65="F",SUMIF(C2:C177,C65,AS2:AS177)&gt;1),1,"")))</f>
        <v>1</v>
      </c>
      <c r="AV65" s="506" t="str">
        <f>IF(AT65=0,"",IF(AND(AT65=3,M65="F",SUMIF(C2:C177,C65,AS2:AS177)&lt;=1),SUMIF(C2:C177,C65,AS2:AS177),IF(AND(AT65=3,M65="F",SUMIF(C2:C177,C65,AS2:AS177)&gt;1),1,"")))</f>
        <v/>
      </c>
      <c r="AW65" s="506">
        <f>SUMIF(C2:C177,C65,O2:O177)</f>
        <v>1</v>
      </c>
      <c r="AX65" s="506">
        <f>IF(AND(M65="F",AS65&lt;&gt;0),SUMIF(C2:C177,C65,W2:W177),0)</f>
        <v>44158.39</v>
      </c>
      <c r="AY65" s="506">
        <f t="shared" si="29"/>
        <v>44158.39</v>
      </c>
      <c r="AZ65" s="506" t="str">
        <f t="shared" si="30"/>
        <v/>
      </c>
      <c r="BA65" s="506">
        <f t="shared" si="31"/>
        <v>0</v>
      </c>
      <c r="BB65" s="506">
        <f t="shared" si="44"/>
        <v>11650</v>
      </c>
      <c r="BC65" s="506">
        <f t="shared" si="45"/>
        <v>0</v>
      </c>
      <c r="BD65" s="506">
        <f t="shared" si="46"/>
        <v>2737.8201800000002</v>
      </c>
      <c r="BE65" s="506">
        <f t="shared" si="47"/>
        <v>640.29665499999999</v>
      </c>
      <c r="BF65" s="506">
        <f t="shared" si="48"/>
        <v>5272.5117660000005</v>
      </c>
      <c r="BG65" s="506">
        <f t="shared" si="49"/>
        <v>318.3819919</v>
      </c>
      <c r="BH65" s="506">
        <f t="shared" si="50"/>
        <v>216.37611099999998</v>
      </c>
      <c r="BI65" s="506">
        <f t="shared" si="51"/>
        <v>244.41668865</v>
      </c>
      <c r="BJ65" s="506">
        <f t="shared" si="52"/>
        <v>543.14819699999998</v>
      </c>
      <c r="BK65" s="506">
        <f t="shared" si="53"/>
        <v>0</v>
      </c>
      <c r="BL65" s="506">
        <f t="shared" si="32"/>
        <v>9972.9515895500008</v>
      </c>
      <c r="BM65" s="506">
        <f t="shared" si="33"/>
        <v>0</v>
      </c>
      <c r="BN65" s="506">
        <f t="shared" si="54"/>
        <v>11650</v>
      </c>
      <c r="BO65" s="506">
        <f t="shared" si="55"/>
        <v>0</v>
      </c>
      <c r="BP65" s="506">
        <f t="shared" si="56"/>
        <v>2737.8201800000002</v>
      </c>
      <c r="BQ65" s="506">
        <f t="shared" si="57"/>
        <v>640.29665499999999</v>
      </c>
      <c r="BR65" s="506">
        <f t="shared" si="58"/>
        <v>5272.5117660000005</v>
      </c>
      <c r="BS65" s="506">
        <f t="shared" si="59"/>
        <v>318.3819919</v>
      </c>
      <c r="BT65" s="506">
        <f t="shared" si="60"/>
        <v>0</v>
      </c>
      <c r="BU65" s="506">
        <f t="shared" si="61"/>
        <v>244.41668865</v>
      </c>
      <c r="BV65" s="506">
        <f t="shared" si="62"/>
        <v>529.90067999999997</v>
      </c>
      <c r="BW65" s="506">
        <f t="shared" si="63"/>
        <v>0</v>
      </c>
      <c r="BX65" s="506">
        <f t="shared" si="34"/>
        <v>9743.3279615500014</v>
      </c>
      <c r="BY65" s="506">
        <f t="shared" si="35"/>
        <v>0</v>
      </c>
      <c r="BZ65" s="506">
        <f t="shared" si="36"/>
        <v>0</v>
      </c>
      <c r="CA65" s="506">
        <f t="shared" si="37"/>
        <v>0</v>
      </c>
      <c r="CB65" s="506">
        <f t="shared" si="38"/>
        <v>0</v>
      </c>
      <c r="CC65" s="506">
        <f t="shared" si="64"/>
        <v>0</v>
      </c>
      <c r="CD65" s="506">
        <f t="shared" si="65"/>
        <v>0</v>
      </c>
      <c r="CE65" s="506">
        <f t="shared" si="66"/>
        <v>0</v>
      </c>
      <c r="CF65" s="506">
        <f t="shared" si="67"/>
        <v>-216.37611099999998</v>
      </c>
      <c r="CG65" s="506">
        <f t="shared" si="68"/>
        <v>0</v>
      </c>
      <c r="CH65" s="506">
        <f t="shared" si="69"/>
        <v>-13.247516999999997</v>
      </c>
      <c r="CI65" s="506">
        <f t="shared" si="70"/>
        <v>0</v>
      </c>
      <c r="CJ65" s="506">
        <f t="shared" si="39"/>
        <v>-229.62362799999997</v>
      </c>
      <c r="CK65" s="506" t="str">
        <f t="shared" si="40"/>
        <v/>
      </c>
      <c r="CL65" s="506" t="str">
        <f t="shared" si="41"/>
        <v/>
      </c>
      <c r="CM65" s="506" t="str">
        <f t="shared" si="42"/>
        <v/>
      </c>
      <c r="CN65" s="506" t="str">
        <f t="shared" si="43"/>
        <v>0290-00</v>
      </c>
    </row>
    <row r="66" spans="1:92" ht="15.75" thickBot="1" x14ac:dyDescent="0.3">
      <c r="A66" s="495" t="s">
        <v>187</v>
      </c>
      <c r="B66" s="495" t="s">
        <v>188</v>
      </c>
      <c r="C66" s="495" t="s">
        <v>472</v>
      </c>
      <c r="D66" s="495" t="s">
        <v>265</v>
      </c>
      <c r="E66" s="495" t="s">
        <v>191</v>
      </c>
      <c r="F66" s="496" t="s">
        <v>192</v>
      </c>
      <c r="G66" s="495" t="s">
        <v>193</v>
      </c>
      <c r="H66" s="497"/>
      <c r="I66" s="497"/>
      <c r="J66" s="495" t="s">
        <v>225</v>
      </c>
      <c r="K66" s="495" t="s">
        <v>415</v>
      </c>
      <c r="L66" s="495" t="s">
        <v>196</v>
      </c>
      <c r="M66" s="495" t="s">
        <v>197</v>
      </c>
      <c r="N66" s="495" t="s">
        <v>270</v>
      </c>
      <c r="O66" s="498">
        <v>1</v>
      </c>
      <c r="P66" s="504">
        <v>1</v>
      </c>
      <c r="Q66" s="504">
        <v>1</v>
      </c>
      <c r="R66" s="499">
        <v>80</v>
      </c>
      <c r="S66" s="504">
        <v>1</v>
      </c>
      <c r="T66" s="499">
        <v>54392</v>
      </c>
      <c r="U66" s="499">
        <v>0</v>
      </c>
      <c r="V66" s="499">
        <v>22879.82</v>
      </c>
      <c r="W66" s="499">
        <v>57387.199999999997</v>
      </c>
      <c r="X66" s="499">
        <v>24610.87</v>
      </c>
      <c r="Y66" s="499">
        <v>57387.199999999997</v>
      </c>
      <c r="Z66" s="499">
        <v>24312.46</v>
      </c>
      <c r="AA66" s="495" t="s">
        <v>473</v>
      </c>
      <c r="AB66" s="495" t="s">
        <v>474</v>
      </c>
      <c r="AC66" s="495" t="s">
        <v>386</v>
      </c>
      <c r="AD66" s="495" t="s">
        <v>281</v>
      </c>
      <c r="AE66" s="495" t="s">
        <v>415</v>
      </c>
      <c r="AF66" s="495" t="s">
        <v>203</v>
      </c>
      <c r="AG66" s="495" t="s">
        <v>204</v>
      </c>
      <c r="AH66" s="500">
        <v>27.59</v>
      </c>
      <c r="AI66" s="500">
        <v>11656.9</v>
      </c>
      <c r="AJ66" s="495" t="s">
        <v>205</v>
      </c>
      <c r="AK66" s="495" t="s">
        <v>206</v>
      </c>
      <c r="AL66" s="495" t="s">
        <v>207</v>
      </c>
      <c r="AM66" s="495" t="s">
        <v>208</v>
      </c>
      <c r="AN66" s="495" t="s">
        <v>92</v>
      </c>
      <c r="AO66" s="498">
        <v>80</v>
      </c>
      <c r="AP66" s="504">
        <v>1</v>
      </c>
      <c r="AQ66" s="504">
        <v>1</v>
      </c>
      <c r="AR66" s="502" t="s">
        <v>209</v>
      </c>
      <c r="AS66" s="506">
        <f t="shared" si="27"/>
        <v>1</v>
      </c>
      <c r="AT66">
        <f t="shared" si="28"/>
        <v>1</v>
      </c>
      <c r="AU66" s="506">
        <f>IF(AT66=0,"",IF(AND(AT66=1,M66="F",SUMIF(C2:C177,C66,AS2:AS177)&lt;=1),SUMIF(C2:C177,C66,AS2:AS177),IF(AND(AT66=1,M66="F",SUMIF(C2:C177,C66,AS2:AS177)&gt;1),1,"")))</f>
        <v>1</v>
      </c>
      <c r="AV66" s="506" t="str">
        <f>IF(AT66=0,"",IF(AND(AT66=3,M66="F",SUMIF(C2:C177,C66,AS2:AS177)&lt;=1),SUMIF(C2:C177,C66,AS2:AS177),IF(AND(AT66=3,M66="F",SUMIF(C2:C177,C66,AS2:AS177)&gt;1),1,"")))</f>
        <v/>
      </c>
      <c r="AW66" s="506">
        <f>SUMIF(C2:C177,C66,O2:O177)</f>
        <v>1</v>
      </c>
      <c r="AX66" s="506">
        <f>IF(AND(M66="F",AS66&lt;&gt;0),SUMIF(C2:C177,C66,W2:W177),0)</f>
        <v>57387.199999999997</v>
      </c>
      <c r="AY66" s="506">
        <f t="shared" si="29"/>
        <v>57387.199999999997</v>
      </c>
      <c r="AZ66" s="506" t="str">
        <f t="shared" si="30"/>
        <v/>
      </c>
      <c r="BA66" s="506">
        <f t="shared" si="31"/>
        <v>0</v>
      </c>
      <c r="BB66" s="506">
        <f t="shared" ref="BB66:BB97" si="71">IF(AND(AT66=1,AK66="E",AU66&gt;=0.75,AW66=1),Health,IF(AND(AT66=1,AK66="E",AU66&gt;=0.75),Health*P66,IF(AND(AT66=1,AK66="E",AU66&gt;=0.5,AW66=1),PTHealth,IF(AND(AT66=1,AK66="E",AU66&gt;=0.5),PTHealth*P66,0))))</f>
        <v>11650</v>
      </c>
      <c r="BC66" s="506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506">
        <f t="shared" ref="BD66:BD97" si="73">IF(AND(AT66&lt;&gt;0,AX66&gt;=MAXSSDI),SSDI*MAXSSDI*P66,IF(AT66&lt;&gt;0,SSDI*W66,0))</f>
        <v>3558.0063999999998</v>
      </c>
      <c r="BE66" s="506">
        <f t="shared" ref="BE66:BE97" si="74">IF(AT66&lt;&gt;0,SSHI*W66,0)</f>
        <v>832.11440000000005</v>
      </c>
      <c r="BF66" s="506">
        <f t="shared" ref="BF66:BF97" si="75">IF(AND(AT66&lt;&gt;0,AN66&lt;&gt;"NE"),VLOOKUP(AN66,Retirement_Rates,3,FALSE)*W66,0)</f>
        <v>6852.0316800000001</v>
      </c>
      <c r="BG66" s="506">
        <f t="shared" ref="BG66:BG97" si="76">IF(AND(AT66&lt;&gt;0,AJ66&lt;&gt;"PF"),Life*W66,0)</f>
        <v>413.76171199999999</v>
      </c>
      <c r="BH66" s="506">
        <f t="shared" ref="BH66:BH97" si="77">IF(AND(AT66&lt;&gt;0,AM66="Y"),UI*W66,0)</f>
        <v>281.19727999999998</v>
      </c>
      <c r="BI66" s="506">
        <f t="shared" ref="BI66:BI97" si="78">IF(AND(AT66&lt;&gt;0,N66&lt;&gt;"NR"),DHR*W66,0)</f>
        <v>317.63815199999999</v>
      </c>
      <c r="BJ66" s="506">
        <f t="shared" ref="BJ66:BJ97" si="79">IF(AT66&lt;&gt;0,WC*W66,0)</f>
        <v>705.86256000000003</v>
      </c>
      <c r="BK66" s="506">
        <f t="shared" ref="BK66:BK97" si="80">IF(OR(AND(AT66&lt;&gt;0,AJ66&lt;&gt;"PF",AN66&lt;&gt;"NE",AG66&lt;&gt;"A"),AND(AL66="E",OR(AT66=1,AT66=3))),Sick*W66,0)</f>
        <v>0</v>
      </c>
      <c r="BL66" s="506">
        <f t="shared" si="32"/>
        <v>12960.612184</v>
      </c>
      <c r="BM66" s="506">
        <f t="shared" si="33"/>
        <v>0</v>
      </c>
      <c r="BN66" s="506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11650</v>
      </c>
      <c r="BO66" s="506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506">
        <f t="shared" ref="BP66:BP97" si="83">IF(AND(AT66&lt;&gt;0,(AX66+BA66)&gt;=MAXSSDIBY),SSDIBY*MAXSSDIBY*P66,IF(AT66&lt;&gt;0,SSDIBY*W66,0))</f>
        <v>3558.0063999999998</v>
      </c>
      <c r="BQ66" s="506">
        <f t="shared" ref="BQ66:BQ97" si="84">IF(AT66&lt;&gt;0,SSHIBY*W66,0)</f>
        <v>832.11440000000005</v>
      </c>
      <c r="BR66" s="506">
        <f t="shared" ref="BR66:BR97" si="85">IF(AND(AT66&lt;&gt;0,AN66&lt;&gt;"NE"),VLOOKUP(AN66,Retirement_Rates,4,FALSE)*W66,0)</f>
        <v>6852.0316800000001</v>
      </c>
      <c r="BS66" s="506">
        <f t="shared" ref="BS66:BS97" si="86">IF(AND(AT66&lt;&gt;0,AJ66&lt;&gt;"PF"),LifeBY*W66,0)</f>
        <v>413.76171199999999</v>
      </c>
      <c r="BT66" s="506">
        <f t="shared" ref="BT66:BT97" si="87">IF(AND(AT66&lt;&gt;0,AM66="Y"),UIBY*W66,0)</f>
        <v>0</v>
      </c>
      <c r="BU66" s="506">
        <f t="shared" ref="BU66:BU97" si="88">IF(AND(AT66&lt;&gt;0,N66&lt;&gt;"NR"),DHRBY*W66,0)</f>
        <v>317.63815199999999</v>
      </c>
      <c r="BV66" s="506">
        <f t="shared" ref="BV66:BV97" si="89">IF(AT66&lt;&gt;0,WCBY*W66,0)</f>
        <v>688.64639999999997</v>
      </c>
      <c r="BW66" s="506">
        <f t="shared" ref="BW66:BW97" si="90">IF(OR(AND(AT66&lt;&gt;0,AJ66&lt;&gt;"PF",AN66&lt;&gt;"NE",AG66&lt;&gt;"A"),AND(AL66="E",OR(AT66=1,AT66=3))),SickBY*W66,0)</f>
        <v>0</v>
      </c>
      <c r="BX66" s="506">
        <f t="shared" si="34"/>
        <v>12662.198743999999</v>
      </c>
      <c r="BY66" s="506">
        <f t="shared" si="35"/>
        <v>0</v>
      </c>
      <c r="BZ66" s="506">
        <f t="shared" si="36"/>
        <v>0</v>
      </c>
      <c r="CA66" s="506">
        <f t="shared" si="37"/>
        <v>0</v>
      </c>
      <c r="CB66" s="506">
        <f t="shared" si="38"/>
        <v>0</v>
      </c>
      <c r="CC66" s="506">
        <f t="shared" ref="CC66:CC97" si="91">IF(AT66&lt;&gt;0,SSHICHG*Y66,0)</f>
        <v>0</v>
      </c>
      <c r="CD66" s="506">
        <f t="shared" ref="CD66:CD97" si="92">IF(AND(AT66&lt;&gt;0,AN66&lt;&gt;"NE"),VLOOKUP(AN66,Retirement_Rates,5,FALSE)*Y66,0)</f>
        <v>0</v>
      </c>
      <c r="CE66" s="506">
        <f t="shared" ref="CE66:CE97" si="93">IF(AND(AT66&lt;&gt;0,AJ66&lt;&gt;"PF"),LifeCHG*Y66,0)</f>
        <v>0</v>
      </c>
      <c r="CF66" s="506">
        <f t="shared" ref="CF66:CF97" si="94">IF(AND(AT66&lt;&gt;0,AM66="Y"),UICHG*Y66,0)</f>
        <v>-281.19727999999998</v>
      </c>
      <c r="CG66" s="506">
        <f t="shared" ref="CG66:CG97" si="95">IF(AND(AT66&lt;&gt;0,N66&lt;&gt;"NR"),DHRCHG*Y66,0)</f>
        <v>0</v>
      </c>
      <c r="CH66" s="506">
        <f t="shared" ref="CH66:CH97" si="96">IF(AT66&lt;&gt;0,WCCHG*Y66,0)</f>
        <v>-17.216159999999995</v>
      </c>
      <c r="CI66" s="506">
        <f t="shared" ref="CI66:CI97" si="97">IF(OR(AND(AT66&lt;&gt;0,AJ66&lt;&gt;"PF",AN66&lt;&gt;"NE",AG66&lt;&gt;"A"),AND(AL66="E",OR(AT66=1,AT66=3))),SickCHG*Y66,0)</f>
        <v>0</v>
      </c>
      <c r="CJ66" s="506">
        <f t="shared" si="39"/>
        <v>-298.41343999999998</v>
      </c>
      <c r="CK66" s="506" t="str">
        <f t="shared" si="40"/>
        <v/>
      </c>
      <c r="CL66" s="506" t="str">
        <f t="shared" si="41"/>
        <v/>
      </c>
      <c r="CM66" s="506" t="str">
        <f t="shared" si="42"/>
        <v/>
      </c>
      <c r="CN66" s="506" t="str">
        <f t="shared" si="43"/>
        <v>0290-00</v>
      </c>
    </row>
    <row r="67" spans="1:92" ht="15.75" thickBot="1" x14ac:dyDescent="0.3">
      <c r="A67" s="495" t="s">
        <v>187</v>
      </c>
      <c r="B67" s="495" t="s">
        <v>188</v>
      </c>
      <c r="C67" s="495" t="s">
        <v>475</v>
      </c>
      <c r="D67" s="495" t="s">
        <v>245</v>
      </c>
      <c r="E67" s="495" t="s">
        <v>191</v>
      </c>
      <c r="F67" s="496" t="s">
        <v>192</v>
      </c>
      <c r="G67" s="495" t="s">
        <v>193</v>
      </c>
      <c r="H67" s="497"/>
      <c r="I67" s="497"/>
      <c r="J67" s="495" t="s">
        <v>277</v>
      </c>
      <c r="K67" s="495" t="s">
        <v>437</v>
      </c>
      <c r="L67" s="495" t="s">
        <v>305</v>
      </c>
      <c r="M67" s="495" t="s">
        <v>197</v>
      </c>
      <c r="N67" s="495" t="s">
        <v>198</v>
      </c>
      <c r="O67" s="498">
        <v>1</v>
      </c>
      <c r="P67" s="504">
        <v>0.84</v>
      </c>
      <c r="Q67" s="504">
        <v>0.84</v>
      </c>
      <c r="R67" s="499">
        <v>80</v>
      </c>
      <c r="S67" s="504">
        <v>0.84</v>
      </c>
      <c r="T67" s="499">
        <v>56704.51</v>
      </c>
      <c r="U67" s="499">
        <v>172.32</v>
      </c>
      <c r="V67" s="499">
        <v>22190.5</v>
      </c>
      <c r="W67" s="499">
        <v>55333.79</v>
      </c>
      <c r="X67" s="499">
        <v>22283.09</v>
      </c>
      <c r="Y67" s="499">
        <v>55333.79</v>
      </c>
      <c r="Z67" s="499">
        <v>21995.34</v>
      </c>
      <c r="AA67" s="495" t="s">
        <v>476</v>
      </c>
      <c r="AB67" s="495" t="s">
        <v>477</v>
      </c>
      <c r="AC67" s="495" t="s">
        <v>413</v>
      </c>
      <c r="AD67" s="495" t="s">
        <v>305</v>
      </c>
      <c r="AE67" s="495" t="s">
        <v>437</v>
      </c>
      <c r="AF67" s="495" t="s">
        <v>440</v>
      </c>
      <c r="AG67" s="495" t="s">
        <v>204</v>
      </c>
      <c r="AH67" s="500">
        <v>31.67</v>
      </c>
      <c r="AI67" s="500">
        <v>14970.6</v>
      </c>
      <c r="AJ67" s="495" t="s">
        <v>205</v>
      </c>
      <c r="AK67" s="495" t="s">
        <v>206</v>
      </c>
      <c r="AL67" s="495" t="s">
        <v>207</v>
      </c>
      <c r="AM67" s="495" t="s">
        <v>208</v>
      </c>
      <c r="AN67" s="495" t="s">
        <v>92</v>
      </c>
      <c r="AO67" s="498">
        <v>80</v>
      </c>
      <c r="AP67" s="504">
        <v>1</v>
      </c>
      <c r="AQ67" s="504">
        <v>0.84</v>
      </c>
      <c r="AR67" s="502" t="s">
        <v>209</v>
      </c>
      <c r="AS67" s="506">
        <f t="shared" ref="AS67:AS130" si="98">IF(((AO67/80)*AP67*P67)&gt;1,AQ67,((AO67/80)*AP67*P67))</f>
        <v>0.84</v>
      </c>
      <c r="AT67">
        <f t="shared" ref="AT67:AT130" si="99">IF(AND(M67="F",N67&lt;&gt;"NG",AS67&lt;&gt;0,AND(AR67&lt;&gt;6,AR67&lt;&gt;36,AR67&lt;&gt;56),AG67&lt;&gt;"A",OR(AG67="H",AJ67="FS")),1,IF(AND(M67="F",N67&lt;&gt;"NG",AS67&lt;&gt;0,AG67="A"),3,0))</f>
        <v>1</v>
      </c>
      <c r="AU67" s="506">
        <f>IF(AT67=0,"",IF(AND(AT67=1,M67="F",SUMIF(C2:C177,C67,AS2:AS177)&lt;=1),SUMIF(C2:C177,C67,AS2:AS177),IF(AND(AT67=1,M67="F",SUMIF(C2:C177,C67,AS2:AS177)&gt;1),1,"")))</f>
        <v>1</v>
      </c>
      <c r="AV67" s="506" t="str">
        <f>IF(AT67=0,"",IF(AND(AT67=3,M67="F",SUMIF(C2:C177,C67,AS2:AS177)&lt;=1),SUMIF(C2:C177,C67,AS2:AS177),IF(AND(AT67=3,M67="F",SUMIF(C2:C177,C67,AS2:AS177)&gt;1),1,"")))</f>
        <v/>
      </c>
      <c r="AW67" s="506">
        <f>SUMIF(C2:C177,C67,O2:O177)</f>
        <v>2</v>
      </c>
      <c r="AX67" s="506">
        <f>IF(AND(M67="F",AS67&lt;&gt;0),SUMIF(C2:C177,C67,W2:W177),0)</f>
        <v>65873.56</v>
      </c>
      <c r="AY67" s="506">
        <f t="shared" ref="AY67:AY130" si="100">IF(AT67=1,W67,"")</f>
        <v>55333.79</v>
      </c>
      <c r="AZ67" s="506" t="str">
        <f t="shared" ref="AZ67:AZ130" si="101">IF(AT67=3,W67,"")</f>
        <v/>
      </c>
      <c r="BA67" s="506">
        <f t="shared" ref="BA67:BA130" si="102">IF(AT67=1,Y67-W67,0)</f>
        <v>0</v>
      </c>
      <c r="BB67" s="506">
        <f t="shared" si="71"/>
        <v>9786</v>
      </c>
      <c r="BC67" s="506">
        <f t="shared" si="72"/>
        <v>0</v>
      </c>
      <c r="BD67" s="506">
        <f t="shared" si="73"/>
        <v>3430.6949800000002</v>
      </c>
      <c r="BE67" s="506">
        <f t="shared" si="74"/>
        <v>802.33995500000003</v>
      </c>
      <c r="BF67" s="506">
        <f t="shared" si="75"/>
        <v>6606.8545260000001</v>
      </c>
      <c r="BG67" s="506">
        <f t="shared" si="76"/>
        <v>398.95662590000001</v>
      </c>
      <c r="BH67" s="506">
        <f t="shared" si="77"/>
        <v>271.13557099999997</v>
      </c>
      <c r="BI67" s="506">
        <f t="shared" si="78"/>
        <v>306.27252765000003</v>
      </c>
      <c r="BJ67" s="506">
        <f t="shared" si="79"/>
        <v>680.60561700000005</v>
      </c>
      <c r="BK67" s="506">
        <f t="shared" si="80"/>
        <v>0</v>
      </c>
      <c r="BL67" s="506">
        <f t="shared" ref="BL67:BL130" si="103">IF(AT67=1,SUM(BD67:BK67),0)</f>
        <v>12496.859802550001</v>
      </c>
      <c r="BM67" s="506">
        <f t="shared" ref="BM67:BM130" si="104">IF(AT67=3,SUM(BD67:BK67),0)</f>
        <v>0</v>
      </c>
      <c r="BN67" s="506">
        <f t="shared" si="81"/>
        <v>9786</v>
      </c>
      <c r="BO67" s="506">
        <f t="shared" si="82"/>
        <v>0</v>
      </c>
      <c r="BP67" s="506">
        <f t="shared" si="83"/>
        <v>3430.6949800000002</v>
      </c>
      <c r="BQ67" s="506">
        <f t="shared" si="84"/>
        <v>802.33995500000003</v>
      </c>
      <c r="BR67" s="506">
        <f t="shared" si="85"/>
        <v>6606.8545260000001</v>
      </c>
      <c r="BS67" s="506">
        <f t="shared" si="86"/>
        <v>398.95662590000001</v>
      </c>
      <c r="BT67" s="506">
        <f t="shared" si="87"/>
        <v>0</v>
      </c>
      <c r="BU67" s="506">
        <f t="shared" si="88"/>
        <v>306.27252765000003</v>
      </c>
      <c r="BV67" s="506">
        <f t="shared" si="89"/>
        <v>664.00548000000003</v>
      </c>
      <c r="BW67" s="506">
        <f t="shared" si="90"/>
        <v>0</v>
      </c>
      <c r="BX67" s="506">
        <f t="shared" ref="BX67:BX130" si="105">IF(AT67=1,SUM(BP67:BW67),0)</f>
        <v>12209.124094550001</v>
      </c>
      <c r="BY67" s="506">
        <f t="shared" ref="BY67:BY130" si="106">IF(AT67=3,SUM(BP67:BW67),0)</f>
        <v>0</v>
      </c>
      <c r="BZ67" s="506">
        <f t="shared" ref="BZ67:BZ130" si="107">IF(AT67=1,BN67-BB67,0)</f>
        <v>0</v>
      </c>
      <c r="CA67" s="506">
        <f t="shared" ref="CA67:CA130" si="108">IF(AT67=3,BO67-BC67,0)</f>
        <v>0</v>
      </c>
      <c r="CB67" s="506">
        <f t="shared" ref="CB67:CB130" si="109">BP67-BD67</f>
        <v>0</v>
      </c>
      <c r="CC67" s="506">
        <f t="shared" si="91"/>
        <v>0</v>
      </c>
      <c r="CD67" s="506">
        <f t="shared" si="92"/>
        <v>0</v>
      </c>
      <c r="CE67" s="506">
        <f t="shared" si="93"/>
        <v>0</v>
      </c>
      <c r="CF67" s="506">
        <f t="shared" si="94"/>
        <v>-271.13557099999997</v>
      </c>
      <c r="CG67" s="506">
        <f t="shared" si="95"/>
        <v>0</v>
      </c>
      <c r="CH67" s="506">
        <f t="shared" si="96"/>
        <v>-16.600136999999997</v>
      </c>
      <c r="CI67" s="506">
        <f t="shared" si="97"/>
        <v>0</v>
      </c>
      <c r="CJ67" s="506">
        <f t="shared" ref="CJ67:CJ130" si="110">IF(AT67=1,SUM(CB67:CI67),0)</f>
        <v>-287.73570799999999</v>
      </c>
      <c r="CK67" s="506" t="str">
        <f t="shared" ref="CK67:CK130" si="111">IF(AT67=3,SUM(CB67:CI67),"")</f>
        <v/>
      </c>
      <c r="CL67" s="506" t="str">
        <f t="shared" ref="CL67:CL130" si="112">IF(OR(N67="NG",AG67="D"),(T67+U67),"")</f>
        <v/>
      </c>
      <c r="CM67" s="506" t="str">
        <f t="shared" ref="CM67:CM130" si="113">IF(OR(N67="NG",AG67="D"),V67,"")</f>
        <v/>
      </c>
      <c r="CN67" s="506" t="str">
        <f t="shared" ref="CN67:CN130" si="114">E67 &amp; "-" &amp; F67</f>
        <v>0290-00</v>
      </c>
    </row>
    <row r="68" spans="1:92" ht="15.75" thickBot="1" x14ac:dyDescent="0.3">
      <c r="A68" s="495" t="s">
        <v>187</v>
      </c>
      <c r="B68" s="495" t="s">
        <v>188</v>
      </c>
      <c r="C68" s="495" t="s">
        <v>478</v>
      </c>
      <c r="D68" s="495" t="s">
        <v>479</v>
      </c>
      <c r="E68" s="495" t="s">
        <v>191</v>
      </c>
      <c r="F68" s="496" t="s">
        <v>192</v>
      </c>
      <c r="G68" s="495" t="s">
        <v>193</v>
      </c>
      <c r="H68" s="497"/>
      <c r="I68" s="497"/>
      <c r="J68" s="495" t="s">
        <v>225</v>
      </c>
      <c r="K68" s="495" t="s">
        <v>480</v>
      </c>
      <c r="L68" s="495" t="s">
        <v>232</v>
      </c>
      <c r="M68" s="495" t="s">
        <v>197</v>
      </c>
      <c r="N68" s="495" t="s">
        <v>198</v>
      </c>
      <c r="O68" s="498">
        <v>1</v>
      </c>
      <c r="P68" s="504">
        <v>1</v>
      </c>
      <c r="Q68" s="504">
        <v>1</v>
      </c>
      <c r="R68" s="499">
        <v>80</v>
      </c>
      <c r="S68" s="504">
        <v>1</v>
      </c>
      <c r="T68" s="499">
        <v>54736.47</v>
      </c>
      <c r="U68" s="499">
        <v>1234.2</v>
      </c>
      <c r="V68" s="499">
        <v>23118.77</v>
      </c>
      <c r="W68" s="499">
        <v>57803.199999999997</v>
      </c>
      <c r="X68" s="499">
        <v>24704.81</v>
      </c>
      <c r="Y68" s="499">
        <v>57803.199999999997</v>
      </c>
      <c r="Z68" s="499">
        <v>24404.240000000002</v>
      </c>
      <c r="AA68" s="495" t="s">
        <v>481</v>
      </c>
      <c r="AB68" s="495" t="s">
        <v>482</v>
      </c>
      <c r="AC68" s="495" t="s">
        <v>483</v>
      </c>
      <c r="AD68" s="495" t="s">
        <v>484</v>
      </c>
      <c r="AE68" s="495" t="s">
        <v>480</v>
      </c>
      <c r="AF68" s="495" t="s">
        <v>237</v>
      </c>
      <c r="AG68" s="495" t="s">
        <v>204</v>
      </c>
      <c r="AH68" s="500">
        <v>27.79</v>
      </c>
      <c r="AI68" s="500">
        <v>56144.4</v>
      </c>
      <c r="AJ68" s="495" t="s">
        <v>205</v>
      </c>
      <c r="AK68" s="495" t="s">
        <v>206</v>
      </c>
      <c r="AL68" s="495" t="s">
        <v>207</v>
      </c>
      <c r="AM68" s="495" t="s">
        <v>208</v>
      </c>
      <c r="AN68" s="495" t="s">
        <v>92</v>
      </c>
      <c r="AO68" s="498">
        <v>80</v>
      </c>
      <c r="AP68" s="504">
        <v>1</v>
      </c>
      <c r="AQ68" s="504">
        <v>1</v>
      </c>
      <c r="AR68" s="502" t="s">
        <v>209</v>
      </c>
      <c r="AS68" s="506">
        <f t="shared" si="98"/>
        <v>1</v>
      </c>
      <c r="AT68">
        <f t="shared" si="99"/>
        <v>1</v>
      </c>
      <c r="AU68" s="506">
        <f>IF(AT68=0,"",IF(AND(AT68=1,M68="F",SUMIF(C2:C177,C68,AS2:AS177)&lt;=1),SUMIF(C2:C177,C68,AS2:AS177),IF(AND(AT68=1,M68="F",SUMIF(C2:C177,C68,AS2:AS177)&gt;1),1,"")))</f>
        <v>1</v>
      </c>
      <c r="AV68" s="506" t="str">
        <f>IF(AT68=0,"",IF(AND(AT68=3,M68="F",SUMIF(C2:C177,C68,AS2:AS177)&lt;=1),SUMIF(C2:C177,C68,AS2:AS177),IF(AND(AT68=3,M68="F",SUMIF(C2:C177,C68,AS2:AS177)&gt;1),1,"")))</f>
        <v/>
      </c>
      <c r="AW68" s="506">
        <f>SUMIF(C2:C177,C68,O2:O177)</f>
        <v>1</v>
      </c>
      <c r="AX68" s="506">
        <f>IF(AND(M68="F",AS68&lt;&gt;0),SUMIF(C2:C177,C68,W2:W177),0)</f>
        <v>57803.199999999997</v>
      </c>
      <c r="AY68" s="506">
        <f t="shared" si="100"/>
        <v>57803.199999999997</v>
      </c>
      <c r="AZ68" s="506" t="str">
        <f t="shared" si="101"/>
        <v/>
      </c>
      <c r="BA68" s="506">
        <f t="shared" si="102"/>
        <v>0</v>
      </c>
      <c r="BB68" s="506">
        <f t="shared" si="71"/>
        <v>11650</v>
      </c>
      <c r="BC68" s="506">
        <f t="shared" si="72"/>
        <v>0</v>
      </c>
      <c r="BD68" s="506">
        <f t="shared" si="73"/>
        <v>3583.7983999999997</v>
      </c>
      <c r="BE68" s="506">
        <f t="shared" si="74"/>
        <v>838.14639999999997</v>
      </c>
      <c r="BF68" s="506">
        <f t="shared" si="75"/>
        <v>6901.70208</v>
      </c>
      <c r="BG68" s="506">
        <f t="shared" si="76"/>
        <v>416.76107200000001</v>
      </c>
      <c r="BH68" s="506">
        <f t="shared" si="77"/>
        <v>283.23568</v>
      </c>
      <c r="BI68" s="506">
        <f t="shared" si="78"/>
        <v>319.94071199999996</v>
      </c>
      <c r="BJ68" s="506">
        <f t="shared" si="79"/>
        <v>710.97935999999993</v>
      </c>
      <c r="BK68" s="506">
        <f t="shared" si="80"/>
        <v>0</v>
      </c>
      <c r="BL68" s="506">
        <f t="shared" si="103"/>
        <v>13054.563703999998</v>
      </c>
      <c r="BM68" s="506">
        <f t="shared" si="104"/>
        <v>0</v>
      </c>
      <c r="BN68" s="506">
        <f t="shared" si="81"/>
        <v>11650</v>
      </c>
      <c r="BO68" s="506">
        <f t="shared" si="82"/>
        <v>0</v>
      </c>
      <c r="BP68" s="506">
        <f t="shared" si="83"/>
        <v>3583.7983999999997</v>
      </c>
      <c r="BQ68" s="506">
        <f t="shared" si="84"/>
        <v>838.14639999999997</v>
      </c>
      <c r="BR68" s="506">
        <f t="shared" si="85"/>
        <v>6901.70208</v>
      </c>
      <c r="BS68" s="506">
        <f t="shared" si="86"/>
        <v>416.76107200000001</v>
      </c>
      <c r="BT68" s="506">
        <f t="shared" si="87"/>
        <v>0</v>
      </c>
      <c r="BU68" s="506">
        <f t="shared" si="88"/>
        <v>319.94071199999996</v>
      </c>
      <c r="BV68" s="506">
        <f t="shared" si="89"/>
        <v>693.63839999999993</v>
      </c>
      <c r="BW68" s="506">
        <f t="shared" si="90"/>
        <v>0</v>
      </c>
      <c r="BX68" s="506">
        <f t="shared" si="105"/>
        <v>12753.987063999999</v>
      </c>
      <c r="BY68" s="506">
        <f t="shared" si="106"/>
        <v>0</v>
      </c>
      <c r="BZ68" s="506">
        <f t="shared" si="107"/>
        <v>0</v>
      </c>
      <c r="CA68" s="506">
        <f t="shared" si="108"/>
        <v>0</v>
      </c>
      <c r="CB68" s="506">
        <f t="shared" si="109"/>
        <v>0</v>
      </c>
      <c r="CC68" s="506">
        <f t="shared" si="91"/>
        <v>0</v>
      </c>
      <c r="CD68" s="506">
        <f t="shared" si="92"/>
        <v>0</v>
      </c>
      <c r="CE68" s="506">
        <f t="shared" si="93"/>
        <v>0</v>
      </c>
      <c r="CF68" s="506">
        <f t="shared" si="94"/>
        <v>-283.23568</v>
      </c>
      <c r="CG68" s="506">
        <f t="shared" si="95"/>
        <v>0</v>
      </c>
      <c r="CH68" s="506">
        <f t="shared" si="96"/>
        <v>-17.340959999999995</v>
      </c>
      <c r="CI68" s="506">
        <f t="shared" si="97"/>
        <v>0</v>
      </c>
      <c r="CJ68" s="506">
        <f t="shared" si="110"/>
        <v>-300.57664</v>
      </c>
      <c r="CK68" s="506" t="str">
        <f t="shared" si="111"/>
        <v/>
      </c>
      <c r="CL68" s="506" t="str">
        <f t="shared" si="112"/>
        <v/>
      </c>
      <c r="CM68" s="506" t="str">
        <f t="shared" si="113"/>
        <v/>
      </c>
      <c r="CN68" s="506" t="str">
        <f t="shared" si="114"/>
        <v>0290-00</v>
      </c>
    </row>
    <row r="69" spans="1:92" ht="15.75" thickBot="1" x14ac:dyDescent="0.3">
      <c r="A69" s="495" t="s">
        <v>187</v>
      </c>
      <c r="B69" s="495" t="s">
        <v>188</v>
      </c>
      <c r="C69" s="495" t="s">
        <v>485</v>
      </c>
      <c r="D69" s="495" t="s">
        <v>265</v>
      </c>
      <c r="E69" s="495" t="s">
        <v>191</v>
      </c>
      <c r="F69" s="496" t="s">
        <v>192</v>
      </c>
      <c r="G69" s="495" t="s">
        <v>193</v>
      </c>
      <c r="H69" s="497"/>
      <c r="I69" s="497"/>
      <c r="J69" s="495" t="s">
        <v>248</v>
      </c>
      <c r="K69" s="495" t="s">
        <v>415</v>
      </c>
      <c r="L69" s="495" t="s">
        <v>196</v>
      </c>
      <c r="M69" s="495" t="s">
        <v>213</v>
      </c>
      <c r="N69" s="495" t="s">
        <v>198</v>
      </c>
      <c r="O69" s="498">
        <v>0</v>
      </c>
      <c r="P69" s="504">
        <v>1</v>
      </c>
      <c r="Q69" s="504">
        <v>1</v>
      </c>
      <c r="R69" s="499">
        <v>80</v>
      </c>
      <c r="S69" s="504">
        <v>1</v>
      </c>
      <c r="T69" s="499">
        <v>33520.44</v>
      </c>
      <c r="U69" s="499">
        <v>2136.64</v>
      </c>
      <c r="V69" s="499">
        <v>12907.12</v>
      </c>
      <c r="W69" s="499">
        <v>53476.79</v>
      </c>
      <c r="X69" s="499">
        <v>23422.82</v>
      </c>
      <c r="Y69" s="499">
        <v>53476.79</v>
      </c>
      <c r="Z69" s="499">
        <v>23155.43</v>
      </c>
      <c r="AA69" s="497"/>
      <c r="AB69" s="495" t="s">
        <v>23</v>
      </c>
      <c r="AC69" s="495" t="s">
        <v>23</v>
      </c>
      <c r="AD69" s="497"/>
      <c r="AE69" s="497"/>
      <c r="AF69" s="497"/>
      <c r="AG69" s="497"/>
      <c r="AH69" s="498">
        <v>0</v>
      </c>
      <c r="AI69" s="498">
        <v>0</v>
      </c>
      <c r="AJ69" s="497"/>
      <c r="AK69" s="497"/>
      <c r="AL69" s="495" t="s">
        <v>207</v>
      </c>
      <c r="AM69" s="497"/>
      <c r="AN69" s="497"/>
      <c r="AO69" s="498">
        <v>0</v>
      </c>
      <c r="AP69" s="504">
        <v>0</v>
      </c>
      <c r="AQ69" s="504">
        <v>0</v>
      </c>
      <c r="AR69" s="503"/>
      <c r="AS69" s="506">
        <f t="shared" si="98"/>
        <v>0</v>
      </c>
      <c r="AT69">
        <f t="shared" si="99"/>
        <v>0</v>
      </c>
      <c r="AU69" s="506" t="str">
        <f>IF(AT69=0,"",IF(AND(AT69=1,M69="F",SUMIF(C2:C177,C69,AS2:AS177)&lt;=1),SUMIF(C2:C177,C69,AS2:AS177),IF(AND(AT69=1,M69="F",SUMIF(C2:C177,C69,AS2:AS177)&gt;1),1,"")))</f>
        <v/>
      </c>
      <c r="AV69" s="506" t="str">
        <f>IF(AT69=0,"",IF(AND(AT69=3,M69="F",SUMIF(C2:C177,C69,AS2:AS177)&lt;=1),SUMIF(C2:C177,C69,AS2:AS177),IF(AND(AT69=3,M69="F",SUMIF(C2:C177,C69,AS2:AS177)&gt;1),1,"")))</f>
        <v/>
      </c>
      <c r="AW69" s="506">
        <f>SUMIF(C2:C177,C69,O2:O177)</f>
        <v>0</v>
      </c>
      <c r="AX69" s="506">
        <f>IF(AND(M69="F",AS69&lt;&gt;0),SUMIF(C2:C177,C69,W2:W177),0)</f>
        <v>0</v>
      </c>
      <c r="AY69" s="506" t="str">
        <f t="shared" si="100"/>
        <v/>
      </c>
      <c r="AZ69" s="506" t="str">
        <f t="shared" si="101"/>
        <v/>
      </c>
      <c r="BA69" s="506">
        <f t="shared" si="102"/>
        <v>0</v>
      </c>
      <c r="BB69" s="506">
        <f t="shared" si="71"/>
        <v>0</v>
      </c>
      <c r="BC69" s="506">
        <f t="shared" si="72"/>
        <v>0</v>
      </c>
      <c r="BD69" s="506">
        <f t="shared" si="73"/>
        <v>0</v>
      </c>
      <c r="BE69" s="506">
        <f t="shared" si="74"/>
        <v>0</v>
      </c>
      <c r="BF69" s="506">
        <f t="shared" si="75"/>
        <v>0</v>
      </c>
      <c r="BG69" s="506">
        <f t="shared" si="76"/>
        <v>0</v>
      </c>
      <c r="BH69" s="506">
        <f t="shared" si="77"/>
        <v>0</v>
      </c>
      <c r="BI69" s="506">
        <f t="shared" si="78"/>
        <v>0</v>
      </c>
      <c r="BJ69" s="506">
        <f t="shared" si="79"/>
        <v>0</v>
      </c>
      <c r="BK69" s="506">
        <f t="shared" si="80"/>
        <v>0</v>
      </c>
      <c r="BL69" s="506">
        <f t="shared" si="103"/>
        <v>0</v>
      </c>
      <c r="BM69" s="506">
        <f t="shared" si="104"/>
        <v>0</v>
      </c>
      <c r="BN69" s="506">
        <f t="shared" si="81"/>
        <v>0</v>
      </c>
      <c r="BO69" s="506">
        <f t="shared" si="82"/>
        <v>0</v>
      </c>
      <c r="BP69" s="506">
        <f t="shared" si="83"/>
        <v>0</v>
      </c>
      <c r="BQ69" s="506">
        <f t="shared" si="84"/>
        <v>0</v>
      </c>
      <c r="BR69" s="506">
        <f t="shared" si="85"/>
        <v>0</v>
      </c>
      <c r="BS69" s="506">
        <f t="shared" si="86"/>
        <v>0</v>
      </c>
      <c r="BT69" s="506">
        <f t="shared" si="87"/>
        <v>0</v>
      </c>
      <c r="BU69" s="506">
        <f t="shared" si="88"/>
        <v>0</v>
      </c>
      <c r="BV69" s="506">
        <f t="shared" si="89"/>
        <v>0</v>
      </c>
      <c r="BW69" s="506">
        <f t="shared" si="90"/>
        <v>0</v>
      </c>
      <c r="BX69" s="506">
        <f t="shared" si="105"/>
        <v>0</v>
      </c>
      <c r="BY69" s="506">
        <f t="shared" si="106"/>
        <v>0</v>
      </c>
      <c r="BZ69" s="506">
        <f t="shared" si="107"/>
        <v>0</v>
      </c>
      <c r="CA69" s="506">
        <f t="shared" si="108"/>
        <v>0</v>
      </c>
      <c r="CB69" s="506">
        <f t="shared" si="109"/>
        <v>0</v>
      </c>
      <c r="CC69" s="506">
        <f t="shared" si="91"/>
        <v>0</v>
      </c>
      <c r="CD69" s="506">
        <f t="shared" si="92"/>
        <v>0</v>
      </c>
      <c r="CE69" s="506">
        <f t="shared" si="93"/>
        <v>0</v>
      </c>
      <c r="CF69" s="506">
        <f t="shared" si="94"/>
        <v>0</v>
      </c>
      <c r="CG69" s="506">
        <f t="shared" si="95"/>
        <v>0</v>
      </c>
      <c r="CH69" s="506">
        <f t="shared" si="96"/>
        <v>0</v>
      </c>
      <c r="CI69" s="506">
        <f t="shared" si="97"/>
        <v>0</v>
      </c>
      <c r="CJ69" s="506">
        <f t="shared" si="110"/>
        <v>0</v>
      </c>
      <c r="CK69" s="506" t="str">
        <f t="shared" si="111"/>
        <v/>
      </c>
      <c r="CL69" s="506" t="str">
        <f t="shared" si="112"/>
        <v/>
      </c>
      <c r="CM69" s="506" t="str">
        <f t="shared" si="113"/>
        <v/>
      </c>
      <c r="CN69" s="506" t="str">
        <f t="shared" si="114"/>
        <v>0290-00</v>
      </c>
    </row>
    <row r="70" spans="1:92" ht="15.75" thickBot="1" x14ac:dyDescent="0.3">
      <c r="A70" s="495" t="s">
        <v>187</v>
      </c>
      <c r="B70" s="495" t="s">
        <v>188</v>
      </c>
      <c r="C70" s="495" t="s">
        <v>486</v>
      </c>
      <c r="D70" s="495" t="s">
        <v>265</v>
      </c>
      <c r="E70" s="495" t="s">
        <v>191</v>
      </c>
      <c r="F70" s="496" t="s">
        <v>192</v>
      </c>
      <c r="G70" s="495" t="s">
        <v>193</v>
      </c>
      <c r="H70" s="497"/>
      <c r="I70" s="497"/>
      <c r="J70" s="495" t="s">
        <v>248</v>
      </c>
      <c r="K70" s="495" t="s">
        <v>266</v>
      </c>
      <c r="L70" s="495" t="s">
        <v>232</v>
      </c>
      <c r="M70" s="495" t="s">
        <v>197</v>
      </c>
      <c r="N70" s="495" t="s">
        <v>198</v>
      </c>
      <c r="O70" s="498">
        <v>1</v>
      </c>
      <c r="P70" s="504">
        <v>1</v>
      </c>
      <c r="Q70" s="504">
        <v>1</v>
      </c>
      <c r="R70" s="499">
        <v>80</v>
      </c>
      <c r="S70" s="504">
        <v>1</v>
      </c>
      <c r="T70" s="499">
        <v>39090.269999999997</v>
      </c>
      <c r="U70" s="499">
        <v>280.02</v>
      </c>
      <c r="V70" s="499">
        <v>18830.04</v>
      </c>
      <c r="W70" s="499">
        <v>43721.599999999999</v>
      </c>
      <c r="X70" s="499">
        <v>21524.47</v>
      </c>
      <c r="Y70" s="499">
        <v>43721.599999999999</v>
      </c>
      <c r="Z70" s="499">
        <v>21297.119999999999</v>
      </c>
      <c r="AA70" s="495" t="s">
        <v>487</v>
      </c>
      <c r="AB70" s="495" t="s">
        <v>488</v>
      </c>
      <c r="AC70" s="495" t="s">
        <v>489</v>
      </c>
      <c r="AD70" s="495" t="s">
        <v>242</v>
      </c>
      <c r="AE70" s="495" t="s">
        <v>266</v>
      </c>
      <c r="AF70" s="495" t="s">
        <v>237</v>
      </c>
      <c r="AG70" s="495" t="s">
        <v>204</v>
      </c>
      <c r="AH70" s="500">
        <v>21.02</v>
      </c>
      <c r="AI70" s="500">
        <v>1442.5</v>
      </c>
      <c r="AJ70" s="495" t="s">
        <v>205</v>
      </c>
      <c r="AK70" s="495" t="s">
        <v>206</v>
      </c>
      <c r="AL70" s="495" t="s">
        <v>207</v>
      </c>
      <c r="AM70" s="495" t="s">
        <v>208</v>
      </c>
      <c r="AN70" s="495" t="s">
        <v>92</v>
      </c>
      <c r="AO70" s="498">
        <v>80</v>
      </c>
      <c r="AP70" s="504">
        <v>1</v>
      </c>
      <c r="AQ70" s="504">
        <v>1</v>
      </c>
      <c r="AR70" s="502" t="s">
        <v>209</v>
      </c>
      <c r="AS70" s="506">
        <f t="shared" si="98"/>
        <v>1</v>
      </c>
      <c r="AT70">
        <f t="shared" si="99"/>
        <v>1</v>
      </c>
      <c r="AU70" s="506">
        <f>IF(AT70=0,"",IF(AND(AT70=1,M70="F",SUMIF(C2:C177,C70,AS2:AS177)&lt;=1),SUMIF(C2:C177,C70,AS2:AS177),IF(AND(AT70=1,M70="F",SUMIF(C2:C177,C70,AS2:AS177)&gt;1),1,"")))</f>
        <v>1</v>
      </c>
      <c r="AV70" s="506" t="str">
        <f>IF(AT70=0,"",IF(AND(AT70=3,M70="F",SUMIF(C2:C177,C70,AS2:AS177)&lt;=1),SUMIF(C2:C177,C70,AS2:AS177),IF(AND(AT70=3,M70="F",SUMIF(C2:C177,C70,AS2:AS177)&gt;1),1,"")))</f>
        <v/>
      </c>
      <c r="AW70" s="506">
        <f>SUMIF(C2:C177,C70,O2:O177)</f>
        <v>2</v>
      </c>
      <c r="AX70" s="506">
        <f>IF(AND(M70="F",AS70&lt;&gt;0),SUMIF(C2:C177,C70,W2:W177),0)</f>
        <v>43721.599999999999</v>
      </c>
      <c r="AY70" s="506">
        <f t="shared" si="100"/>
        <v>43721.599999999999</v>
      </c>
      <c r="AZ70" s="506" t="str">
        <f t="shared" si="101"/>
        <v/>
      </c>
      <c r="BA70" s="506">
        <f t="shared" si="102"/>
        <v>0</v>
      </c>
      <c r="BB70" s="506">
        <f t="shared" si="71"/>
        <v>11650</v>
      </c>
      <c r="BC70" s="506">
        <f t="shared" si="72"/>
        <v>0</v>
      </c>
      <c r="BD70" s="506">
        <f t="shared" si="73"/>
        <v>2710.7392</v>
      </c>
      <c r="BE70" s="506">
        <f t="shared" si="74"/>
        <v>633.96320000000003</v>
      </c>
      <c r="BF70" s="506">
        <f t="shared" si="75"/>
        <v>5220.3590400000003</v>
      </c>
      <c r="BG70" s="506">
        <f t="shared" si="76"/>
        <v>315.23273599999999</v>
      </c>
      <c r="BH70" s="506">
        <f t="shared" si="77"/>
        <v>214.23584</v>
      </c>
      <c r="BI70" s="506">
        <f t="shared" si="78"/>
        <v>241.999056</v>
      </c>
      <c r="BJ70" s="506">
        <f t="shared" si="79"/>
        <v>537.77567999999997</v>
      </c>
      <c r="BK70" s="506">
        <f t="shared" si="80"/>
        <v>0</v>
      </c>
      <c r="BL70" s="506">
        <f t="shared" si="103"/>
        <v>9874.3047520000018</v>
      </c>
      <c r="BM70" s="506">
        <f t="shared" si="104"/>
        <v>0</v>
      </c>
      <c r="BN70" s="506">
        <f t="shared" si="81"/>
        <v>11650</v>
      </c>
      <c r="BO70" s="506">
        <f t="shared" si="82"/>
        <v>0</v>
      </c>
      <c r="BP70" s="506">
        <f t="shared" si="83"/>
        <v>2710.7392</v>
      </c>
      <c r="BQ70" s="506">
        <f t="shared" si="84"/>
        <v>633.96320000000003</v>
      </c>
      <c r="BR70" s="506">
        <f t="shared" si="85"/>
        <v>5220.3590400000003</v>
      </c>
      <c r="BS70" s="506">
        <f t="shared" si="86"/>
        <v>315.23273599999999</v>
      </c>
      <c r="BT70" s="506">
        <f t="shared" si="87"/>
        <v>0</v>
      </c>
      <c r="BU70" s="506">
        <f t="shared" si="88"/>
        <v>241.999056</v>
      </c>
      <c r="BV70" s="506">
        <f t="shared" si="89"/>
        <v>524.65919999999994</v>
      </c>
      <c r="BW70" s="506">
        <f t="shared" si="90"/>
        <v>0</v>
      </c>
      <c r="BX70" s="506">
        <f t="shared" si="105"/>
        <v>9646.9524320000019</v>
      </c>
      <c r="BY70" s="506">
        <f t="shared" si="106"/>
        <v>0</v>
      </c>
      <c r="BZ70" s="506">
        <f t="shared" si="107"/>
        <v>0</v>
      </c>
      <c r="CA70" s="506">
        <f t="shared" si="108"/>
        <v>0</v>
      </c>
      <c r="CB70" s="506">
        <f t="shared" si="109"/>
        <v>0</v>
      </c>
      <c r="CC70" s="506">
        <f t="shared" si="91"/>
        <v>0</v>
      </c>
      <c r="CD70" s="506">
        <f t="shared" si="92"/>
        <v>0</v>
      </c>
      <c r="CE70" s="506">
        <f t="shared" si="93"/>
        <v>0</v>
      </c>
      <c r="CF70" s="506">
        <f t="shared" si="94"/>
        <v>-214.23584</v>
      </c>
      <c r="CG70" s="506">
        <f t="shared" si="95"/>
        <v>0</v>
      </c>
      <c r="CH70" s="506">
        <f t="shared" si="96"/>
        <v>-13.116479999999996</v>
      </c>
      <c r="CI70" s="506">
        <f t="shared" si="97"/>
        <v>0</v>
      </c>
      <c r="CJ70" s="506">
        <f t="shared" si="110"/>
        <v>-227.35231999999999</v>
      </c>
      <c r="CK70" s="506" t="str">
        <f t="shared" si="111"/>
        <v/>
      </c>
      <c r="CL70" s="506" t="str">
        <f t="shared" si="112"/>
        <v/>
      </c>
      <c r="CM70" s="506" t="str">
        <f t="shared" si="113"/>
        <v/>
      </c>
      <c r="CN70" s="506" t="str">
        <f t="shared" si="114"/>
        <v>0290-00</v>
      </c>
    </row>
    <row r="71" spans="1:92" ht="15.75" thickBot="1" x14ac:dyDescent="0.3">
      <c r="A71" s="495" t="s">
        <v>187</v>
      </c>
      <c r="B71" s="495" t="s">
        <v>188</v>
      </c>
      <c r="C71" s="495" t="s">
        <v>490</v>
      </c>
      <c r="D71" s="495" t="s">
        <v>491</v>
      </c>
      <c r="E71" s="495" t="s">
        <v>191</v>
      </c>
      <c r="F71" s="496" t="s">
        <v>192</v>
      </c>
      <c r="G71" s="495" t="s">
        <v>193</v>
      </c>
      <c r="H71" s="497"/>
      <c r="I71" s="497"/>
      <c r="J71" s="495" t="s">
        <v>225</v>
      </c>
      <c r="K71" s="495" t="s">
        <v>492</v>
      </c>
      <c r="L71" s="495" t="s">
        <v>207</v>
      </c>
      <c r="M71" s="495" t="s">
        <v>197</v>
      </c>
      <c r="N71" s="495" t="s">
        <v>198</v>
      </c>
      <c r="O71" s="498">
        <v>1</v>
      </c>
      <c r="P71" s="504">
        <v>1</v>
      </c>
      <c r="Q71" s="504">
        <v>1</v>
      </c>
      <c r="R71" s="499">
        <v>80</v>
      </c>
      <c r="S71" s="504">
        <v>1</v>
      </c>
      <c r="T71" s="499">
        <v>37804.42</v>
      </c>
      <c r="U71" s="499">
        <v>0</v>
      </c>
      <c r="V71" s="499">
        <v>15138.31</v>
      </c>
      <c r="W71" s="499">
        <v>64313.599999999999</v>
      </c>
      <c r="X71" s="499">
        <v>26175.19</v>
      </c>
      <c r="Y71" s="499">
        <v>64313.599999999999</v>
      </c>
      <c r="Z71" s="499">
        <v>25840.77</v>
      </c>
      <c r="AA71" s="495" t="s">
        <v>493</v>
      </c>
      <c r="AB71" s="495" t="s">
        <v>494</v>
      </c>
      <c r="AC71" s="495" t="s">
        <v>495</v>
      </c>
      <c r="AD71" s="495" t="s">
        <v>206</v>
      </c>
      <c r="AE71" s="495" t="s">
        <v>492</v>
      </c>
      <c r="AF71" s="495" t="s">
        <v>282</v>
      </c>
      <c r="AG71" s="495" t="s">
        <v>204</v>
      </c>
      <c r="AH71" s="500">
        <v>30.92</v>
      </c>
      <c r="AI71" s="500">
        <v>7048.8</v>
      </c>
      <c r="AJ71" s="495" t="s">
        <v>205</v>
      </c>
      <c r="AK71" s="495" t="s">
        <v>206</v>
      </c>
      <c r="AL71" s="495" t="s">
        <v>207</v>
      </c>
      <c r="AM71" s="495" t="s">
        <v>208</v>
      </c>
      <c r="AN71" s="495" t="s">
        <v>92</v>
      </c>
      <c r="AO71" s="498">
        <v>80</v>
      </c>
      <c r="AP71" s="504">
        <v>1</v>
      </c>
      <c r="AQ71" s="504">
        <v>1</v>
      </c>
      <c r="AR71" s="502" t="s">
        <v>209</v>
      </c>
      <c r="AS71" s="506">
        <f t="shared" si="98"/>
        <v>1</v>
      </c>
      <c r="AT71">
        <f t="shared" si="99"/>
        <v>1</v>
      </c>
      <c r="AU71" s="506">
        <f>IF(AT71=0,"",IF(AND(AT71=1,M71="F",SUMIF(C2:C177,C71,AS2:AS177)&lt;=1),SUMIF(C2:C177,C71,AS2:AS177),IF(AND(AT71=1,M71="F",SUMIF(C2:C177,C71,AS2:AS177)&gt;1),1,"")))</f>
        <v>1</v>
      </c>
      <c r="AV71" s="506" t="str">
        <f>IF(AT71=0,"",IF(AND(AT71=3,M71="F",SUMIF(C2:C177,C71,AS2:AS177)&lt;=1),SUMIF(C2:C177,C71,AS2:AS177),IF(AND(AT71=3,M71="F",SUMIF(C2:C177,C71,AS2:AS177)&gt;1),1,"")))</f>
        <v/>
      </c>
      <c r="AW71" s="506">
        <f>SUMIF(C2:C177,C71,O2:O177)</f>
        <v>1</v>
      </c>
      <c r="AX71" s="506">
        <f>IF(AND(M71="F",AS71&lt;&gt;0),SUMIF(C2:C177,C71,W2:W177),0)</f>
        <v>64313.599999999999</v>
      </c>
      <c r="AY71" s="506">
        <f t="shared" si="100"/>
        <v>64313.599999999999</v>
      </c>
      <c r="AZ71" s="506" t="str">
        <f t="shared" si="101"/>
        <v/>
      </c>
      <c r="BA71" s="506">
        <f t="shared" si="102"/>
        <v>0</v>
      </c>
      <c r="BB71" s="506">
        <f t="shared" si="71"/>
        <v>11650</v>
      </c>
      <c r="BC71" s="506">
        <f t="shared" si="72"/>
        <v>0</v>
      </c>
      <c r="BD71" s="506">
        <f t="shared" si="73"/>
        <v>3987.4431999999997</v>
      </c>
      <c r="BE71" s="506">
        <f t="shared" si="74"/>
        <v>932.54719999999998</v>
      </c>
      <c r="BF71" s="506">
        <f t="shared" si="75"/>
        <v>7679.0438400000003</v>
      </c>
      <c r="BG71" s="506">
        <f t="shared" si="76"/>
        <v>463.70105599999999</v>
      </c>
      <c r="BH71" s="506">
        <f t="shared" si="77"/>
        <v>315.13664</v>
      </c>
      <c r="BI71" s="506">
        <f t="shared" si="78"/>
        <v>355.975776</v>
      </c>
      <c r="BJ71" s="506">
        <f t="shared" si="79"/>
        <v>791.05727999999999</v>
      </c>
      <c r="BK71" s="506">
        <f t="shared" si="80"/>
        <v>0</v>
      </c>
      <c r="BL71" s="506">
        <f t="shared" si="103"/>
        <v>14524.904992</v>
      </c>
      <c r="BM71" s="506">
        <f t="shared" si="104"/>
        <v>0</v>
      </c>
      <c r="BN71" s="506">
        <f t="shared" si="81"/>
        <v>11650</v>
      </c>
      <c r="BO71" s="506">
        <f t="shared" si="82"/>
        <v>0</v>
      </c>
      <c r="BP71" s="506">
        <f t="shared" si="83"/>
        <v>3987.4431999999997</v>
      </c>
      <c r="BQ71" s="506">
        <f t="shared" si="84"/>
        <v>932.54719999999998</v>
      </c>
      <c r="BR71" s="506">
        <f t="shared" si="85"/>
        <v>7679.0438400000003</v>
      </c>
      <c r="BS71" s="506">
        <f t="shared" si="86"/>
        <v>463.70105599999999</v>
      </c>
      <c r="BT71" s="506">
        <f t="shared" si="87"/>
        <v>0</v>
      </c>
      <c r="BU71" s="506">
        <f t="shared" si="88"/>
        <v>355.975776</v>
      </c>
      <c r="BV71" s="506">
        <f t="shared" si="89"/>
        <v>771.76319999999998</v>
      </c>
      <c r="BW71" s="506">
        <f t="shared" si="90"/>
        <v>0</v>
      </c>
      <c r="BX71" s="506">
        <f t="shared" si="105"/>
        <v>14190.474271999999</v>
      </c>
      <c r="BY71" s="506">
        <f t="shared" si="106"/>
        <v>0</v>
      </c>
      <c r="BZ71" s="506">
        <f t="shared" si="107"/>
        <v>0</v>
      </c>
      <c r="CA71" s="506">
        <f t="shared" si="108"/>
        <v>0</v>
      </c>
      <c r="CB71" s="506">
        <f t="shared" si="109"/>
        <v>0</v>
      </c>
      <c r="CC71" s="506">
        <f t="shared" si="91"/>
        <v>0</v>
      </c>
      <c r="CD71" s="506">
        <f t="shared" si="92"/>
        <v>0</v>
      </c>
      <c r="CE71" s="506">
        <f t="shared" si="93"/>
        <v>0</v>
      </c>
      <c r="CF71" s="506">
        <f t="shared" si="94"/>
        <v>-315.13664</v>
      </c>
      <c r="CG71" s="506">
        <f t="shared" si="95"/>
        <v>0</v>
      </c>
      <c r="CH71" s="506">
        <f t="shared" si="96"/>
        <v>-19.294079999999994</v>
      </c>
      <c r="CI71" s="506">
        <f t="shared" si="97"/>
        <v>0</v>
      </c>
      <c r="CJ71" s="506">
        <f t="shared" si="110"/>
        <v>-334.43072000000001</v>
      </c>
      <c r="CK71" s="506" t="str">
        <f t="shared" si="111"/>
        <v/>
      </c>
      <c r="CL71" s="506" t="str">
        <f t="shared" si="112"/>
        <v/>
      </c>
      <c r="CM71" s="506" t="str">
        <f t="shared" si="113"/>
        <v/>
      </c>
      <c r="CN71" s="506" t="str">
        <f t="shared" si="114"/>
        <v>0290-00</v>
      </c>
    </row>
    <row r="72" spans="1:92" ht="15.75" thickBot="1" x14ac:dyDescent="0.3">
      <c r="A72" s="495" t="s">
        <v>187</v>
      </c>
      <c r="B72" s="495" t="s">
        <v>188</v>
      </c>
      <c r="C72" s="495" t="s">
        <v>496</v>
      </c>
      <c r="D72" s="495" t="s">
        <v>497</v>
      </c>
      <c r="E72" s="495" t="s">
        <v>191</v>
      </c>
      <c r="F72" s="496" t="s">
        <v>192</v>
      </c>
      <c r="G72" s="495" t="s">
        <v>193</v>
      </c>
      <c r="H72" s="497"/>
      <c r="I72" s="497"/>
      <c r="J72" s="495" t="s">
        <v>216</v>
      </c>
      <c r="K72" s="495" t="s">
        <v>498</v>
      </c>
      <c r="L72" s="495" t="s">
        <v>305</v>
      </c>
      <c r="M72" s="495" t="s">
        <v>197</v>
      </c>
      <c r="N72" s="495" t="s">
        <v>198</v>
      </c>
      <c r="O72" s="498">
        <v>1</v>
      </c>
      <c r="P72" s="504">
        <v>1</v>
      </c>
      <c r="Q72" s="504">
        <v>1</v>
      </c>
      <c r="R72" s="499">
        <v>64</v>
      </c>
      <c r="S72" s="504">
        <v>0.8</v>
      </c>
      <c r="T72" s="499">
        <v>50363.54</v>
      </c>
      <c r="U72" s="499">
        <v>63.56</v>
      </c>
      <c r="V72" s="499">
        <v>22132.91</v>
      </c>
      <c r="W72" s="499">
        <v>34505.51</v>
      </c>
      <c r="X72" s="499">
        <v>19443.02</v>
      </c>
      <c r="Y72" s="499">
        <v>34505.51</v>
      </c>
      <c r="Z72" s="499">
        <v>19263.599999999999</v>
      </c>
      <c r="AA72" s="495" t="s">
        <v>499</v>
      </c>
      <c r="AB72" s="495" t="s">
        <v>500</v>
      </c>
      <c r="AC72" s="495" t="s">
        <v>501</v>
      </c>
      <c r="AD72" s="495" t="s">
        <v>232</v>
      </c>
      <c r="AE72" s="495" t="s">
        <v>498</v>
      </c>
      <c r="AF72" s="495" t="s">
        <v>440</v>
      </c>
      <c r="AG72" s="495" t="s">
        <v>204</v>
      </c>
      <c r="AH72" s="500">
        <v>30.95</v>
      </c>
      <c r="AI72" s="500">
        <v>16390.3</v>
      </c>
      <c r="AJ72" s="495" t="s">
        <v>243</v>
      </c>
      <c r="AK72" s="495" t="s">
        <v>206</v>
      </c>
      <c r="AL72" s="495" t="s">
        <v>207</v>
      </c>
      <c r="AM72" s="495" t="s">
        <v>208</v>
      </c>
      <c r="AN72" s="495" t="s">
        <v>92</v>
      </c>
      <c r="AO72" s="498">
        <v>64</v>
      </c>
      <c r="AP72" s="504">
        <v>0.67</v>
      </c>
      <c r="AQ72" s="504">
        <v>0.53</v>
      </c>
      <c r="AR72" s="502" t="s">
        <v>209</v>
      </c>
      <c r="AS72" s="506">
        <f t="shared" si="98"/>
        <v>0.53600000000000003</v>
      </c>
      <c r="AT72">
        <f t="shared" si="99"/>
        <v>1</v>
      </c>
      <c r="AU72" s="506">
        <f>IF(AT72=0,"",IF(AND(AT72=1,M72="F",SUMIF(C2:C177,C72,AS2:AS177)&lt;=1),SUMIF(C2:C177,C72,AS2:AS177),IF(AND(AT72=1,M72="F",SUMIF(C2:C177,C72,AS2:AS177)&gt;1),1,"")))</f>
        <v>0.53600000000000003</v>
      </c>
      <c r="AV72" s="506" t="str">
        <f>IF(AT72=0,"",IF(AND(AT72=3,M72="F",SUMIF(C2:C177,C72,AS2:AS177)&lt;=1),SUMIF(C2:C177,C72,AS2:AS177),IF(AND(AT72=3,M72="F",SUMIF(C2:C177,C72,AS2:AS177)&gt;1),1,"")))</f>
        <v/>
      </c>
      <c r="AW72" s="506">
        <f>SUMIF(C2:C177,C72,O2:O177)</f>
        <v>1</v>
      </c>
      <c r="AX72" s="506">
        <f>IF(AND(M72="F",AS72&lt;&gt;0),SUMIF(C2:C177,C72,W2:W177),0)</f>
        <v>34505.51</v>
      </c>
      <c r="AY72" s="506">
        <f t="shared" si="100"/>
        <v>34505.51</v>
      </c>
      <c r="AZ72" s="506" t="str">
        <f t="shared" si="101"/>
        <v/>
      </c>
      <c r="BA72" s="506">
        <f t="shared" si="102"/>
        <v>0</v>
      </c>
      <c r="BB72" s="506">
        <f t="shared" si="71"/>
        <v>9320</v>
      </c>
      <c r="BC72" s="506">
        <f t="shared" si="72"/>
        <v>0</v>
      </c>
      <c r="BD72" s="506">
        <f t="shared" si="73"/>
        <v>2139.3416200000001</v>
      </c>
      <c r="BE72" s="506">
        <f t="shared" si="74"/>
        <v>500.32989500000008</v>
      </c>
      <c r="BF72" s="506">
        <f t="shared" si="75"/>
        <v>4119.9578940000001</v>
      </c>
      <c r="BG72" s="506">
        <f t="shared" si="76"/>
        <v>248.78472710000003</v>
      </c>
      <c r="BH72" s="506">
        <f t="shared" si="77"/>
        <v>169.076999</v>
      </c>
      <c r="BI72" s="506">
        <f t="shared" si="78"/>
        <v>190.98799785</v>
      </c>
      <c r="BJ72" s="506">
        <f t="shared" si="79"/>
        <v>424.41777300000001</v>
      </c>
      <c r="BK72" s="506">
        <f t="shared" si="80"/>
        <v>0</v>
      </c>
      <c r="BL72" s="506">
        <f t="shared" si="103"/>
        <v>7792.8969059500005</v>
      </c>
      <c r="BM72" s="506">
        <f t="shared" si="104"/>
        <v>0</v>
      </c>
      <c r="BN72" s="506">
        <f t="shared" si="81"/>
        <v>9320</v>
      </c>
      <c r="BO72" s="506">
        <f t="shared" si="82"/>
        <v>0</v>
      </c>
      <c r="BP72" s="506">
        <f t="shared" si="83"/>
        <v>2139.3416200000001</v>
      </c>
      <c r="BQ72" s="506">
        <f t="shared" si="84"/>
        <v>500.32989500000008</v>
      </c>
      <c r="BR72" s="506">
        <f t="shared" si="85"/>
        <v>4119.9578940000001</v>
      </c>
      <c r="BS72" s="506">
        <f t="shared" si="86"/>
        <v>248.78472710000003</v>
      </c>
      <c r="BT72" s="506">
        <f t="shared" si="87"/>
        <v>0</v>
      </c>
      <c r="BU72" s="506">
        <f t="shared" si="88"/>
        <v>190.98799785</v>
      </c>
      <c r="BV72" s="506">
        <f t="shared" si="89"/>
        <v>414.06612000000001</v>
      </c>
      <c r="BW72" s="506">
        <f t="shared" si="90"/>
        <v>0</v>
      </c>
      <c r="BX72" s="506">
        <f t="shared" si="105"/>
        <v>7613.4682539500009</v>
      </c>
      <c r="BY72" s="506">
        <f t="shared" si="106"/>
        <v>0</v>
      </c>
      <c r="BZ72" s="506">
        <f t="shared" si="107"/>
        <v>0</v>
      </c>
      <c r="CA72" s="506">
        <f t="shared" si="108"/>
        <v>0</v>
      </c>
      <c r="CB72" s="506">
        <f t="shared" si="109"/>
        <v>0</v>
      </c>
      <c r="CC72" s="506">
        <f t="shared" si="91"/>
        <v>0</v>
      </c>
      <c r="CD72" s="506">
        <f t="shared" si="92"/>
        <v>0</v>
      </c>
      <c r="CE72" s="506">
        <f t="shared" si="93"/>
        <v>0</v>
      </c>
      <c r="CF72" s="506">
        <f t="shared" si="94"/>
        <v>-169.076999</v>
      </c>
      <c r="CG72" s="506">
        <f t="shared" si="95"/>
        <v>0</v>
      </c>
      <c r="CH72" s="506">
        <f t="shared" si="96"/>
        <v>-10.351652999999997</v>
      </c>
      <c r="CI72" s="506">
        <f t="shared" si="97"/>
        <v>0</v>
      </c>
      <c r="CJ72" s="506">
        <f t="shared" si="110"/>
        <v>-179.428652</v>
      </c>
      <c r="CK72" s="506" t="str">
        <f t="shared" si="111"/>
        <v/>
      </c>
      <c r="CL72" s="506" t="str">
        <f t="shared" si="112"/>
        <v/>
      </c>
      <c r="CM72" s="506" t="str">
        <f t="shared" si="113"/>
        <v/>
      </c>
      <c r="CN72" s="506" t="str">
        <f t="shared" si="114"/>
        <v>0290-00</v>
      </c>
    </row>
    <row r="73" spans="1:92" ht="15.75" thickBot="1" x14ac:dyDescent="0.3">
      <c r="A73" s="495" t="s">
        <v>187</v>
      </c>
      <c r="B73" s="495" t="s">
        <v>188</v>
      </c>
      <c r="C73" s="495" t="s">
        <v>502</v>
      </c>
      <c r="D73" s="495" t="s">
        <v>294</v>
      </c>
      <c r="E73" s="495" t="s">
        <v>191</v>
      </c>
      <c r="F73" s="496" t="s">
        <v>192</v>
      </c>
      <c r="G73" s="495" t="s">
        <v>193</v>
      </c>
      <c r="H73" s="497"/>
      <c r="I73" s="497"/>
      <c r="J73" s="495" t="s">
        <v>230</v>
      </c>
      <c r="K73" s="495" t="s">
        <v>295</v>
      </c>
      <c r="L73" s="495" t="s">
        <v>204</v>
      </c>
      <c r="M73" s="495" t="s">
        <v>197</v>
      </c>
      <c r="N73" s="495" t="s">
        <v>198</v>
      </c>
      <c r="O73" s="498">
        <v>1</v>
      </c>
      <c r="P73" s="504">
        <v>1</v>
      </c>
      <c r="Q73" s="504">
        <v>1</v>
      </c>
      <c r="R73" s="499">
        <v>80</v>
      </c>
      <c r="S73" s="504">
        <v>1</v>
      </c>
      <c r="T73" s="499">
        <v>30363.19</v>
      </c>
      <c r="U73" s="499">
        <v>78.89</v>
      </c>
      <c r="V73" s="499">
        <v>17534.490000000002</v>
      </c>
      <c r="W73" s="499">
        <v>31969.59</v>
      </c>
      <c r="X73" s="499">
        <v>18870.29</v>
      </c>
      <c r="Y73" s="499">
        <v>31969.59</v>
      </c>
      <c r="Z73" s="499">
        <v>18704.05</v>
      </c>
      <c r="AA73" s="495" t="s">
        <v>503</v>
      </c>
      <c r="AB73" s="495" t="s">
        <v>504</v>
      </c>
      <c r="AC73" s="495" t="s">
        <v>505</v>
      </c>
      <c r="AD73" s="495" t="s">
        <v>242</v>
      </c>
      <c r="AE73" s="495" t="s">
        <v>295</v>
      </c>
      <c r="AF73" s="495" t="s">
        <v>274</v>
      </c>
      <c r="AG73" s="495" t="s">
        <v>204</v>
      </c>
      <c r="AH73" s="500">
        <v>15.37</v>
      </c>
      <c r="AI73" s="500">
        <v>2122.5</v>
      </c>
      <c r="AJ73" s="495" t="s">
        <v>205</v>
      </c>
      <c r="AK73" s="495" t="s">
        <v>206</v>
      </c>
      <c r="AL73" s="495" t="s">
        <v>207</v>
      </c>
      <c r="AM73" s="495" t="s">
        <v>208</v>
      </c>
      <c r="AN73" s="495" t="s">
        <v>92</v>
      </c>
      <c r="AO73" s="498">
        <v>80</v>
      </c>
      <c r="AP73" s="504">
        <v>1</v>
      </c>
      <c r="AQ73" s="504">
        <v>1</v>
      </c>
      <c r="AR73" s="502" t="s">
        <v>209</v>
      </c>
      <c r="AS73" s="506">
        <f t="shared" si="98"/>
        <v>1</v>
      </c>
      <c r="AT73">
        <f t="shared" si="99"/>
        <v>1</v>
      </c>
      <c r="AU73" s="506">
        <f>IF(AT73=0,"",IF(AND(AT73=1,M73="F",SUMIF(C2:C177,C73,AS2:AS177)&lt;=1),SUMIF(C2:C177,C73,AS2:AS177),IF(AND(AT73=1,M73="F",SUMIF(C2:C177,C73,AS2:AS177)&gt;1),1,"")))</f>
        <v>1</v>
      </c>
      <c r="AV73" s="506" t="str">
        <f>IF(AT73=0,"",IF(AND(AT73=3,M73="F",SUMIF(C2:C177,C73,AS2:AS177)&lt;=1),SUMIF(C2:C177,C73,AS2:AS177),IF(AND(AT73=3,M73="F",SUMIF(C2:C177,C73,AS2:AS177)&gt;1),1,"")))</f>
        <v/>
      </c>
      <c r="AW73" s="506">
        <f>SUMIF(C2:C177,C73,O2:O177)</f>
        <v>1</v>
      </c>
      <c r="AX73" s="506">
        <f>IF(AND(M73="F",AS73&lt;&gt;0),SUMIF(C2:C177,C73,W2:W177),0)</f>
        <v>31969.59</v>
      </c>
      <c r="AY73" s="506">
        <f t="shared" si="100"/>
        <v>31969.59</v>
      </c>
      <c r="AZ73" s="506" t="str">
        <f t="shared" si="101"/>
        <v/>
      </c>
      <c r="BA73" s="506">
        <f t="shared" si="102"/>
        <v>0</v>
      </c>
      <c r="BB73" s="506">
        <f t="shared" si="71"/>
        <v>11650</v>
      </c>
      <c r="BC73" s="506">
        <f t="shared" si="72"/>
        <v>0</v>
      </c>
      <c r="BD73" s="506">
        <f t="shared" si="73"/>
        <v>1982.1145799999999</v>
      </c>
      <c r="BE73" s="506">
        <f t="shared" si="74"/>
        <v>463.559055</v>
      </c>
      <c r="BF73" s="506">
        <f t="shared" si="75"/>
        <v>3817.1690460000004</v>
      </c>
      <c r="BG73" s="506">
        <f t="shared" si="76"/>
        <v>230.5007439</v>
      </c>
      <c r="BH73" s="506">
        <f t="shared" si="77"/>
        <v>156.650991</v>
      </c>
      <c r="BI73" s="506">
        <f t="shared" si="78"/>
        <v>176.95168065000001</v>
      </c>
      <c r="BJ73" s="506">
        <f t="shared" si="79"/>
        <v>393.22595699999999</v>
      </c>
      <c r="BK73" s="506">
        <f t="shared" si="80"/>
        <v>0</v>
      </c>
      <c r="BL73" s="506">
        <f t="shared" si="103"/>
        <v>7220.1720535499999</v>
      </c>
      <c r="BM73" s="506">
        <f t="shared" si="104"/>
        <v>0</v>
      </c>
      <c r="BN73" s="506">
        <f t="shared" si="81"/>
        <v>11650</v>
      </c>
      <c r="BO73" s="506">
        <f t="shared" si="82"/>
        <v>0</v>
      </c>
      <c r="BP73" s="506">
        <f t="shared" si="83"/>
        <v>1982.1145799999999</v>
      </c>
      <c r="BQ73" s="506">
        <f t="shared" si="84"/>
        <v>463.559055</v>
      </c>
      <c r="BR73" s="506">
        <f t="shared" si="85"/>
        <v>3817.1690460000004</v>
      </c>
      <c r="BS73" s="506">
        <f t="shared" si="86"/>
        <v>230.5007439</v>
      </c>
      <c r="BT73" s="506">
        <f t="shared" si="87"/>
        <v>0</v>
      </c>
      <c r="BU73" s="506">
        <f t="shared" si="88"/>
        <v>176.95168065000001</v>
      </c>
      <c r="BV73" s="506">
        <f t="shared" si="89"/>
        <v>383.63508000000002</v>
      </c>
      <c r="BW73" s="506">
        <f t="shared" si="90"/>
        <v>0</v>
      </c>
      <c r="BX73" s="506">
        <f t="shared" si="105"/>
        <v>7053.9301855499998</v>
      </c>
      <c r="BY73" s="506">
        <f t="shared" si="106"/>
        <v>0</v>
      </c>
      <c r="BZ73" s="506">
        <f t="shared" si="107"/>
        <v>0</v>
      </c>
      <c r="CA73" s="506">
        <f t="shared" si="108"/>
        <v>0</v>
      </c>
      <c r="CB73" s="506">
        <f t="shared" si="109"/>
        <v>0</v>
      </c>
      <c r="CC73" s="506">
        <f t="shared" si="91"/>
        <v>0</v>
      </c>
      <c r="CD73" s="506">
        <f t="shared" si="92"/>
        <v>0</v>
      </c>
      <c r="CE73" s="506">
        <f t="shared" si="93"/>
        <v>0</v>
      </c>
      <c r="CF73" s="506">
        <f t="shared" si="94"/>
        <v>-156.650991</v>
      </c>
      <c r="CG73" s="506">
        <f t="shared" si="95"/>
        <v>0</v>
      </c>
      <c r="CH73" s="506">
        <f t="shared" si="96"/>
        <v>-9.5908769999999972</v>
      </c>
      <c r="CI73" s="506">
        <f t="shared" si="97"/>
        <v>0</v>
      </c>
      <c r="CJ73" s="506">
        <f t="shared" si="110"/>
        <v>-166.24186800000001</v>
      </c>
      <c r="CK73" s="506" t="str">
        <f t="shared" si="111"/>
        <v/>
      </c>
      <c r="CL73" s="506" t="str">
        <f t="shared" si="112"/>
        <v/>
      </c>
      <c r="CM73" s="506" t="str">
        <f t="shared" si="113"/>
        <v/>
      </c>
      <c r="CN73" s="506" t="str">
        <f t="shared" si="114"/>
        <v>0290-00</v>
      </c>
    </row>
    <row r="74" spans="1:92" ht="15.75" thickBot="1" x14ac:dyDescent="0.3">
      <c r="A74" s="495" t="s">
        <v>187</v>
      </c>
      <c r="B74" s="495" t="s">
        <v>188</v>
      </c>
      <c r="C74" s="495" t="s">
        <v>506</v>
      </c>
      <c r="D74" s="495" t="s">
        <v>360</v>
      </c>
      <c r="E74" s="495" t="s">
        <v>191</v>
      </c>
      <c r="F74" s="496" t="s">
        <v>192</v>
      </c>
      <c r="G74" s="495" t="s">
        <v>193</v>
      </c>
      <c r="H74" s="497"/>
      <c r="I74" s="497"/>
      <c r="J74" s="495" t="s">
        <v>194</v>
      </c>
      <c r="K74" s="495" t="s">
        <v>361</v>
      </c>
      <c r="L74" s="495" t="s">
        <v>286</v>
      </c>
      <c r="M74" s="495" t="s">
        <v>213</v>
      </c>
      <c r="N74" s="495" t="s">
        <v>270</v>
      </c>
      <c r="O74" s="498">
        <v>0</v>
      </c>
      <c r="P74" s="504">
        <v>1</v>
      </c>
      <c r="Q74" s="504">
        <v>1</v>
      </c>
      <c r="R74" s="499">
        <v>80</v>
      </c>
      <c r="S74" s="504">
        <v>1</v>
      </c>
      <c r="T74" s="499">
        <v>34026.07</v>
      </c>
      <c r="U74" s="499">
        <v>2153.3000000000002</v>
      </c>
      <c r="V74" s="499">
        <v>17937.189999999999</v>
      </c>
      <c r="W74" s="499">
        <v>37502.400000000001</v>
      </c>
      <c r="X74" s="499">
        <v>16426.05</v>
      </c>
      <c r="Y74" s="499">
        <v>37502.400000000001</v>
      </c>
      <c r="Z74" s="499">
        <v>16238.52</v>
      </c>
      <c r="AA74" s="497"/>
      <c r="AB74" s="495" t="s">
        <v>23</v>
      </c>
      <c r="AC74" s="495" t="s">
        <v>23</v>
      </c>
      <c r="AD74" s="497"/>
      <c r="AE74" s="497"/>
      <c r="AF74" s="497"/>
      <c r="AG74" s="497"/>
      <c r="AH74" s="498">
        <v>0</v>
      </c>
      <c r="AI74" s="498">
        <v>0</v>
      </c>
      <c r="AJ74" s="497"/>
      <c r="AK74" s="497"/>
      <c r="AL74" s="495" t="s">
        <v>207</v>
      </c>
      <c r="AM74" s="497"/>
      <c r="AN74" s="497"/>
      <c r="AO74" s="498">
        <v>0</v>
      </c>
      <c r="AP74" s="504">
        <v>0</v>
      </c>
      <c r="AQ74" s="504">
        <v>0</v>
      </c>
      <c r="AR74" s="503"/>
      <c r="AS74" s="506">
        <f t="shared" si="98"/>
        <v>0</v>
      </c>
      <c r="AT74">
        <f t="shared" si="99"/>
        <v>0</v>
      </c>
      <c r="AU74" s="506" t="str">
        <f>IF(AT74=0,"",IF(AND(AT74=1,M74="F",SUMIF(C2:C177,C74,AS2:AS177)&lt;=1),SUMIF(C2:C177,C74,AS2:AS177),IF(AND(AT74=1,M74="F",SUMIF(C2:C177,C74,AS2:AS177)&gt;1),1,"")))</f>
        <v/>
      </c>
      <c r="AV74" s="506" t="str">
        <f>IF(AT74=0,"",IF(AND(AT74=3,M74="F",SUMIF(C2:C177,C74,AS2:AS177)&lt;=1),SUMIF(C2:C177,C74,AS2:AS177),IF(AND(AT74=3,M74="F",SUMIF(C2:C177,C74,AS2:AS177)&gt;1),1,"")))</f>
        <v/>
      </c>
      <c r="AW74" s="506">
        <f>SUMIF(C2:C177,C74,O2:O177)</f>
        <v>0</v>
      </c>
      <c r="AX74" s="506">
        <f>IF(AND(M74="F",AS74&lt;&gt;0),SUMIF(C2:C177,C74,W2:W177),0)</f>
        <v>0</v>
      </c>
      <c r="AY74" s="506" t="str">
        <f t="shared" si="100"/>
        <v/>
      </c>
      <c r="AZ74" s="506" t="str">
        <f t="shared" si="101"/>
        <v/>
      </c>
      <c r="BA74" s="506">
        <f t="shared" si="102"/>
        <v>0</v>
      </c>
      <c r="BB74" s="506">
        <f t="shared" si="71"/>
        <v>0</v>
      </c>
      <c r="BC74" s="506">
        <f t="shared" si="72"/>
        <v>0</v>
      </c>
      <c r="BD74" s="506">
        <f t="shared" si="73"/>
        <v>0</v>
      </c>
      <c r="BE74" s="506">
        <f t="shared" si="74"/>
        <v>0</v>
      </c>
      <c r="BF74" s="506">
        <f t="shared" si="75"/>
        <v>0</v>
      </c>
      <c r="BG74" s="506">
        <f t="shared" si="76"/>
        <v>0</v>
      </c>
      <c r="BH74" s="506">
        <f t="shared" si="77"/>
        <v>0</v>
      </c>
      <c r="BI74" s="506">
        <f t="shared" si="78"/>
        <v>0</v>
      </c>
      <c r="BJ74" s="506">
        <f t="shared" si="79"/>
        <v>0</v>
      </c>
      <c r="BK74" s="506">
        <f t="shared" si="80"/>
        <v>0</v>
      </c>
      <c r="BL74" s="506">
        <f t="shared" si="103"/>
        <v>0</v>
      </c>
      <c r="BM74" s="506">
        <f t="shared" si="104"/>
        <v>0</v>
      </c>
      <c r="BN74" s="506">
        <f t="shared" si="81"/>
        <v>0</v>
      </c>
      <c r="BO74" s="506">
        <f t="shared" si="82"/>
        <v>0</v>
      </c>
      <c r="BP74" s="506">
        <f t="shared" si="83"/>
        <v>0</v>
      </c>
      <c r="BQ74" s="506">
        <f t="shared" si="84"/>
        <v>0</v>
      </c>
      <c r="BR74" s="506">
        <f t="shared" si="85"/>
        <v>0</v>
      </c>
      <c r="BS74" s="506">
        <f t="shared" si="86"/>
        <v>0</v>
      </c>
      <c r="BT74" s="506">
        <f t="shared" si="87"/>
        <v>0</v>
      </c>
      <c r="BU74" s="506">
        <f t="shared" si="88"/>
        <v>0</v>
      </c>
      <c r="BV74" s="506">
        <f t="shared" si="89"/>
        <v>0</v>
      </c>
      <c r="BW74" s="506">
        <f t="shared" si="90"/>
        <v>0</v>
      </c>
      <c r="BX74" s="506">
        <f t="shared" si="105"/>
        <v>0</v>
      </c>
      <c r="BY74" s="506">
        <f t="shared" si="106"/>
        <v>0</v>
      </c>
      <c r="BZ74" s="506">
        <f t="shared" si="107"/>
        <v>0</v>
      </c>
      <c r="CA74" s="506">
        <f t="shared" si="108"/>
        <v>0</v>
      </c>
      <c r="CB74" s="506">
        <f t="shared" si="109"/>
        <v>0</v>
      </c>
      <c r="CC74" s="506">
        <f t="shared" si="91"/>
        <v>0</v>
      </c>
      <c r="CD74" s="506">
        <f t="shared" si="92"/>
        <v>0</v>
      </c>
      <c r="CE74" s="506">
        <f t="shared" si="93"/>
        <v>0</v>
      </c>
      <c r="CF74" s="506">
        <f t="shared" si="94"/>
        <v>0</v>
      </c>
      <c r="CG74" s="506">
        <f t="shared" si="95"/>
        <v>0</v>
      </c>
      <c r="CH74" s="506">
        <f t="shared" si="96"/>
        <v>0</v>
      </c>
      <c r="CI74" s="506">
        <f t="shared" si="97"/>
        <v>0</v>
      </c>
      <c r="CJ74" s="506">
        <f t="shared" si="110"/>
        <v>0</v>
      </c>
      <c r="CK74" s="506" t="str">
        <f t="shared" si="111"/>
        <v/>
      </c>
      <c r="CL74" s="506" t="str">
        <f t="shared" si="112"/>
        <v/>
      </c>
      <c r="CM74" s="506" t="str">
        <f t="shared" si="113"/>
        <v/>
      </c>
      <c r="CN74" s="506" t="str">
        <f t="shared" si="114"/>
        <v>0290-00</v>
      </c>
    </row>
    <row r="75" spans="1:92" ht="15.75" thickBot="1" x14ac:dyDescent="0.3">
      <c r="A75" s="495" t="s">
        <v>187</v>
      </c>
      <c r="B75" s="495" t="s">
        <v>188</v>
      </c>
      <c r="C75" s="495" t="s">
        <v>507</v>
      </c>
      <c r="D75" s="495" t="s">
        <v>245</v>
      </c>
      <c r="E75" s="495" t="s">
        <v>191</v>
      </c>
      <c r="F75" s="496" t="s">
        <v>192</v>
      </c>
      <c r="G75" s="495" t="s">
        <v>193</v>
      </c>
      <c r="H75" s="497"/>
      <c r="I75" s="497"/>
      <c r="J75" s="495" t="s">
        <v>225</v>
      </c>
      <c r="K75" s="495" t="s">
        <v>437</v>
      </c>
      <c r="L75" s="495" t="s">
        <v>305</v>
      </c>
      <c r="M75" s="495" t="s">
        <v>197</v>
      </c>
      <c r="N75" s="495" t="s">
        <v>270</v>
      </c>
      <c r="O75" s="498">
        <v>1</v>
      </c>
      <c r="P75" s="504">
        <v>1</v>
      </c>
      <c r="Q75" s="504">
        <v>1</v>
      </c>
      <c r="R75" s="499">
        <v>80</v>
      </c>
      <c r="S75" s="504">
        <v>1</v>
      </c>
      <c r="T75" s="499">
        <v>63351.83</v>
      </c>
      <c r="U75" s="499">
        <v>6145.29</v>
      </c>
      <c r="V75" s="499">
        <v>26631.279999999999</v>
      </c>
      <c r="W75" s="499">
        <v>64272</v>
      </c>
      <c r="X75" s="499">
        <v>26165.8</v>
      </c>
      <c r="Y75" s="499">
        <v>64272</v>
      </c>
      <c r="Z75" s="499">
        <v>25831.59</v>
      </c>
      <c r="AA75" s="495" t="s">
        <v>508</v>
      </c>
      <c r="AB75" s="495" t="s">
        <v>509</v>
      </c>
      <c r="AC75" s="495" t="s">
        <v>510</v>
      </c>
      <c r="AD75" s="495" t="s">
        <v>511</v>
      </c>
      <c r="AE75" s="495" t="s">
        <v>437</v>
      </c>
      <c r="AF75" s="495" t="s">
        <v>440</v>
      </c>
      <c r="AG75" s="495" t="s">
        <v>204</v>
      </c>
      <c r="AH75" s="500">
        <v>30.9</v>
      </c>
      <c r="AI75" s="500">
        <v>43258.3</v>
      </c>
      <c r="AJ75" s="495" t="s">
        <v>205</v>
      </c>
      <c r="AK75" s="495" t="s">
        <v>206</v>
      </c>
      <c r="AL75" s="495" t="s">
        <v>207</v>
      </c>
      <c r="AM75" s="495" t="s">
        <v>208</v>
      </c>
      <c r="AN75" s="495" t="s">
        <v>92</v>
      </c>
      <c r="AO75" s="498">
        <v>80</v>
      </c>
      <c r="AP75" s="504">
        <v>1</v>
      </c>
      <c r="AQ75" s="504">
        <v>1</v>
      </c>
      <c r="AR75" s="502" t="s">
        <v>209</v>
      </c>
      <c r="AS75" s="506">
        <f t="shared" si="98"/>
        <v>1</v>
      </c>
      <c r="AT75">
        <f t="shared" si="99"/>
        <v>1</v>
      </c>
      <c r="AU75" s="506">
        <f>IF(AT75=0,"",IF(AND(AT75=1,M75="F",SUMIF(C2:C177,C75,AS2:AS177)&lt;=1),SUMIF(C2:C177,C75,AS2:AS177),IF(AND(AT75=1,M75="F",SUMIF(C2:C177,C75,AS2:AS177)&gt;1),1,"")))</f>
        <v>1</v>
      </c>
      <c r="AV75" s="506" t="str">
        <f>IF(AT75=0,"",IF(AND(AT75=3,M75="F",SUMIF(C2:C177,C75,AS2:AS177)&lt;=1),SUMIF(C2:C177,C75,AS2:AS177),IF(AND(AT75=3,M75="F",SUMIF(C2:C177,C75,AS2:AS177)&gt;1),1,"")))</f>
        <v/>
      </c>
      <c r="AW75" s="506">
        <f>SUMIF(C2:C177,C75,O2:O177)</f>
        <v>1</v>
      </c>
      <c r="AX75" s="506">
        <f>IF(AND(M75="F",AS75&lt;&gt;0),SUMIF(C2:C177,C75,W2:W177),0)</f>
        <v>64272</v>
      </c>
      <c r="AY75" s="506">
        <f t="shared" si="100"/>
        <v>64272</v>
      </c>
      <c r="AZ75" s="506" t="str">
        <f t="shared" si="101"/>
        <v/>
      </c>
      <c r="BA75" s="506">
        <f t="shared" si="102"/>
        <v>0</v>
      </c>
      <c r="BB75" s="506">
        <f t="shared" si="71"/>
        <v>11650</v>
      </c>
      <c r="BC75" s="506">
        <f t="shared" si="72"/>
        <v>0</v>
      </c>
      <c r="BD75" s="506">
        <f t="shared" si="73"/>
        <v>3984.864</v>
      </c>
      <c r="BE75" s="506">
        <f t="shared" si="74"/>
        <v>931.94400000000007</v>
      </c>
      <c r="BF75" s="506">
        <f t="shared" si="75"/>
        <v>7674.0768000000007</v>
      </c>
      <c r="BG75" s="506">
        <f t="shared" si="76"/>
        <v>463.40111999999999</v>
      </c>
      <c r="BH75" s="506">
        <f t="shared" si="77"/>
        <v>314.93279999999999</v>
      </c>
      <c r="BI75" s="506">
        <f t="shared" si="78"/>
        <v>355.74552</v>
      </c>
      <c r="BJ75" s="506">
        <f t="shared" si="79"/>
        <v>790.54560000000004</v>
      </c>
      <c r="BK75" s="506">
        <f t="shared" si="80"/>
        <v>0</v>
      </c>
      <c r="BL75" s="506">
        <f t="shared" si="103"/>
        <v>14515.509840000001</v>
      </c>
      <c r="BM75" s="506">
        <f t="shared" si="104"/>
        <v>0</v>
      </c>
      <c r="BN75" s="506">
        <f t="shared" si="81"/>
        <v>11650</v>
      </c>
      <c r="BO75" s="506">
        <f t="shared" si="82"/>
        <v>0</v>
      </c>
      <c r="BP75" s="506">
        <f t="shared" si="83"/>
        <v>3984.864</v>
      </c>
      <c r="BQ75" s="506">
        <f t="shared" si="84"/>
        <v>931.94400000000007</v>
      </c>
      <c r="BR75" s="506">
        <f t="shared" si="85"/>
        <v>7674.0768000000007</v>
      </c>
      <c r="BS75" s="506">
        <f t="shared" si="86"/>
        <v>463.40111999999999</v>
      </c>
      <c r="BT75" s="506">
        <f t="shared" si="87"/>
        <v>0</v>
      </c>
      <c r="BU75" s="506">
        <f t="shared" si="88"/>
        <v>355.74552</v>
      </c>
      <c r="BV75" s="506">
        <f t="shared" si="89"/>
        <v>771.26400000000001</v>
      </c>
      <c r="BW75" s="506">
        <f t="shared" si="90"/>
        <v>0</v>
      </c>
      <c r="BX75" s="506">
        <f t="shared" si="105"/>
        <v>14181.29544</v>
      </c>
      <c r="BY75" s="506">
        <f t="shared" si="106"/>
        <v>0</v>
      </c>
      <c r="BZ75" s="506">
        <f t="shared" si="107"/>
        <v>0</v>
      </c>
      <c r="CA75" s="506">
        <f t="shared" si="108"/>
        <v>0</v>
      </c>
      <c r="CB75" s="506">
        <f t="shared" si="109"/>
        <v>0</v>
      </c>
      <c r="CC75" s="506">
        <f t="shared" si="91"/>
        <v>0</v>
      </c>
      <c r="CD75" s="506">
        <f t="shared" si="92"/>
        <v>0</v>
      </c>
      <c r="CE75" s="506">
        <f t="shared" si="93"/>
        <v>0</v>
      </c>
      <c r="CF75" s="506">
        <f t="shared" si="94"/>
        <v>-314.93279999999999</v>
      </c>
      <c r="CG75" s="506">
        <f t="shared" si="95"/>
        <v>0</v>
      </c>
      <c r="CH75" s="506">
        <f t="shared" si="96"/>
        <v>-19.281599999999994</v>
      </c>
      <c r="CI75" s="506">
        <f t="shared" si="97"/>
        <v>0</v>
      </c>
      <c r="CJ75" s="506">
        <f t="shared" si="110"/>
        <v>-334.21439999999996</v>
      </c>
      <c r="CK75" s="506" t="str">
        <f t="shared" si="111"/>
        <v/>
      </c>
      <c r="CL75" s="506" t="str">
        <f t="shared" si="112"/>
        <v/>
      </c>
      <c r="CM75" s="506" t="str">
        <f t="shared" si="113"/>
        <v/>
      </c>
      <c r="CN75" s="506" t="str">
        <f t="shared" si="114"/>
        <v>0290-00</v>
      </c>
    </row>
    <row r="76" spans="1:92" ht="15.75" thickBot="1" x14ac:dyDescent="0.3">
      <c r="A76" s="495" t="s">
        <v>187</v>
      </c>
      <c r="B76" s="495" t="s">
        <v>188</v>
      </c>
      <c r="C76" s="495" t="s">
        <v>512</v>
      </c>
      <c r="D76" s="495" t="s">
        <v>388</v>
      </c>
      <c r="E76" s="495" t="s">
        <v>191</v>
      </c>
      <c r="F76" s="496" t="s">
        <v>192</v>
      </c>
      <c r="G76" s="495" t="s">
        <v>193</v>
      </c>
      <c r="H76" s="497"/>
      <c r="I76" s="497"/>
      <c r="J76" s="495" t="s">
        <v>225</v>
      </c>
      <c r="K76" s="495" t="s">
        <v>389</v>
      </c>
      <c r="L76" s="495" t="s">
        <v>232</v>
      </c>
      <c r="M76" s="495" t="s">
        <v>197</v>
      </c>
      <c r="N76" s="495" t="s">
        <v>270</v>
      </c>
      <c r="O76" s="498">
        <v>1</v>
      </c>
      <c r="P76" s="504">
        <v>1</v>
      </c>
      <c r="Q76" s="504">
        <v>1</v>
      </c>
      <c r="R76" s="499">
        <v>80</v>
      </c>
      <c r="S76" s="504">
        <v>1</v>
      </c>
      <c r="T76" s="499">
        <v>45292.05</v>
      </c>
      <c r="U76" s="499">
        <v>0</v>
      </c>
      <c r="V76" s="499">
        <v>21261.360000000001</v>
      </c>
      <c r="W76" s="499">
        <v>47798.400000000001</v>
      </c>
      <c r="X76" s="499">
        <v>22445.24</v>
      </c>
      <c r="Y76" s="499">
        <v>47798.400000000001</v>
      </c>
      <c r="Z76" s="499">
        <v>22196.69</v>
      </c>
      <c r="AA76" s="495" t="s">
        <v>513</v>
      </c>
      <c r="AB76" s="495" t="s">
        <v>514</v>
      </c>
      <c r="AC76" s="495" t="s">
        <v>515</v>
      </c>
      <c r="AD76" s="495" t="s">
        <v>301</v>
      </c>
      <c r="AE76" s="495" t="s">
        <v>389</v>
      </c>
      <c r="AF76" s="495" t="s">
        <v>237</v>
      </c>
      <c r="AG76" s="495" t="s">
        <v>204</v>
      </c>
      <c r="AH76" s="500">
        <v>22.98</v>
      </c>
      <c r="AI76" s="500">
        <v>7395.2</v>
      </c>
      <c r="AJ76" s="495" t="s">
        <v>205</v>
      </c>
      <c r="AK76" s="495" t="s">
        <v>206</v>
      </c>
      <c r="AL76" s="495" t="s">
        <v>207</v>
      </c>
      <c r="AM76" s="495" t="s">
        <v>208</v>
      </c>
      <c r="AN76" s="495" t="s">
        <v>92</v>
      </c>
      <c r="AO76" s="498">
        <v>80</v>
      </c>
      <c r="AP76" s="504">
        <v>1</v>
      </c>
      <c r="AQ76" s="504">
        <v>1</v>
      </c>
      <c r="AR76" s="502" t="s">
        <v>209</v>
      </c>
      <c r="AS76" s="506">
        <f t="shared" si="98"/>
        <v>1</v>
      </c>
      <c r="AT76">
        <f t="shared" si="99"/>
        <v>1</v>
      </c>
      <c r="AU76" s="506">
        <f>IF(AT76=0,"",IF(AND(AT76=1,M76="F",SUMIF(C2:C177,C76,AS2:AS177)&lt;=1),SUMIF(C2:C177,C76,AS2:AS177),IF(AND(AT76=1,M76="F",SUMIF(C2:C177,C76,AS2:AS177)&gt;1),1,"")))</f>
        <v>1</v>
      </c>
      <c r="AV76" s="506" t="str">
        <f>IF(AT76=0,"",IF(AND(AT76=3,M76="F",SUMIF(C2:C177,C76,AS2:AS177)&lt;=1),SUMIF(C2:C177,C76,AS2:AS177),IF(AND(AT76=3,M76="F",SUMIF(C2:C177,C76,AS2:AS177)&gt;1),1,"")))</f>
        <v/>
      </c>
      <c r="AW76" s="506">
        <f>SUMIF(C2:C177,C76,O2:O177)</f>
        <v>1</v>
      </c>
      <c r="AX76" s="506">
        <f>IF(AND(M76="F",AS76&lt;&gt;0),SUMIF(C2:C177,C76,W2:W177),0)</f>
        <v>47798.400000000001</v>
      </c>
      <c r="AY76" s="506">
        <f t="shared" si="100"/>
        <v>47798.400000000001</v>
      </c>
      <c r="AZ76" s="506" t="str">
        <f t="shared" si="101"/>
        <v/>
      </c>
      <c r="BA76" s="506">
        <f t="shared" si="102"/>
        <v>0</v>
      </c>
      <c r="BB76" s="506">
        <f t="shared" si="71"/>
        <v>11650</v>
      </c>
      <c r="BC76" s="506">
        <f t="shared" si="72"/>
        <v>0</v>
      </c>
      <c r="BD76" s="506">
        <f t="shared" si="73"/>
        <v>2963.5008000000003</v>
      </c>
      <c r="BE76" s="506">
        <f t="shared" si="74"/>
        <v>693.07680000000005</v>
      </c>
      <c r="BF76" s="506">
        <f t="shared" si="75"/>
        <v>5707.1289600000009</v>
      </c>
      <c r="BG76" s="506">
        <f t="shared" si="76"/>
        <v>344.626464</v>
      </c>
      <c r="BH76" s="506">
        <f t="shared" si="77"/>
        <v>234.21216000000001</v>
      </c>
      <c r="BI76" s="506">
        <f t="shared" si="78"/>
        <v>264.564144</v>
      </c>
      <c r="BJ76" s="506">
        <f t="shared" si="79"/>
        <v>587.92032000000006</v>
      </c>
      <c r="BK76" s="506">
        <f t="shared" si="80"/>
        <v>0</v>
      </c>
      <c r="BL76" s="506">
        <f t="shared" si="103"/>
        <v>10795.029648000002</v>
      </c>
      <c r="BM76" s="506">
        <f t="shared" si="104"/>
        <v>0</v>
      </c>
      <c r="BN76" s="506">
        <f t="shared" si="81"/>
        <v>11650</v>
      </c>
      <c r="BO76" s="506">
        <f t="shared" si="82"/>
        <v>0</v>
      </c>
      <c r="BP76" s="506">
        <f t="shared" si="83"/>
        <v>2963.5008000000003</v>
      </c>
      <c r="BQ76" s="506">
        <f t="shared" si="84"/>
        <v>693.07680000000005</v>
      </c>
      <c r="BR76" s="506">
        <f t="shared" si="85"/>
        <v>5707.1289600000009</v>
      </c>
      <c r="BS76" s="506">
        <f t="shared" si="86"/>
        <v>344.626464</v>
      </c>
      <c r="BT76" s="506">
        <f t="shared" si="87"/>
        <v>0</v>
      </c>
      <c r="BU76" s="506">
        <f t="shared" si="88"/>
        <v>264.564144</v>
      </c>
      <c r="BV76" s="506">
        <f t="shared" si="89"/>
        <v>573.58080000000007</v>
      </c>
      <c r="BW76" s="506">
        <f t="shared" si="90"/>
        <v>0</v>
      </c>
      <c r="BX76" s="506">
        <f t="shared" si="105"/>
        <v>10546.477968000003</v>
      </c>
      <c r="BY76" s="506">
        <f t="shared" si="106"/>
        <v>0</v>
      </c>
      <c r="BZ76" s="506">
        <f t="shared" si="107"/>
        <v>0</v>
      </c>
      <c r="CA76" s="506">
        <f t="shared" si="108"/>
        <v>0</v>
      </c>
      <c r="CB76" s="506">
        <f t="shared" si="109"/>
        <v>0</v>
      </c>
      <c r="CC76" s="506">
        <f t="shared" si="91"/>
        <v>0</v>
      </c>
      <c r="CD76" s="506">
        <f t="shared" si="92"/>
        <v>0</v>
      </c>
      <c r="CE76" s="506">
        <f t="shared" si="93"/>
        <v>0</v>
      </c>
      <c r="CF76" s="506">
        <f t="shared" si="94"/>
        <v>-234.21216000000001</v>
      </c>
      <c r="CG76" s="506">
        <f t="shared" si="95"/>
        <v>0</v>
      </c>
      <c r="CH76" s="506">
        <f t="shared" si="96"/>
        <v>-14.339519999999997</v>
      </c>
      <c r="CI76" s="506">
        <f t="shared" si="97"/>
        <v>0</v>
      </c>
      <c r="CJ76" s="506">
        <f t="shared" si="110"/>
        <v>-248.55168</v>
      </c>
      <c r="CK76" s="506" t="str">
        <f t="shared" si="111"/>
        <v/>
      </c>
      <c r="CL76" s="506" t="str">
        <f t="shared" si="112"/>
        <v/>
      </c>
      <c r="CM76" s="506" t="str">
        <f t="shared" si="113"/>
        <v/>
      </c>
      <c r="CN76" s="506" t="str">
        <f t="shared" si="114"/>
        <v>0290-00</v>
      </c>
    </row>
    <row r="77" spans="1:92" ht="15.75" thickBot="1" x14ac:dyDescent="0.3">
      <c r="A77" s="495" t="s">
        <v>187</v>
      </c>
      <c r="B77" s="495" t="s">
        <v>188</v>
      </c>
      <c r="C77" s="495" t="s">
        <v>516</v>
      </c>
      <c r="D77" s="495" t="s">
        <v>211</v>
      </c>
      <c r="E77" s="495" t="s">
        <v>191</v>
      </c>
      <c r="F77" s="496" t="s">
        <v>192</v>
      </c>
      <c r="G77" s="495" t="s">
        <v>193</v>
      </c>
      <c r="H77" s="497"/>
      <c r="I77" s="497"/>
      <c r="J77" s="495" t="s">
        <v>254</v>
      </c>
      <c r="K77" s="495" t="s">
        <v>212</v>
      </c>
      <c r="L77" s="495" t="s">
        <v>207</v>
      </c>
      <c r="M77" s="495" t="s">
        <v>197</v>
      </c>
      <c r="N77" s="495" t="s">
        <v>198</v>
      </c>
      <c r="O77" s="498">
        <v>1</v>
      </c>
      <c r="P77" s="504">
        <v>1</v>
      </c>
      <c r="Q77" s="504">
        <v>1</v>
      </c>
      <c r="R77" s="499">
        <v>80</v>
      </c>
      <c r="S77" s="504">
        <v>1</v>
      </c>
      <c r="T77" s="499">
        <v>66964.38</v>
      </c>
      <c r="U77" s="499">
        <v>778.63</v>
      </c>
      <c r="V77" s="499">
        <v>26907.84</v>
      </c>
      <c r="W77" s="499">
        <v>69409.59</v>
      </c>
      <c r="X77" s="499">
        <v>27326.09</v>
      </c>
      <c r="Y77" s="499">
        <v>69409.59</v>
      </c>
      <c r="Z77" s="499">
        <v>26965.17</v>
      </c>
      <c r="AA77" s="495" t="s">
        <v>517</v>
      </c>
      <c r="AB77" s="495" t="s">
        <v>518</v>
      </c>
      <c r="AC77" s="495" t="s">
        <v>519</v>
      </c>
      <c r="AD77" s="495" t="s">
        <v>352</v>
      </c>
      <c r="AE77" s="495" t="s">
        <v>212</v>
      </c>
      <c r="AF77" s="495" t="s">
        <v>282</v>
      </c>
      <c r="AG77" s="495" t="s">
        <v>204</v>
      </c>
      <c r="AH77" s="500">
        <v>33.369999999999997</v>
      </c>
      <c r="AI77" s="500">
        <v>9651.2999999999993</v>
      </c>
      <c r="AJ77" s="495" t="s">
        <v>205</v>
      </c>
      <c r="AK77" s="495" t="s">
        <v>206</v>
      </c>
      <c r="AL77" s="495" t="s">
        <v>207</v>
      </c>
      <c r="AM77" s="495" t="s">
        <v>208</v>
      </c>
      <c r="AN77" s="495" t="s">
        <v>92</v>
      </c>
      <c r="AO77" s="498">
        <v>80</v>
      </c>
      <c r="AP77" s="504">
        <v>1</v>
      </c>
      <c r="AQ77" s="504">
        <v>1</v>
      </c>
      <c r="AR77" s="502" t="s">
        <v>209</v>
      </c>
      <c r="AS77" s="506">
        <f t="shared" si="98"/>
        <v>1</v>
      </c>
      <c r="AT77">
        <f t="shared" si="99"/>
        <v>1</v>
      </c>
      <c r="AU77" s="506">
        <f>IF(AT77=0,"",IF(AND(AT77=1,M77="F",SUMIF(C2:C177,C77,AS2:AS177)&lt;=1),SUMIF(C2:C177,C77,AS2:AS177),IF(AND(AT77=1,M77="F",SUMIF(C2:C177,C77,AS2:AS177)&gt;1),1,"")))</f>
        <v>1</v>
      </c>
      <c r="AV77" s="506" t="str">
        <f>IF(AT77=0,"",IF(AND(AT77=3,M77="F",SUMIF(C2:C177,C77,AS2:AS177)&lt;=1),SUMIF(C2:C177,C77,AS2:AS177),IF(AND(AT77=3,M77="F",SUMIF(C2:C177,C77,AS2:AS177)&gt;1),1,"")))</f>
        <v/>
      </c>
      <c r="AW77" s="506">
        <f>SUMIF(C2:C177,C77,O2:O177)</f>
        <v>1</v>
      </c>
      <c r="AX77" s="506">
        <f>IF(AND(M77="F",AS77&lt;&gt;0),SUMIF(C2:C177,C77,W2:W177),0)</f>
        <v>69409.59</v>
      </c>
      <c r="AY77" s="506">
        <f t="shared" si="100"/>
        <v>69409.59</v>
      </c>
      <c r="AZ77" s="506" t="str">
        <f t="shared" si="101"/>
        <v/>
      </c>
      <c r="BA77" s="506">
        <f t="shared" si="102"/>
        <v>0</v>
      </c>
      <c r="BB77" s="506">
        <f t="shared" si="71"/>
        <v>11650</v>
      </c>
      <c r="BC77" s="506">
        <f t="shared" si="72"/>
        <v>0</v>
      </c>
      <c r="BD77" s="506">
        <f t="shared" si="73"/>
        <v>4303.3945800000001</v>
      </c>
      <c r="BE77" s="506">
        <f t="shared" si="74"/>
        <v>1006.4390550000001</v>
      </c>
      <c r="BF77" s="506">
        <f t="shared" si="75"/>
        <v>8287.5050460000002</v>
      </c>
      <c r="BG77" s="506">
        <f t="shared" si="76"/>
        <v>500.4431439</v>
      </c>
      <c r="BH77" s="506">
        <f t="shared" si="77"/>
        <v>340.10699099999999</v>
      </c>
      <c r="BI77" s="506">
        <f t="shared" si="78"/>
        <v>384.18208064999999</v>
      </c>
      <c r="BJ77" s="506">
        <f t="shared" si="79"/>
        <v>853.73795699999994</v>
      </c>
      <c r="BK77" s="506">
        <f t="shared" si="80"/>
        <v>0</v>
      </c>
      <c r="BL77" s="506">
        <f t="shared" si="103"/>
        <v>15675.808853550001</v>
      </c>
      <c r="BM77" s="506">
        <f t="shared" si="104"/>
        <v>0</v>
      </c>
      <c r="BN77" s="506">
        <f t="shared" si="81"/>
        <v>11650</v>
      </c>
      <c r="BO77" s="506">
        <f t="shared" si="82"/>
        <v>0</v>
      </c>
      <c r="BP77" s="506">
        <f t="shared" si="83"/>
        <v>4303.3945800000001</v>
      </c>
      <c r="BQ77" s="506">
        <f t="shared" si="84"/>
        <v>1006.4390550000001</v>
      </c>
      <c r="BR77" s="506">
        <f t="shared" si="85"/>
        <v>8287.5050460000002</v>
      </c>
      <c r="BS77" s="506">
        <f t="shared" si="86"/>
        <v>500.4431439</v>
      </c>
      <c r="BT77" s="506">
        <f t="shared" si="87"/>
        <v>0</v>
      </c>
      <c r="BU77" s="506">
        <f t="shared" si="88"/>
        <v>384.18208064999999</v>
      </c>
      <c r="BV77" s="506">
        <f t="shared" si="89"/>
        <v>832.91507999999999</v>
      </c>
      <c r="BW77" s="506">
        <f t="shared" si="90"/>
        <v>0</v>
      </c>
      <c r="BX77" s="506">
        <f t="shared" si="105"/>
        <v>15314.878985550002</v>
      </c>
      <c r="BY77" s="506">
        <f t="shared" si="106"/>
        <v>0</v>
      </c>
      <c r="BZ77" s="506">
        <f t="shared" si="107"/>
        <v>0</v>
      </c>
      <c r="CA77" s="506">
        <f t="shared" si="108"/>
        <v>0</v>
      </c>
      <c r="CB77" s="506">
        <f t="shared" si="109"/>
        <v>0</v>
      </c>
      <c r="CC77" s="506">
        <f t="shared" si="91"/>
        <v>0</v>
      </c>
      <c r="CD77" s="506">
        <f t="shared" si="92"/>
        <v>0</v>
      </c>
      <c r="CE77" s="506">
        <f t="shared" si="93"/>
        <v>0</v>
      </c>
      <c r="CF77" s="506">
        <f t="shared" si="94"/>
        <v>-340.10699099999999</v>
      </c>
      <c r="CG77" s="506">
        <f t="shared" si="95"/>
        <v>0</v>
      </c>
      <c r="CH77" s="506">
        <f t="shared" si="96"/>
        <v>-20.822876999999995</v>
      </c>
      <c r="CI77" s="506">
        <f t="shared" si="97"/>
        <v>0</v>
      </c>
      <c r="CJ77" s="506">
        <f t="shared" si="110"/>
        <v>-360.929868</v>
      </c>
      <c r="CK77" s="506" t="str">
        <f t="shared" si="111"/>
        <v/>
      </c>
      <c r="CL77" s="506" t="str">
        <f t="shared" si="112"/>
        <v/>
      </c>
      <c r="CM77" s="506" t="str">
        <f t="shared" si="113"/>
        <v/>
      </c>
      <c r="CN77" s="506" t="str">
        <f t="shared" si="114"/>
        <v>0290-00</v>
      </c>
    </row>
    <row r="78" spans="1:92" ht="15.75" thickBot="1" x14ac:dyDescent="0.3">
      <c r="A78" s="495" t="s">
        <v>187</v>
      </c>
      <c r="B78" s="495" t="s">
        <v>188</v>
      </c>
      <c r="C78" s="495" t="s">
        <v>520</v>
      </c>
      <c r="D78" s="495" t="s">
        <v>268</v>
      </c>
      <c r="E78" s="495" t="s">
        <v>191</v>
      </c>
      <c r="F78" s="496" t="s">
        <v>192</v>
      </c>
      <c r="G78" s="495" t="s">
        <v>193</v>
      </c>
      <c r="H78" s="497"/>
      <c r="I78" s="497"/>
      <c r="J78" s="495" t="s">
        <v>277</v>
      </c>
      <c r="K78" s="495" t="s">
        <v>269</v>
      </c>
      <c r="L78" s="495" t="s">
        <v>204</v>
      </c>
      <c r="M78" s="495" t="s">
        <v>197</v>
      </c>
      <c r="N78" s="495" t="s">
        <v>198</v>
      </c>
      <c r="O78" s="498">
        <v>1</v>
      </c>
      <c r="P78" s="504">
        <v>1</v>
      </c>
      <c r="Q78" s="504">
        <v>1</v>
      </c>
      <c r="R78" s="499">
        <v>80</v>
      </c>
      <c r="S78" s="504">
        <v>1</v>
      </c>
      <c r="T78" s="499">
        <v>22085.56</v>
      </c>
      <c r="U78" s="499">
        <v>293.14</v>
      </c>
      <c r="V78" s="499">
        <v>13474.81</v>
      </c>
      <c r="W78" s="499">
        <v>31304</v>
      </c>
      <c r="X78" s="499">
        <v>18719.91</v>
      </c>
      <c r="Y78" s="499">
        <v>31304</v>
      </c>
      <c r="Z78" s="499">
        <v>18557.14</v>
      </c>
      <c r="AA78" s="495" t="s">
        <v>521</v>
      </c>
      <c r="AB78" s="495" t="s">
        <v>522</v>
      </c>
      <c r="AC78" s="495" t="s">
        <v>523</v>
      </c>
      <c r="AD78" s="495" t="s">
        <v>242</v>
      </c>
      <c r="AE78" s="495" t="s">
        <v>269</v>
      </c>
      <c r="AF78" s="495" t="s">
        <v>274</v>
      </c>
      <c r="AG78" s="495" t="s">
        <v>204</v>
      </c>
      <c r="AH78" s="500">
        <v>15.05</v>
      </c>
      <c r="AI78" s="500">
        <v>1438.8</v>
      </c>
      <c r="AJ78" s="495" t="s">
        <v>205</v>
      </c>
      <c r="AK78" s="495" t="s">
        <v>206</v>
      </c>
      <c r="AL78" s="495" t="s">
        <v>207</v>
      </c>
      <c r="AM78" s="495" t="s">
        <v>208</v>
      </c>
      <c r="AN78" s="495" t="s">
        <v>92</v>
      </c>
      <c r="AO78" s="498">
        <v>80</v>
      </c>
      <c r="AP78" s="504">
        <v>1</v>
      </c>
      <c r="AQ78" s="504">
        <v>1</v>
      </c>
      <c r="AR78" s="502" t="s">
        <v>209</v>
      </c>
      <c r="AS78" s="506">
        <f t="shared" si="98"/>
        <v>1</v>
      </c>
      <c r="AT78">
        <f t="shared" si="99"/>
        <v>1</v>
      </c>
      <c r="AU78" s="506">
        <f>IF(AT78=0,"",IF(AND(AT78=1,M78="F",SUMIF(C2:C177,C78,AS2:AS177)&lt;=1),SUMIF(C2:C177,C78,AS2:AS177),IF(AND(AT78=1,M78="F",SUMIF(C2:C177,C78,AS2:AS177)&gt;1),1,"")))</f>
        <v>1</v>
      </c>
      <c r="AV78" s="506" t="str">
        <f>IF(AT78=0,"",IF(AND(AT78=3,M78="F",SUMIF(C2:C177,C78,AS2:AS177)&lt;=1),SUMIF(C2:C177,C78,AS2:AS177),IF(AND(AT78=3,M78="F",SUMIF(C2:C177,C78,AS2:AS177)&gt;1),1,"")))</f>
        <v/>
      </c>
      <c r="AW78" s="506">
        <f>SUMIF(C2:C177,C78,O2:O177)</f>
        <v>1</v>
      </c>
      <c r="AX78" s="506">
        <f>IF(AND(M78="F",AS78&lt;&gt;0),SUMIF(C2:C177,C78,W2:W177),0)</f>
        <v>31304</v>
      </c>
      <c r="AY78" s="506">
        <f t="shared" si="100"/>
        <v>31304</v>
      </c>
      <c r="AZ78" s="506" t="str">
        <f t="shared" si="101"/>
        <v/>
      </c>
      <c r="BA78" s="506">
        <f t="shared" si="102"/>
        <v>0</v>
      </c>
      <c r="BB78" s="506">
        <f t="shared" si="71"/>
        <v>11650</v>
      </c>
      <c r="BC78" s="506">
        <f t="shared" si="72"/>
        <v>0</v>
      </c>
      <c r="BD78" s="506">
        <f t="shared" si="73"/>
        <v>1940.848</v>
      </c>
      <c r="BE78" s="506">
        <f t="shared" si="74"/>
        <v>453.90800000000002</v>
      </c>
      <c r="BF78" s="506">
        <f t="shared" si="75"/>
        <v>3737.6976</v>
      </c>
      <c r="BG78" s="506">
        <f t="shared" si="76"/>
        <v>225.70184</v>
      </c>
      <c r="BH78" s="506">
        <f t="shared" si="77"/>
        <v>153.3896</v>
      </c>
      <c r="BI78" s="506">
        <f t="shared" si="78"/>
        <v>173.26764</v>
      </c>
      <c r="BJ78" s="506">
        <f t="shared" si="79"/>
        <v>385.03919999999999</v>
      </c>
      <c r="BK78" s="506">
        <f t="shared" si="80"/>
        <v>0</v>
      </c>
      <c r="BL78" s="506">
        <f t="shared" si="103"/>
        <v>7069.8518800000002</v>
      </c>
      <c r="BM78" s="506">
        <f t="shared" si="104"/>
        <v>0</v>
      </c>
      <c r="BN78" s="506">
        <f t="shared" si="81"/>
        <v>11650</v>
      </c>
      <c r="BO78" s="506">
        <f t="shared" si="82"/>
        <v>0</v>
      </c>
      <c r="BP78" s="506">
        <f t="shared" si="83"/>
        <v>1940.848</v>
      </c>
      <c r="BQ78" s="506">
        <f t="shared" si="84"/>
        <v>453.90800000000002</v>
      </c>
      <c r="BR78" s="506">
        <f t="shared" si="85"/>
        <v>3737.6976</v>
      </c>
      <c r="BS78" s="506">
        <f t="shared" si="86"/>
        <v>225.70184</v>
      </c>
      <c r="BT78" s="506">
        <f t="shared" si="87"/>
        <v>0</v>
      </c>
      <c r="BU78" s="506">
        <f t="shared" si="88"/>
        <v>173.26764</v>
      </c>
      <c r="BV78" s="506">
        <f t="shared" si="89"/>
        <v>375.64800000000002</v>
      </c>
      <c r="BW78" s="506">
        <f t="shared" si="90"/>
        <v>0</v>
      </c>
      <c r="BX78" s="506">
        <f t="shared" si="105"/>
        <v>6907.0710799999997</v>
      </c>
      <c r="BY78" s="506">
        <f t="shared" si="106"/>
        <v>0</v>
      </c>
      <c r="BZ78" s="506">
        <f t="shared" si="107"/>
        <v>0</v>
      </c>
      <c r="CA78" s="506">
        <f t="shared" si="108"/>
        <v>0</v>
      </c>
      <c r="CB78" s="506">
        <f t="shared" si="109"/>
        <v>0</v>
      </c>
      <c r="CC78" s="506">
        <f t="shared" si="91"/>
        <v>0</v>
      </c>
      <c r="CD78" s="506">
        <f t="shared" si="92"/>
        <v>0</v>
      </c>
      <c r="CE78" s="506">
        <f t="shared" si="93"/>
        <v>0</v>
      </c>
      <c r="CF78" s="506">
        <f t="shared" si="94"/>
        <v>-153.3896</v>
      </c>
      <c r="CG78" s="506">
        <f t="shared" si="95"/>
        <v>0</v>
      </c>
      <c r="CH78" s="506">
        <f t="shared" si="96"/>
        <v>-9.3911999999999978</v>
      </c>
      <c r="CI78" s="506">
        <f t="shared" si="97"/>
        <v>0</v>
      </c>
      <c r="CJ78" s="506">
        <f t="shared" si="110"/>
        <v>-162.7808</v>
      </c>
      <c r="CK78" s="506" t="str">
        <f t="shared" si="111"/>
        <v/>
      </c>
      <c r="CL78" s="506" t="str">
        <f t="shared" si="112"/>
        <v/>
      </c>
      <c r="CM78" s="506" t="str">
        <f t="shared" si="113"/>
        <v/>
      </c>
      <c r="CN78" s="506" t="str">
        <f t="shared" si="114"/>
        <v>0290-00</v>
      </c>
    </row>
    <row r="79" spans="1:92" ht="15.75" thickBot="1" x14ac:dyDescent="0.3">
      <c r="A79" s="495" t="s">
        <v>187</v>
      </c>
      <c r="B79" s="495" t="s">
        <v>188</v>
      </c>
      <c r="C79" s="495" t="s">
        <v>524</v>
      </c>
      <c r="D79" s="495" t="s">
        <v>265</v>
      </c>
      <c r="E79" s="495" t="s">
        <v>191</v>
      </c>
      <c r="F79" s="496" t="s">
        <v>192</v>
      </c>
      <c r="G79" s="495" t="s">
        <v>193</v>
      </c>
      <c r="H79" s="497"/>
      <c r="I79" s="497"/>
      <c r="J79" s="495" t="s">
        <v>225</v>
      </c>
      <c r="K79" s="495" t="s">
        <v>266</v>
      </c>
      <c r="L79" s="495" t="s">
        <v>232</v>
      </c>
      <c r="M79" s="495" t="s">
        <v>213</v>
      </c>
      <c r="N79" s="495" t="s">
        <v>198</v>
      </c>
      <c r="O79" s="498">
        <v>0</v>
      </c>
      <c r="P79" s="504">
        <v>1</v>
      </c>
      <c r="Q79" s="504">
        <v>1</v>
      </c>
      <c r="R79" s="499">
        <v>80</v>
      </c>
      <c r="S79" s="504">
        <v>1</v>
      </c>
      <c r="T79" s="499">
        <v>35611.57</v>
      </c>
      <c r="U79" s="499">
        <v>0</v>
      </c>
      <c r="V79" s="499">
        <v>16585.5</v>
      </c>
      <c r="W79" s="499">
        <v>47403.199999999997</v>
      </c>
      <c r="X79" s="499">
        <v>20762.599999999999</v>
      </c>
      <c r="Y79" s="499">
        <v>47403.199999999997</v>
      </c>
      <c r="Z79" s="499">
        <v>20525.580000000002</v>
      </c>
      <c r="AA79" s="497"/>
      <c r="AB79" s="495" t="s">
        <v>23</v>
      </c>
      <c r="AC79" s="495" t="s">
        <v>23</v>
      </c>
      <c r="AD79" s="497"/>
      <c r="AE79" s="497"/>
      <c r="AF79" s="497"/>
      <c r="AG79" s="497"/>
      <c r="AH79" s="498">
        <v>0</v>
      </c>
      <c r="AI79" s="498">
        <v>0</v>
      </c>
      <c r="AJ79" s="497"/>
      <c r="AK79" s="497"/>
      <c r="AL79" s="495" t="s">
        <v>207</v>
      </c>
      <c r="AM79" s="497"/>
      <c r="AN79" s="497"/>
      <c r="AO79" s="498">
        <v>0</v>
      </c>
      <c r="AP79" s="504">
        <v>0</v>
      </c>
      <c r="AQ79" s="504">
        <v>0</v>
      </c>
      <c r="AR79" s="503"/>
      <c r="AS79" s="506">
        <f t="shared" si="98"/>
        <v>0</v>
      </c>
      <c r="AT79">
        <f t="shared" si="99"/>
        <v>0</v>
      </c>
      <c r="AU79" s="506" t="str">
        <f>IF(AT79=0,"",IF(AND(AT79=1,M79="F",SUMIF(C2:C177,C79,AS2:AS177)&lt;=1),SUMIF(C2:C177,C79,AS2:AS177),IF(AND(AT79=1,M79="F",SUMIF(C2:C177,C79,AS2:AS177)&gt;1),1,"")))</f>
        <v/>
      </c>
      <c r="AV79" s="506" t="str">
        <f>IF(AT79=0,"",IF(AND(AT79=3,M79="F",SUMIF(C2:C177,C79,AS2:AS177)&lt;=1),SUMIF(C2:C177,C79,AS2:AS177),IF(AND(AT79=3,M79="F",SUMIF(C2:C177,C79,AS2:AS177)&gt;1),1,"")))</f>
        <v/>
      </c>
      <c r="AW79" s="506">
        <f>SUMIF(C2:C177,C79,O2:O177)</f>
        <v>0</v>
      </c>
      <c r="AX79" s="506">
        <f>IF(AND(M79="F",AS79&lt;&gt;0),SUMIF(C2:C177,C79,W2:W177),0)</f>
        <v>0</v>
      </c>
      <c r="AY79" s="506" t="str">
        <f t="shared" si="100"/>
        <v/>
      </c>
      <c r="AZ79" s="506" t="str">
        <f t="shared" si="101"/>
        <v/>
      </c>
      <c r="BA79" s="506">
        <f t="shared" si="102"/>
        <v>0</v>
      </c>
      <c r="BB79" s="506">
        <f t="shared" si="71"/>
        <v>0</v>
      </c>
      <c r="BC79" s="506">
        <f t="shared" si="72"/>
        <v>0</v>
      </c>
      <c r="BD79" s="506">
        <f t="shared" si="73"/>
        <v>0</v>
      </c>
      <c r="BE79" s="506">
        <f t="shared" si="74"/>
        <v>0</v>
      </c>
      <c r="BF79" s="506">
        <f t="shared" si="75"/>
        <v>0</v>
      </c>
      <c r="BG79" s="506">
        <f t="shared" si="76"/>
        <v>0</v>
      </c>
      <c r="BH79" s="506">
        <f t="shared" si="77"/>
        <v>0</v>
      </c>
      <c r="BI79" s="506">
        <f t="shared" si="78"/>
        <v>0</v>
      </c>
      <c r="BJ79" s="506">
        <f t="shared" si="79"/>
        <v>0</v>
      </c>
      <c r="BK79" s="506">
        <f t="shared" si="80"/>
        <v>0</v>
      </c>
      <c r="BL79" s="506">
        <f t="shared" si="103"/>
        <v>0</v>
      </c>
      <c r="BM79" s="506">
        <f t="shared" si="104"/>
        <v>0</v>
      </c>
      <c r="BN79" s="506">
        <f t="shared" si="81"/>
        <v>0</v>
      </c>
      <c r="BO79" s="506">
        <f t="shared" si="82"/>
        <v>0</v>
      </c>
      <c r="BP79" s="506">
        <f t="shared" si="83"/>
        <v>0</v>
      </c>
      <c r="BQ79" s="506">
        <f t="shared" si="84"/>
        <v>0</v>
      </c>
      <c r="BR79" s="506">
        <f t="shared" si="85"/>
        <v>0</v>
      </c>
      <c r="BS79" s="506">
        <f t="shared" si="86"/>
        <v>0</v>
      </c>
      <c r="BT79" s="506">
        <f t="shared" si="87"/>
        <v>0</v>
      </c>
      <c r="BU79" s="506">
        <f t="shared" si="88"/>
        <v>0</v>
      </c>
      <c r="BV79" s="506">
        <f t="shared" si="89"/>
        <v>0</v>
      </c>
      <c r="BW79" s="506">
        <f t="shared" si="90"/>
        <v>0</v>
      </c>
      <c r="BX79" s="506">
        <f t="shared" si="105"/>
        <v>0</v>
      </c>
      <c r="BY79" s="506">
        <f t="shared" si="106"/>
        <v>0</v>
      </c>
      <c r="BZ79" s="506">
        <f t="shared" si="107"/>
        <v>0</v>
      </c>
      <c r="CA79" s="506">
        <f t="shared" si="108"/>
        <v>0</v>
      </c>
      <c r="CB79" s="506">
        <f t="shared" si="109"/>
        <v>0</v>
      </c>
      <c r="CC79" s="506">
        <f t="shared" si="91"/>
        <v>0</v>
      </c>
      <c r="CD79" s="506">
        <f t="shared" si="92"/>
        <v>0</v>
      </c>
      <c r="CE79" s="506">
        <f t="shared" si="93"/>
        <v>0</v>
      </c>
      <c r="CF79" s="506">
        <f t="shared" si="94"/>
        <v>0</v>
      </c>
      <c r="CG79" s="506">
        <f t="shared" si="95"/>
        <v>0</v>
      </c>
      <c r="CH79" s="506">
        <f t="shared" si="96"/>
        <v>0</v>
      </c>
      <c r="CI79" s="506">
        <f t="shared" si="97"/>
        <v>0</v>
      </c>
      <c r="CJ79" s="506">
        <f t="shared" si="110"/>
        <v>0</v>
      </c>
      <c r="CK79" s="506" t="str">
        <f t="shared" si="111"/>
        <v/>
      </c>
      <c r="CL79" s="506" t="str">
        <f t="shared" si="112"/>
        <v/>
      </c>
      <c r="CM79" s="506" t="str">
        <f t="shared" si="113"/>
        <v/>
      </c>
      <c r="CN79" s="506" t="str">
        <f t="shared" si="114"/>
        <v>0290-00</v>
      </c>
    </row>
    <row r="80" spans="1:92" ht="15.75" thickBot="1" x14ac:dyDescent="0.3">
      <c r="A80" s="495" t="s">
        <v>187</v>
      </c>
      <c r="B80" s="495" t="s">
        <v>188</v>
      </c>
      <c r="C80" s="495" t="s">
        <v>525</v>
      </c>
      <c r="D80" s="495" t="s">
        <v>326</v>
      </c>
      <c r="E80" s="495" t="s">
        <v>191</v>
      </c>
      <c r="F80" s="496" t="s">
        <v>192</v>
      </c>
      <c r="G80" s="495" t="s">
        <v>193</v>
      </c>
      <c r="H80" s="497"/>
      <c r="I80" s="497"/>
      <c r="J80" s="495" t="s">
        <v>248</v>
      </c>
      <c r="K80" s="495" t="s">
        <v>327</v>
      </c>
      <c r="L80" s="495" t="s">
        <v>218</v>
      </c>
      <c r="M80" s="495" t="s">
        <v>197</v>
      </c>
      <c r="N80" s="495" t="s">
        <v>198</v>
      </c>
      <c r="O80" s="498">
        <v>1</v>
      </c>
      <c r="P80" s="504">
        <v>1</v>
      </c>
      <c r="Q80" s="504">
        <v>1</v>
      </c>
      <c r="R80" s="499">
        <v>80</v>
      </c>
      <c r="S80" s="504">
        <v>1</v>
      </c>
      <c r="T80" s="499">
        <v>25205.38</v>
      </c>
      <c r="U80" s="499">
        <v>0</v>
      </c>
      <c r="V80" s="499">
        <v>16590.21</v>
      </c>
      <c r="W80" s="499">
        <v>29057.59</v>
      </c>
      <c r="X80" s="499">
        <v>18212.599999999999</v>
      </c>
      <c r="Y80" s="499">
        <v>29057.59</v>
      </c>
      <c r="Z80" s="499">
        <v>18061.52</v>
      </c>
      <c r="AA80" s="495" t="s">
        <v>526</v>
      </c>
      <c r="AB80" s="495" t="s">
        <v>527</v>
      </c>
      <c r="AC80" s="495" t="s">
        <v>528</v>
      </c>
      <c r="AD80" s="495" t="s">
        <v>202</v>
      </c>
      <c r="AE80" s="495" t="s">
        <v>327</v>
      </c>
      <c r="AF80" s="495" t="s">
        <v>222</v>
      </c>
      <c r="AG80" s="495" t="s">
        <v>204</v>
      </c>
      <c r="AH80" s="500">
        <v>13.97</v>
      </c>
      <c r="AI80" s="500">
        <v>11687.7</v>
      </c>
      <c r="AJ80" s="495" t="s">
        <v>205</v>
      </c>
      <c r="AK80" s="495" t="s">
        <v>206</v>
      </c>
      <c r="AL80" s="495" t="s">
        <v>207</v>
      </c>
      <c r="AM80" s="495" t="s">
        <v>208</v>
      </c>
      <c r="AN80" s="495" t="s">
        <v>92</v>
      </c>
      <c r="AO80" s="498">
        <v>80</v>
      </c>
      <c r="AP80" s="504">
        <v>1</v>
      </c>
      <c r="AQ80" s="504">
        <v>1</v>
      </c>
      <c r="AR80" s="502" t="s">
        <v>209</v>
      </c>
      <c r="AS80" s="506">
        <f t="shared" si="98"/>
        <v>1</v>
      </c>
      <c r="AT80">
        <f t="shared" si="99"/>
        <v>1</v>
      </c>
      <c r="AU80" s="506">
        <f>IF(AT80=0,"",IF(AND(AT80=1,M80="F",SUMIF(C2:C177,C80,AS2:AS177)&lt;=1),SUMIF(C2:C177,C80,AS2:AS177),IF(AND(AT80=1,M80="F",SUMIF(C2:C177,C80,AS2:AS177)&gt;1),1,"")))</f>
        <v>1</v>
      </c>
      <c r="AV80" s="506" t="str">
        <f>IF(AT80=0,"",IF(AND(AT80=3,M80="F",SUMIF(C2:C177,C80,AS2:AS177)&lt;=1),SUMIF(C2:C177,C80,AS2:AS177),IF(AND(AT80=3,M80="F",SUMIF(C2:C177,C80,AS2:AS177)&gt;1),1,"")))</f>
        <v/>
      </c>
      <c r="AW80" s="506">
        <f>SUMIF(C2:C177,C80,O2:O177)</f>
        <v>1</v>
      </c>
      <c r="AX80" s="506">
        <f>IF(AND(M80="F",AS80&lt;&gt;0),SUMIF(C2:C177,C80,W2:W177),0)</f>
        <v>29057.59</v>
      </c>
      <c r="AY80" s="506">
        <f t="shared" si="100"/>
        <v>29057.59</v>
      </c>
      <c r="AZ80" s="506" t="str">
        <f t="shared" si="101"/>
        <v/>
      </c>
      <c r="BA80" s="506">
        <f t="shared" si="102"/>
        <v>0</v>
      </c>
      <c r="BB80" s="506">
        <f t="shared" si="71"/>
        <v>11650</v>
      </c>
      <c r="BC80" s="506">
        <f t="shared" si="72"/>
        <v>0</v>
      </c>
      <c r="BD80" s="506">
        <f t="shared" si="73"/>
        <v>1801.5705800000001</v>
      </c>
      <c r="BE80" s="506">
        <f t="shared" si="74"/>
        <v>421.33505500000001</v>
      </c>
      <c r="BF80" s="506">
        <f t="shared" si="75"/>
        <v>3469.4762460000002</v>
      </c>
      <c r="BG80" s="506">
        <f t="shared" si="76"/>
        <v>209.5052239</v>
      </c>
      <c r="BH80" s="506">
        <f t="shared" si="77"/>
        <v>142.38219100000001</v>
      </c>
      <c r="BI80" s="506">
        <f t="shared" si="78"/>
        <v>160.83376064999999</v>
      </c>
      <c r="BJ80" s="506">
        <f t="shared" si="79"/>
        <v>357.40835700000002</v>
      </c>
      <c r="BK80" s="506">
        <f t="shared" si="80"/>
        <v>0</v>
      </c>
      <c r="BL80" s="506">
        <f t="shared" si="103"/>
        <v>6562.5114135499998</v>
      </c>
      <c r="BM80" s="506">
        <f t="shared" si="104"/>
        <v>0</v>
      </c>
      <c r="BN80" s="506">
        <f t="shared" si="81"/>
        <v>11650</v>
      </c>
      <c r="BO80" s="506">
        <f t="shared" si="82"/>
        <v>0</v>
      </c>
      <c r="BP80" s="506">
        <f t="shared" si="83"/>
        <v>1801.5705800000001</v>
      </c>
      <c r="BQ80" s="506">
        <f t="shared" si="84"/>
        <v>421.33505500000001</v>
      </c>
      <c r="BR80" s="506">
        <f t="shared" si="85"/>
        <v>3469.4762460000002</v>
      </c>
      <c r="BS80" s="506">
        <f t="shared" si="86"/>
        <v>209.5052239</v>
      </c>
      <c r="BT80" s="506">
        <f t="shared" si="87"/>
        <v>0</v>
      </c>
      <c r="BU80" s="506">
        <f t="shared" si="88"/>
        <v>160.83376064999999</v>
      </c>
      <c r="BV80" s="506">
        <f t="shared" si="89"/>
        <v>348.69108</v>
      </c>
      <c r="BW80" s="506">
        <f t="shared" si="90"/>
        <v>0</v>
      </c>
      <c r="BX80" s="506">
        <f t="shared" si="105"/>
        <v>6411.4119455499995</v>
      </c>
      <c r="BY80" s="506">
        <f t="shared" si="106"/>
        <v>0</v>
      </c>
      <c r="BZ80" s="506">
        <f t="shared" si="107"/>
        <v>0</v>
      </c>
      <c r="CA80" s="506">
        <f t="shared" si="108"/>
        <v>0</v>
      </c>
      <c r="CB80" s="506">
        <f t="shared" si="109"/>
        <v>0</v>
      </c>
      <c r="CC80" s="506">
        <f t="shared" si="91"/>
        <v>0</v>
      </c>
      <c r="CD80" s="506">
        <f t="shared" si="92"/>
        <v>0</v>
      </c>
      <c r="CE80" s="506">
        <f t="shared" si="93"/>
        <v>0</v>
      </c>
      <c r="CF80" s="506">
        <f t="shared" si="94"/>
        <v>-142.38219100000001</v>
      </c>
      <c r="CG80" s="506">
        <f t="shared" si="95"/>
        <v>0</v>
      </c>
      <c r="CH80" s="506">
        <f t="shared" si="96"/>
        <v>-8.7172769999999975</v>
      </c>
      <c r="CI80" s="506">
        <f t="shared" si="97"/>
        <v>0</v>
      </c>
      <c r="CJ80" s="506">
        <f t="shared" si="110"/>
        <v>-151.099468</v>
      </c>
      <c r="CK80" s="506" t="str">
        <f t="shared" si="111"/>
        <v/>
      </c>
      <c r="CL80" s="506" t="str">
        <f t="shared" si="112"/>
        <v/>
      </c>
      <c r="CM80" s="506" t="str">
        <f t="shared" si="113"/>
        <v/>
      </c>
      <c r="CN80" s="506" t="str">
        <f t="shared" si="114"/>
        <v>0290-00</v>
      </c>
    </row>
    <row r="81" spans="1:92" ht="15.75" thickBot="1" x14ac:dyDescent="0.3">
      <c r="A81" s="495" t="s">
        <v>187</v>
      </c>
      <c r="B81" s="495" t="s">
        <v>188</v>
      </c>
      <c r="C81" s="495" t="s">
        <v>529</v>
      </c>
      <c r="D81" s="495" t="s">
        <v>530</v>
      </c>
      <c r="E81" s="495" t="s">
        <v>191</v>
      </c>
      <c r="F81" s="496" t="s">
        <v>192</v>
      </c>
      <c r="G81" s="495" t="s">
        <v>193</v>
      </c>
      <c r="H81" s="497"/>
      <c r="I81" s="497"/>
      <c r="J81" s="495" t="s">
        <v>194</v>
      </c>
      <c r="K81" s="495" t="s">
        <v>531</v>
      </c>
      <c r="L81" s="495" t="s">
        <v>301</v>
      </c>
      <c r="M81" s="495" t="s">
        <v>197</v>
      </c>
      <c r="N81" s="495" t="s">
        <v>198</v>
      </c>
      <c r="O81" s="498">
        <v>1</v>
      </c>
      <c r="P81" s="504">
        <v>1</v>
      </c>
      <c r="Q81" s="504">
        <v>1</v>
      </c>
      <c r="R81" s="499">
        <v>80</v>
      </c>
      <c r="S81" s="504">
        <v>1</v>
      </c>
      <c r="T81" s="499">
        <v>51471.91</v>
      </c>
      <c r="U81" s="499">
        <v>48.1</v>
      </c>
      <c r="V81" s="499">
        <v>22179.59</v>
      </c>
      <c r="W81" s="499">
        <v>53060.800000000003</v>
      </c>
      <c r="X81" s="499">
        <v>23633.72</v>
      </c>
      <c r="Y81" s="499">
        <v>53060.800000000003</v>
      </c>
      <c r="Z81" s="499">
        <v>23357.81</v>
      </c>
      <c r="AA81" s="495" t="s">
        <v>532</v>
      </c>
      <c r="AB81" s="495" t="s">
        <v>533</v>
      </c>
      <c r="AC81" s="495" t="s">
        <v>534</v>
      </c>
      <c r="AD81" s="495" t="s">
        <v>535</v>
      </c>
      <c r="AE81" s="495" t="s">
        <v>531</v>
      </c>
      <c r="AF81" s="495" t="s">
        <v>259</v>
      </c>
      <c r="AG81" s="495" t="s">
        <v>204</v>
      </c>
      <c r="AH81" s="500">
        <v>25.51</v>
      </c>
      <c r="AI81" s="500">
        <v>9655.7999999999993</v>
      </c>
      <c r="AJ81" s="495" t="s">
        <v>205</v>
      </c>
      <c r="AK81" s="495" t="s">
        <v>206</v>
      </c>
      <c r="AL81" s="495" t="s">
        <v>207</v>
      </c>
      <c r="AM81" s="495" t="s">
        <v>208</v>
      </c>
      <c r="AN81" s="495" t="s">
        <v>92</v>
      </c>
      <c r="AO81" s="498">
        <v>80</v>
      </c>
      <c r="AP81" s="504">
        <v>1</v>
      </c>
      <c r="AQ81" s="504">
        <v>1</v>
      </c>
      <c r="AR81" s="502" t="s">
        <v>209</v>
      </c>
      <c r="AS81" s="506">
        <f t="shared" si="98"/>
        <v>1</v>
      </c>
      <c r="AT81">
        <f t="shared" si="99"/>
        <v>1</v>
      </c>
      <c r="AU81" s="506">
        <f>IF(AT81=0,"",IF(AND(AT81=1,M81="F",SUMIF(C2:C177,C81,AS2:AS177)&lt;=1),SUMIF(C2:C177,C81,AS2:AS177),IF(AND(AT81=1,M81="F",SUMIF(C2:C177,C81,AS2:AS177)&gt;1),1,"")))</f>
        <v>1</v>
      </c>
      <c r="AV81" s="506" t="str">
        <f>IF(AT81=0,"",IF(AND(AT81=3,M81="F",SUMIF(C2:C177,C81,AS2:AS177)&lt;=1),SUMIF(C2:C177,C81,AS2:AS177),IF(AND(AT81=3,M81="F",SUMIF(C2:C177,C81,AS2:AS177)&gt;1),1,"")))</f>
        <v/>
      </c>
      <c r="AW81" s="506">
        <f>SUMIF(C2:C177,C81,O2:O177)</f>
        <v>1</v>
      </c>
      <c r="AX81" s="506">
        <f>IF(AND(M81="F",AS81&lt;&gt;0),SUMIF(C2:C177,C81,W2:W177),0)</f>
        <v>53060.800000000003</v>
      </c>
      <c r="AY81" s="506">
        <f t="shared" si="100"/>
        <v>53060.800000000003</v>
      </c>
      <c r="AZ81" s="506" t="str">
        <f t="shared" si="101"/>
        <v/>
      </c>
      <c r="BA81" s="506">
        <f t="shared" si="102"/>
        <v>0</v>
      </c>
      <c r="BB81" s="506">
        <f t="shared" si="71"/>
        <v>11650</v>
      </c>
      <c r="BC81" s="506">
        <f t="shared" si="72"/>
        <v>0</v>
      </c>
      <c r="BD81" s="506">
        <f t="shared" si="73"/>
        <v>3289.7696000000001</v>
      </c>
      <c r="BE81" s="506">
        <f t="shared" si="74"/>
        <v>769.38160000000005</v>
      </c>
      <c r="BF81" s="506">
        <f t="shared" si="75"/>
        <v>6335.4595200000003</v>
      </c>
      <c r="BG81" s="506">
        <f t="shared" si="76"/>
        <v>382.56836800000002</v>
      </c>
      <c r="BH81" s="506">
        <f t="shared" si="77"/>
        <v>259.99792000000002</v>
      </c>
      <c r="BI81" s="506">
        <f t="shared" si="78"/>
        <v>293.69152800000001</v>
      </c>
      <c r="BJ81" s="506">
        <f t="shared" si="79"/>
        <v>652.64784000000009</v>
      </c>
      <c r="BK81" s="506">
        <f t="shared" si="80"/>
        <v>0</v>
      </c>
      <c r="BL81" s="506">
        <f t="shared" si="103"/>
        <v>11983.516376</v>
      </c>
      <c r="BM81" s="506">
        <f t="shared" si="104"/>
        <v>0</v>
      </c>
      <c r="BN81" s="506">
        <f t="shared" si="81"/>
        <v>11650</v>
      </c>
      <c r="BO81" s="506">
        <f t="shared" si="82"/>
        <v>0</v>
      </c>
      <c r="BP81" s="506">
        <f t="shared" si="83"/>
        <v>3289.7696000000001</v>
      </c>
      <c r="BQ81" s="506">
        <f t="shared" si="84"/>
        <v>769.38160000000005</v>
      </c>
      <c r="BR81" s="506">
        <f t="shared" si="85"/>
        <v>6335.4595200000003</v>
      </c>
      <c r="BS81" s="506">
        <f t="shared" si="86"/>
        <v>382.56836800000002</v>
      </c>
      <c r="BT81" s="506">
        <f t="shared" si="87"/>
        <v>0</v>
      </c>
      <c r="BU81" s="506">
        <f t="shared" si="88"/>
        <v>293.69152800000001</v>
      </c>
      <c r="BV81" s="506">
        <f t="shared" si="89"/>
        <v>636.7296</v>
      </c>
      <c r="BW81" s="506">
        <f t="shared" si="90"/>
        <v>0</v>
      </c>
      <c r="BX81" s="506">
        <f t="shared" si="105"/>
        <v>11707.600216000001</v>
      </c>
      <c r="BY81" s="506">
        <f t="shared" si="106"/>
        <v>0</v>
      </c>
      <c r="BZ81" s="506">
        <f t="shared" si="107"/>
        <v>0</v>
      </c>
      <c r="CA81" s="506">
        <f t="shared" si="108"/>
        <v>0</v>
      </c>
      <c r="CB81" s="506">
        <f t="shared" si="109"/>
        <v>0</v>
      </c>
      <c r="CC81" s="506">
        <f t="shared" si="91"/>
        <v>0</v>
      </c>
      <c r="CD81" s="506">
        <f t="shared" si="92"/>
        <v>0</v>
      </c>
      <c r="CE81" s="506">
        <f t="shared" si="93"/>
        <v>0</v>
      </c>
      <c r="CF81" s="506">
        <f t="shared" si="94"/>
        <v>-259.99792000000002</v>
      </c>
      <c r="CG81" s="506">
        <f t="shared" si="95"/>
        <v>0</v>
      </c>
      <c r="CH81" s="506">
        <f t="shared" si="96"/>
        <v>-15.918239999999997</v>
      </c>
      <c r="CI81" s="506">
        <f t="shared" si="97"/>
        <v>0</v>
      </c>
      <c r="CJ81" s="506">
        <f t="shared" si="110"/>
        <v>-275.91615999999999</v>
      </c>
      <c r="CK81" s="506" t="str">
        <f t="shared" si="111"/>
        <v/>
      </c>
      <c r="CL81" s="506" t="str">
        <f t="shared" si="112"/>
        <v/>
      </c>
      <c r="CM81" s="506" t="str">
        <f t="shared" si="113"/>
        <v/>
      </c>
      <c r="CN81" s="506" t="str">
        <f t="shared" si="114"/>
        <v>0290-00</v>
      </c>
    </row>
    <row r="82" spans="1:92" ht="15.75" thickBot="1" x14ac:dyDescent="0.3">
      <c r="A82" s="495" t="s">
        <v>187</v>
      </c>
      <c r="B82" s="495" t="s">
        <v>188</v>
      </c>
      <c r="C82" s="495" t="s">
        <v>536</v>
      </c>
      <c r="D82" s="495" t="s">
        <v>373</v>
      </c>
      <c r="E82" s="495" t="s">
        <v>191</v>
      </c>
      <c r="F82" s="496" t="s">
        <v>192</v>
      </c>
      <c r="G82" s="495" t="s">
        <v>193</v>
      </c>
      <c r="H82" s="497"/>
      <c r="I82" s="497"/>
      <c r="J82" s="495" t="s">
        <v>254</v>
      </c>
      <c r="K82" s="495" t="s">
        <v>374</v>
      </c>
      <c r="L82" s="495" t="s">
        <v>207</v>
      </c>
      <c r="M82" s="495" t="s">
        <v>197</v>
      </c>
      <c r="N82" s="495" t="s">
        <v>198</v>
      </c>
      <c r="O82" s="498">
        <v>1</v>
      </c>
      <c r="P82" s="504">
        <v>1</v>
      </c>
      <c r="Q82" s="504">
        <v>0.91</v>
      </c>
      <c r="R82" s="499">
        <v>72</v>
      </c>
      <c r="S82" s="504">
        <v>0.81</v>
      </c>
      <c r="T82" s="499">
        <v>66945.73</v>
      </c>
      <c r="U82" s="499">
        <v>0</v>
      </c>
      <c r="V82" s="499">
        <v>25336.97</v>
      </c>
      <c r="W82" s="499">
        <v>91228.800000000003</v>
      </c>
      <c r="X82" s="499">
        <v>32253.96</v>
      </c>
      <c r="Y82" s="499">
        <v>91228.800000000003</v>
      </c>
      <c r="Z82" s="499">
        <v>31779.56</v>
      </c>
      <c r="AA82" s="495" t="s">
        <v>537</v>
      </c>
      <c r="AB82" s="495" t="s">
        <v>538</v>
      </c>
      <c r="AC82" s="495" t="s">
        <v>539</v>
      </c>
      <c r="AD82" s="495" t="s">
        <v>242</v>
      </c>
      <c r="AE82" s="495" t="s">
        <v>374</v>
      </c>
      <c r="AF82" s="495" t="s">
        <v>282</v>
      </c>
      <c r="AG82" s="495" t="s">
        <v>204</v>
      </c>
      <c r="AH82" s="500">
        <v>43.86</v>
      </c>
      <c r="AI82" s="498">
        <v>1000</v>
      </c>
      <c r="AJ82" s="495" t="s">
        <v>205</v>
      </c>
      <c r="AK82" s="495" t="s">
        <v>206</v>
      </c>
      <c r="AL82" s="495" t="s">
        <v>207</v>
      </c>
      <c r="AM82" s="495" t="s">
        <v>208</v>
      </c>
      <c r="AN82" s="495" t="s">
        <v>92</v>
      </c>
      <c r="AO82" s="498">
        <v>80</v>
      </c>
      <c r="AP82" s="504">
        <v>1</v>
      </c>
      <c r="AQ82" s="504">
        <v>1</v>
      </c>
      <c r="AR82" s="502" t="s">
        <v>209</v>
      </c>
      <c r="AS82" s="506">
        <f t="shared" si="98"/>
        <v>1</v>
      </c>
      <c r="AT82">
        <f t="shared" si="99"/>
        <v>1</v>
      </c>
      <c r="AU82" s="506">
        <f>IF(AT82=0,"",IF(AND(AT82=1,M82="F",SUMIF(C2:C177,C82,AS2:AS177)&lt;=1),SUMIF(C2:C177,C82,AS2:AS177),IF(AND(AT82=1,M82="F",SUMIF(C2:C177,C82,AS2:AS177)&gt;1),1,"")))</f>
        <v>1</v>
      </c>
      <c r="AV82" s="506" t="str">
        <f>IF(AT82=0,"",IF(AND(AT82=3,M82="F",SUMIF(C2:C177,C82,AS2:AS177)&lt;=1),SUMIF(C2:C177,C82,AS2:AS177),IF(AND(AT82=3,M82="F",SUMIF(C2:C177,C82,AS2:AS177)&gt;1),1,"")))</f>
        <v/>
      </c>
      <c r="AW82" s="506">
        <f>SUMIF(C2:C177,C82,O2:O177)</f>
        <v>1</v>
      </c>
      <c r="AX82" s="506">
        <f>IF(AND(M82="F",AS82&lt;&gt;0),SUMIF(C2:C177,C82,W2:W177),0)</f>
        <v>91228.800000000003</v>
      </c>
      <c r="AY82" s="506">
        <f t="shared" si="100"/>
        <v>91228.800000000003</v>
      </c>
      <c r="AZ82" s="506" t="str">
        <f t="shared" si="101"/>
        <v/>
      </c>
      <c r="BA82" s="506">
        <f t="shared" si="102"/>
        <v>0</v>
      </c>
      <c r="BB82" s="506">
        <f t="shared" si="71"/>
        <v>11650</v>
      </c>
      <c r="BC82" s="506">
        <f t="shared" si="72"/>
        <v>0</v>
      </c>
      <c r="BD82" s="506">
        <f t="shared" si="73"/>
        <v>5656.1855999999998</v>
      </c>
      <c r="BE82" s="506">
        <f t="shared" si="74"/>
        <v>1322.8176000000001</v>
      </c>
      <c r="BF82" s="506">
        <f t="shared" si="75"/>
        <v>10892.718720000001</v>
      </c>
      <c r="BG82" s="506">
        <f t="shared" si="76"/>
        <v>657.75964800000008</v>
      </c>
      <c r="BH82" s="506">
        <f t="shared" si="77"/>
        <v>447.02112</v>
      </c>
      <c r="BI82" s="506">
        <f t="shared" si="78"/>
        <v>504.95140800000001</v>
      </c>
      <c r="BJ82" s="506">
        <f t="shared" si="79"/>
        <v>1122.1142400000001</v>
      </c>
      <c r="BK82" s="506">
        <f t="shared" si="80"/>
        <v>0</v>
      </c>
      <c r="BL82" s="506">
        <f t="shared" si="103"/>
        <v>20603.568336</v>
      </c>
      <c r="BM82" s="506">
        <f t="shared" si="104"/>
        <v>0</v>
      </c>
      <c r="BN82" s="506">
        <f t="shared" si="81"/>
        <v>11650</v>
      </c>
      <c r="BO82" s="506">
        <f t="shared" si="82"/>
        <v>0</v>
      </c>
      <c r="BP82" s="506">
        <f t="shared" si="83"/>
        <v>5656.1855999999998</v>
      </c>
      <c r="BQ82" s="506">
        <f t="shared" si="84"/>
        <v>1322.8176000000001</v>
      </c>
      <c r="BR82" s="506">
        <f t="shared" si="85"/>
        <v>10892.718720000001</v>
      </c>
      <c r="BS82" s="506">
        <f t="shared" si="86"/>
        <v>657.75964800000008</v>
      </c>
      <c r="BT82" s="506">
        <f t="shared" si="87"/>
        <v>0</v>
      </c>
      <c r="BU82" s="506">
        <f t="shared" si="88"/>
        <v>504.95140800000001</v>
      </c>
      <c r="BV82" s="506">
        <f t="shared" si="89"/>
        <v>1094.7456</v>
      </c>
      <c r="BW82" s="506">
        <f t="shared" si="90"/>
        <v>0</v>
      </c>
      <c r="BX82" s="506">
        <f t="shared" si="105"/>
        <v>20129.178575999998</v>
      </c>
      <c r="BY82" s="506">
        <f t="shared" si="106"/>
        <v>0</v>
      </c>
      <c r="BZ82" s="506">
        <f t="shared" si="107"/>
        <v>0</v>
      </c>
      <c r="CA82" s="506">
        <f t="shared" si="108"/>
        <v>0</v>
      </c>
      <c r="CB82" s="506">
        <f t="shared" si="109"/>
        <v>0</v>
      </c>
      <c r="CC82" s="506">
        <f t="shared" si="91"/>
        <v>0</v>
      </c>
      <c r="CD82" s="506">
        <f t="shared" si="92"/>
        <v>0</v>
      </c>
      <c r="CE82" s="506">
        <f t="shared" si="93"/>
        <v>0</v>
      </c>
      <c r="CF82" s="506">
        <f t="shared" si="94"/>
        <v>-447.02112</v>
      </c>
      <c r="CG82" s="506">
        <f t="shared" si="95"/>
        <v>0</v>
      </c>
      <c r="CH82" s="506">
        <f t="shared" si="96"/>
        <v>-27.368639999999992</v>
      </c>
      <c r="CI82" s="506">
        <f t="shared" si="97"/>
        <v>0</v>
      </c>
      <c r="CJ82" s="506">
        <f t="shared" si="110"/>
        <v>-474.38975999999997</v>
      </c>
      <c r="CK82" s="506" t="str">
        <f t="shared" si="111"/>
        <v/>
      </c>
      <c r="CL82" s="506" t="str">
        <f t="shared" si="112"/>
        <v/>
      </c>
      <c r="CM82" s="506" t="str">
        <f t="shared" si="113"/>
        <v/>
      </c>
      <c r="CN82" s="506" t="str">
        <f t="shared" si="114"/>
        <v>0290-00</v>
      </c>
    </row>
    <row r="83" spans="1:92" ht="15.75" thickBot="1" x14ac:dyDescent="0.3">
      <c r="A83" s="495" t="s">
        <v>187</v>
      </c>
      <c r="B83" s="495" t="s">
        <v>188</v>
      </c>
      <c r="C83" s="495" t="s">
        <v>540</v>
      </c>
      <c r="D83" s="495" t="s">
        <v>541</v>
      </c>
      <c r="E83" s="495" t="s">
        <v>191</v>
      </c>
      <c r="F83" s="496" t="s">
        <v>192</v>
      </c>
      <c r="G83" s="495" t="s">
        <v>193</v>
      </c>
      <c r="H83" s="497"/>
      <c r="I83" s="497"/>
      <c r="J83" s="495" t="s">
        <v>254</v>
      </c>
      <c r="K83" s="495" t="s">
        <v>542</v>
      </c>
      <c r="L83" s="495" t="s">
        <v>286</v>
      </c>
      <c r="M83" s="495" t="s">
        <v>197</v>
      </c>
      <c r="N83" s="495" t="s">
        <v>198</v>
      </c>
      <c r="O83" s="498">
        <v>1</v>
      </c>
      <c r="P83" s="504">
        <v>1</v>
      </c>
      <c r="Q83" s="504">
        <v>1</v>
      </c>
      <c r="R83" s="499">
        <v>80</v>
      </c>
      <c r="S83" s="504">
        <v>1</v>
      </c>
      <c r="T83" s="499">
        <v>38528.86</v>
      </c>
      <c r="U83" s="499">
        <v>0</v>
      </c>
      <c r="V83" s="499">
        <v>19410.95</v>
      </c>
      <c r="W83" s="499">
        <v>40372.78</v>
      </c>
      <c r="X83" s="499">
        <v>20768.14</v>
      </c>
      <c r="Y83" s="499">
        <v>40372.78</v>
      </c>
      <c r="Z83" s="499">
        <v>20558.22</v>
      </c>
      <c r="AA83" s="495" t="s">
        <v>543</v>
      </c>
      <c r="AB83" s="495" t="s">
        <v>544</v>
      </c>
      <c r="AC83" s="495" t="s">
        <v>545</v>
      </c>
      <c r="AD83" s="495" t="s">
        <v>305</v>
      </c>
      <c r="AE83" s="495" t="s">
        <v>542</v>
      </c>
      <c r="AF83" s="495" t="s">
        <v>290</v>
      </c>
      <c r="AG83" s="495" t="s">
        <v>204</v>
      </c>
      <c r="AH83" s="500">
        <v>19.41</v>
      </c>
      <c r="AI83" s="500">
        <v>31781.599999999999</v>
      </c>
      <c r="AJ83" s="495" t="s">
        <v>205</v>
      </c>
      <c r="AK83" s="495" t="s">
        <v>206</v>
      </c>
      <c r="AL83" s="495" t="s">
        <v>207</v>
      </c>
      <c r="AM83" s="495" t="s">
        <v>208</v>
      </c>
      <c r="AN83" s="495" t="s">
        <v>92</v>
      </c>
      <c r="AO83" s="498">
        <v>80</v>
      </c>
      <c r="AP83" s="504">
        <v>1</v>
      </c>
      <c r="AQ83" s="504">
        <v>1</v>
      </c>
      <c r="AR83" s="502" t="s">
        <v>209</v>
      </c>
      <c r="AS83" s="506">
        <f t="shared" si="98"/>
        <v>1</v>
      </c>
      <c r="AT83">
        <f t="shared" si="99"/>
        <v>1</v>
      </c>
      <c r="AU83" s="506">
        <f>IF(AT83=0,"",IF(AND(AT83=1,M83="F",SUMIF(C2:C177,C83,AS2:AS177)&lt;=1),SUMIF(C2:C177,C83,AS2:AS177),IF(AND(AT83=1,M83="F",SUMIF(C2:C177,C83,AS2:AS177)&gt;1),1,"")))</f>
        <v>1</v>
      </c>
      <c r="AV83" s="506" t="str">
        <f>IF(AT83=0,"",IF(AND(AT83=3,M83="F",SUMIF(C2:C177,C83,AS2:AS177)&lt;=1),SUMIF(C2:C177,C83,AS2:AS177),IF(AND(AT83=3,M83="F",SUMIF(C2:C177,C83,AS2:AS177)&gt;1),1,"")))</f>
        <v/>
      </c>
      <c r="AW83" s="506">
        <f>SUMIF(C2:C177,C83,O2:O177)</f>
        <v>1</v>
      </c>
      <c r="AX83" s="506">
        <f>IF(AND(M83="F",AS83&lt;&gt;0),SUMIF(C2:C177,C83,W2:W177),0)</f>
        <v>40372.78</v>
      </c>
      <c r="AY83" s="506">
        <f t="shared" si="100"/>
        <v>40372.78</v>
      </c>
      <c r="AZ83" s="506" t="str">
        <f t="shared" si="101"/>
        <v/>
      </c>
      <c r="BA83" s="506">
        <f t="shared" si="102"/>
        <v>0</v>
      </c>
      <c r="BB83" s="506">
        <f t="shared" si="71"/>
        <v>11650</v>
      </c>
      <c r="BC83" s="506">
        <f t="shared" si="72"/>
        <v>0</v>
      </c>
      <c r="BD83" s="506">
        <f t="shared" si="73"/>
        <v>2503.1123600000001</v>
      </c>
      <c r="BE83" s="506">
        <f t="shared" si="74"/>
        <v>585.40530999999999</v>
      </c>
      <c r="BF83" s="506">
        <f t="shared" si="75"/>
        <v>4820.5099319999999</v>
      </c>
      <c r="BG83" s="506">
        <f t="shared" si="76"/>
        <v>291.0877438</v>
      </c>
      <c r="BH83" s="506">
        <f t="shared" si="77"/>
        <v>197.82662199999999</v>
      </c>
      <c r="BI83" s="506">
        <f t="shared" si="78"/>
        <v>223.46333730000001</v>
      </c>
      <c r="BJ83" s="506">
        <f t="shared" si="79"/>
        <v>496.585194</v>
      </c>
      <c r="BK83" s="506">
        <f t="shared" si="80"/>
        <v>0</v>
      </c>
      <c r="BL83" s="506">
        <f t="shared" si="103"/>
        <v>9117.9904991000003</v>
      </c>
      <c r="BM83" s="506">
        <f t="shared" si="104"/>
        <v>0</v>
      </c>
      <c r="BN83" s="506">
        <f t="shared" si="81"/>
        <v>11650</v>
      </c>
      <c r="BO83" s="506">
        <f t="shared" si="82"/>
        <v>0</v>
      </c>
      <c r="BP83" s="506">
        <f t="shared" si="83"/>
        <v>2503.1123600000001</v>
      </c>
      <c r="BQ83" s="506">
        <f t="shared" si="84"/>
        <v>585.40530999999999</v>
      </c>
      <c r="BR83" s="506">
        <f t="shared" si="85"/>
        <v>4820.5099319999999</v>
      </c>
      <c r="BS83" s="506">
        <f t="shared" si="86"/>
        <v>291.0877438</v>
      </c>
      <c r="BT83" s="506">
        <f t="shared" si="87"/>
        <v>0</v>
      </c>
      <c r="BU83" s="506">
        <f t="shared" si="88"/>
        <v>223.46333730000001</v>
      </c>
      <c r="BV83" s="506">
        <f t="shared" si="89"/>
        <v>484.47336000000001</v>
      </c>
      <c r="BW83" s="506">
        <f t="shared" si="90"/>
        <v>0</v>
      </c>
      <c r="BX83" s="506">
        <f t="shared" si="105"/>
        <v>8908.0520431000004</v>
      </c>
      <c r="BY83" s="506">
        <f t="shared" si="106"/>
        <v>0</v>
      </c>
      <c r="BZ83" s="506">
        <f t="shared" si="107"/>
        <v>0</v>
      </c>
      <c r="CA83" s="506">
        <f t="shared" si="108"/>
        <v>0</v>
      </c>
      <c r="CB83" s="506">
        <f t="shared" si="109"/>
        <v>0</v>
      </c>
      <c r="CC83" s="506">
        <f t="shared" si="91"/>
        <v>0</v>
      </c>
      <c r="CD83" s="506">
        <f t="shared" si="92"/>
        <v>0</v>
      </c>
      <c r="CE83" s="506">
        <f t="shared" si="93"/>
        <v>0</v>
      </c>
      <c r="CF83" s="506">
        <f t="shared" si="94"/>
        <v>-197.82662199999999</v>
      </c>
      <c r="CG83" s="506">
        <f t="shared" si="95"/>
        <v>0</v>
      </c>
      <c r="CH83" s="506">
        <f t="shared" si="96"/>
        <v>-12.111833999999996</v>
      </c>
      <c r="CI83" s="506">
        <f t="shared" si="97"/>
        <v>0</v>
      </c>
      <c r="CJ83" s="506">
        <f t="shared" si="110"/>
        <v>-209.93845599999997</v>
      </c>
      <c r="CK83" s="506" t="str">
        <f t="shared" si="111"/>
        <v/>
      </c>
      <c r="CL83" s="506" t="str">
        <f t="shared" si="112"/>
        <v/>
      </c>
      <c r="CM83" s="506" t="str">
        <f t="shared" si="113"/>
        <v/>
      </c>
      <c r="CN83" s="506" t="str">
        <f t="shared" si="114"/>
        <v>0290-00</v>
      </c>
    </row>
    <row r="84" spans="1:92" ht="15.75" thickBot="1" x14ac:dyDescent="0.3">
      <c r="A84" s="495" t="s">
        <v>187</v>
      </c>
      <c r="B84" s="495" t="s">
        <v>188</v>
      </c>
      <c r="C84" s="495" t="s">
        <v>546</v>
      </c>
      <c r="D84" s="495" t="s">
        <v>326</v>
      </c>
      <c r="E84" s="495" t="s">
        <v>191</v>
      </c>
      <c r="F84" s="496" t="s">
        <v>192</v>
      </c>
      <c r="G84" s="495" t="s">
        <v>193</v>
      </c>
      <c r="H84" s="497"/>
      <c r="I84" s="497"/>
      <c r="J84" s="495" t="s">
        <v>248</v>
      </c>
      <c r="K84" s="495" t="s">
        <v>327</v>
      </c>
      <c r="L84" s="495" t="s">
        <v>218</v>
      </c>
      <c r="M84" s="495" t="s">
        <v>213</v>
      </c>
      <c r="N84" s="495" t="s">
        <v>198</v>
      </c>
      <c r="O84" s="498">
        <v>0</v>
      </c>
      <c r="P84" s="504">
        <v>1</v>
      </c>
      <c r="Q84" s="504">
        <v>1</v>
      </c>
      <c r="R84" s="499">
        <v>48</v>
      </c>
      <c r="S84" s="504">
        <v>0.6</v>
      </c>
      <c r="T84" s="499">
        <v>10030.209999999999</v>
      </c>
      <c r="U84" s="499">
        <v>0</v>
      </c>
      <c r="V84" s="499">
        <v>1801.22</v>
      </c>
      <c r="W84" s="499">
        <v>16710.71</v>
      </c>
      <c r="X84" s="499">
        <v>7319.27</v>
      </c>
      <c r="Y84" s="499">
        <v>16710.71</v>
      </c>
      <c r="Z84" s="499">
        <v>7235.73</v>
      </c>
      <c r="AA84" s="497"/>
      <c r="AB84" s="495" t="s">
        <v>23</v>
      </c>
      <c r="AC84" s="495" t="s">
        <v>23</v>
      </c>
      <c r="AD84" s="497"/>
      <c r="AE84" s="497"/>
      <c r="AF84" s="497"/>
      <c r="AG84" s="497"/>
      <c r="AH84" s="498">
        <v>0</v>
      </c>
      <c r="AI84" s="498">
        <v>0</v>
      </c>
      <c r="AJ84" s="497"/>
      <c r="AK84" s="497"/>
      <c r="AL84" s="495" t="s">
        <v>207</v>
      </c>
      <c r="AM84" s="497"/>
      <c r="AN84" s="497"/>
      <c r="AO84" s="498">
        <v>0</v>
      </c>
      <c r="AP84" s="504">
        <v>0</v>
      </c>
      <c r="AQ84" s="504">
        <v>0</v>
      </c>
      <c r="AR84" s="503"/>
      <c r="AS84" s="506">
        <f t="shared" si="98"/>
        <v>0</v>
      </c>
      <c r="AT84">
        <f t="shared" si="99"/>
        <v>0</v>
      </c>
      <c r="AU84" s="506" t="str">
        <f>IF(AT84=0,"",IF(AND(AT84=1,M84="F",SUMIF(C2:C177,C84,AS2:AS177)&lt;=1),SUMIF(C2:C177,C84,AS2:AS177),IF(AND(AT84=1,M84="F",SUMIF(C2:C177,C84,AS2:AS177)&gt;1),1,"")))</f>
        <v/>
      </c>
      <c r="AV84" s="506" t="str">
        <f>IF(AT84=0,"",IF(AND(AT84=3,M84="F",SUMIF(C2:C177,C84,AS2:AS177)&lt;=1),SUMIF(C2:C177,C84,AS2:AS177),IF(AND(AT84=3,M84="F",SUMIF(C2:C177,C84,AS2:AS177)&gt;1),1,"")))</f>
        <v/>
      </c>
      <c r="AW84" s="506">
        <f>SUMIF(C2:C177,C84,O2:O177)</f>
        <v>0</v>
      </c>
      <c r="AX84" s="506">
        <f>IF(AND(M84="F",AS84&lt;&gt;0),SUMIF(C2:C177,C84,W2:W177),0)</f>
        <v>0</v>
      </c>
      <c r="AY84" s="506" t="str">
        <f t="shared" si="100"/>
        <v/>
      </c>
      <c r="AZ84" s="506" t="str">
        <f t="shared" si="101"/>
        <v/>
      </c>
      <c r="BA84" s="506">
        <f t="shared" si="102"/>
        <v>0</v>
      </c>
      <c r="BB84" s="506">
        <f t="shared" si="71"/>
        <v>0</v>
      </c>
      <c r="BC84" s="506">
        <f t="shared" si="72"/>
        <v>0</v>
      </c>
      <c r="BD84" s="506">
        <f t="shared" si="73"/>
        <v>0</v>
      </c>
      <c r="BE84" s="506">
        <f t="shared" si="74"/>
        <v>0</v>
      </c>
      <c r="BF84" s="506">
        <f t="shared" si="75"/>
        <v>0</v>
      </c>
      <c r="BG84" s="506">
        <f t="shared" si="76"/>
        <v>0</v>
      </c>
      <c r="BH84" s="506">
        <f t="shared" si="77"/>
        <v>0</v>
      </c>
      <c r="BI84" s="506">
        <f t="shared" si="78"/>
        <v>0</v>
      </c>
      <c r="BJ84" s="506">
        <f t="shared" si="79"/>
        <v>0</v>
      </c>
      <c r="BK84" s="506">
        <f t="shared" si="80"/>
        <v>0</v>
      </c>
      <c r="BL84" s="506">
        <f t="shared" si="103"/>
        <v>0</v>
      </c>
      <c r="BM84" s="506">
        <f t="shared" si="104"/>
        <v>0</v>
      </c>
      <c r="BN84" s="506">
        <f t="shared" si="81"/>
        <v>0</v>
      </c>
      <c r="BO84" s="506">
        <f t="shared" si="82"/>
        <v>0</v>
      </c>
      <c r="BP84" s="506">
        <f t="shared" si="83"/>
        <v>0</v>
      </c>
      <c r="BQ84" s="506">
        <f t="shared" si="84"/>
        <v>0</v>
      </c>
      <c r="BR84" s="506">
        <f t="shared" si="85"/>
        <v>0</v>
      </c>
      <c r="BS84" s="506">
        <f t="shared" si="86"/>
        <v>0</v>
      </c>
      <c r="BT84" s="506">
        <f t="shared" si="87"/>
        <v>0</v>
      </c>
      <c r="BU84" s="506">
        <f t="shared" si="88"/>
        <v>0</v>
      </c>
      <c r="BV84" s="506">
        <f t="shared" si="89"/>
        <v>0</v>
      </c>
      <c r="BW84" s="506">
        <f t="shared" si="90"/>
        <v>0</v>
      </c>
      <c r="BX84" s="506">
        <f t="shared" si="105"/>
        <v>0</v>
      </c>
      <c r="BY84" s="506">
        <f t="shared" si="106"/>
        <v>0</v>
      </c>
      <c r="BZ84" s="506">
        <f t="shared" si="107"/>
        <v>0</v>
      </c>
      <c r="CA84" s="506">
        <f t="shared" si="108"/>
        <v>0</v>
      </c>
      <c r="CB84" s="506">
        <f t="shared" si="109"/>
        <v>0</v>
      </c>
      <c r="CC84" s="506">
        <f t="shared" si="91"/>
        <v>0</v>
      </c>
      <c r="CD84" s="506">
        <f t="shared" si="92"/>
        <v>0</v>
      </c>
      <c r="CE84" s="506">
        <f t="shared" si="93"/>
        <v>0</v>
      </c>
      <c r="CF84" s="506">
        <f t="shared" si="94"/>
        <v>0</v>
      </c>
      <c r="CG84" s="506">
        <f t="shared" si="95"/>
        <v>0</v>
      </c>
      <c r="CH84" s="506">
        <f t="shared" si="96"/>
        <v>0</v>
      </c>
      <c r="CI84" s="506">
        <f t="shared" si="97"/>
        <v>0</v>
      </c>
      <c r="CJ84" s="506">
        <f t="shared" si="110"/>
        <v>0</v>
      </c>
      <c r="CK84" s="506" t="str">
        <f t="shared" si="111"/>
        <v/>
      </c>
      <c r="CL84" s="506" t="str">
        <f t="shared" si="112"/>
        <v/>
      </c>
      <c r="CM84" s="506" t="str">
        <f t="shared" si="113"/>
        <v/>
      </c>
      <c r="CN84" s="506" t="str">
        <f t="shared" si="114"/>
        <v>0290-00</v>
      </c>
    </row>
    <row r="85" spans="1:92" ht="15.75" thickBot="1" x14ac:dyDescent="0.3">
      <c r="A85" s="495" t="s">
        <v>187</v>
      </c>
      <c r="B85" s="495" t="s">
        <v>188</v>
      </c>
      <c r="C85" s="495" t="s">
        <v>547</v>
      </c>
      <c r="D85" s="495" t="s">
        <v>326</v>
      </c>
      <c r="E85" s="495" t="s">
        <v>191</v>
      </c>
      <c r="F85" s="496" t="s">
        <v>192</v>
      </c>
      <c r="G85" s="495" t="s">
        <v>193</v>
      </c>
      <c r="H85" s="497"/>
      <c r="I85" s="497"/>
      <c r="J85" s="495" t="s">
        <v>248</v>
      </c>
      <c r="K85" s="495" t="s">
        <v>327</v>
      </c>
      <c r="L85" s="495" t="s">
        <v>218</v>
      </c>
      <c r="M85" s="495" t="s">
        <v>197</v>
      </c>
      <c r="N85" s="495" t="s">
        <v>198</v>
      </c>
      <c r="O85" s="498">
        <v>1</v>
      </c>
      <c r="P85" s="504">
        <v>1</v>
      </c>
      <c r="Q85" s="504">
        <v>1</v>
      </c>
      <c r="R85" s="499">
        <v>80</v>
      </c>
      <c r="S85" s="504">
        <v>1</v>
      </c>
      <c r="T85" s="499">
        <v>10761.11</v>
      </c>
      <c r="U85" s="499">
        <v>3583.66</v>
      </c>
      <c r="V85" s="499">
        <v>8476.1</v>
      </c>
      <c r="W85" s="499">
        <v>27040</v>
      </c>
      <c r="X85" s="499">
        <v>17756.95</v>
      </c>
      <c r="Y85" s="499">
        <v>27040</v>
      </c>
      <c r="Z85" s="499">
        <v>17616.349999999999</v>
      </c>
      <c r="AA85" s="495" t="s">
        <v>548</v>
      </c>
      <c r="AB85" s="495" t="s">
        <v>549</v>
      </c>
      <c r="AC85" s="495" t="s">
        <v>550</v>
      </c>
      <c r="AD85" s="495" t="s">
        <v>242</v>
      </c>
      <c r="AE85" s="495" t="s">
        <v>327</v>
      </c>
      <c r="AF85" s="495" t="s">
        <v>222</v>
      </c>
      <c r="AG85" s="495" t="s">
        <v>204</v>
      </c>
      <c r="AH85" s="498">
        <v>13</v>
      </c>
      <c r="AI85" s="498">
        <v>560</v>
      </c>
      <c r="AJ85" s="495" t="s">
        <v>205</v>
      </c>
      <c r="AK85" s="495" t="s">
        <v>206</v>
      </c>
      <c r="AL85" s="495" t="s">
        <v>207</v>
      </c>
      <c r="AM85" s="495" t="s">
        <v>208</v>
      </c>
      <c r="AN85" s="495" t="s">
        <v>92</v>
      </c>
      <c r="AO85" s="498">
        <v>80</v>
      </c>
      <c r="AP85" s="504">
        <v>1</v>
      </c>
      <c r="AQ85" s="504">
        <v>1</v>
      </c>
      <c r="AR85" s="502" t="s">
        <v>209</v>
      </c>
      <c r="AS85" s="506">
        <f t="shared" si="98"/>
        <v>1</v>
      </c>
      <c r="AT85">
        <f t="shared" si="99"/>
        <v>1</v>
      </c>
      <c r="AU85" s="506">
        <f>IF(AT85=0,"",IF(AND(AT85=1,M85="F",SUMIF(C2:C177,C85,AS2:AS177)&lt;=1),SUMIF(C2:C177,C85,AS2:AS177),IF(AND(AT85=1,M85="F",SUMIF(C2:C177,C85,AS2:AS177)&gt;1),1,"")))</f>
        <v>1</v>
      </c>
      <c r="AV85" s="506" t="str">
        <f>IF(AT85=0,"",IF(AND(AT85=3,M85="F",SUMIF(C2:C177,C85,AS2:AS177)&lt;=1),SUMIF(C2:C177,C85,AS2:AS177),IF(AND(AT85=3,M85="F",SUMIF(C2:C177,C85,AS2:AS177)&gt;1),1,"")))</f>
        <v/>
      </c>
      <c r="AW85" s="506">
        <f>SUMIF(C2:C177,C85,O2:O177)</f>
        <v>1</v>
      </c>
      <c r="AX85" s="506">
        <f>IF(AND(M85="F",AS85&lt;&gt;0),SUMIF(C2:C177,C85,W2:W177),0)</f>
        <v>27040</v>
      </c>
      <c r="AY85" s="506">
        <f t="shared" si="100"/>
        <v>27040</v>
      </c>
      <c r="AZ85" s="506" t="str">
        <f t="shared" si="101"/>
        <v/>
      </c>
      <c r="BA85" s="506">
        <f t="shared" si="102"/>
        <v>0</v>
      </c>
      <c r="BB85" s="506">
        <f t="shared" si="71"/>
        <v>11650</v>
      </c>
      <c r="BC85" s="506">
        <f t="shared" si="72"/>
        <v>0</v>
      </c>
      <c r="BD85" s="506">
        <f t="shared" si="73"/>
        <v>1676.48</v>
      </c>
      <c r="BE85" s="506">
        <f t="shared" si="74"/>
        <v>392.08000000000004</v>
      </c>
      <c r="BF85" s="506">
        <f t="shared" si="75"/>
        <v>3228.576</v>
      </c>
      <c r="BG85" s="506">
        <f t="shared" si="76"/>
        <v>194.95840000000001</v>
      </c>
      <c r="BH85" s="506">
        <f t="shared" si="77"/>
        <v>132.49600000000001</v>
      </c>
      <c r="BI85" s="506">
        <f t="shared" si="78"/>
        <v>149.66640000000001</v>
      </c>
      <c r="BJ85" s="506">
        <f t="shared" si="79"/>
        <v>332.59199999999998</v>
      </c>
      <c r="BK85" s="506">
        <f t="shared" si="80"/>
        <v>0</v>
      </c>
      <c r="BL85" s="506">
        <f t="shared" si="103"/>
        <v>6106.8488000000007</v>
      </c>
      <c r="BM85" s="506">
        <f t="shared" si="104"/>
        <v>0</v>
      </c>
      <c r="BN85" s="506">
        <f t="shared" si="81"/>
        <v>11650</v>
      </c>
      <c r="BO85" s="506">
        <f t="shared" si="82"/>
        <v>0</v>
      </c>
      <c r="BP85" s="506">
        <f t="shared" si="83"/>
        <v>1676.48</v>
      </c>
      <c r="BQ85" s="506">
        <f t="shared" si="84"/>
        <v>392.08000000000004</v>
      </c>
      <c r="BR85" s="506">
        <f t="shared" si="85"/>
        <v>3228.576</v>
      </c>
      <c r="BS85" s="506">
        <f t="shared" si="86"/>
        <v>194.95840000000001</v>
      </c>
      <c r="BT85" s="506">
        <f t="shared" si="87"/>
        <v>0</v>
      </c>
      <c r="BU85" s="506">
        <f t="shared" si="88"/>
        <v>149.66640000000001</v>
      </c>
      <c r="BV85" s="506">
        <f t="shared" si="89"/>
        <v>324.48</v>
      </c>
      <c r="BW85" s="506">
        <f t="shared" si="90"/>
        <v>0</v>
      </c>
      <c r="BX85" s="506">
        <f t="shared" si="105"/>
        <v>5966.2408000000014</v>
      </c>
      <c r="BY85" s="506">
        <f t="shared" si="106"/>
        <v>0</v>
      </c>
      <c r="BZ85" s="506">
        <f t="shared" si="107"/>
        <v>0</v>
      </c>
      <c r="CA85" s="506">
        <f t="shared" si="108"/>
        <v>0</v>
      </c>
      <c r="CB85" s="506">
        <f t="shared" si="109"/>
        <v>0</v>
      </c>
      <c r="CC85" s="506">
        <f t="shared" si="91"/>
        <v>0</v>
      </c>
      <c r="CD85" s="506">
        <f t="shared" si="92"/>
        <v>0</v>
      </c>
      <c r="CE85" s="506">
        <f t="shared" si="93"/>
        <v>0</v>
      </c>
      <c r="CF85" s="506">
        <f t="shared" si="94"/>
        <v>-132.49600000000001</v>
      </c>
      <c r="CG85" s="506">
        <f t="shared" si="95"/>
        <v>0</v>
      </c>
      <c r="CH85" s="506">
        <f t="shared" si="96"/>
        <v>-8.1119999999999983</v>
      </c>
      <c r="CI85" s="506">
        <f t="shared" si="97"/>
        <v>0</v>
      </c>
      <c r="CJ85" s="506">
        <f t="shared" si="110"/>
        <v>-140.608</v>
      </c>
      <c r="CK85" s="506" t="str">
        <f t="shared" si="111"/>
        <v/>
      </c>
      <c r="CL85" s="506" t="str">
        <f t="shared" si="112"/>
        <v/>
      </c>
      <c r="CM85" s="506" t="str">
        <f t="shared" si="113"/>
        <v/>
      </c>
      <c r="CN85" s="506" t="str">
        <f t="shared" si="114"/>
        <v>0290-00</v>
      </c>
    </row>
    <row r="86" spans="1:92" ht="15.75" thickBot="1" x14ac:dyDescent="0.3">
      <c r="A86" s="495" t="s">
        <v>187</v>
      </c>
      <c r="B86" s="495" t="s">
        <v>188</v>
      </c>
      <c r="C86" s="495" t="s">
        <v>551</v>
      </c>
      <c r="D86" s="495" t="s">
        <v>245</v>
      </c>
      <c r="E86" s="495" t="s">
        <v>191</v>
      </c>
      <c r="F86" s="496" t="s">
        <v>192</v>
      </c>
      <c r="G86" s="495" t="s">
        <v>193</v>
      </c>
      <c r="H86" s="497"/>
      <c r="I86" s="497"/>
      <c r="J86" s="495" t="s">
        <v>358</v>
      </c>
      <c r="K86" s="495" t="s">
        <v>437</v>
      </c>
      <c r="L86" s="495" t="s">
        <v>305</v>
      </c>
      <c r="M86" s="495" t="s">
        <v>197</v>
      </c>
      <c r="N86" s="495" t="s">
        <v>198</v>
      </c>
      <c r="O86" s="498">
        <v>1</v>
      </c>
      <c r="P86" s="504">
        <v>1</v>
      </c>
      <c r="Q86" s="504">
        <v>1</v>
      </c>
      <c r="R86" s="499">
        <v>80</v>
      </c>
      <c r="S86" s="504">
        <v>1</v>
      </c>
      <c r="T86" s="499">
        <v>68092.160000000003</v>
      </c>
      <c r="U86" s="499">
        <v>15174.4</v>
      </c>
      <c r="V86" s="499">
        <v>29315.32</v>
      </c>
      <c r="W86" s="499">
        <v>71635.199999999997</v>
      </c>
      <c r="X86" s="499">
        <v>27828.73</v>
      </c>
      <c r="Y86" s="499">
        <v>71635.199999999997</v>
      </c>
      <c r="Z86" s="499">
        <v>27456.25</v>
      </c>
      <c r="AA86" s="495" t="s">
        <v>552</v>
      </c>
      <c r="AB86" s="495" t="s">
        <v>553</v>
      </c>
      <c r="AC86" s="495" t="s">
        <v>554</v>
      </c>
      <c r="AD86" s="495" t="s">
        <v>555</v>
      </c>
      <c r="AE86" s="495" t="s">
        <v>437</v>
      </c>
      <c r="AF86" s="495" t="s">
        <v>440</v>
      </c>
      <c r="AG86" s="495" t="s">
        <v>204</v>
      </c>
      <c r="AH86" s="500">
        <v>34.44</v>
      </c>
      <c r="AI86" s="500">
        <v>36960.1</v>
      </c>
      <c r="AJ86" s="495" t="s">
        <v>205</v>
      </c>
      <c r="AK86" s="495" t="s">
        <v>206</v>
      </c>
      <c r="AL86" s="495" t="s">
        <v>207</v>
      </c>
      <c r="AM86" s="495" t="s">
        <v>208</v>
      </c>
      <c r="AN86" s="495" t="s">
        <v>92</v>
      </c>
      <c r="AO86" s="498">
        <v>80</v>
      </c>
      <c r="AP86" s="504">
        <v>1</v>
      </c>
      <c r="AQ86" s="504">
        <v>1</v>
      </c>
      <c r="AR86" s="502" t="s">
        <v>209</v>
      </c>
      <c r="AS86" s="506">
        <f t="shared" si="98"/>
        <v>1</v>
      </c>
      <c r="AT86">
        <f t="shared" si="99"/>
        <v>1</v>
      </c>
      <c r="AU86" s="506">
        <f>IF(AT86=0,"",IF(AND(AT86=1,M86="F",SUMIF(C2:C177,C86,AS2:AS177)&lt;=1),SUMIF(C2:C177,C86,AS2:AS177),IF(AND(AT86=1,M86="F",SUMIF(C2:C177,C86,AS2:AS177)&gt;1),1,"")))</f>
        <v>1</v>
      </c>
      <c r="AV86" s="506" t="str">
        <f>IF(AT86=0,"",IF(AND(AT86=3,M86="F",SUMIF(C2:C177,C86,AS2:AS177)&lt;=1),SUMIF(C2:C177,C86,AS2:AS177),IF(AND(AT86=3,M86="F",SUMIF(C2:C177,C86,AS2:AS177)&gt;1),1,"")))</f>
        <v/>
      </c>
      <c r="AW86" s="506">
        <f>SUMIF(C2:C177,C86,O2:O177)</f>
        <v>1</v>
      </c>
      <c r="AX86" s="506">
        <f>IF(AND(M86="F",AS86&lt;&gt;0),SUMIF(C2:C177,C86,W2:W177),0)</f>
        <v>71635.199999999997</v>
      </c>
      <c r="AY86" s="506">
        <f t="shared" si="100"/>
        <v>71635.199999999997</v>
      </c>
      <c r="AZ86" s="506" t="str">
        <f t="shared" si="101"/>
        <v/>
      </c>
      <c r="BA86" s="506">
        <f t="shared" si="102"/>
        <v>0</v>
      </c>
      <c r="BB86" s="506">
        <f t="shared" si="71"/>
        <v>11650</v>
      </c>
      <c r="BC86" s="506">
        <f t="shared" si="72"/>
        <v>0</v>
      </c>
      <c r="BD86" s="506">
        <f t="shared" si="73"/>
        <v>4441.3823999999995</v>
      </c>
      <c r="BE86" s="506">
        <f t="shared" si="74"/>
        <v>1038.7103999999999</v>
      </c>
      <c r="BF86" s="506">
        <f t="shared" si="75"/>
        <v>8553.2428799999998</v>
      </c>
      <c r="BG86" s="506">
        <f t="shared" si="76"/>
        <v>516.48979199999997</v>
      </c>
      <c r="BH86" s="506">
        <f t="shared" si="77"/>
        <v>351.01247999999998</v>
      </c>
      <c r="BI86" s="506">
        <f t="shared" si="78"/>
        <v>396.500832</v>
      </c>
      <c r="BJ86" s="506">
        <f t="shared" si="79"/>
        <v>881.11295999999993</v>
      </c>
      <c r="BK86" s="506">
        <f t="shared" si="80"/>
        <v>0</v>
      </c>
      <c r="BL86" s="506">
        <f t="shared" si="103"/>
        <v>16178.451744</v>
      </c>
      <c r="BM86" s="506">
        <f t="shared" si="104"/>
        <v>0</v>
      </c>
      <c r="BN86" s="506">
        <f t="shared" si="81"/>
        <v>11650</v>
      </c>
      <c r="BO86" s="506">
        <f t="shared" si="82"/>
        <v>0</v>
      </c>
      <c r="BP86" s="506">
        <f t="shared" si="83"/>
        <v>4441.3823999999995</v>
      </c>
      <c r="BQ86" s="506">
        <f t="shared" si="84"/>
        <v>1038.7103999999999</v>
      </c>
      <c r="BR86" s="506">
        <f t="shared" si="85"/>
        <v>8553.2428799999998</v>
      </c>
      <c r="BS86" s="506">
        <f t="shared" si="86"/>
        <v>516.48979199999997</v>
      </c>
      <c r="BT86" s="506">
        <f t="shared" si="87"/>
        <v>0</v>
      </c>
      <c r="BU86" s="506">
        <f t="shared" si="88"/>
        <v>396.500832</v>
      </c>
      <c r="BV86" s="506">
        <f t="shared" si="89"/>
        <v>859.62239999999997</v>
      </c>
      <c r="BW86" s="506">
        <f t="shared" si="90"/>
        <v>0</v>
      </c>
      <c r="BX86" s="506">
        <f t="shared" si="105"/>
        <v>15805.948704</v>
      </c>
      <c r="BY86" s="506">
        <f t="shared" si="106"/>
        <v>0</v>
      </c>
      <c r="BZ86" s="506">
        <f t="shared" si="107"/>
        <v>0</v>
      </c>
      <c r="CA86" s="506">
        <f t="shared" si="108"/>
        <v>0</v>
      </c>
      <c r="CB86" s="506">
        <f t="shared" si="109"/>
        <v>0</v>
      </c>
      <c r="CC86" s="506">
        <f t="shared" si="91"/>
        <v>0</v>
      </c>
      <c r="CD86" s="506">
        <f t="shared" si="92"/>
        <v>0</v>
      </c>
      <c r="CE86" s="506">
        <f t="shared" si="93"/>
        <v>0</v>
      </c>
      <c r="CF86" s="506">
        <f t="shared" si="94"/>
        <v>-351.01247999999998</v>
      </c>
      <c r="CG86" s="506">
        <f t="shared" si="95"/>
        <v>0</v>
      </c>
      <c r="CH86" s="506">
        <f t="shared" si="96"/>
        <v>-21.490559999999995</v>
      </c>
      <c r="CI86" s="506">
        <f t="shared" si="97"/>
        <v>0</v>
      </c>
      <c r="CJ86" s="506">
        <f t="shared" si="110"/>
        <v>-372.50304</v>
      </c>
      <c r="CK86" s="506" t="str">
        <f t="shared" si="111"/>
        <v/>
      </c>
      <c r="CL86" s="506" t="str">
        <f t="shared" si="112"/>
        <v/>
      </c>
      <c r="CM86" s="506" t="str">
        <f t="shared" si="113"/>
        <v/>
      </c>
      <c r="CN86" s="506" t="str">
        <f t="shared" si="114"/>
        <v>0290-00</v>
      </c>
    </row>
    <row r="87" spans="1:92" ht="15.75" thickBot="1" x14ac:dyDescent="0.3">
      <c r="A87" s="495" t="s">
        <v>187</v>
      </c>
      <c r="B87" s="495" t="s">
        <v>188</v>
      </c>
      <c r="C87" s="495" t="s">
        <v>556</v>
      </c>
      <c r="D87" s="495" t="s">
        <v>373</v>
      </c>
      <c r="E87" s="495" t="s">
        <v>191</v>
      </c>
      <c r="F87" s="496" t="s">
        <v>192</v>
      </c>
      <c r="G87" s="495" t="s">
        <v>193</v>
      </c>
      <c r="H87" s="497"/>
      <c r="I87" s="497"/>
      <c r="J87" s="495" t="s">
        <v>230</v>
      </c>
      <c r="K87" s="495" t="s">
        <v>374</v>
      </c>
      <c r="L87" s="495" t="s">
        <v>207</v>
      </c>
      <c r="M87" s="495" t="s">
        <v>197</v>
      </c>
      <c r="N87" s="495" t="s">
        <v>198</v>
      </c>
      <c r="O87" s="498">
        <v>1</v>
      </c>
      <c r="P87" s="504">
        <v>1</v>
      </c>
      <c r="Q87" s="504">
        <v>1</v>
      </c>
      <c r="R87" s="499">
        <v>80</v>
      </c>
      <c r="S87" s="504">
        <v>1</v>
      </c>
      <c r="T87" s="499">
        <v>85414.02</v>
      </c>
      <c r="U87" s="499">
        <v>1007.6</v>
      </c>
      <c r="V87" s="499">
        <v>29901.73</v>
      </c>
      <c r="W87" s="499">
        <v>87465.02</v>
      </c>
      <c r="X87" s="499">
        <v>31403.91</v>
      </c>
      <c r="Y87" s="499">
        <v>87465.02</v>
      </c>
      <c r="Z87" s="499">
        <v>30949.11</v>
      </c>
      <c r="AA87" s="495" t="s">
        <v>557</v>
      </c>
      <c r="AB87" s="495" t="s">
        <v>558</v>
      </c>
      <c r="AC87" s="495" t="s">
        <v>559</v>
      </c>
      <c r="AD87" s="495" t="s">
        <v>242</v>
      </c>
      <c r="AE87" s="495" t="s">
        <v>374</v>
      </c>
      <c r="AF87" s="495" t="s">
        <v>282</v>
      </c>
      <c r="AG87" s="495" t="s">
        <v>204</v>
      </c>
      <c r="AH87" s="500">
        <v>45.46</v>
      </c>
      <c r="AI87" s="500">
        <v>6034.6</v>
      </c>
      <c r="AJ87" s="495" t="s">
        <v>243</v>
      </c>
      <c r="AK87" s="495" t="s">
        <v>206</v>
      </c>
      <c r="AL87" s="495" t="s">
        <v>207</v>
      </c>
      <c r="AM87" s="495" t="s">
        <v>208</v>
      </c>
      <c r="AN87" s="495" t="s">
        <v>92</v>
      </c>
      <c r="AO87" s="498">
        <v>74</v>
      </c>
      <c r="AP87" s="504">
        <v>1</v>
      </c>
      <c r="AQ87" s="504">
        <v>0.92</v>
      </c>
      <c r="AR87" s="502" t="s">
        <v>209</v>
      </c>
      <c r="AS87" s="506">
        <f t="shared" si="98"/>
        <v>0.92500000000000004</v>
      </c>
      <c r="AT87">
        <f t="shared" si="99"/>
        <v>1</v>
      </c>
      <c r="AU87" s="506">
        <f>IF(AT87=0,"",IF(AND(AT87=1,M87="F",SUMIF(C2:C177,C87,AS2:AS177)&lt;=1),SUMIF(C2:C177,C87,AS2:AS177),IF(AND(AT87=1,M87="F",SUMIF(C2:C177,C87,AS2:AS177)&gt;1),1,"")))</f>
        <v>0.92500000000000004</v>
      </c>
      <c r="AV87" s="506" t="str">
        <f>IF(AT87=0,"",IF(AND(AT87=3,M87="F",SUMIF(C2:C177,C87,AS2:AS177)&lt;=1),SUMIF(C2:C177,C87,AS2:AS177),IF(AND(AT87=3,M87="F",SUMIF(C2:C177,C87,AS2:AS177)&gt;1),1,"")))</f>
        <v/>
      </c>
      <c r="AW87" s="506">
        <f>SUMIF(C2:C177,C87,O2:O177)</f>
        <v>1</v>
      </c>
      <c r="AX87" s="506">
        <f>IF(AND(M87="F",AS87&lt;&gt;0),SUMIF(C2:C177,C87,W2:W177),0)</f>
        <v>87465.02</v>
      </c>
      <c r="AY87" s="506">
        <f t="shared" si="100"/>
        <v>87465.02</v>
      </c>
      <c r="AZ87" s="506" t="str">
        <f t="shared" si="101"/>
        <v/>
      </c>
      <c r="BA87" s="506">
        <f t="shared" si="102"/>
        <v>0</v>
      </c>
      <c r="BB87" s="506">
        <f t="shared" si="71"/>
        <v>11650</v>
      </c>
      <c r="BC87" s="506">
        <f t="shared" si="72"/>
        <v>0</v>
      </c>
      <c r="BD87" s="506">
        <f t="shared" si="73"/>
        <v>5422.8312400000004</v>
      </c>
      <c r="BE87" s="506">
        <f t="shared" si="74"/>
        <v>1268.24279</v>
      </c>
      <c r="BF87" s="506">
        <f t="shared" si="75"/>
        <v>10443.323388000001</v>
      </c>
      <c r="BG87" s="506">
        <f t="shared" si="76"/>
        <v>630.62279420000004</v>
      </c>
      <c r="BH87" s="506">
        <f t="shared" si="77"/>
        <v>428.578598</v>
      </c>
      <c r="BI87" s="506">
        <f t="shared" si="78"/>
        <v>484.11888570000002</v>
      </c>
      <c r="BJ87" s="506">
        <f t="shared" si="79"/>
        <v>1075.8197460000001</v>
      </c>
      <c r="BK87" s="506">
        <f t="shared" si="80"/>
        <v>0</v>
      </c>
      <c r="BL87" s="506">
        <f t="shared" si="103"/>
        <v>19753.537441900004</v>
      </c>
      <c r="BM87" s="506">
        <f t="shared" si="104"/>
        <v>0</v>
      </c>
      <c r="BN87" s="506">
        <f t="shared" si="81"/>
        <v>11650</v>
      </c>
      <c r="BO87" s="506">
        <f t="shared" si="82"/>
        <v>0</v>
      </c>
      <c r="BP87" s="506">
        <f t="shared" si="83"/>
        <v>5422.8312400000004</v>
      </c>
      <c r="BQ87" s="506">
        <f t="shared" si="84"/>
        <v>1268.24279</v>
      </c>
      <c r="BR87" s="506">
        <f t="shared" si="85"/>
        <v>10443.323388000001</v>
      </c>
      <c r="BS87" s="506">
        <f t="shared" si="86"/>
        <v>630.62279420000004</v>
      </c>
      <c r="BT87" s="506">
        <f t="shared" si="87"/>
        <v>0</v>
      </c>
      <c r="BU87" s="506">
        <f t="shared" si="88"/>
        <v>484.11888570000002</v>
      </c>
      <c r="BV87" s="506">
        <f t="shared" si="89"/>
        <v>1049.58024</v>
      </c>
      <c r="BW87" s="506">
        <f t="shared" si="90"/>
        <v>0</v>
      </c>
      <c r="BX87" s="506">
        <f t="shared" si="105"/>
        <v>19298.719337900002</v>
      </c>
      <c r="BY87" s="506">
        <f t="shared" si="106"/>
        <v>0</v>
      </c>
      <c r="BZ87" s="506">
        <f t="shared" si="107"/>
        <v>0</v>
      </c>
      <c r="CA87" s="506">
        <f t="shared" si="108"/>
        <v>0</v>
      </c>
      <c r="CB87" s="506">
        <f t="shared" si="109"/>
        <v>0</v>
      </c>
      <c r="CC87" s="506">
        <f t="shared" si="91"/>
        <v>0</v>
      </c>
      <c r="CD87" s="506">
        <f t="shared" si="92"/>
        <v>0</v>
      </c>
      <c r="CE87" s="506">
        <f t="shared" si="93"/>
        <v>0</v>
      </c>
      <c r="CF87" s="506">
        <f t="shared" si="94"/>
        <v>-428.578598</v>
      </c>
      <c r="CG87" s="506">
        <f t="shared" si="95"/>
        <v>0</v>
      </c>
      <c r="CH87" s="506">
        <f t="shared" si="96"/>
        <v>-26.239505999999995</v>
      </c>
      <c r="CI87" s="506">
        <f t="shared" si="97"/>
        <v>0</v>
      </c>
      <c r="CJ87" s="506">
        <f t="shared" si="110"/>
        <v>-454.81810400000001</v>
      </c>
      <c r="CK87" s="506" t="str">
        <f t="shared" si="111"/>
        <v/>
      </c>
      <c r="CL87" s="506" t="str">
        <f t="shared" si="112"/>
        <v/>
      </c>
      <c r="CM87" s="506" t="str">
        <f t="shared" si="113"/>
        <v/>
      </c>
      <c r="CN87" s="506" t="str">
        <f t="shared" si="114"/>
        <v>0290-00</v>
      </c>
    </row>
    <row r="88" spans="1:92" ht="15.75" thickBot="1" x14ac:dyDescent="0.3">
      <c r="A88" s="495" t="s">
        <v>187</v>
      </c>
      <c r="B88" s="495" t="s">
        <v>188</v>
      </c>
      <c r="C88" s="495" t="s">
        <v>560</v>
      </c>
      <c r="D88" s="495" t="s">
        <v>268</v>
      </c>
      <c r="E88" s="495" t="s">
        <v>191</v>
      </c>
      <c r="F88" s="496" t="s">
        <v>192</v>
      </c>
      <c r="G88" s="495" t="s">
        <v>193</v>
      </c>
      <c r="H88" s="497"/>
      <c r="I88" s="497"/>
      <c r="J88" s="495" t="s">
        <v>230</v>
      </c>
      <c r="K88" s="495" t="s">
        <v>269</v>
      </c>
      <c r="L88" s="495" t="s">
        <v>204</v>
      </c>
      <c r="M88" s="495" t="s">
        <v>197</v>
      </c>
      <c r="N88" s="495" t="s">
        <v>198</v>
      </c>
      <c r="O88" s="498">
        <v>1</v>
      </c>
      <c r="P88" s="504">
        <v>1</v>
      </c>
      <c r="Q88" s="504">
        <v>1</v>
      </c>
      <c r="R88" s="499">
        <v>80</v>
      </c>
      <c r="S88" s="504">
        <v>1</v>
      </c>
      <c r="T88" s="499">
        <v>28936.67</v>
      </c>
      <c r="U88" s="499">
        <v>1011.41</v>
      </c>
      <c r="V88" s="499">
        <v>14182.7</v>
      </c>
      <c r="W88" s="499">
        <v>32240</v>
      </c>
      <c r="X88" s="499">
        <v>18931.349999999999</v>
      </c>
      <c r="Y88" s="499">
        <v>32240</v>
      </c>
      <c r="Z88" s="499">
        <v>18763.72</v>
      </c>
      <c r="AA88" s="495" t="s">
        <v>561</v>
      </c>
      <c r="AB88" s="495" t="s">
        <v>562</v>
      </c>
      <c r="AC88" s="495" t="s">
        <v>563</v>
      </c>
      <c r="AD88" s="495" t="s">
        <v>352</v>
      </c>
      <c r="AE88" s="495" t="s">
        <v>269</v>
      </c>
      <c r="AF88" s="495" t="s">
        <v>274</v>
      </c>
      <c r="AG88" s="495" t="s">
        <v>204</v>
      </c>
      <c r="AH88" s="500">
        <v>15.5</v>
      </c>
      <c r="AI88" s="500">
        <v>4260.3999999999996</v>
      </c>
      <c r="AJ88" s="495" t="s">
        <v>205</v>
      </c>
      <c r="AK88" s="495" t="s">
        <v>206</v>
      </c>
      <c r="AL88" s="495" t="s">
        <v>207</v>
      </c>
      <c r="AM88" s="495" t="s">
        <v>208</v>
      </c>
      <c r="AN88" s="495" t="s">
        <v>92</v>
      </c>
      <c r="AO88" s="498">
        <v>80</v>
      </c>
      <c r="AP88" s="504">
        <v>1</v>
      </c>
      <c r="AQ88" s="504">
        <v>1</v>
      </c>
      <c r="AR88" s="502" t="s">
        <v>209</v>
      </c>
      <c r="AS88" s="506">
        <f t="shared" si="98"/>
        <v>1</v>
      </c>
      <c r="AT88">
        <f t="shared" si="99"/>
        <v>1</v>
      </c>
      <c r="AU88" s="506">
        <f>IF(AT88=0,"",IF(AND(AT88=1,M88="F",SUMIF(C2:C177,C88,AS2:AS177)&lt;=1),SUMIF(C2:C177,C88,AS2:AS177),IF(AND(AT88=1,M88="F",SUMIF(C2:C177,C88,AS2:AS177)&gt;1),1,"")))</f>
        <v>1</v>
      </c>
      <c r="AV88" s="506" t="str">
        <f>IF(AT88=0,"",IF(AND(AT88=3,M88="F",SUMIF(C2:C177,C88,AS2:AS177)&lt;=1),SUMIF(C2:C177,C88,AS2:AS177),IF(AND(AT88=3,M88="F",SUMIF(C2:C177,C88,AS2:AS177)&gt;1),1,"")))</f>
        <v/>
      </c>
      <c r="AW88" s="506">
        <f>SUMIF(C2:C177,C88,O2:O177)</f>
        <v>1</v>
      </c>
      <c r="AX88" s="506">
        <f>IF(AND(M88="F",AS88&lt;&gt;0),SUMIF(C2:C177,C88,W2:W177),0)</f>
        <v>32240</v>
      </c>
      <c r="AY88" s="506">
        <f t="shared" si="100"/>
        <v>32240</v>
      </c>
      <c r="AZ88" s="506" t="str">
        <f t="shared" si="101"/>
        <v/>
      </c>
      <c r="BA88" s="506">
        <f t="shared" si="102"/>
        <v>0</v>
      </c>
      <c r="BB88" s="506">
        <f t="shared" si="71"/>
        <v>11650</v>
      </c>
      <c r="BC88" s="506">
        <f t="shared" si="72"/>
        <v>0</v>
      </c>
      <c r="BD88" s="506">
        <f t="shared" si="73"/>
        <v>1998.8799999999999</v>
      </c>
      <c r="BE88" s="506">
        <f t="shared" si="74"/>
        <v>467.48</v>
      </c>
      <c r="BF88" s="506">
        <f t="shared" si="75"/>
        <v>3849.4560000000001</v>
      </c>
      <c r="BG88" s="506">
        <f t="shared" si="76"/>
        <v>232.4504</v>
      </c>
      <c r="BH88" s="506">
        <f t="shared" si="77"/>
        <v>157.976</v>
      </c>
      <c r="BI88" s="506">
        <f t="shared" si="78"/>
        <v>178.44839999999999</v>
      </c>
      <c r="BJ88" s="506">
        <f t="shared" si="79"/>
        <v>396.55200000000002</v>
      </c>
      <c r="BK88" s="506">
        <f t="shared" si="80"/>
        <v>0</v>
      </c>
      <c r="BL88" s="506">
        <f t="shared" si="103"/>
        <v>7281.2427999999991</v>
      </c>
      <c r="BM88" s="506">
        <f t="shared" si="104"/>
        <v>0</v>
      </c>
      <c r="BN88" s="506">
        <f t="shared" si="81"/>
        <v>11650</v>
      </c>
      <c r="BO88" s="506">
        <f t="shared" si="82"/>
        <v>0</v>
      </c>
      <c r="BP88" s="506">
        <f t="shared" si="83"/>
        <v>1998.8799999999999</v>
      </c>
      <c r="BQ88" s="506">
        <f t="shared" si="84"/>
        <v>467.48</v>
      </c>
      <c r="BR88" s="506">
        <f t="shared" si="85"/>
        <v>3849.4560000000001</v>
      </c>
      <c r="BS88" s="506">
        <f t="shared" si="86"/>
        <v>232.4504</v>
      </c>
      <c r="BT88" s="506">
        <f t="shared" si="87"/>
        <v>0</v>
      </c>
      <c r="BU88" s="506">
        <f t="shared" si="88"/>
        <v>178.44839999999999</v>
      </c>
      <c r="BV88" s="506">
        <f t="shared" si="89"/>
        <v>386.88</v>
      </c>
      <c r="BW88" s="506">
        <f t="shared" si="90"/>
        <v>0</v>
      </c>
      <c r="BX88" s="506">
        <f t="shared" si="105"/>
        <v>7113.5947999999999</v>
      </c>
      <c r="BY88" s="506">
        <f t="shared" si="106"/>
        <v>0</v>
      </c>
      <c r="BZ88" s="506">
        <f t="shared" si="107"/>
        <v>0</v>
      </c>
      <c r="CA88" s="506">
        <f t="shared" si="108"/>
        <v>0</v>
      </c>
      <c r="CB88" s="506">
        <f t="shared" si="109"/>
        <v>0</v>
      </c>
      <c r="CC88" s="506">
        <f t="shared" si="91"/>
        <v>0</v>
      </c>
      <c r="CD88" s="506">
        <f t="shared" si="92"/>
        <v>0</v>
      </c>
      <c r="CE88" s="506">
        <f t="shared" si="93"/>
        <v>0</v>
      </c>
      <c r="CF88" s="506">
        <f t="shared" si="94"/>
        <v>-157.976</v>
      </c>
      <c r="CG88" s="506">
        <f t="shared" si="95"/>
        <v>0</v>
      </c>
      <c r="CH88" s="506">
        <f t="shared" si="96"/>
        <v>-9.671999999999997</v>
      </c>
      <c r="CI88" s="506">
        <f t="shared" si="97"/>
        <v>0</v>
      </c>
      <c r="CJ88" s="506">
        <f t="shared" si="110"/>
        <v>-167.648</v>
      </c>
      <c r="CK88" s="506" t="str">
        <f t="shared" si="111"/>
        <v/>
      </c>
      <c r="CL88" s="506" t="str">
        <f t="shared" si="112"/>
        <v/>
      </c>
      <c r="CM88" s="506" t="str">
        <f t="shared" si="113"/>
        <v/>
      </c>
      <c r="CN88" s="506" t="str">
        <f t="shared" si="114"/>
        <v>0290-00</v>
      </c>
    </row>
    <row r="89" spans="1:92" ht="15.75" thickBot="1" x14ac:dyDescent="0.3">
      <c r="A89" s="495" t="s">
        <v>187</v>
      </c>
      <c r="B89" s="495" t="s">
        <v>188</v>
      </c>
      <c r="C89" s="495" t="s">
        <v>564</v>
      </c>
      <c r="D89" s="495" t="s">
        <v>326</v>
      </c>
      <c r="E89" s="495" t="s">
        <v>191</v>
      </c>
      <c r="F89" s="496" t="s">
        <v>192</v>
      </c>
      <c r="G89" s="495" t="s">
        <v>193</v>
      </c>
      <c r="H89" s="497"/>
      <c r="I89" s="497"/>
      <c r="J89" s="495" t="s">
        <v>248</v>
      </c>
      <c r="K89" s="495" t="s">
        <v>327</v>
      </c>
      <c r="L89" s="495" t="s">
        <v>218</v>
      </c>
      <c r="M89" s="495" t="s">
        <v>213</v>
      </c>
      <c r="N89" s="495" t="s">
        <v>198</v>
      </c>
      <c r="O89" s="498">
        <v>0</v>
      </c>
      <c r="P89" s="504">
        <v>1</v>
      </c>
      <c r="Q89" s="504">
        <v>1</v>
      </c>
      <c r="R89" s="499">
        <v>64</v>
      </c>
      <c r="S89" s="504">
        <v>0.8</v>
      </c>
      <c r="T89" s="499">
        <v>1017.38</v>
      </c>
      <c r="U89" s="499">
        <v>0</v>
      </c>
      <c r="V89" s="499">
        <v>94.26</v>
      </c>
      <c r="W89" s="499">
        <v>22280.95</v>
      </c>
      <c r="X89" s="499">
        <v>9759.0400000000009</v>
      </c>
      <c r="Y89" s="499">
        <v>22280.95</v>
      </c>
      <c r="Z89" s="499">
        <v>9647.64</v>
      </c>
      <c r="AA89" s="497"/>
      <c r="AB89" s="495" t="s">
        <v>23</v>
      </c>
      <c r="AC89" s="495" t="s">
        <v>23</v>
      </c>
      <c r="AD89" s="497"/>
      <c r="AE89" s="497"/>
      <c r="AF89" s="497"/>
      <c r="AG89" s="497"/>
      <c r="AH89" s="498">
        <v>0</v>
      </c>
      <c r="AI89" s="498">
        <v>0</v>
      </c>
      <c r="AJ89" s="497"/>
      <c r="AK89" s="497"/>
      <c r="AL89" s="495" t="s">
        <v>207</v>
      </c>
      <c r="AM89" s="497"/>
      <c r="AN89" s="497"/>
      <c r="AO89" s="498">
        <v>0</v>
      </c>
      <c r="AP89" s="504">
        <v>0</v>
      </c>
      <c r="AQ89" s="504">
        <v>0</v>
      </c>
      <c r="AR89" s="503"/>
      <c r="AS89" s="506">
        <f t="shared" si="98"/>
        <v>0</v>
      </c>
      <c r="AT89">
        <f t="shared" si="99"/>
        <v>0</v>
      </c>
      <c r="AU89" s="506" t="str">
        <f>IF(AT89=0,"",IF(AND(AT89=1,M89="F",SUMIF(C2:C177,C89,AS2:AS177)&lt;=1),SUMIF(C2:C177,C89,AS2:AS177),IF(AND(AT89=1,M89="F",SUMIF(C2:C177,C89,AS2:AS177)&gt;1),1,"")))</f>
        <v/>
      </c>
      <c r="AV89" s="506" t="str">
        <f>IF(AT89=0,"",IF(AND(AT89=3,M89="F",SUMIF(C2:C177,C89,AS2:AS177)&lt;=1),SUMIF(C2:C177,C89,AS2:AS177),IF(AND(AT89=3,M89="F",SUMIF(C2:C177,C89,AS2:AS177)&gt;1),1,"")))</f>
        <v/>
      </c>
      <c r="AW89" s="506">
        <f>SUMIF(C2:C177,C89,O2:O177)</f>
        <v>0</v>
      </c>
      <c r="AX89" s="506">
        <f>IF(AND(M89="F",AS89&lt;&gt;0),SUMIF(C2:C177,C89,W2:W177),0)</f>
        <v>0</v>
      </c>
      <c r="AY89" s="506" t="str">
        <f t="shared" si="100"/>
        <v/>
      </c>
      <c r="AZ89" s="506" t="str">
        <f t="shared" si="101"/>
        <v/>
      </c>
      <c r="BA89" s="506">
        <f t="shared" si="102"/>
        <v>0</v>
      </c>
      <c r="BB89" s="506">
        <f t="shared" si="71"/>
        <v>0</v>
      </c>
      <c r="BC89" s="506">
        <f t="shared" si="72"/>
        <v>0</v>
      </c>
      <c r="BD89" s="506">
        <f t="shared" si="73"/>
        <v>0</v>
      </c>
      <c r="BE89" s="506">
        <f t="shared" si="74"/>
        <v>0</v>
      </c>
      <c r="BF89" s="506">
        <f t="shared" si="75"/>
        <v>0</v>
      </c>
      <c r="BG89" s="506">
        <f t="shared" si="76"/>
        <v>0</v>
      </c>
      <c r="BH89" s="506">
        <f t="shared" si="77"/>
        <v>0</v>
      </c>
      <c r="BI89" s="506">
        <f t="shared" si="78"/>
        <v>0</v>
      </c>
      <c r="BJ89" s="506">
        <f t="shared" si="79"/>
        <v>0</v>
      </c>
      <c r="BK89" s="506">
        <f t="shared" si="80"/>
        <v>0</v>
      </c>
      <c r="BL89" s="506">
        <f t="shared" si="103"/>
        <v>0</v>
      </c>
      <c r="BM89" s="506">
        <f t="shared" si="104"/>
        <v>0</v>
      </c>
      <c r="BN89" s="506">
        <f t="shared" si="81"/>
        <v>0</v>
      </c>
      <c r="BO89" s="506">
        <f t="shared" si="82"/>
        <v>0</v>
      </c>
      <c r="BP89" s="506">
        <f t="shared" si="83"/>
        <v>0</v>
      </c>
      <c r="BQ89" s="506">
        <f t="shared" si="84"/>
        <v>0</v>
      </c>
      <c r="BR89" s="506">
        <f t="shared" si="85"/>
        <v>0</v>
      </c>
      <c r="BS89" s="506">
        <f t="shared" si="86"/>
        <v>0</v>
      </c>
      <c r="BT89" s="506">
        <f t="shared" si="87"/>
        <v>0</v>
      </c>
      <c r="BU89" s="506">
        <f t="shared" si="88"/>
        <v>0</v>
      </c>
      <c r="BV89" s="506">
        <f t="shared" si="89"/>
        <v>0</v>
      </c>
      <c r="BW89" s="506">
        <f t="shared" si="90"/>
        <v>0</v>
      </c>
      <c r="BX89" s="506">
        <f t="shared" si="105"/>
        <v>0</v>
      </c>
      <c r="BY89" s="506">
        <f t="shared" si="106"/>
        <v>0</v>
      </c>
      <c r="BZ89" s="506">
        <f t="shared" si="107"/>
        <v>0</v>
      </c>
      <c r="CA89" s="506">
        <f t="shared" si="108"/>
        <v>0</v>
      </c>
      <c r="CB89" s="506">
        <f t="shared" si="109"/>
        <v>0</v>
      </c>
      <c r="CC89" s="506">
        <f t="shared" si="91"/>
        <v>0</v>
      </c>
      <c r="CD89" s="506">
        <f t="shared" si="92"/>
        <v>0</v>
      </c>
      <c r="CE89" s="506">
        <f t="shared" si="93"/>
        <v>0</v>
      </c>
      <c r="CF89" s="506">
        <f t="shared" si="94"/>
        <v>0</v>
      </c>
      <c r="CG89" s="506">
        <f t="shared" si="95"/>
        <v>0</v>
      </c>
      <c r="CH89" s="506">
        <f t="shared" si="96"/>
        <v>0</v>
      </c>
      <c r="CI89" s="506">
        <f t="shared" si="97"/>
        <v>0</v>
      </c>
      <c r="CJ89" s="506">
        <f t="shared" si="110"/>
        <v>0</v>
      </c>
      <c r="CK89" s="506" t="str">
        <f t="shared" si="111"/>
        <v/>
      </c>
      <c r="CL89" s="506" t="str">
        <f t="shared" si="112"/>
        <v/>
      </c>
      <c r="CM89" s="506" t="str">
        <f t="shared" si="113"/>
        <v/>
      </c>
      <c r="CN89" s="506" t="str">
        <f t="shared" si="114"/>
        <v>0290-00</v>
      </c>
    </row>
    <row r="90" spans="1:92" ht="15.75" thickBot="1" x14ac:dyDescent="0.3">
      <c r="A90" s="495" t="s">
        <v>187</v>
      </c>
      <c r="B90" s="495" t="s">
        <v>188</v>
      </c>
      <c r="C90" s="495" t="s">
        <v>565</v>
      </c>
      <c r="D90" s="495" t="s">
        <v>326</v>
      </c>
      <c r="E90" s="495" t="s">
        <v>191</v>
      </c>
      <c r="F90" s="496" t="s">
        <v>192</v>
      </c>
      <c r="G90" s="495" t="s">
        <v>193</v>
      </c>
      <c r="H90" s="497"/>
      <c r="I90" s="497"/>
      <c r="J90" s="495" t="s">
        <v>248</v>
      </c>
      <c r="K90" s="495" t="s">
        <v>327</v>
      </c>
      <c r="L90" s="495" t="s">
        <v>218</v>
      </c>
      <c r="M90" s="495" t="s">
        <v>197</v>
      </c>
      <c r="N90" s="495" t="s">
        <v>198</v>
      </c>
      <c r="O90" s="498">
        <v>1</v>
      </c>
      <c r="P90" s="504">
        <v>1</v>
      </c>
      <c r="Q90" s="504">
        <v>1</v>
      </c>
      <c r="R90" s="499">
        <v>80</v>
      </c>
      <c r="S90" s="504">
        <v>1</v>
      </c>
      <c r="T90" s="499">
        <v>27408.82</v>
      </c>
      <c r="U90" s="499">
        <v>49.67</v>
      </c>
      <c r="V90" s="499">
        <v>17467.580000000002</v>
      </c>
      <c r="W90" s="499">
        <v>28704</v>
      </c>
      <c r="X90" s="499">
        <v>18132.740000000002</v>
      </c>
      <c r="Y90" s="499">
        <v>28704</v>
      </c>
      <c r="Z90" s="499">
        <v>17983.490000000002</v>
      </c>
      <c r="AA90" s="495" t="s">
        <v>566</v>
      </c>
      <c r="AB90" s="495" t="s">
        <v>567</v>
      </c>
      <c r="AC90" s="495" t="s">
        <v>568</v>
      </c>
      <c r="AD90" s="495" t="s">
        <v>196</v>
      </c>
      <c r="AE90" s="495" t="s">
        <v>327</v>
      </c>
      <c r="AF90" s="495" t="s">
        <v>222</v>
      </c>
      <c r="AG90" s="495" t="s">
        <v>204</v>
      </c>
      <c r="AH90" s="500">
        <v>13.8</v>
      </c>
      <c r="AI90" s="500">
        <v>10232.700000000001</v>
      </c>
      <c r="AJ90" s="495" t="s">
        <v>205</v>
      </c>
      <c r="AK90" s="495" t="s">
        <v>206</v>
      </c>
      <c r="AL90" s="495" t="s">
        <v>207</v>
      </c>
      <c r="AM90" s="495" t="s">
        <v>208</v>
      </c>
      <c r="AN90" s="495" t="s">
        <v>92</v>
      </c>
      <c r="AO90" s="498">
        <v>80</v>
      </c>
      <c r="AP90" s="504">
        <v>1</v>
      </c>
      <c r="AQ90" s="504">
        <v>1</v>
      </c>
      <c r="AR90" s="502" t="s">
        <v>209</v>
      </c>
      <c r="AS90" s="506">
        <f t="shared" si="98"/>
        <v>1</v>
      </c>
      <c r="AT90">
        <f t="shared" si="99"/>
        <v>1</v>
      </c>
      <c r="AU90" s="506">
        <f>IF(AT90=0,"",IF(AND(AT90=1,M90="F",SUMIF(C2:C177,C90,AS2:AS177)&lt;=1),SUMIF(C2:C177,C90,AS2:AS177),IF(AND(AT90=1,M90="F",SUMIF(C2:C177,C90,AS2:AS177)&gt;1),1,"")))</f>
        <v>1</v>
      </c>
      <c r="AV90" s="506" t="str">
        <f>IF(AT90=0,"",IF(AND(AT90=3,M90="F",SUMIF(C2:C177,C90,AS2:AS177)&lt;=1),SUMIF(C2:C177,C90,AS2:AS177),IF(AND(AT90=3,M90="F",SUMIF(C2:C177,C90,AS2:AS177)&gt;1),1,"")))</f>
        <v/>
      </c>
      <c r="AW90" s="506">
        <f>SUMIF(C2:C177,C90,O2:O177)</f>
        <v>2</v>
      </c>
      <c r="AX90" s="506">
        <f>IF(AND(M90="F",AS90&lt;&gt;0),SUMIF(C2:C177,C90,W2:W177),0)</f>
        <v>28704</v>
      </c>
      <c r="AY90" s="506">
        <f t="shared" si="100"/>
        <v>28704</v>
      </c>
      <c r="AZ90" s="506" t="str">
        <f t="shared" si="101"/>
        <v/>
      </c>
      <c r="BA90" s="506">
        <f t="shared" si="102"/>
        <v>0</v>
      </c>
      <c r="BB90" s="506">
        <f t="shared" si="71"/>
        <v>11650</v>
      </c>
      <c r="BC90" s="506">
        <f t="shared" si="72"/>
        <v>0</v>
      </c>
      <c r="BD90" s="506">
        <f t="shared" si="73"/>
        <v>1779.6479999999999</v>
      </c>
      <c r="BE90" s="506">
        <f t="shared" si="74"/>
        <v>416.20800000000003</v>
      </c>
      <c r="BF90" s="506">
        <f t="shared" si="75"/>
        <v>3427.2576000000004</v>
      </c>
      <c r="BG90" s="506">
        <f t="shared" si="76"/>
        <v>206.95583999999999</v>
      </c>
      <c r="BH90" s="506">
        <f t="shared" si="77"/>
        <v>140.64959999999999</v>
      </c>
      <c r="BI90" s="506">
        <f t="shared" si="78"/>
        <v>158.87664000000001</v>
      </c>
      <c r="BJ90" s="506">
        <f t="shared" si="79"/>
        <v>353.05920000000003</v>
      </c>
      <c r="BK90" s="506">
        <f t="shared" si="80"/>
        <v>0</v>
      </c>
      <c r="BL90" s="506">
        <f t="shared" si="103"/>
        <v>6482.65488</v>
      </c>
      <c r="BM90" s="506">
        <f t="shared" si="104"/>
        <v>0</v>
      </c>
      <c r="BN90" s="506">
        <f t="shared" si="81"/>
        <v>11650</v>
      </c>
      <c r="BO90" s="506">
        <f t="shared" si="82"/>
        <v>0</v>
      </c>
      <c r="BP90" s="506">
        <f t="shared" si="83"/>
        <v>1779.6479999999999</v>
      </c>
      <c r="BQ90" s="506">
        <f t="shared" si="84"/>
        <v>416.20800000000003</v>
      </c>
      <c r="BR90" s="506">
        <f t="shared" si="85"/>
        <v>3427.2576000000004</v>
      </c>
      <c r="BS90" s="506">
        <f t="shared" si="86"/>
        <v>206.95583999999999</v>
      </c>
      <c r="BT90" s="506">
        <f t="shared" si="87"/>
        <v>0</v>
      </c>
      <c r="BU90" s="506">
        <f t="shared" si="88"/>
        <v>158.87664000000001</v>
      </c>
      <c r="BV90" s="506">
        <f t="shared" si="89"/>
        <v>344.44799999999998</v>
      </c>
      <c r="BW90" s="506">
        <f t="shared" si="90"/>
        <v>0</v>
      </c>
      <c r="BX90" s="506">
        <f t="shared" si="105"/>
        <v>6333.3940800000009</v>
      </c>
      <c r="BY90" s="506">
        <f t="shared" si="106"/>
        <v>0</v>
      </c>
      <c r="BZ90" s="506">
        <f t="shared" si="107"/>
        <v>0</v>
      </c>
      <c r="CA90" s="506">
        <f t="shared" si="108"/>
        <v>0</v>
      </c>
      <c r="CB90" s="506">
        <f t="shared" si="109"/>
        <v>0</v>
      </c>
      <c r="CC90" s="506">
        <f t="shared" si="91"/>
        <v>0</v>
      </c>
      <c r="CD90" s="506">
        <f t="shared" si="92"/>
        <v>0</v>
      </c>
      <c r="CE90" s="506">
        <f t="shared" si="93"/>
        <v>0</v>
      </c>
      <c r="CF90" s="506">
        <f t="shared" si="94"/>
        <v>-140.64959999999999</v>
      </c>
      <c r="CG90" s="506">
        <f t="shared" si="95"/>
        <v>0</v>
      </c>
      <c r="CH90" s="506">
        <f t="shared" si="96"/>
        <v>-8.6111999999999984</v>
      </c>
      <c r="CI90" s="506">
        <f t="shared" si="97"/>
        <v>0</v>
      </c>
      <c r="CJ90" s="506">
        <f t="shared" si="110"/>
        <v>-149.26079999999999</v>
      </c>
      <c r="CK90" s="506" t="str">
        <f t="shared" si="111"/>
        <v/>
      </c>
      <c r="CL90" s="506" t="str">
        <f t="shared" si="112"/>
        <v/>
      </c>
      <c r="CM90" s="506" t="str">
        <f t="shared" si="113"/>
        <v/>
      </c>
      <c r="CN90" s="506" t="str">
        <f t="shared" si="114"/>
        <v>0290-00</v>
      </c>
    </row>
    <row r="91" spans="1:92" ht="15.75" thickBot="1" x14ac:dyDescent="0.3">
      <c r="A91" s="495" t="s">
        <v>187</v>
      </c>
      <c r="B91" s="495" t="s">
        <v>188</v>
      </c>
      <c r="C91" s="495" t="s">
        <v>569</v>
      </c>
      <c r="D91" s="495" t="s">
        <v>570</v>
      </c>
      <c r="E91" s="495" t="s">
        <v>191</v>
      </c>
      <c r="F91" s="496" t="s">
        <v>192</v>
      </c>
      <c r="G91" s="495" t="s">
        <v>193</v>
      </c>
      <c r="H91" s="497"/>
      <c r="I91" s="497"/>
      <c r="J91" s="495" t="s">
        <v>194</v>
      </c>
      <c r="K91" s="495" t="s">
        <v>571</v>
      </c>
      <c r="L91" s="495" t="s">
        <v>204</v>
      </c>
      <c r="M91" s="495" t="s">
        <v>197</v>
      </c>
      <c r="N91" s="495" t="s">
        <v>198</v>
      </c>
      <c r="O91" s="498">
        <v>1</v>
      </c>
      <c r="P91" s="504">
        <v>1</v>
      </c>
      <c r="Q91" s="504">
        <v>1</v>
      </c>
      <c r="R91" s="499">
        <v>80</v>
      </c>
      <c r="S91" s="504">
        <v>1</v>
      </c>
      <c r="T91" s="499">
        <v>31949.39</v>
      </c>
      <c r="U91" s="499">
        <v>848.82</v>
      </c>
      <c r="V91" s="499">
        <v>18385.560000000001</v>
      </c>
      <c r="W91" s="499">
        <v>33883.19</v>
      </c>
      <c r="X91" s="499">
        <v>19302.47</v>
      </c>
      <c r="Y91" s="499">
        <v>33883.19</v>
      </c>
      <c r="Z91" s="499">
        <v>19126.28</v>
      </c>
      <c r="AA91" s="495" t="s">
        <v>572</v>
      </c>
      <c r="AB91" s="495" t="s">
        <v>573</v>
      </c>
      <c r="AC91" s="495" t="s">
        <v>574</v>
      </c>
      <c r="AD91" s="495" t="s">
        <v>305</v>
      </c>
      <c r="AE91" s="495" t="s">
        <v>571</v>
      </c>
      <c r="AF91" s="495" t="s">
        <v>274</v>
      </c>
      <c r="AG91" s="495" t="s">
        <v>204</v>
      </c>
      <c r="AH91" s="500">
        <v>16.29</v>
      </c>
      <c r="AI91" s="500">
        <v>18949.5</v>
      </c>
      <c r="AJ91" s="495" t="s">
        <v>205</v>
      </c>
      <c r="AK91" s="495" t="s">
        <v>206</v>
      </c>
      <c r="AL91" s="495" t="s">
        <v>207</v>
      </c>
      <c r="AM91" s="495" t="s">
        <v>208</v>
      </c>
      <c r="AN91" s="495" t="s">
        <v>92</v>
      </c>
      <c r="AO91" s="498">
        <v>80</v>
      </c>
      <c r="AP91" s="504">
        <v>1</v>
      </c>
      <c r="AQ91" s="504">
        <v>1</v>
      </c>
      <c r="AR91" s="502" t="s">
        <v>209</v>
      </c>
      <c r="AS91" s="506">
        <f t="shared" si="98"/>
        <v>1</v>
      </c>
      <c r="AT91">
        <f t="shared" si="99"/>
        <v>1</v>
      </c>
      <c r="AU91" s="506">
        <f>IF(AT91=0,"",IF(AND(AT91=1,M91="F",SUMIF(C2:C177,C91,AS2:AS177)&lt;=1),SUMIF(C2:C177,C91,AS2:AS177),IF(AND(AT91=1,M91="F",SUMIF(C2:C177,C91,AS2:AS177)&gt;1),1,"")))</f>
        <v>1</v>
      </c>
      <c r="AV91" s="506" t="str">
        <f>IF(AT91=0,"",IF(AND(AT91=3,M91="F",SUMIF(C2:C177,C91,AS2:AS177)&lt;=1),SUMIF(C2:C177,C91,AS2:AS177),IF(AND(AT91=3,M91="F",SUMIF(C2:C177,C91,AS2:AS177)&gt;1),1,"")))</f>
        <v/>
      </c>
      <c r="AW91" s="506">
        <f>SUMIF(C2:C177,C91,O2:O177)</f>
        <v>1</v>
      </c>
      <c r="AX91" s="506">
        <f>IF(AND(M91="F",AS91&lt;&gt;0),SUMIF(C2:C177,C91,W2:W177),0)</f>
        <v>33883.19</v>
      </c>
      <c r="AY91" s="506">
        <f t="shared" si="100"/>
        <v>33883.19</v>
      </c>
      <c r="AZ91" s="506" t="str">
        <f t="shared" si="101"/>
        <v/>
      </c>
      <c r="BA91" s="506">
        <f t="shared" si="102"/>
        <v>0</v>
      </c>
      <c r="BB91" s="506">
        <f t="shared" si="71"/>
        <v>11650</v>
      </c>
      <c r="BC91" s="506">
        <f t="shared" si="72"/>
        <v>0</v>
      </c>
      <c r="BD91" s="506">
        <f t="shared" si="73"/>
        <v>2100.7577799999999</v>
      </c>
      <c r="BE91" s="506">
        <f t="shared" si="74"/>
        <v>491.30625500000008</v>
      </c>
      <c r="BF91" s="506">
        <f t="shared" si="75"/>
        <v>4045.6528860000003</v>
      </c>
      <c r="BG91" s="506">
        <f t="shared" si="76"/>
        <v>244.29779990000003</v>
      </c>
      <c r="BH91" s="506">
        <f t="shared" si="77"/>
        <v>166.02763100000001</v>
      </c>
      <c r="BI91" s="506">
        <f t="shared" si="78"/>
        <v>187.54345665000002</v>
      </c>
      <c r="BJ91" s="506">
        <f t="shared" si="79"/>
        <v>416.76323700000006</v>
      </c>
      <c r="BK91" s="506">
        <f t="shared" si="80"/>
        <v>0</v>
      </c>
      <c r="BL91" s="506">
        <f t="shared" si="103"/>
        <v>7652.3490455500005</v>
      </c>
      <c r="BM91" s="506">
        <f t="shared" si="104"/>
        <v>0</v>
      </c>
      <c r="BN91" s="506">
        <f t="shared" si="81"/>
        <v>11650</v>
      </c>
      <c r="BO91" s="506">
        <f t="shared" si="82"/>
        <v>0</v>
      </c>
      <c r="BP91" s="506">
        <f t="shared" si="83"/>
        <v>2100.7577799999999</v>
      </c>
      <c r="BQ91" s="506">
        <f t="shared" si="84"/>
        <v>491.30625500000008</v>
      </c>
      <c r="BR91" s="506">
        <f t="shared" si="85"/>
        <v>4045.6528860000003</v>
      </c>
      <c r="BS91" s="506">
        <f t="shared" si="86"/>
        <v>244.29779990000003</v>
      </c>
      <c r="BT91" s="506">
        <f t="shared" si="87"/>
        <v>0</v>
      </c>
      <c r="BU91" s="506">
        <f t="shared" si="88"/>
        <v>187.54345665000002</v>
      </c>
      <c r="BV91" s="506">
        <f t="shared" si="89"/>
        <v>406.59828000000005</v>
      </c>
      <c r="BW91" s="506">
        <f t="shared" si="90"/>
        <v>0</v>
      </c>
      <c r="BX91" s="506">
        <f t="shared" si="105"/>
        <v>7476.1564575500006</v>
      </c>
      <c r="BY91" s="506">
        <f t="shared" si="106"/>
        <v>0</v>
      </c>
      <c r="BZ91" s="506">
        <f t="shared" si="107"/>
        <v>0</v>
      </c>
      <c r="CA91" s="506">
        <f t="shared" si="108"/>
        <v>0</v>
      </c>
      <c r="CB91" s="506">
        <f t="shared" si="109"/>
        <v>0</v>
      </c>
      <c r="CC91" s="506">
        <f t="shared" si="91"/>
        <v>0</v>
      </c>
      <c r="CD91" s="506">
        <f t="shared" si="92"/>
        <v>0</v>
      </c>
      <c r="CE91" s="506">
        <f t="shared" si="93"/>
        <v>0</v>
      </c>
      <c r="CF91" s="506">
        <f t="shared" si="94"/>
        <v>-166.02763100000001</v>
      </c>
      <c r="CG91" s="506">
        <f t="shared" si="95"/>
        <v>0</v>
      </c>
      <c r="CH91" s="506">
        <f t="shared" si="96"/>
        <v>-10.164956999999998</v>
      </c>
      <c r="CI91" s="506">
        <f t="shared" si="97"/>
        <v>0</v>
      </c>
      <c r="CJ91" s="506">
        <f t="shared" si="110"/>
        <v>-176.192588</v>
      </c>
      <c r="CK91" s="506" t="str">
        <f t="shared" si="111"/>
        <v/>
      </c>
      <c r="CL91" s="506" t="str">
        <f t="shared" si="112"/>
        <v/>
      </c>
      <c r="CM91" s="506" t="str">
        <f t="shared" si="113"/>
        <v/>
      </c>
      <c r="CN91" s="506" t="str">
        <f t="shared" si="114"/>
        <v>0290-00</v>
      </c>
    </row>
    <row r="92" spans="1:92" ht="15.75" thickBot="1" x14ac:dyDescent="0.3">
      <c r="A92" s="495" t="s">
        <v>187</v>
      </c>
      <c r="B92" s="495" t="s">
        <v>188</v>
      </c>
      <c r="C92" s="495" t="s">
        <v>575</v>
      </c>
      <c r="D92" s="495" t="s">
        <v>576</v>
      </c>
      <c r="E92" s="495" t="s">
        <v>191</v>
      </c>
      <c r="F92" s="496" t="s">
        <v>192</v>
      </c>
      <c r="G92" s="495" t="s">
        <v>193</v>
      </c>
      <c r="H92" s="497"/>
      <c r="I92" s="497"/>
      <c r="J92" s="495" t="s">
        <v>358</v>
      </c>
      <c r="K92" s="495" t="s">
        <v>577</v>
      </c>
      <c r="L92" s="495" t="s">
        <v>192</v>
      </c>
      <c r="M92" s="495" t="s">
        <v>197</v>
      </c>
      <c r="N92" s="495" t="s">
        <v>578</v>
      </c>
      <c r="O92" s="498">
        <v>1</v>
      </c>
      <c r="P92" s="504">
        <v>0.97</v>
      </c>
      <c r="Q92" s="504">
        <v>0.97</v>
      </c>
      <c r="R92" s="499">
        <v>80</v>
      </c>
      <c r="S92" s="504">
        <v>0.97</v>
      </c>
      <c r="T92" s="499">
        <v>102630.88</v>
      </c>
      <c r="U92" s="499">
        <v>0</v>
      </c>
      <c r="V92" s="499">
        <v>31970.560000000001</v>
      </c>
      <c r="W92" s="499">
        <v>104430.94</v>
      </c>
      <c r="X92" s="499">
        <v>34307.629999999997</v>
      </c>
      <c r="Y92" s="499">
        <v>104430.94</v>
      </c>
      <c r="Z92" s="499">
        <v>33764.589999999997</v>
      </c>
      <c r="AA92" s="495" t="s">
        <v>579</v>
      </c>
      <c r="AB92" s="495" t="s">
        <v>580</v>
      </c>
      <c r="AC92" s="495" t="s">
        <v>581</v>
      </c>
      <c r="AD92" s="495" t="s">
        <v>301</v>
      </c>
      <c r="AE92" s="495" t="s">
        <v>577</v>
      </c>
      <c r="AF92" s="495" t="s">
        <v>582</v>
      </c>
      <c r="AG92" s="495" t="s">
        <v>204</v>
      </c>
      <c r="AH92" s="500">
        <v>51.76</v>
      </c>
      <c r="AI92" s="498">
        <v>14920</v>
      </c>
      <c r="AJ92" s="495" t="s">
        <v>205</v>
      </c>
      <c r="AK92" s="495" t="s">
        <v>206</v>
      </c>
      <c r="AL92" s="495" t="s">
        <v>207</v>
      </c>
      <c r="AM92" s="495" t="s">
        <v>208</v>
      </c>
      <c r="AN92" s="495" t="s">
        <v>92</v>
      </c>
      <c r="AO92" s="498">
        <v>80</v>
      </c>
      <c r="AP92" s="504">
        <v>1</v>
      </c>
      <c r="AQ92" s="504">
        <v>0.97</v>
      </c>
      <c r="AR92" s="502" t="s">
        <v>209</v>
      </c>
      <c r="AS92" s="506">
        <f t="shared" si="98"/>
        <v>0.97</v>
      </c>
      <c r="AT92">
        <f t="shared" si="99"/>
        <v>1</v>
      </c>
      <c r="AU92" s="506">
        <f>IF(AT92=0,"",IF(AND(AT92=1,M92="F",SUMIF(C2:C177,C92,AS2:AS177)&lt;=1),SUMIF(C2:C177,C92,AS2:AS177),IF(AND(AT92=1,M92="F",SUMIF(C2:C177,C92,AS2:AS177)&gt;1),1,"")))</f>
        <v>1</v>
      </c>
      <c r="AV92" s="506" t="str">
        <f>IF(AT92=0,"",IF(AND(AT92=3,M92="F",SUMIF(C2:C177,C92,AS2:AS177)&lt;=1),SUMIF(C2:C177,C92,AS2:AS177),IF(AND(AT92=3,M92="F",SUMIF(C2:C177,C92,AS2:AS177)&gt;1),1,"")))</f>
        <v/>
      </c>
      <c r="AW92" s="506">
        <f>SUMIF(C2:C177,C92,O2:O177)</f>
        <v>2</v>
      </c>
      <c r="AX92" s="506">
        <f>IF(AND(M92="F",AS92&lt;&gt;0),SUMIF(C2:C177,C92,W2:W177),0)</f>
        <v>107660.76000000001</v>
      </c>
      <c r="AY92" s="506">
        <f t="shared" si="100"/>
        <v>104430.94</v>
      </c>
      <c r="AZ92" s="506" t="str">
        <f t="shared" si="101"/>
        <v/>
      </c>
      <c r="BA92" s="506">
        <f t="shared" si="102"/>
        <v>0</v>
      </c>
      <c r="BB92" s="506">
        <f t="shared" si="71"/>
        <v>11300.5</v>
      </c>
      <c r="BC92" s="506">
        <f t="shared" si="72"/>
        <v>0</v>
      </c>
      <c r="BD92" s="506">
        <f t="shared" si="73"/>
        <v>6474.71828</v>
      </c>
      <c r="BE92" s="506">
        <f t="shared" si="74"/>
        <v>1514.24863</v>
      </c>
      <c r="BF92" s="506">
        <f t="shared" si="75"/>
        <v>12469.054236000002</v>
      </c>
      <c r="BG92" s="506">
        <f t="shared" si="76"/>
        <v>752.94707740000001</v>
      </c>
      <c r="BH92" s="506">
        <f t="shared" si="77"/>
        <v>511.71160600000002</v>
      </c>
      <c r="BI92" s="506">
        <f t="shared" si="78"/>
        <v>0</v>
      </c>
      <c r="BJ92" s="506">
        <f t="shared" si="79"/>
        <v>1284.5005619999999</v>
      </c>
      <c r="BK92" s="506">
        <f t="shared" si="80"/>
        <v>0</v>
      </c>
      <c r="BL92" s="506">
        <f t="shared" si="103"/>
        <v>23007.180391400005</v>
      </c>
      <c r="BM92" s="506">
        <f t="shared" si="104"/>
        <v>0</v>
      </c>
      <c r="BN92" s="506">
        <f t="shared" si="81"/>
        <v>11300.5</v>
      </c>
      <c r="BO92" s="506">
        <f t="shared" si="82"/>
        <v>0</v>
      </c>
      <c r="BP92" s="506">
        <f t="shared" si="83"/>
        <v>6474.71828</v>
      </c>
      <c r="BQ92" s="506">
        <f t="shared" si="84"/>
        <v>1514.24863</v>
      </c>
      <c r="BR92" s="506">
        <f t="shared" si="85"/>
        <v>12469.054236000002</v>
      </c>
      <c r="BS92" s="506">
        <f t="shared" si="86"/>
        <v>752.94707740000001</v>
      </c>
      <c r="BT92" s="506">
        <f t="shared" si="87"/>
        <v>0</v>
      </c>
      <c r="BU92" s="506">
        <f t="shared" si="88"/>
        <v>0</v>
      </c>
      <c r="BV92" s="506">
        <f t="shared" si="89"/>
        <v>1253.17128</v>
      </c>
      <c r="BW92" s="506">
        <f t="shared" si="90"/>
        <v>0</v>
      </c>
      <c r="BX92" s="506">
        <f t="shared" si="105"/>
        <v>22464.139503400002</v>
      </c>
      <c r="BY92" s="506">
        <f t="shared" si="106"/>
        <v>0</v>
      </c>
      <c r="BZ92" s="506">
        <f t="shared" si="107"/>
        <v>0</v>
      </c>
      <c r="CA92" s="506">
        <f t="shared" si="108"/>
        <v>0</v>
      </c>
      <c r="CB92" s="506">
        <f t="shared" si="109"/>
        <v>0</v>
      </c>
      <c r="CC92" s="506">
        <f t="shared" si="91"/>
        <v>0</v>
      </c>
      <c r="CD92" s="506">
        <f t="shared" si="92"/>
        <v>0</v>
      </c>
      <c r="CE92" s="506">
        <f t="shared" si="93"/>
        <v>0</v>
      </c>
      <c r="CF92" s="506">
        <f t="shared" si="94"/>
        <v>-511.71160600000002</v>
      </c>
      <c r="CG92" s="506">
        <f t="shared" si="95"/>
        <v>0</v>
      </c>
      <c r="CH92" s="506">
        <f t="shared" si="96"/>
        <v>-31.329281999999992</v>
      </c>
      <c r="CI92" s="506">
        <f t="shared" si="97"/>
        <v>0</v>
      </c>
      <c r="CJ92" s="506">
        <f t="shared" si="110"/>
        <v>-543.040888</v>
      </c>
      <c r="CK92" s="506" t="str">
        <f t="shared" si="111"/>
        <v/>
      </c>
      <c r="CL92" s="506" t="str">
        <f t="shared" si="112"/>
        <v/>
      </c>
      <c r="CM92" s="506" t="str">
        <f t="shared" si="113"/>
        <v/>
      </c>
      <c r="CN92" s="506" t="str">
        <f t="shared" si="114"/>
        <v>0290-00</v>
      </c>
    </row>
    <row r="93" spans="1:92" ht="15.75" thickBot="1" x14ac:dyDescent="0.3">
      <c r="A93" s="495" t="s">
        <v>187</v>
      </c>
      <c r="B93" s="495" t="s">
        <v>188</v>
      </c>
      <c r="C93" s="495" t="s">
        <v>583</v>
      </c>
      <c r="D93" s="495" t="s">
        <v>268</v>
      </c>
      <c r="E93" s="495" t="s">
        <v>191</v>
      </c>
      <c r="F93" s="496" t="s">
        <v>192</v>
      </c>
      <c r="G93" s="495" t="s">
        <v>193</v>
      </c>
      <c r="H93" s="497"/>
      <c r="I93" s="497"/>
      <c r="J93" s="495" t="s">
        <v>230</v>
      </c>
      <c r="K93" s="495" t="s">
        <v>269</v>
      </c>
      <c r="L93" s="495" t="s">
        <v>204</v>
      </c>
      <c r="M93" s="495" t="s">
        <v>197</v>
      </c>
      <c r="N93" s="495" t="s">
        <v>198</v>
      </c>
      <c r="O93" s="498">
        <v>1</v>
      </c>
      <c r="P93" s="504">
        <v>1</v>
      </c>
      <c r="Q93" s="504">
        <v>1</v>
      </c>
      <c r="R93" s="499">
        <v>80</v>
      </c>
      <c r="S93" s="504">
        <v>1</v>
      </c>
      <c r="T93" s="499">
        <v>28249.74</v>
      </c>
      <c r="U93" s="499">
        <v>0</v>
      </c>
      <c r="V93" s="499">
        <v>17446.91</v>
      </c>
      <c r="W93" s="499">
        <v>31304</v>
      </c>
      <c r="X93" s="499">
        <v>18719.919999999998</v>
      </c>
      <c r="Y93" s="499">
        <v>31304</v>
      </c>
      <c r="Z93" s="499">
        <v>18557.16</v>
      </c>
      <c r="AA93" s="495" t="s">
        <v>584</v>
      </c>
      <c r="AB93" s="495" t="s">
        <v>585</v>
      </c>
      <c r="AC93" s="495" t="s">
        <v>586</v>
      </c>
      <c r="AD93" s="495" t="s">
        <v>202</v>
      </c>
      <c r="AE93" s="495" t="s">
        <v>269</v>
      </c>
      <c r="AF93" s="495" t="s">
        <v>274</v>
      </c>
      <c r="AG93" s="495" t="s">
        <v>204</v>
      </c>
      <c r="AH93" s="500">
        <v>15.05</v>
      </c>
      <c r="AI93" s="500">
        <v>18130.099999999999</v>
      </c>
      <c r="AJ93" s="495" t="s">
        <v>205</v>
      </c>
      <c r="AK93" s="495" t="s">
        <v>206</v>
      </c>
      <c r="AL93" s="495" t="s">
        <v>207</v>
      </c>
      <c r="AM93" s="495" t="s">
        <v>208</v>
      </c>
      <c r="AN93" s="495" t="s">
        <v>92</v>
      </c>
      <c r="AO93" s="498">
        <v>80</v>
      </c>
      <c r="AP93" s="504">
        <v>1</v>
      </c>
      <c r="AQ93" s="504">
        <v>1</v>
      </c>
      <c r="AR93" s="502" t="s">
        <v>209</v>
      </c>
      <c r="AS93" s="506">
        <f t="shared" si="98"/>
        <v>1</v>
      </c>
      <c r="AT93">
        <f t="shared" si="99"/>
        <v>1</v>
      </c>
      <c r="AU93" s="506">
        <f>IF(AT93=0,"",IF(AND(AT93=1,M93="F",SUMIF(C2:C177,C93,AS2:AS177)&lt;=1),SUMIF(C2:C177,C93,AS2:AS177),IF(AND(AT93=1,M93="F",SUMIF(C2:C177,C93,AS2:AS177)&gt;1),1,"")))</f>
        <v>1</v>
      </c>
      <c r="AV93" s="506" t="str">
        <f>IF(AT93=0,"",IF(AND(AT93=3,M93="F",SUMIF(C2:C177,C93,AS2:AS177)&lt;=1),SUMIF(C2:C177,C93,AS2:AS177),IF(AND(AT93=3,M93="F",SUMIF(C2:C177,C93,AS2:AS177)&gt;1),1,"")))</f>
        <v/>
      </c>
      <c r="AW93" s="506">
        <f>SUMIF(C2:C177,C93,O2:O177)</f>
        <v>1</v>
      </c>
      <c r="AX93" s="506">
        <f>IF(AND(M93="F",AS93&lt;&gt;0),SUMIF(C2:C177,C93,W2:W177),0)</f>
        <v>31304</v>
      </c>
      <c r="AY93" s="506">
        <f t="shared" si="100"/>
        <v>31304</v>
      </c>
      <c r="AZ93" s="506" t="str">
        <f t="shared" si="101"/>
        <v/>
      </c>
      <c r="BA93" s="506">
        <f t="shared" si="102"/>
        <v>0</v>
      </c>
      <c r="BB93" s="506">
        <f t="shared" si="71"/>
        <v>11650</v>
      </c>
      <c r="BC93" s="506">
        <f t="shared" si="72"/>
        <v>0</v>
      </c>
      <c r="BD93" s="506">
        <f t="shared" si="73"/>
        <v>1940.848</v>
      </c>
      <c r="BE93" s="506">
        <f t="shared" si="74"/>
        <v>453.90800000000002</v>
      </c>
      <c r="BF93" s="506">
        <f t="shared" si="75"/>
        <v>3737.6976</v>
      </c>
      <c r="BG93" s="506">
        <f t="shared" si="76"/>
        <v>225.70184</v>
      </c>
      <c r="BH93" s="506">
        <f t="shared" si="77"/>
        <v>153.3896</v>
      </c>
      <c r="BI93" s="506">
        <f t="shared" si="78"/>
        <v>173.26764</v>
      </c>
      <c r="BJ93" s="506">
        <f t="shared" si="79"/>
        <v>385.03919999999999</v>
      </c>
      <c r="BK93" s="506">
        <f t="shared" si="80"/>
        <v>0</v>
      </c>
      <c r="BL93" s="506">
        <f t="shared" si="103"/>
        <v>7069.8518800000002</v>
      </c>
      <c r="BM93" s="506">
        <f t="shared" si="104"/>
        <v>0</v>
      </c>
      <c r="BN93" s="506">
        <f t="shared" si="81"/>
        <v>11650</v>
      </c>
      <c r="BO93" s="506">
        <f t="shared" si="82"/>
        <v>0</v>
      </c>
      <c r="BP93" s="506">
        <f t="shared" si="83"/>
        <v>1940.848</v>
      </c>
      <c r="BQ93" s="506">
        <f t="shared" si="84"/>
        <v>453.90800000000002</v>
      </c>
      <c r="BR93" s="506">
        <f t="shared" si="85"/>
        <v>3737.6976</v>
      </c>
      <c r="BS93" s="506">
        <f t="shared" si="86"/>
        <v>225.70184</v>
      </c>
      <c r="BT93" s="506">
        <f t="shared" si="87"/>
        <v>0</v>
      </c>
      <c r="BU93" s="506">
        <f t="shared" si="88"/>
        <v>173.26764</v>
      </c>
      <c r="BV93" s="506">
        <f t="shared" si="89"/>
        <v>375.64800000000002</v>
      </c>
      <c r="BW93" s="506">
        <f t="shared" si="90"/>
        <v>0</v>
      </c>
      <c r="BX93" s="506">
        <f t="shared" si="105"/>
        <v>6907.0710799999997</v>
      </c>
      <c r="BY93" s="506">
        <f t="shared" si="106"/>
        <v>0</v>
      </c>
      <c r="BZ93" s="506">
        <f t="shared" si="107"/>
        <v>0</v>
      </c>
      <c r="CA93" s="506">
        <f t="shared" si="108"/>
        <v>0</v>
      </c>
      <c r="CB93" s="506">
        <f t="shared" si="109"/>
        <v>0</v>
      </c>
      <c r="CC93" s="506">
        <f t="shared" si="91"/>
        <v>0</v>
      </c>
      <c r="CD93" s="506">
        <f t="shared" si="92"/>
        <v>0</v>
      </c>
      <c r="CE93" s="506">
        <f t="shared" si="93"/>
        <v>0</v>
      </c>
      <c r="CF93" s="506">
        <f t="shared" si="94"/>
        <v>-153.3896</v>
      </c>
      <c r="CG93" s="506">
        <f t="shared" si="95"/>
        <v>0</v>
      </c>
      <c r="CH93" s="506">
        <f t="shared" si="96"/>
        <v>-9.3911999999999978</v>
      </c>
      <c r="CI93" s="506">
        <f t="shared" si="97"/>
        <v>0</v>
      </c>
      <c r="CJ93" s="506">
        <f t="shared" si="110"/>
        <v>-162.7808</v>
      </c>
      <c r="CK93" s="506" t="str">
        <f t="shared" si="111"/>
        <v/>
      </c>
      <c r="CL93" s="506" t="str">
        <f t="shared" si="112"/>
        <v/>
      </c>
      <c r="CM93" s="506" t="str">
        <f t="shared" si="113"/>
        <v/>
      </c>
      <c r="CN93" s="506" t="str">
        <f t="shared" si="114"/>
        <v>0290-00</v>
      </c>
    </row>
    <row r="94" spans="1:92" ht="15.75" thickBot="1" x14ac:dyDescent="0.3">
      <c r="A94" s="495" t="s">
        <v>187</v>
      </c>
      <c r="B94" s="495" t="s">
        <v>188</v>
      </c>
      <c r="C94" s="495" t="s">
        <v>587</v>
      </c>
      <c r="D94" s="495" t="s">
        <v>326</v>
      </c>
      <c r="E94" s="495" t="s">
        <v>191</v>
      </c>
      <c r="F94" s="496" t="s">
        <v>192</v>
      </c>
      <c r="G94" s="495" t="s">
        <v>193</v>
      </c>
      <c r="H94" s="497"/>
      <c r="I94" s="497"/>
      <c r="J94" s="495" t="s">
        <v>248</v>
      </c>
      <c r="K94" s="495" t="s">
        <v>327</v>
      </c>
      <c r="L94" s="495" t="s">
        <v>218</v>
      </c>
      <c r="M94" s="495" t="s">
        <v>213</v>
      </c>
      <c r="N94" s="495" t="s">
        <v>198</v>
      </c>
      <c r="O94" s="498">
        <v>0</v>
      </c>
      <c r="P94" s="504">
        <v>1</v>
      </c>
      <c r="Q94" s="504">
        <v>1</v>
      </c>
      <c r="R94" s="499">
        <v>80</v>
      </c>
      <c r="S94" s="504">
        <v>1</v>
      </c>
      <c r="T94" s="499">
        <v>17154.38</v>
      </c>
      <c r="U94" s="499">
        <v>0</v>
      </c>
      <c r="V94" s="499">
        <v>12350.06</v>
      </c>
      <c r="W94" s="499">
        <v>27851.200000000001</v>
      </c>
      <c r="X94" s="499">
        <v>12198.81</v>
      </c>
      <c r="Y94" s="499">
        <v>27851.200000000001</v>
      </c>
      <c r="Z94" s="499">
        <v>12059.55</v>
      </c>
      <c r="AA94" s="497"/>
      <c r="AB94" s="495" t="s">
        <v>23</v>
      </c>
      <c r="AC94" s="495" t="s">
        <v>23</v>
      </c>
      <c r="AD94" s="497"/>
      <c r="AE94" s="497"/>
      <c r="AF94" s="497"/>
      <c r="AG94" s="497"/>
      <c r="AH94" s="498">
        <v>0</v>
      </c>
      <c r="AI94" s="498">
        <v>0</v>
      </c>
      <c r="AJ94" s="497"/>
      <c r="AK94" s="497"/>
      <c r="AL94" s="495" t="s">
        <v>207</v>
      </c>
      <c r="AM94" s="497"/>
      <c r="AN94" s="497"/>
      <c r="AO94" s="498">
        <v>0</v>
      </c>
      <c r="AP94" s="504">
        <v>0</v>
      </c>
      <c r="AQ94" s="504">
        <v>0</v>
      </c>
      <c r="AR94" s="503"/>
      <c r="AS94" s="506">
        <f t="shared" si="98"/>
        <v>0</v>
      </c>
      <c r="AT94">
        <f t="shared" si="99"/>
        <v>0</v>
      </c>
      <c r="AU94" s="506" t="str">
        <f>IF(AT94=0,"",IF(AND(AT94=1,M94="F",SUMIF(C2:C177,C94,AS2:AS177)&lt;=1),SUMIF(C2:C177,C94,AS2:AS177),IF(AND(AT94=1,M94="F",SUMIF(C2:C177,C94,AS2:AS177)&gt;1),1,"")))</f>
        <v/>
      </c>
      <c r="AV94" s="506" t="str">
        <f>IF(AT94=0,"",IF(AND(AT94=3,M94="F",SUMIF(C2:C177,C94,AS2:AS177)&lt;=1),SUMIF(C2:C177,C94,AS2:AS177),IF(AND(AT94=3,M94="F",SUMIF(C2:C177,C94,AS2:AS177)&gt;1),1,"")))</f>
        <v/>
      </c>
      <c r="AW94" s="506">
        <f>SUMIF(C2:C177,C94,O2:O177)</f>
        <v>0</v>
      </c>
      <c r="AX94" s="506">
        <f>IF(AND(M94="F",AS94&lt;&gt;0),SUMIF(C2:C177,C94,W2:W177),0)</f>
        <v>0</v>
      </c>
      <c r="AY94" s="506" t="str">
        <f t="shared" si="100"/>
        <v/>
      </c>
      <c r="AZ94" s="506" t="str">
        <f t="shared" si="101"/>
        <v/>
      </c>
      <c r="BA94" s="506">
        <f t="shared" si="102"/>
        <v>0</v>
      </c>
      <c r="BB94" s="506">
        <f t="shared" si="71"/>
        <v>0</v>
      </c>
      <c r="BC94" s="506">
        <f t="shared" si="72"/>
        <v>0</v>
      </c>
      <c r="BD94" s="506">
        <f t="shared" si="73"/>
        <v>0</v>
      </c>
      <c r="BE94" s="506">
        <f t="shared" si="74"/>
        <v>0</v>
      </c>
      <c r="BF94" s="506">
        <f t="shared" si="75"/>
        <v>0</v>
      </c>
      <c r="BG94" s="506">
        <f t="shared" si="76"/>
        <v>0</v>
      </c>
      <c r="BH94" s="506">
        <f t="shared" si="77"/>
        <v>0</v>
      </c>
      <c r="BI94" s="506">
        <f t="shared" si="78"/>
        <v>0</v>
      </c>
      <c r="BJ94" s="506">
        <f t="shared" si="79"/>
        <v>0</v>
      </c>
      <c r="BK94" s="506">
        <f t="shared" si="80"/>
        <v>0</v>
      </c>
      <c r="BL94" s="506">
        <f t="shared" si="103"/>
        <v>0</v>
      </c>
      <c r="BM94" s="506">
        <f t="shared" si="104"/>
        <v>0</v>
      </c>
      <c r="BN94" s="506">
        <f t="shared" si="81"/>
        <v>0</v>
      </c>
      <c r="BO94" s="506">
        <f t="shared" si="82"/>
        <v>0</v>
      </c>
      <c r="BP94" s="506">
        <f t="shared" si="83"/>
        <v>0</v>
      </c>
      <c r="BQ94" s="506">
        <f t="shared" si="84"/>
        <v>0</v>
      </c>
      <c r="BR94" s="506">
        <f t="shared" si="85"/>
        <v>0</v>
      </c>
      <c r="BS94" s="506">
        <f t="shared" si="86"/>
        <v>0</v>
      </c>
      <c r="BT94" s="506">
        <f t="shared" si="87"/>
        <v>0</v>
      </c>
      <c r="BU94" s="506">
        <f t="shared" si="88"/>
        <v>0</v>
      </c>
      <c r="BV94" s="506">
        <f t="shared" si="89"/>
        <v>0</v>
      </c>
      <c r="BW94" s="506">
        <f t="shared" si="90"/>
        <v>0</v>
      </c>
      <c r="BX94" s="506">
        <f t="shared" si="105"/>
        <v>0</v>
      </c>
      <c r="BY94" s="506">
        <f t="shared" si="106"/>
        <v>0</v>
      </c>
      <c r="BZ94" s="506">
        <f t="shared" si="107"/>
        <v>0</v>
      </c>
      <c r="CA94" s="506">
        <f t="shared" si="108"/>
        <v>0</v>
      </c>
      <c r="CB94" s="506">
        <f t="shared" si="109"/>
        <v>0</v>
      </c>
      <c r="CC94" s="506">
        <f t="shared" si="91"/>
        <v>0</v>
      </c>
      <c r="CD94" s="506">
        <f t="shared" si="92"/>
        <v>0</v>
      </c>
      <c r="CE94" s="506">
        <f t="shared" si="93"/>
        <v>0</v>
      </c>
      <c r="CF94" s="506">
        <f t="shared" si="94"/>
        <v>0</v>
      </c>
      <c r="CG94" s="506">
        <f t="shared" si="95"/>
        <v>0</v>
      </c>
      <c r="CH94" s="506">
        <f t="shared" si="96"/>
        <v>0</v>
      </c>
      <c r="CI94" s="506">
        <f t="shared" si="97"/>
        <v>0</v>
      </c>
      <c r="CJ94" s="506">
        <f t="shared" si="110"/>
        <v>0</v>
      </c>
      <c r="CK94" s="506" t="str">
        <f t="shared" si="111"/>
        <v/>
      </c>
      <c r="CL94" s="506" t="str">
        <f t="shared" si="112"/>
        <v/>
      </c>
      <c r="CM94" s="506" t="str">
        <f t="shared" si="113"/>
        <v/>
      </c>
      <c r="CN94" s="506" t="str">
        <f t="shared" si="114"/>
        <v>0290-00</v>
      </c>
    </row>
    <row r="95" spans="1:92" ht="15.75" thickBot="1" x14ac:dyDescent="0.3">
      <c r="A95" s="495" t="s">
        <v>187</v>
      </c>
      <c r="B95" s="495" t="s">
        <v>188</v>
      </c>
      <c r="C95" s="495" t="s">
        <v>588</v>
      </c>
      <c r="D95" s="495" t="s">
        <v>215</v>
      </c>
      <c r="E95" s="495" t="s">
        <v>191</v>
      </c>
      <c r="F95" s="496" t="s">
        <v>192</v>
      </c>
      <c r="G95" s="495" t="s">
        <v>193</v>
      </c>
      <c r="H95" s="497"/>
      <c r="I95" s="497"/>
      <c r="J95" s="495" t="s">
        <v>277</v>
      </c>
      <c r="K95" s="495" t="s">
        <v>217</v>
      </c>
      <c r="L95" s="495" t="s">
        <v>218</v>
      </c>
      <c r="M95" s="495" t="s">
        <v>197</v>
      </c>
      <c r="N95" s="495" t="s">
        <v>198</v>
      </c>
      <c r="O95" s="498">
        <v>1</v>
      </c>
      <c r="P95" s="504">
        <v>1</v>
      </c>
      <c r="Q95" s="504">
        <v>1</v>
      </c>
      <c r="R95" s="499">
        <v>80</v>
      </c>
      <c r="S95" s="504">
        <v>1</v>
      </c>
      <c r="T95" s="499">
        <v>27784.63</v>
      </c>
      <c r="U95" s="499">
        <v>0</v>
      </c>
      <c r="V95" s="499">
        <v>17525.240000000002</v>
      </c>
      <c r="W95" s="499">
        <v>28745.599999999999</v>
      </c>
      <c r="X95" s="499">
        <v>18142.12</v>
      </c>
      <c r="Y95" s="499">
        <v>28745.599999999999</v>
      </c>
      <c r="Z95" s="499">
        <v>17992.64</v>
      </c>
      <c r="AA95" s="495" t="s">
        <v>589</v>
      </c>
      <c r="AB95" s="495" t="s">
        <v>590</v>
      </c>
      <c r="AC95" s="495" t="s">
        <v>591</v>
      </c>
      <c r="AD95" s="495" t="s">
        <v>242</v>
      </c>
      <c r="AE95" s="495" t="s">
        <v>217</v>
      </c>
      <c r="AF95" s="495" t="s">
        <v>222</v>
      </c>
      <c r="AG95" s="495" t="s">
        <v>204</v>
      </c>
      <c r="AH95" s="500">
        <v>13.82</v>
      </c>
      <c r="AI95" s="500">
        <v>6296.3</v>
      </c>
      <c r="AJ95" s="495" t="s">
        <v>205</v>
      </c>
      <c r="AK95" s="495" t="s">
        <v>206</v>
      </c>
      <c r="AL95" s="495" t="s">
        <v>207</v>
      </c>
      <c r="AM95" s="495" t="s">
        <v>208</v>
      </c>
      <c r="AN95" s="495" t="s">
        <v>92</v>
      </c>
      <c r="AO95" s="498">
        <v>80</v>
      </c>
      <c r="AP95" s="504">
        <v>1</v>
      </c>
      <c r="AQ95" s="504">
        <v>1</v>
      </c>
      <c r="AR95" s="502" t="s">
        <v>209</v>
      </c>
      <c r="AS95" s="506">
        <f t="shared" si="98"/>
        <v>1</v>
      </c>
      <c r="AT95">
        <f t="shared" si="99"/>
        <v>1</v>
      </c>
      <c r="AU95" s="506">
        <f>IF(AT95=0,"",IF(AND(AT95=1,M95="F",SUMIF(C2:C177,C95,AS2:AS177)&lt;=1),SUMIF(C2:C177,C95,AS2:AS177),IF(AND(AT95=1,M95="F",SUMIF(C2:C177,C95,AS2:AS177)&gt;1),1,"")))</f>
        <v>1</v>
      </c>
      <c r="AV95" s="506" t="str">
        <f>IF(AT95=0,"",IF(AND(AT95=3,M95="F",SUMIF(C2:C177,C95,AS2:AS177)&lt;=1),SUMIF(C2:C177,C95,AS2:AS177),IF(AND(AT95=3,M95="F",SUMIF(C2:C177,C95,AS2:AS177)&gt;1),1,"")))</f>
        <v/>
      </c>
      <c r="AW95" s="506">
        <f>SUMIF(C2:C177,C95,O2:O177)</f>
        <v>1</v>
      </c>
      <c r="AX95" s="506">
        <f>IF(AND(M95="F",AS95&lt;&gt;0),SUMIF(C2:C177,C95,W2:W177),0)</f>
        <v>28745.599999999999</v>
      </c>
      <c r="AY95" s="506">
        <f t="shared" si="100"/>
        <v>28745.599999999999</v>
      </c>
      <c r="AZ95" s="506" t="str">
        <f t="shared" si="101"/>
        <v/>
      </c>
      <c r="BA95" s="506">
        <f t="shared" si="102"/>
        <v>0</v>
      </c>
      <c r="BB95" s="506">
        <f t="shared" si="71"/>
        <v>11650</v>
      </c>
      <c r="BC95" s="506">
        <f t="shared" si="72"/>
        <v>0</v>
      </c>
      <c r="BD95" s="506">
        <f t="shared" si="73"/>
        <v>1782.2271999999998</v>
      </c>
      <c r="BE95" s="506">
        <f t="shared" si="74"/>
        <v>416.81119999999999</v>
      </c>
      <c r="BF95" s="506">
        <f t="shared" si="75"/>
        <v>3432.2246399999999</v>
      </c>
      <c r="BG95" s="506">
        <f t="shared" si="76"/>
        <v>207.255776</v>
      </c>
      <c r="BH95" s="506">
        <f t="shared" si="77"/>
        <v>140.85343999999998</v>
      </c>
      <c r="BI95" s="506">
        <f t="shared" si="78"/>
        <v>159.10689599999998</v>
      </c>
      <c r="BJ95" s="506">
        <f t="shared" si="79"/>
        <v>353.57087999999999</v>
      </c>
      <c r="BK95" s="506">
        <f t="shared" si="80"/>
        <v>0</v>
      </c>
      <c r="BL95" s="506">
        <f t="shared" si="103"/>
        <v>6492.0500320000001</v>
      </c>
      <c r="BM95" s="506">
        <f t="shared" si="104"/>
        <v>0</v>
      </c>
      <c r="BN95" s="506">
        <f t="shared" si="81"/>
        <v>11650</v>
      </c>
      <c r="BO95" s="506">
        <f t="shared" si="82"/>
        <v>0</v>
      </c>
      <c r="BP95" s="506">
        <f t="shared" si="83"/>
        <v>1782.2271999999998</v>
      </c>
      <c r="BQ95" s="506">
        <f t="shared" si="84"/>
        <v>416.81119999999999</v>
      </c>
      <c r="BR95" s="506">
        <f t="shared" si="85"/>
        <v>3432.2246399999999</v>
      </c>
      <c r="BS95" s="506">
        <f t="shared" si="86"/>
        <v>207.255776</v>
      </c>
      <c r="BT95" s="506">
        <f t="shared" si="87"/>
        <v>0</v>
      </c>
      <c r="BU95" s="506">
        <f t="shared" si="88"/>
        <v>159.10689599999998</v>
      </c>
      <c r="BV95" s="506">
        <f t="shared" si="89"/>
        <v>344.94720000000001</v>
      </c>
      <c r="BW95" s="506">
        <f t="shared" si="90"/>
        <v>0</v>
      </c>
      <c r="BX95" s="506">
        <f t="shared" si="105"/>
        <v>6342.5729119999996</v>
      </c>
      <c r="BY95" s="506">
        <f t="shared" si="106"/>
        <v>0</v>
      </c>
      <c r="BZ95" s="506">
        <f t="shared" si="107"/>
        <v>0</v>
      </c>
      <c r="CA95" s="506">
        <f t="shared" si="108"/>
        <v>0</v>
      </c>
      <c r="CB95" s="506">
        <f t="shared" si="109"/>
        <v>0</v>
      </c>
      <c r="CC95" s="506">
        <f t="shared" si="91"/>
        <v>0</v>
      </c>
      <c r="CD95" s="506">
        <f t="shared" si="92"/>
        <v>0</v>
      </c>
      <c r="CE95" s="506">
        <f t="shared" si="93"/>
        <v>0</v>
      </c>
      <c r="CF95" s="506">
        <f t="shared" si="94"/>
        <v>-140.85343999999998</v>
      </c>
      <c r="CG95" s="506">
        <f t="shared" si="95"/>
        <v>0</v>
      </c>
      <c r="CH95" s="506">
        <f t="shared" si="96"/>
        <v>-8.6236799999999967</v>
      </c>
      <c r="CI95" s="506">
        <f t="shared" si="97"/>
        <v>0</v>
      </c>
      <c r="CJ95" s="506">
        <f t="shared" si="110"/>
        <v>-149.47711999999999</v>
      </c>
      <c r="CK95" s="506" t="str">
        <f t="shared" si="111"/>
        <v/>
      </c>
      <c r="CL95" s="506" t="str">
        <f t="shared" si="112"/>
        <v/>
      </c>
      <c r="CM95" s="506" t="str">
        <f t="shared" si="113"/>
        <v/>
      </c>
      <c r="CN95" s="506" t="str">
        <f t="shared" si="114"/>
        <v>0290-00</v>
      </c>
    </row>
    <row r="96" spans="1:92" ht="15.75" thickBot="1" x14ac:dyDescent="0.3">
      <c r="A96" s="495" t="s">
        <v>187</v>
      </c>
      <c r="B96" s="495" t="s">
        <v>188</v>
      </c>
      <c r="C96" s="495" t="s">
        <v>592</v>
      </c>
      <c r="D96" s="495" t="s">
        <v>593</v>
      </c>
      <c r="E96" s="495" t="s">
        <v>191</v>
      </c>
      <c r="F96" s="496" t="s">
        <v>192</v>
      </c>
      <c r="G96" s="495" t="s">
        <v>193</v>
      </c>
      <c r="H96" s="497"/>
      <c r="I96" s="497"/>
      <c r="J96" s="495" t="s">
        <v>225</v>
      </c>
      <c r="K96" s="495" t="s">
        <v>594</v>
      </c>
      <c r="L96" s="495" t="s">
        <v>192</v>
      </c>
      <c r="M96" s="495" t="s">
        <v>197</v>
      </c>
      <c r="N96" s="495" t="s">
        <v>227</v>
      </c>
      <c r="O96" s="498">
        <v>0</v>
      </c>
      <c r="P96" s="504">
        <v>1</v>
      </c>
      <c r="Q96" s="504">
        <v>0</v>
      </c>
      <c r="R96" s="499">
        <v>0</v>
      </c>
      <c r="S96" s="504">
        <v>0</v>
      </c>
      <c r="T96" s="499">
        <v>6750</v>
      </c>
      <c r="U96" s="499">
        <v>0</v>
      </c>
      <c r="V96" s="499">
        <v>974</v>
      </c>
      <c r="W96" s="499">
        <v>6750</v>
      </c>
      <c r="X96" s="499">
        <v>974</v>
      </c>
      <c r="Y96" s="499">
        <v>6750</v>
      </c>
      <c r="Z96" s="499">
        <v>974</v>
      </c>
      <c r="AA96" s="497"/>
      <c r="AB96" s="495" t="s">
        <v>23</v>
      </c>
      <c r="AC96" s="495" t="s">
        <v>23</v>
      </c>
      <c r="AD96" s="497"/>
      <c r="AE96" s="497"/>
      <c r="AF96" s="497"/>
      <c r="AG96" s="497"/>
      <c r="AH96" s="498">
        <v>0</v>
      </c>
      <c r="AI96" s="498">
        <v>0</v>
      </c>
      <c r="AJ96" s="497"/>
      <c r="AK96" s="497"/>
      <c r="AL96" s="495" t="s">
        <v>207</v>
      </c>
      <c r="AM96" s="497"/>
      <c r="AN96" s="497"/>
      <c r="AO96" s="498">
        <v>0</v>
      </c>
      <c r="AP96" s="504">
        <v>0</v>
      </c>
      <c r="AQ96" s="504">
        <v>0</v>
      </c>
      <c r="AR96" s="503"/>
      <c r="AS96" s="506">
        <f t="shared" si="98"/>
        <v>0</v>
      </c>
      <c r="AT96">
        <f t="shared" si="99"/>
        <v>0</v>
      </c>
      <c r="AU96" s="506" t="str">
        <f>IF(AT96=0,"",IF(AND(AT96=1,M96="F",SUMIF(C2:C177,C96,AS2:AS177)&lt;=1),SUMIF(C2:C177,C96,AS2:AS177),IF(AND(AT96=1,M96="F",SUMIF(C2:C177,C96,AS2:AS177)&gt;1),1,"")))</f>
        <v/>
      </c>
      <c r="AV96" s="506" t="str">
        <f>IF(AT96=0,"",IF(AND(AT96=3,M96="F",SUMIF(C2:C177,C96,AS2:AS177)&lt;=1),SUMIF(C2:C177,C96,AS2:AS177),IF(AND(AT96=3,M96="F",SUMIF(C2:C177,C96,AS2:AS177)&gt;1),1,"")))</f>
        <v/>
      </c>
      <c r="AW96" s="506">
        <f>SUMIF(C2:C177,C96,O2:O177)</f>
        <v>0</v>
      </c>
      <c r="AX96" s="506">
        <f>IF(AND(M96="F",AS96&lt;&gt;0),SUMIF(C2:C177,C96,W2:W177),0)</f>
        <v>0</v>
      </c>
      <c r="AY96" s="506" t="str">
        <f t="shared" si="100"/>
        <v/>
      </c>
      <c r="AZ96" s="506" t="str">
        <f t="shared" si="101"/>
        <v/>
      </c>
      <c r="BA96" s="506">
        <f t="shared" si="102"/>
        <v>0</v>
      </c>
      <c r="BB96" s="506">
        <f t="shared" si="71"/>
        <v>0</v>
      </c>
      <c r="BC96" s="506">
        <f t="shared" si="72"/>
        <v>0</v>
      </c>
      <c r="BD96" s="506">
        <f t="shared" si="73"/>
        <v>0</v>
      </c>
      <c r="BE96" s="506">
        <f t="shared" si="74"/>
        <v>0</v>
      </c>
      <c r="BF96" s="506">
        <f t="shared" si="75"/>
        <v>0</v>
      </c>
      <c r="BG96" s="506">
        <f t="shared" si="76"/>
        <v>0</v>
      </c>
      <c r="BH96" s="506">
        <f t="shared" si="77"/>
        <v>0</v>
      </c>
      <c r="BI96" s="506">
        <f t="shared" si="78"/>
        <v>0</v>
      </c>
      <c r="BJ96" s="506">
        <f t="shared" si="79"/>
        <v>0</v>
      </c>
      <c r="BK96" s="506">
        <f t="shared" si="80"/>
        <v>0</v>
      </c>
      <c r="BL96" s="506">
        <f t="shared" si="103"/>
        <v>0</v>
      </c>
      <c r="BM96" s="506">
        <f t="shared" si="104"/>
        <v>0</v>
      </c>
      <c r="BN96" s="506">
        <f t="shared" si="81"/>
        <v>0</v>
      </c>
      <c r="BO96" s="506">
        <f t="shared" si="82"/>
        <v>0</v>
      </c>
      <c r="BP96" s="506">
        <f t="shared" si="83"/>
        <v>0</v>
      </c>
      <c r="BQ96" s="506">
        <f t="shared" si="84"/>
        <v>0</v>
      </c>
      <c r="BR96" s="506">
        <f t="shared" si="85"/>
        <v>0</v>
      </c>
      <c r="BS96" s="506">
        <f t="shared" si="86"/>
        <v>0</v>
      </c>
      <c r="BT96" s="506">
        <f t="shared" si="87"/>
        <v>0</v>
      </c>
      <c r="BU96" s="506">
        <f t="shared" si="88"/>
        <v>0</v>
      </c>
      <c r="BV96" s="506">
        <f t="shared" si="89"/>
        <v>0</v>
      </c>
      <c r="BW96" s="506">
        <f t="shared" si="90"/>
        <v>0</v>
      </c>
      <c r="BX96" s="506">
        <f t="shared" si="105"/>
        <v>0</v>
      </c>
      <c r="BY96" s="506">
        <f t="shared" si="106"/>
        <v>0</v>
      </c>
      <c r="BZ96" s="506">
        <f t="shared" si="107"/>
        <v>0</v>
      </c>
      <c r="CA96" s="506">
        <f t="shared" si="108"/>
        <v>0</v>
      </c>
      <c r="CB96" s="506">
        <f t="shared" si="109"/>
        <v>0</v>
      </c>
      <c r="CC96" s="506">
        <f t="shared" si="91"/>
        <v>0</v>
      </c>
      <c r="CD96" s="506">
        <f t="shared" si="92"/>
        <v>0</v>
      </c>
      <c r="CE96" s="506">
        <f t="shared" si="93"/>
        <v>0</v>
      </c>
      <c r="CF96" s="506">
        <f t="shared" si="94"/>
        <v>0</v>
      </c>
      <c r="CG96" s="506">
        <f t="shared" si="95"/>
        <v>0</v>
      </c>
      <c r="CH96" s="506">
        <f t="shared" si="96"/>
        <v>0</v>
      </c>
      <c r="CI96" s="506">
        <f t="shared" si="97"/>
        <v>0</v>
      </c>
      <c r="CJ96" s="506">
        <f t="shared" si="110"/>
        <v>0</v>
      </c>
      <c r="CK96" s="506" t="str">
        <f t="shared" si="111"/>
        <v/>
      </c>
      <c r="CL96" s="506">
        <f t="shared" si="112"/>
        <v>6750</v>
      </c>
      <c r="CM96" s="506">
        <f t="shared" si="113"/>
        <v>974</v>
      </c>
      <c r="CN96" s="506" t="str">
        <f t="shared" si="114"/>
        <v>0290-00</v>
      </c>
    </row>
    <row r="97" spans="1:92" ht="15.75" thickBot="1" x14ac:dyDescent="0.3">
      <c r="A97" s="495" t="s">
        <v>187</v>
      </c>
      <c r="B97" s="495" t="s">
        <v>188</v>
      </c>
      <c r="C97" s="495" t="s">
        <v>595</v>
      </c>
      <c r="D97" s="495" t="s">
        <v>570</v>
      </c>
      <c r="E97" s="495" t="s">
        <v>191</v>
      </c>
      <c r="F97" s="496" t="s">
        <v>192</v>
      </c>
      <c r="G97" s="495" t="s">
        <v>193</v>
      </c>
      <c r="H97" s="497"/>
      <c r="I97" s="497"/>
      <c r="J97" s="495" t="s">
        <v>225</v>
      </c>
      <c r="K97" s="495" t="s">
        <v>571</v>
      </c>
      <c r="L97" s="495" t="s">
        <v>204</v>
      </c>
      <c r="M97" s="495" t="s">
        <v>197</v>
      </c>
      <c r="N97" s="495" t="s">
        <v>198</v>
      </c>
      <c r="O97" s="498">
        <v>1</v>
      </c>
      <c r="P97" s="504">
        <v>1</v>
      </c>
      <c r="Q97" s="504">
        <v>1</v>
      </c>
      <c r="R97" s="499">
        <v>80</v>
      </c>
      <c r="S97" s="504">
        <v>1</v>
      </c>
      <c r="T97" s="499">
        <v>40975.730000000003</v>
      </c>
      <c r="U97" s="499">
        <v>303.52999999999997</v>
      </c>
      <c r="V97" s="499">
        <v>20059.89</v>
      </c>
      <c r="W97" s="499">
        <v>42806.400000000001</v>
      </c>
      <c r="X97" s="499">
        <v>21317.79</v>
      </c>
      <c r="Y97" s="499">
        <v>42806.400000000001</v>
      </c>
      <c r="Z97" s="499">
        <v>21095.200000000001</v>
      </c>
      <c r="AA97" s="495" t="s">
        <v>596</v>
      </c>
      <c r="AB97" s="495" t="s">
        <v>597</v>
      </c>
      <c r="AC97" s="495" t="s">
        <v>598</v>
      </c>
      <c r="AD97" s="495" t="s">
        <v>196</v>
      </c>
      <c r="AE97" s="495" t="s">
        <v>571</v>
      </c>
      <c r="AF97" s="495" t="s">
        <v>274</v>
      </c>
      <c r="AG97" s="495" t="s">
        <v>204</v>
      </c>
      <c r="AH97" s="500">
        <v>20.58</v>
      </c>
      <c r="AI97" s="500">
        <v>30999.599999999999</v>
      </c>
      <c r="AJ97" s="495" t="s">
        <v>205</v>
      </c>
      <c r="AK97" s="495" t="s">
        <v>206</v>
      </c>
      <c r="AL97" s="495" t="s">
        <v>207</v>
      </c>
      <c r="AM97" s="495" t="s">
        <v>208</v>
      </c>
      <c r="AN97" s="495" t="s">
        <v>92</v>
      </c>
      <c r="AO97" s="498">
        <v>80</v>
      </c>
      <c r="AP97" s="504">
        <v>1</v>
      </c>
      <c r="AQ97" s="504">
        <v>1</v>
      </c>
      <c r="AR97" s="502" t="s">
        <v>209</v>
      </c>
      <c r="AS97" s="506">
        <f t="shared" si="98"/>
        <v>1</v>
      </c>
      <c r="AT97">
        <f t="shared" si="99"/>
        <v>1</v>
      </c>
      <c r="AU97" s="506">
        <f>IF(AT97=0,"",IF(AND(AT97=1,M97="F",SUMIF(C2:C177,C97,AS2:AS177)&lt;=1),SUMIF(C2:C177,C97,AS2:AS177),IF(AND(AT97=1,M97="F",SUMIF(C2:C177,C97,AS2:AS177)&gt;1),1,"")))</f>
        <v>1</v>
      </c>
      <c r="AV97" s="506" t="str">
        <f>IF(AT97=0,"",IF(AND(AT97=3,M97="F",SUMIF(C2:C177,C97,AS2:AS177)&lt;=1),SUMIF(C2:C177,C97,AS2:AS177),IF(AND(AT97=3,M97="F",SUMIF(C2:C177,C97,AS2:AS177)&gt;1),1,"")))</f>
        <v/>
      </c>
      <c r="AW97" s="506">
        <f>SUMIF(C2:C177,C97,O2:O177)</f>
        <v>1</v>
      </c>
      <c r="AX97" s="506">
        <f>IF(AND(M97="F",AS97&lt;&gt;0),SUMIF(C2:C177,C97,W2:W177),0)</f>
        <v>42806.400000000001</v>
      </c>
      <c r="AY97" s="506">
        <f t="shared" si="100"/>
        <v>42806.400000000001</v>
      </c>
      <c r="AZ97" s="506" t="str">
        <f t="shared" si="101"/>
        <v/>
      </c>
      <c r="BA97" s="506">
        <f t="shared" si="102"/>
        <v>0</v>
      </c>
      <c r="BB97" s="506">
        <f t="shared" si="71"/>
        <v>11650</v>
      </c>
      <c r="BC97" s="506">
        <f t="shared" si="72"/>
        <v>0</v>
      </c>
      <c r="BD97" s="506">
        <f t="shared" si="73"/>
        <v>2653.9967999999999</v>
      </c>
      <c r="BE97" s="506">
        <f t="shared" si="74"/>
        <v>620.69280000000003</v>
      </c>
      <c r="BF97" s="506">
        <f t="shared" si="75"/>
        <v>5111.0841600000003</v>
      </c>
      <c r="BG97" s="506">
        <f t="shared" si="76"/>
        <v>308.63414400000005</v>
      </c>
      <c r="BH97" s="506">
        <f t="shared" si="77"/>
        <v>209.75136000000001</v>
      </c>
      <c r="BI97" s="506">
        <f t="shared" si="78"/>
        <v>236.933424</v>
      </c>
      <c r="BJ97" s="506">
        <f t="shared" si="79"/>
        <v>526.51872000000003</v>
      </c>
      <c r="BK97" s="506">
        <f t="shared" si="80"/>
        <v>0</v>
      </c>
      <c r="BL97" s="506">
        <f t="shared" si="103"/>
        <v>9667.6114080000007</v>
      </c>
      <c r="BM97" s="506">
        <f t="shared" si="104"/>
        <v>0</v>
      </c>
      <c r="BN97" s="506">
        <f t="shared" si="81"/>
        <v>11650</v>
      </c>
      <c r="BO97" s="506">
        <f t="shared" si="82"/>
        <v>0</v>
      </c>
      <c r="BP97" s="506">
        <f t="shared" si="83"/>
        <v>2653.9967999999999</v>
      </c>
      <c r="BQ97" s="506">
        <f t="shared" si="84"/>
        <v>620.69280000000003</v>
      </c>
      <c r="BR97" s="506">
        <f t="shared" si="85"/>
        <v>5111.0841600000003</v>
      </c>
      <c r="BS97" s="506">
        <f t="shared" si="86"/>
        <v>308.63414400000005</v>
      </c>
      <c r="BT97" s="506">
        <f t="shared" si="87"/>
        <v>0</v>
      </c>
      <c r="BU97" s="506">
        <f t="shared" si="88"/>
        <v>236.933424</v>
      </c>
      <c r="BV97" s="506">
        <f t="shared" si="89"/>
        <v>513.67680000000007</v>
      </c>
      <c r="BW97" s="506">
        <f t="shared" si="90"/>
        <v>0</v>
      </c>
      <c r="BX97" s="506">
        <f t="shared" si="105"/>
        <v>9445.0181279999997</v>
      </c>
      <c r="BY97" s="506">
        <f t="shared" si="106"/>
        <v>0</v>
      </c>
      <c r="BZ97" s="506">
        <f t="shared" si="107"/>
        <v>0</v>
      </c>
      <c r="CA97" s="506">
        <f t="shared" si="108"/>
        <v>0</v>
      </c>
      <c r="CB97" s="506">
        <f t="shared" si="109"/>
        <v>0</v>
      </c>
      <c r="CC97" s="506">
        <f t="shared" si="91"/>
        <v>0</v>
      </c>
      <c r="CD97" s="506">
        <f t="shared" si="92"/>
        <v>0</v>
      </c>
      <c r="CE97" s="506">
        <f t="shared" si="93"/>
        <v>0</v>
      </c>
      <c r="CF97" s="506">
        <f t="shared" si="94"/>
        <v>-209.75136000000001</v>
      </c>
      <c r="CG97" s="506">
        <f t="shared" si="95"/>
        <v>0</v>
      </c>
      <c r="CH97" s="506">
        <f t="shared" si="96"/>
        <v>-12.841919999999996</v>
      </c>
      <c r="CI97" s="506">
        <f t="shared" si="97"/>
        <v>0</v>
      </c>
      <c r="CJ97" s="506">
        <f t="shared" si="110"/>
        <v>-222.59327999999999</v>
      </c>
      <c r="CK97" s="506" t="str">
        <f t="shared" si="111"/>
        <v/>
      </c>
      <c r="CL97" s="506" t="str">
        <f t="shared" si="112"/>
        <v/>
      </c>
      <c r="CM97" s="506" t="str">
        <f t="shared" si="113"/>
        <v/>
      </c>
      <c r="CN97" s="506" t="str">
        <f t="shared" si="114"/>
        <v>0290-00</v>
      </c>
    </row>
    <row r="98" spans="1:92" ht="15.75" thickBot="1" x14ac:dyDescent="0.3">
      <c r="A98" s="495" t="s">
        <v>187</v>
      </c>
      <c r="B98" s="495" t="s">
        <v>188</v>
      </c>
      <c r="C98" s="495" t="s">
        <v>599</v>
      </c>
      <c r="D98" s="495" t="s">
        <v>294</v>
      </c>
      <c r="E98" s="495" t="s">
        <v>191</v>
      </c>
      <c r="F98" s="496" t="s">
        <v>192</v>
      </c>
      <c r="G98" s="495" t="s">
        <v>193</v>
      </c>
      <c r="H98" s="497"/>
      <c r="I98" s="497"/>
      <c r="J98" s="495" t="s">
        <v>225</v>
      </c>
      <c r="K98" s="495" t="s">
        <v>295</v>
      </c>
      <c r="L98" s="495" t="s">
        <v>204</v>
      </c>
      <c r="M98" s="495" t="s">
        <v>197</v>
      </c>
      <c r="N98" s="495" t="s">
        <v>198</v>
      </c>
      <c r="O98" s="498">
        <v>1</v>
      </c>
      <c r="P98" s="504">
        <v>1</v>
      </c>
      <c r="Q98" s="504">
        <v>1</v>
      </c>
      <c r="R98" s="499">
        <v>80</v>
      </c>
      <c r="S98" s="504">
        <v>1</v>
      </c>
      <c r="T98" s="499">
        <v>36208.400000000001</v>
      </c>
      <c r="U98" s="499">
        <v>8524.16</v>
      </c>
      <c r="V98" s="499">
        <v>20852.099999999999</v>
      </c>
      <c r="W98" s="499">
        <v>37252.800000000003</v>
      </c>
      <c r="X98" s="499">
        <v>20063.509999999998</v>
      </c>
      <c r="Y98" s="499">
        <v>37252.800000000003</v>
      </c>
      <c r="Z98" s="499">
        <v>19869.810000000001</v>
      </c>
      <c r="AA98" s="495" t="s">
        <v>600</v>
      </c>
      <c r="AB98" s="495" t="s">
        <v>601</v>
      </c>
      <c r="AC98" s="495" t="s">
        <v>602</v>
      </c>
      <c r="AD98" s="495" t="s">
        <v>352</v>
      </c>
      <c r="AE98" s="495" t="s">
        <v>295</v>
      </c>
      <c r="AF98" s="495" t="s">
        <v>274</v>
      </c>
      <c r="AG98" s="495" t="s">
        <v>204</v>
      </c>
      <c r="AH98" s="500">
        <v>17.91</v>
      </c>
      <c r="AI98" s="500">
        <v>15069.2</v>
      </c>
      <c r="AJ98" s="495" t="s">
        <v>205</v>
      </c>
      <c r="AK98" s="495" t="s">
        <v>206</v>
      </c>
      <c r="AL98" s="495" t="s">
        <v>207</v>
      </c>
      <c r="AM98" s="495" t="s">
        <v>208</v>
      </c>
      <c r="AN98" s="495" t="s">
        <v>92</v>
      </c>
      <c r="AO98" s="498">
        <v>80</v>
      </c>
      <c r="AP98" s="504">
        <v>1</v>
      </c>
      <c r="AQ98" s="504">
        <v>1</v>
      </c>
      <c r="AR98" s="502" t="s">
        <v>209</v>
      </c>
      <c r="AS98" s="506">
        <f t="shared" si="98"/>
        <v>1</v>
      </c>
      <c r="AT98">
        <f t="shared" si="99"/>
        <v>1</v>
      </c>
      <c r="AU98" s="506">
        <f>IF(AT98=0,"",IF(AND(AT98=1,M98="F",SUMIF(C2:C177,C98,AS2:AS177)&lt;=1),SUMIF(C2:C177,C98,AS2:AS177),IF(AND(AT98=1,M98="F",SUMIF(C2:C177,C98,AS2:AS177)&gt;1),1,"")))</f>
        <v>1</v>
      </c>
      <c r="AV98" s="506" t="str">
        <f>IF(AT98=0,"",IF(AND(AT98=3,M98="F",SUMIF(C2:C177,C98,AS2:AS177)&lt;=1),SUMIF(C2:C177,C98,AS2:AS177),IF(AND(AT98=3,M98="F",SUMIF(C2:C177,C98,AS2:AS177)&gt;1),1,"")))</f>
        <v/>
      </c>
      <c r="AW98" s="506">
        <f>SUMIF(C2:C177,C98,O2:O177)</f>
        <v>2</v>
      </c>
      <c r="AX98" s="506">
        <f>IF(AND(M98="F",AS98&lt;&gt;0),SUMIF(C2:C177,C98,W2:W177),0)</f>
        <v>37252.800000000003</v>
      </c>
      <c r="AY98" s="506">
        <f t="shared" si="100"/>
        <v>37252.800000000003</v>
      </c>
      <c r="AZ98" s="506" t="str">
        <f t="shared" si="101"/>
        <v/>
      </c>
      <c r="BA98" s="506">
        <f t="shared" si="102"/>
        <v>0</v>
      </c>
      <c r="BB98" s="506">
        <f t="shared" ref="BB98:BB129" si="115">IF(AND(AT98=1,AK98="E",AU98&gt;=0.75,AW98=1),Health,IF(AND(AT98=1,AK98="E",AU98&gt;=0.75),Health*P98,IF(AND(AT98=1,AK98="E",AU98&gt;=0.5,AW98=1),PTHealth,IF(AND(AT98=1,AK98="E",AU98&gt;=0.5),PTHealth*P98,0))))</f>
        <v>11650</v>
      </c>
      <c r="BC98" s="506">
        <f t="shared" ref="BC98:BC129" si="116">IF(AND(AT98=3,AK98="E",AV98&gt;=0.75,AW98=1),Health,IF(AND(AT98=3,AK98="E",AV98&gt;=0.75),Health*P98,IF(AND(AT98=3,AK98="E",AV98&gt;=0.5,AW98=1),PTHealth,IF(AND(AT98=3,AK98="E",AV98&gt;=0.5),PTHealth*P98,0))))</f>
        <v>0</v>
      </c>
      <c r="BD98" s="506">
        <f t="shared" ref="BD98:BD129" si="117">IF(AND(AT98&lt;&gt;0,AX98&gt;=MAXSSDI),SSDI*MAXSSDI*P98,IF(AT98&lt;&gt;0,SSDI*W98,0))</f>
        <v>2309.6736000000001</v>
      </c>
      <c r="BE98" s="506">
        <f t="shared" ref="BE98:BE129" si="118">IF(AT98&lt;&gt;0,SSHI*W98,0)</f>
        <v>540.16560000000004</v>
      </c>
      <c r="BF98" s="506">
        <f t="shared" ref="BF98:BF129" si="119">IF(AND(AT98&lt;&gt;0,AN98&lt;&gt;"NE"),VLOOKUP(AN98,Retirement_Rates,3,FALSE)*W98,0)</f>
        <v>4447.9843200000005</v>
      </c>
      <c r="BG98" s="506">
        <f t="shared" ref="BG98:BG129" si="120">IF(AND(AT98&lt;&gt;0,AJ98&lt;&gt;"PF"),Life*W98,0)</f>
        <v>268.59268800000001</v>
      </c>
      <c r="BH98" s="506">
        <f t="shared" ref="BH98:BH129" si="121">IF(AND(AT98&lt;&gt;0,AM98="Y"),UI*W98,0)</f>
        <v>182.53872000000001</v>
      </c>
      <c r="BI98" s="506">
        <f t="shared" ref="BI98:BI129" si="122">IF(AND(AT98&lt;&gt;0,N98&lt;&gt;"NR"),DHR*W98,0)</f>
        <v>206.19424800000002</v>
      </c>
      <c r="BJ98" s="506">
        <f t="shared" ref="BJ98:BJ129" si="123">IF(AT98&lt;&gt;0,WC*W98,0)</f>
        <v>458.20944000000003</v>
      </c>
      <c r="BK98" s="506">
        <f t="shared" ref="BK98:BK129" si="124">IF(OR(AND(AT98&lt;&gt;0,AJ98&lt;&gt;"PF",AN98&lt;&gt;"NE",AG98&lt;&gt;"A"),AND(AL98="E",OR(AT98=1,AT98=3))),Sick*W98,0)</f>
        <v>0</v>
      </c>
      <c r="BL98" s="506">
        <f t="shared" si="103"/>
        <v>8413.3586160000013</v>
      </c>
      <c r="BM98" s="506">
        <f t="shared" si="104"/>
        <v>0</v>
      </c>
      <c r="BN98" s="506">
        <f t="shared" ref="BN98:BN129" si="125">IF(AND(AT98=1,AK98="E",AU98&gt;=0.75,AW98=1),HealthBY,IF(AND(AT98=1,AK98="E",AU98&gt;=0.75),HealthBY*P98,IF(AND(AT98=1,AK98="E",AU98&gt;=0.5,AW98=1),PTHealthBY,IF(AND(AT98=1,AK98="E",AU98&gt;=0.5),PTHealthBY*P98,0))))</f>
        <v>11650</v>
      </c>
      <c r="BO98" s="506">
        <f t="shared" ref="BO98:BO129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506">
        <f t="shared" ref="BP98:BP129" si="127">IF(AND(AT98&lt;&gt;0,(AX98+BA98)&gt;=MAXSSDIBY),SSDIBY*MAXSSDIBY*P98,IF(AT98&lt;&gt;0,SSDIBY*W98,0))</f>
        <v>2309.6736000000001</v>
      </c>
      <c r="BQ98" s="506">
        <f t="shared" ref="BQ98:BQ129" si="128">IF(AT98&lt;&gt;0,SSHIBY*W98,0)</f>
        <v>540.16560000000004</v>
      </c>
      <c r="BR98" s="506">
        <f t="shared" ref="BR98:BR129" si="129">IF(AND(AT98&lt;&gt;0,AN98&lt;&gt;"NE"),VLOOKUP(AN98,Retirement_Rates,4,FALSE)*W98,0)</f>
        <v>4447.9843200000005</v>
      </c>
      <c r="BS98" s="506">
        <f t="shared" ref="BS98:BS129" si="130">IF(AND(AT98&lt;&gt;0,AJ98&lt;&gt;"PF"),LifeBY*W98,0)</f>
        <v>268.59268800000001</v>
      </c>
      <c r="BT98" s="506">
        <f t="shared" ref="BT98:BT129" si="131">IF(AND(AT98&lt;&gt;0,AM98="Y"),UIBY*W98,0)</f>
        <v>0</v>
      </c>
      <c r="BU98" s="506">
        <f t="shared" ref="BU98:BU129" si="132">IF(AND(AT98&lt;&gt;0,N98&lt;&gt;"NR"),DHRBY*W98,0)</f>
        <v>206.19424800000002</v>
      </c>
      <c r="BV98" s="506">
        <f t="shared" ref="BV98:BV129" si="133">IF(AT98&lt;&gt;0,WCBY*W98,0)</f>
        <v>447.03360000000004</v>
      </c>
      <c r="BW98" s="506">
        <f t="shared" ref="BW98:BW129" si="134">IF(OR(AND(AT98&lt;&gt;0,AJ98&lt;&gt;"PF",AN98&lt;&gt;"NE",AG98&lt;&gt;"A"),AND(AL98="E",OR(AT98=1,AT98=3))),SickBY*W98,0)</f>
        <v>0</v>
      </c>
      <c r="BX98" s="506">
        <f t="shared" si="105"/>
        <v>8219.644056000001</v>
      </c>
      <c r="BY98" s="506">
        <f t="shared" si="106"/>
        <v>0</v>
      </c>
      <c r="BZ98" s="506">
        <f t="shared" si="107"/>
        <v>0</v>
      </c>
      <c r="CA98" s="506">
        <f t="shared" si="108"/>
        <v>0</v>
      </c>
      <c r="CB98" s="506">
        <f t="shared" si="109"/>
        <v>0</v>
      </c>
      <c r="CC98" s="506">
        <f t="shared" ref="CC98:CC129" si="135">IF(AT98&lt;&gt;0,SSHICHG*Y98,0)</f>
        <v>0</v>
      </c>
      <c r="CD98" s="506">
        <f t="shared" ref="CD98:CD129" si="136">IF(AND(AT98&lt;&gt;0,AN98&lt;&gt;"NE"),VLOOKUP(AN98,Retirement_Rates,5,FALSE)*Y98,0)</f>
        <v>0</v>
      </c>
      <c r="CE98" s="506">
        <f t="shared" ref="CE98:CE129" si="137">IF(AND(AT98&lt;&gt;0,AJ98&lt;&gt;"PF"),LifeCHG*Y98,0)</f>
        <v>0</v>
      </c>
      <c r="CF98" s="506">
        <f t="shared" ref="CF98:CF129" si="138">IF(AND(AT98&lt;&gt;0,AM98="Y"),UICHG*Y98,0)</f>
        <v>-182.53872000000001</v>
      </c>
      <c r="CG98" s="506">
        <f t="shared" ref="CG98:CG129" si="139">IF(AND(AT98&lt;&gt;0,N98&lt;&gt;"NR"),DHRCHG*Y98,0)</f>
        <v>0</v>
      </c>
      <c r="CH98" s="506">
        <f t="shared" ref="CH98:CH129" si="140">IF(AT98&lt;&gt;0,WCCHG*Y98,0)</f>
        <v>-11.175839999999997</v>
      </c>
      <c r="CI98" s="506">
        <f t="shared" ref="CI98:CI129" si="141">IF(OR(AND(AT98&lt;&gt;0,AJ98&lt;&gt;"PF",AN98&lt;&gt;"NE",AG98&lt;&gt;"A"),AND(AL98="E",OR(AT98=1,AT98=3))),SickCHG*Y98,0)</f>
        <v>0</v>
      </c>
      <c r="CJ98" s="506">
        <f t="shared" si="110"/>
        <v>-193.71456000000001</v>
      </c>
      <c r="CK98" s="506" t="str">
        <f t="shared" si="111"/>
        <v/>
      </c>
      <c r="CL98" s="506" t="str">
        <f t="shared" si="112"/>
        <v/>
      </c>
      <c r="CM98" s="506" t="str">
        <f t="shared" si="113"/>
        <v/>
      </c>
      <c r="CN98" s="506" t="str">
        <f t="shared" si="114"/>
        <v>0290-00</v>
      </c>
    </row>
    <row r="99" spans="1:92" ht="15.75" thickBot="1" x14ac:dyDescent="0.3">
      <c r="A99" s="495" t="s">
        <v>187</v>
      </c>
      <c r="B99" s="495" t="s">
        <v>188</v>
      </c>
      <c r="C99" s="495" t="s">
        <v>603</v>
      </c>
      <c r="D99" s="495" t="s">
        <v>604</v>
      </c>
      <c r="E99" s="495" t="s">
        <v>191</v>
      </c>
      <c r="F99" s="496" t="s">
        <v>192</v>
      </c>
      <c r="G99" s="495" t="s">
        <v>193</v>
      </c>
      <c r="H99" s="497"/>
      <c r="I99" s="497"/>
      <c r="J99" s="495" t="s">
        <v>230</v>
      </c>
      <c r="K99" s="495" t="s">
        <v>605</v>
      </c>
      <c r="L99" s="495" t="s">
        <v>232</v>
      </c>
      <c r="M99" s="495" t="s">
        <v>197</v>
      </c>
      <c r="N99" s="495" t="s">
        <v>198</v>
      </c>
      <c r="O99" s="498">
        <v>1</v>
      </c>
      <c r="P99" s="504">
        <v>1</v>
      </c>
      <c r="Q99" s="504">
        <v>1</v>
      </c>
      <c r="R99" s="499">
        <v>80</v>
      </c>
      <c r="S99" s="504">
        <v>1</v>
      </c>
      <c r="T99" s="499">
        <v>41079.629999999997</v>
      </c>
      <c r="U99" s="499">
        <v>0</v>
      </c>
      <c r="V99" s="499">
        <v>20365.060000000001</v>
      </c>
      <c r="W99" s="499">
        <v>41090.39</v>
      </c>
      <c r="X99" s="499">
        <v>20930.240000000002</v>
      </c>
      <c r="Y99" s="499">
        <v>41090.39</v>
      </c>
      <c r="Z99" s="499">
        <v>20716.54</v>
      </c>
      <c r="AA99" s="495" t="s">
        <v>606</v>
      </c>
      <c r="AB99" s="495" t="s">
        <v>607</v>
      </c>
      <c r="AC99" s="495" t="s">
        <v>608</v>
      </c>
      <c r="AD99" s="495" t="s">
        <v>218</v>
      </c>
      <c r="AE99" s="495" t="s">
        <v>605</v>
      </c>
      <c r="AF99" s="495" t="s">
        <v>237</v>
      </c>
      <c r="AG99" s="495" t="s">
        <v>204</v>
      </c>
      <c r="AH99" s="500">
        <v>26.34</v>
      </c>
      <c r="AI99" s="498">
        <v>9507</v>
      </c>
      <c r="AJ99" s="495" t="s">
        <v>243</v>
      </c>
      <c r="AK99" s="495" t="s">
        <v>206</v>
      </c>
      <c r="AL99" s="495" t="s">
        <v>207</v>
      </c>
      <c r="AM99" s="495" t="s">
        <v>208</v>
      </c>
      <c r="AN99" s="495" t="s">
        <v>92</v>
      </c>
      <c r="AO99" s="498">
        <v>60</v>
      </c>
      <c r="AP99" s="504">
        <v>1</v>
      </c>
      <c r="AQ99" s="504">
        <v>0.75</v>
      </c>
      <c r="AR99" s="502" t="s">
        <v>209</v>
      </c>
      <c r="AS99" s="506">
        <f t="shared" si="98"/>
        <v>0.75</v>
      </c>
      <c r="AT99">
        <f t="shared" si="99"/>
        <v>1</v>
      </c>
      <c r="AU99" s="506">
        <f>IF(AT99=0,"",IF(AND(AT99=1,M99="F",SUMIF(C2:C177,C99,AS2:AS177)&lt;=1),SUMIF(C2:C177,C99,AS2:AS177),IF(AND(AT99=1,M99="F",SUMIF(C2:C177,C99,AS2:AS177)&gt;1),1,"")))</f>
        <v>0.75</v>
      </c>
      <c r="AV99" s="506" t="str">
        <f>IF(AT99=0,"",IF(AND(AT99=3,M99="F",SUMIF(C2:C177,C99,AS2:AS177)&lt;=1),SUMIF(C2:C177,C99,AS2:AS177),IF(AND(AT99=3,M99="F",SUMIF(C2:C177,C99,AS2:AS177)&gt;1),1,"")))</f>
        <v/>
      </c>
      <c r="AW99" s="506">
        <f>SUMIF(C2:C177,C99,O2:O177)</f>
        <v>1</v>
      </c>
      <c r="AX99" s="506">
        <f>IF(AND(M99="F",AS99&lt;&gt;0),SUMIF(C2:C177,C99,W2:W177),0)</f>
        <v>41090.39</v>
      </c>
      <c r="AY99" s="506">
        <f t="shared" si="100"/>
        <v>41090.39</v>
      </c>
      <c r="AZ99" s="506" t="str">
        <f t="shared" si="101"/>
        <v/>
      </c>
      <c r="BA99" s="506">
        <f t="shared" si="102"/>
        <v>0</v>
      </c>
      <c r="BB99" s="506">
        <f t="shared" si="115"/>
        <v>11650</v>
      </c>
      <c r="BC99" s="506">
        <f t="shared" si="116"/>
        <v>0</v>
      </c>
      <c r="BD99" s="506">
        <f t="shared" si="117"/>
        <v>2547.6041799999998</v>
      </c>
      <c r="BE99" s="506">
        <f t="shared" si="118"/>
        <v>595.810655</v>
      </c>
      <c r="BF99" s="506">
        <f t="shared" si="119"/>
        <v>4906.1925660000006</v>
      </c>
      <c r="BG99" s="506">
        <f t="shared" si="120"/>
        <v>296.26171190000002</v>
      </c>
      <c r="BH99" s="506">
        <f t="shared" si="121"/>
        <v>201.34291099999999</v>
      </c>
      <c r="BI99" s="506">
        <f t="shared" si="122"/>
        <v>227.43530865</v>
      </c>
      <c r="BJ99" s="506">
        <f t="shared" si="123"/>
        <v>505.41179699999998</v>
      </c>
      <c r="BK99" s="506">
        <f t="shared" si="124"/>
        <v>0</v>
      </c>
      <c r="BL99" s="506">
        <f t="shared" si="103"/>
        <v>9280.0591295499999</v>
      </c>
      <c r="BM99" s="506">
        <f t="shared" si="104"/>
        <v>0</v>
      </c>
      <c r="BN99" s="506">
        <f t="shared" si="125"/>
        <v>11650</v>
      </c>
      <c r="BO99" s="506">
        <f t="shared" si="126"/>
        <v>0</v>
      </c>
      <c r="BP99" s="506">
        <f t="shared" si="127"/>
        <v>2547.6041799999998</v>
      </c>
      <c r="BQ99" s="506">
        <f t="shared" si="128"/>
        <v>595.810655</v>
      </c>
      <c r="BR99" s="506">
        <f t="shared" si="129"/>
        <v>4906.1925660000006</v>
      </c>
      <c r="BS99" s="506">
        <f t="shared" si="130"/>
        <v>296.26171190000002</v>
      </c>
      <c r="BT99" s="506">
        <f t="shared" si="131"/>
        <v>0</v>
      </c>
      <c r="BU99" s="506">
        <f t="shared" si="132"/>
        <v>227.43530865</v>
      </c>
      <c r="BV99" s="506">
        <f t="shared" si="133"/>
        <v>493.08467999999999</v>
      </c>
      <c r="BW99" s="506">
        <f t="shared" si="134"/>
        <v>0</v>
      </c>
      <c r="BX99" s="506">
        <f t="shared" si="105"/>
        <v>9066.3891015499994</v>
      </c>
      <c r="BY99" s="506">
        <f t="shared" si="106"/>
        <v>0</v>
      </c>
      <c r="BZ99" s="506">
        <f t="shared" si="107"/>
        <v>0</v>
      </c>
      <c r="CA99" s="506">
        <f t="shared" si="108"/>
        <v>0</v>
      </c>
      <c r="CB99" s="506">
        <f t="shared" si="109"/>
        <v>0</v>
      </c>
      <c r="CC99" s="506">
        <f t="shared" si="135"/>
        <v>0</v>
      </c>
      <c r="CD99" s="506">
        <f t="shared" si="136"/>
        <v>0</v>
      </c>
      <c r="CE99" s="506">
        <f t="shared" si="137"/>
        <v>0</v>
      </c>
      <c r="CF99" s="506">
        <f t="shared" si="138"/>
        <v>-201.34291099999999</v>
      </c>
      <c r="CG99" s="506">
        <f t="shared" si="139"/>
        <v>0</v>
      </c>
      <c r="CH99" s="506">
        <f t="shared" si="140"/>
        <v>-12.327116999999996</v>
      </c>
      <c r="CI99" s="506">
        <f t="shared" si="141"/>
        <v>0</v>
      </c>
      <c r="CJ99" s="506">
        <f t="shared" si="110"/>
        <v>-213.67002799999997</v>
      </c>
      <c r="CK99" s="506" t="str">
        <f t="shared" si="111"/>
        <v/>
      </c>
      <c r="CL99" s="506" t="str">
        <f t="shared" si="112"/>
        <v/>
      </c>
      <c r="CM99" s="506" t="str">
        <f t="shared" si="113"/>
        <v/>
      </c>
      <c r="CN99" s="506" t="str">
        <f t="shared" si="114"/>
        <v>0290-00</v>
      </c>
    </row>
    <row r="100" spans="1:92" ht="15.75" thickBot="1" x14ac:dyDescent="0.3">
      <c r="A100" s="495" t="s">
        <v>187</v>
      </c>
      <c r="B100" s="495" t="s">
        <v>188</v>
      </c>
      <c r="C100" s="495" t="s">
        <v>609</v>
      </c>
      <c r="D100" s="495" t="s">
        <v>380</v>
      </c>
      <c r="E100" s="495" t="s">
        <v>191</v>
      </c>
      <c r="F100" s="496" t="s">
        <v>192</v>
      </c>
      <c r="G100" s="495" t="s">
        <v>193</v>
      </c>
      <c r="H100" s="497"/>
      <c r="I100" s="497"/>
      <c r="J100" s="495" t="s">
        <v>194</v>
      </c>
      <c r="K100" s="495" t="s">
        <v>381</v>
      </c>
      <c r="L100" s="495" t="s">
        <v>196</v>
      </c>
      <c r="M100" s="495" t="s">
        <v>292</v>
      </c>
      <c r="N100" s="495" t="s">
        <v>198</v>
      </c>
      <c r="O100" s="498">
        <v>0</v>
      </c>
      <c r="P100" s="504">
        <v>0</v>
      </c>
      <c r="Q100" s="504">
        <v>0</v>
      </c>
      <c r="R100" s="499">
        <v>80</v>
      </c>
      <c r="S100" s="504">
        <v>0</v>
      </c>
      <c r="T100" s="499">
        <v>9538.34</v>
      </c>
      <c r="U100" s="499">
        <v>1596.83</v>
      </c>
      <c r="V100" s="499">
        <v>3914.58</v>
      </c>
      <c r="W100" s="499">
        <v>0</v>
      </c>
      <c r="X100" s="499">
        <v>0</v>
      </c>
      <c r="Y100" s="499">
        <v>0</v>
      </c>
      <c r="Z100" s="499">
        <v>0</v>
      </c>
      <c r="AA100" s="497"/>
      <c r="AB100" s="495" t="s">
        <v>23</v>
      </c>
      <c r="AC100" s="495" t="s">
        <v>23</v>
      </c>
      <c r="AD100" s="497"/>
      <c r="AE100" s="497"/>
      <c r="AF100" s="497"/>
      <c r="AG100" s="497"/>
      <c r="AH100" s="498">
        <v>0</v>
      </c>
      <c r="AI100" s="498">
        <v>0</v>
      </c>
      <c r="AJ100" s="497"/>
      <c r="AK100" s="497"/>
      <c r="AL100" s="495" t="s">
        <v>207</v>
      </c>
      <c r="AM100" s="497"/>
      <c r="AN100" s="497"/>
      <c r="AO100" s="498">
        <v>0</v>
      </c>
      <c r="AP100" s="504">
        <v>0</v>
      </c>
      <c r="AQ100" s="504">
        <v>0</v>
      </c>
      <c r="AR100" s="503"/>
      <c r="AS100" s="506">
        <f t="shared" si="98"/>
        <v>0</v>
      </c>
      <c r="AT100">
        <f t="shared" si="99"/>
        <v>0</v>
      </c>
      <c r="AU100" s="506" t="str">
        <f>IF(AT100=0,"",IF(AND(AT100=1,M100="F",SUMIF(C2:C177,C100,AS2:AS177)&lt;=1),SUMIF(C2:C177,C100,AS2:AS177),IF(AND(AT100=1,M100="F",SUMIF(C2:C177,C100,AS2:AS177)&gt;1),1,"")))</f>
        <v/>
      </c>
      <c r="AV100" s="506" t="str">
        <f>IF(AT100=0,"",IF(AND(AT100=3,M100="F",SUMIF(C2:C177,C100,AS2:AS177)&lt;=1),SUMIF(C2:C177,C100,AS2:AS177),IF(AND(AT100=3,M100="F",SUMIF(C2:C177,C100,AS2:AS177)&gt;1),1,"")))</f>
        <v/>
      </c>
      <c r="AW100" s="506">
        <f>SUMIF(C2:C177,C100,O2:O177)</f>
        <v>0</v>
      </c>
      <c r="AX100" s="506">
        <f>IF(AND(M100="F",AS100&lt;&gt;0),SUMIF(C2:C177,C100,W2:W177),0)</f>
        <v>0</v>
      </c>
      <c r="AY100" s="506" t="str">
        <f t="shared" si="100"/>
        <v/>
      </c>
      <c r="AZ100" s="506" t="str">
        <f t="shared" si="101"/>
        <v/>
      </c>
      <c r="BA100" s="506">
        <f t="shared" si="102"/>
        <v>0</v>
      </c>
      <c r="BB100" s="506">
        <f t="shared" si="115"/>
        <v>0</v>
      </c>
      <c r="BC100" s="506">
        <f t="shared" si="116"/>
        <v>0</v>
      </c>
      <c r="BD100" s="506">
        <f t="shared" si="117"/>
        <v>0</v>
      </c>
      <c r="BE100" s="506">
        <f t="shared" si="118"/>
        <v>0</v>
      </c>
      <c r="BF100" s="506">
        <f t="shared" si="119"/>
        <v>0</v>
      </c>
      <c r="BG100" s="506">
        <f t="shared" si="120"/>
        <v>0</v>
      </c>
      <c r="BH100" s="506">
        <f t="shared" si="121"/>
        <v>0</v>
      </c>
      <c r="BI100" s="506">
        <f t="shared" si="122"/>
        <v>0</v>
      </c>
      <c r="BJ100" s="506">
        <f t="shared" si="123"/>
        <v>0</v>
      </c>
      <c r="BK100" s="506">
        <f t="shared" si="124"/>
        <v>0</v>
      </c>
      <c r="BL100" s="506">
        <f t="shared" si="103"/>
        <v>0</v>
      </c>
      <c r="BM100" s="506">
        <f t="shared" si="104"/>
        <v>0</v>
      </c>
      <c r="BN100" s="506">
        <f t="shared" si="125"/>
        <v>0</v>
      </c>
      <c r="BO100" s="506">
        <f t="shared" si="126"/>
        <v>0</v>
      </c>
      <c r="BP100" s="506">
        <f t="shared" si="127"/>
        <v>0</v>
      </c>
      <c r="BQ100" s="506">
        <f t="shared" si="128"/>
        <v>0</v>
      </c>
      <c r="BR100" s="506">
        <f t="shared" si="129"/>
        <v>0</v>
      </c>
      <c r="BS100" s="506">
        <f t="shared" si="130"/>
        <v>0</v>
      </c>
      <c r="BT100" s="506">
        <f t="shared" si="131"/>
        <v>0</v>
      </c>
      <c r="BU100" s="506">
        <f t="shared" si="132"/>
        <v>0</v>
      </c>
      <c r="BV100" s="506">
        <f t="shared" si="133"/>
        <v>0</v>
      </c>
      <c r="BW100" s="506">
        <f t="shared" si="134"/>
        <v>0</v>
      </c>
      <c r="BX100" s="506">
        <f t="shared" si="105"/>
        <v>0</v>
      </c>
      <c r="BY100" s="506">
        <f t="shared" si="106"/>
        <v>0</v>
      </c>
      <c r="BZ100" s="506">
        <f t="shared" si="107"/>
        <v>0</v>
      </c>
      <c r="CA100" s="506">
        <f t="shared" si="108"/>
        <v>0</v>
      </c>
      <c r="CB100" s="506">
        <f t="shared" si="109"/>
        <v>0</v>
      </c>
      <c r="CC100" s="506">
        <f t="shared" si="135"/>
        <v>0</v>
      </c>
      <c r="CD100" s="506">
        <f t="shared" si="136"/>
        <v>0</v>
      </c>
      <c r="CE100" s="506">
        <f t="shared" si="137"/>
        <v>0</v>
      </c>
      <c r="CF100" s="506">
        <f t="shared" si="138"/>
        <v>0</v>
      </c>
      <c r="CG100" s="506">
        <f t="shared" si="139"/>
        <v>0</v>
      </c>
      <c r="CH100" s="506">
        <f t="shared" si="140"/>
        <v>0</v>
      </c>
      <c r="CI100" s="506">
        <f t="shared" si="141"/>
        <v>0</v>
      </c>
      <c r="CJ100" s="506">
        <f t="shared" si="110"/>
        <v>0</v>
      </c>
      <c r="CK100" s="506" t="str">
        <f t="shared" si="111"/>
        <v/>
      </c>
      <c r="CL100" s="506" t="str">
        <f t="shared" si="112"/>
        <v/>
      </c>
      <c r="CM100" s="506" t="str">
        <f t="shared" si="113"/>
        <v/>
      </c>
      <c r="CN100" s="506" t="str">
        <f t="shared" si="114"/>
        <v>0290-00</v>
      </c>
    </row>
    <row r="101" spans="1:92" ht="15.75" thickBot="1" x14ac:dyDescent="0.3">
      <c r="A101" s="495" t="s">
        <v>187</v>
      </c>
      <c r="B101" s="495" t="s">
        <v>188</v>
      </c>
      <c r="C101" s="495" t="s">
        <v>610</v>
      </c>
      <c r="D101" s="495" t="s">
        <v>245</v>
      </c>
      <c r="E101" s="495" t="s">
        <v>191</v>
      </c>
      <c r="F101" s="496" t="s">
        <v>192</v>
      </c>
      <c r="G101" s="495" t="s">
        <v>193</v>
      </c>
      <c r="H101" s="497"/>
      <c r="I101" s="497"/>
      <c r="J101" s="495" t="s">
        <v>230</v>
      </c>
      <c r="K101" s="495" t="s">
        <v>437</v>
      </c>
      <c r="L101" s="495" t="s">
        <v>305</v>
      </c>
      <c r="M101" s="495" t="s">
        <v>197</v>
      </c>
      <c r="N101" s="495" t="s">
        <v>198</v>
      </c>
      <c r="O101" s="498">
        <v>1</v>
      </c>
      <c r="P101" s="504">
        <v>1</v>
      </c>
      <c r="Q101" s="504">
        <v>1</v>
      </c>
      <c r="R101" s="499">
        <v>80</v>
      </c>
      <c r="S101" s="504">
        <v>1</v>
      </c>
      <c r="T101" s="499">
        <v>59608.69</v>
      </c>
      <c r="U101" s="499">
        <v>829.95</v>
      </c>
      <c r="V101" s="499">
        <v>23892.12</v>
      </c>
      <c r="W101" s="499">
        <v>68744</v>
      </c>
      <c r="X101" s="499">
        <v>27175.8</v>
      </c>
      <c r="Y101" s="499">
        <v>68744</v>
      </c>
      <c r="Z101" s="499">
        <v>26818.3</v>
      </c>
      <c r="AA101" s="495" t="s">
        <v>611</v>
      </c>
      <c r="AB101" s="495" t="s">
        <v>612</v>
      </c>
      <c r="AC101" s="495" t="s">
        <v>613</v>
      </c>
      <c r="AD101" s="495" t="s">
        <v>352</v>
      </c>
      <c r="AE101" s="495" t="s">
        <v>437</v>
      </c>
      <c r="AF101" s="495" t="s">
        <v>440</v>
      </c>
      <c r="AG101" s="495" t="s">
        <v>204</v>
      </c>
      <c r="AH101" s="500">
        <v>33.049999999999997</v>
      </c>
      <c r="AI101" s="500">
        <v>57524.2</v>
      </c>
      <c r="AJ101" s="495" t="s">
        <v>205</v>
      </c>
      <c r="AK101" s="495" t="s">
        <v>206</v>
      </c>
      <c r="AL101" s="495" t="s">
        <v>207</v>
      </c>
      <c r="AM101" s="495" t="s">
        <v>208</v>
      </c>
      <c r="AN101" s="495" t="s">
        <v>92</v>
      </c>
      <c r="AO101" s="498">
        <v>80</v>
      </c>
      <c r="AP101" s="504">
        <v>1</v>
      </c>
      <c r="AQ101" s="504">
        <v>1</v>
      </c>
      <c r="AR101" s="502" t="s">
        <v>209</v>
      </c>
      <c r="AS101" s="506">
        <f t="shared" si="98"/>
        <v>1</v>
      </c>
      <c r="AT101">
        <f t="shared" si="99"/>
        <v>1</v>
      </c>
      <c r="AU101" s="506">
        <f>IF(AT101=0,"",IF(AND(AT101=1,M101="F",SUMIF(C2:C177,C101,AS2:AS177)&lt;=1),SUMIF(C2:C177,C101,AS2:AS177),IF(AND(AT101=1,M101="F",SUMIF(C2:C177,C101,AS2:AS177)&gt;1),1,"")))</f>
        <v>1</v>
      </c>
      <c r="AV101" s="506" t="str">
        <f>IF(AT101=0,"",IF(AND(AT101=3,M101="F",SUMIF(C2:C177,C101,AS2:AS177)&lt;=1),SUMIF(C2:C177,C101,AS2:AS177),IF(AND(AT101=3,M101="F",SUMIF(C2:C177,C101,AS2:AS177)&gt;1),1,"")))</f>
        <v/>
      </c>
      <c r="AW101" s="506">
        <f>SUMIF(C2:C177,C101,O2:O177)</f>
        <v>1</v>
      </c>
      <c r="AX101" s="506">
        <f>IF(AND(M101="F",AS101&lt;&gt;0),SUMIF(C2:C177,C101,W2:W177),0)</f>
        <v>68744</v>
      </c>
      <c r="AY101" s="506">
        <f t="shared" si="100"/>
        <v>68744</v>
      </c>
      <c r="AZ101" s="506" t="str">
        <f t="shared" si="101"/>
        <v/>
      </c>
      <c r="BA101" s="506">
        <f t="shared" si="102"/>
        <v>0</v>
      </c>
      <c r="BB101" s="506">
        <f t="shared" si="115"/>
        <v>11650</v>
      </c>
      <c r="BC101" s="506">
        <f t="shared" si="116"/>
        <v>0</v>
      </c>
      <c r="BD101" s="506">
        <f t="shared" si="117"/>
        <v>4262.1279999999997</v>
      </c>
      <c r="BE101" s="506">
        <f t="shared" si="118"/>
        <v>996.78800000000001</v>
      </c>
      <c r="BF101" s="506">
        <f t="shared" si="119"/>
        <v>8208.0336000000007</v>
      </c>
      <c r="BG101" s="506">
        <f t="shared" si="120"/>
        <v>495.64424000000002</v>
      </c>
      <c r="BH101" s="506">
        <f t="shared" si="121"/>
        <v>336.84559999999999</v>
      </c>
      <c r="BI101" s="506">
        <f t="shared" si="122"/>
        <v>380.49804</v>
      </c>
      <c r="BJ101" s="506">
        <f t="shared" si="123"/>
        <v>845.55119999999999</v>
      </c>
      <c r="BK101" s="506">
        <f t="shared" si="124"/>
        <v>0</v>
      </c>
      <c r="BL101" s="506">
        <f t="shared" si="103"/>
        <v>15525.48868</v>
      </c>
      <c r="BM101" s="506">
        <f t="shared" si="104"/>
        <v>0</v>
      </c>
      <c r="BN101" s="506">
        <f t="shared" si="125"/>
        <v>11650</v>
      </c>
      <c r="BO101" s="506">
        <f t="shared" si="126"/>
        <v>0</v>
      </c>
      <c r="BP101" s="506">
        <f t="shared" si="127"/>
        <v>4262.1279999999997</v>
      </c>
      <c r="BQ101" s="506">
        <f t="shared" si="128"/>
        <v>996.78800000000001</v>
      </c>
      <c r="BR101" s="506">
        <f t="shared" si="129"/>
        <v>8208.0336000000007</v>
      </c>
      <c r="BS101" s="506">
        <f t="shared" si="130"/>
        <v>495.64424000000002</v>
      </c>
      <c r="BT101" s="506">
        <f t="shared" si="131"/>
        <v>0</v>
      </c>
      <c r="BU101" s="506">
        <f t="shared" si="132"/>
        <v>380.49804</v>
      </c>
      <c r="BV101" s="506">
        <f t="shared" si="133"/>
        <v>824.928</v>
      </c>
      <c r="BW101" s="506">
        <f t="shared" si="134"/>
        <v>0</v>
      </c>
      <c r="BX101" s="506">
        <f t="shared" si="105"/>
        <v>15168.01988</v>
      </c>
      <c r="BY101" s="506">
        <f t="shared" si="106"/>
        <v>0</v>
      </c>
      <c r="BZ101" s="506">
        <f t="shared" si="107"/>
        <v>0</v>
      </c>
      <c r="CA101" s="506">
        <f t="shared" si="108"/>
        <v>0</v>
      </c>
      <c r="CB101" s="506">
        <f t="shared" si="109"/>
        <v>0</v>
      </c>
      <c r="CC101" s="506">
        <f t="shared" si="135"/>
        <v>0</v>
      </c>
      <c r="CD101" s="506">
        <f t="shared" si="136"/>
        <v>0</v>
      </c>
      <c r="CE101" s="506">
        <f t="shared" si="137"/>
        <v>0</v>
      </c>
      <c r="CF101" s="506">
        <f t="shared" si="138"/>
        <v>-336.84559999999999</v>
      </c>
      <c r="CG101" s="506">
        <f t="shared" si="139"/>
        <v>0</v>
      </c>
      <c r="CH101" s="506">
        <f t="shared" si="140"/>
        <v>-20.623199999999994</v>
      </c>
      <c r="CI101" s="506">
        <f t="shared" si="141"/>
        <v>0</v>
      </c>
      <c r="CJ101" s="506">
        <f t="shared" si="110"/>
        <v>-357.46879999999999</v>
      </c>
      <c r="CK101" s="506" t="str">
        <f t="shared" si="111"/>
        <v/>
      </c>
      <c r="CL101" s="506" t="str">
        <f t="shared" si="112"/>
        <v/>
      </c>
      <c r="CM101" s="506" t="str">
        <f t="shared" si="113"/>
        <v/>
      </c>
      <c r="CN101" s="506" t="str">
        <f t="shared" si="114"/>
        <v>0290-00</v>
      </c>
    </row>
    <row r="102" spans="1:92" ht="15.75" thickBot="1" x14ac:dyDescent="0.3">
      <c r="A102" s="495" t="s">
        <v>187</v>
      </c>
      <c r="B102" s="495" t="s">
        <v>188</v>
      </c>
      <c r="C102" s="495" t="s">
        <v>614</v>
      </c>
      <c r="D102" s="495" t="s">
        <v>615</v>
      </c>
      <c r="E102" s="495" t="s">
        <v>191</v>
      </c>
      <c r="F102" s="496" t="s">
        <v>192</v>
      </c>
      <c r="G102" s="495" t="s">
        <v>193</v>
      </c>
      <c r="H102" s="497"/>
      <c r="I102" s="497"/>
      <c r="J102" s="495" t="s">
        <v>194</v>
      </c>
      <c r="K102" s="495" t="s">
        <v>616</v>
      </c>
      <c r="L102" s="495" t="s">
        <v>196</v>
      </c>
      <c r="M102" s="495" t="s">
        <v>197</v>
      </c>
      <c r="N102" s="495" t="s">
        <v>227</v>
      </c>
      <c r="O102" s="498">
        <v>0</v>
      </c>
      <c r="P102" s="504">
        <v>1</v>
      </c>
      <c r="Q102" s="504">
        <v>0</v>
      </c>
      <c r="R102" s="499">
        <v>0</v>
      </c>
      <c r="S102" s="504">
        <v>0</v>
      </c>
      <c r="T102" s="499">
        <v>59130.94</v>
      </c>
      <c r="U102" s="499">
        <v>5479.42</v>
      </c>
      <c r="V102" s="499">
        <v>24666.17</v>
      </c>
      <c r="W102" s="499">
        <v>64610.36</v>
      </c>
      <c r="X102" s="499">
        <v>24666.16</v>
      </c>
      <c r="Y102" s="499">
        <v>64610.36</v>
      </c>
      <c r="Z102" s="499">
        <v>24666.16</v>
      </c>
      <c r="AA102" s="497"/>
      <c r="AB102" s="495" t="s">
        <v>23</v>
      </c>
      <c r="AC102" s="495" t="s">
        <v>23</v>
      </c>
      <c r="AD102" s="497"/>
      <c r="AE102" s="497"/>
      <c r="AF102" s="497"/>
      <c r="AG102" s="497"/>
      <c r="AH102" s="498">
        <v>0</v>
      </c>
      <c r="AI102" s="498">
        <v>0</v>
      </c>
      <c r="AJ102" s="497"/>
      <c r="AK102" s="497"/>
      <c r="AL102" s="495" t="s">
        <v>207</v>
      </c>
      <c r="AM102" s="497"/>
      <c r="AN102" s="497"/>
      <c r="AO102" s="498">
        <v>0</v>
      </c>
      <c r="AP102" s="504">
        <v>0</v>
      </c>
      <c r="AQ102" s="504">
        <v>0</v>
      </c>
      <c r="AR102" s="503"/>
      <c r="AS102" s="506">
        <f t="shared" si="98"/>
        <v>0</v>
      </c>
      <c r="AT102">
        <f t="shared" si="99"/>
        <v>0</v>
      </c>
      <c r="AU102" s="506" t="str">
        <f>IF(AT102=0,"",IF(AND(AT102=1,M102="F",SUMIF(C2:C177,C102,AS2:AS177)&lt;=1),SUMIF(C2:C177,C102,AS2:AS177),IF(AND(AT102=1,M102="F",SUMIF(C2:C177,C102,AS2:AS177)&gt;1),1,"")))</f>
        <v/>
      </c>
      <c r="AV102" s="506" t="str">
        <f>IF(AT102=0,"",IF(AND(AT102=3,M102="F",SUMIF(C2:C177,C102,AS2:AS177)&lt;=1),SUMIF(C2:C177,C102,AS2:AS177),IF(AND(AT102=3,M102="F",SUMIF(C2:C177,C102,AS2:AS177)&gt;1),1,"")))</f>
        <v/>
      </c>
      <c r="AW102" s="506">
        <f>SUMIF(C2:C177,C102,O2:O177)</f>
        <v>0</v>
      </c>
      <c r="AX102" s="506">
        <f>IF(AND(M102="F",AS102&lt;&gt;0),SUMIF(C2:C177,C102,W2:W177),0)</f>
        <v>0</v>
      </c>
      <c r="AY102" s="506" t="str">
        <f t="shared" si="100"/>
        <v/>
      </c>
      <c r="AZ102" s="506" t="str">
        <f t="shared" si="101"/>
        <v/>
      </c>
      <c r="BA102" s="506">
        <f t="shared" si="102"/>
        <v>0</v>
      </c>
      <c r="BB102" s="506">
        <f t="shared" si="115"/>
        <v>0</v>
      </c>
      <c r="BC102" s="506">
        <f t="shared" si="116"/>
        <v>0</v>
      </c>
      <c r="BD102" s="506">
        <f t="shared" si="117"/>
        <v>0</v>
      </c>
      <c r="BE102" s="506">
        <f t="shared" si="118"/>
        <v>0</v>
      </c>
      <c r="BF102" s="506">
        <f t="shared" si="119"/>
        <v>0</v>
      </c>
      <c r="BG102" s="506">
        <f t="shared" si="120"/>
        <v>0</v>
      </c>
      <c r="BH102" s="506">
        <f t="shared" si="121"/>
        <v>0</v>
      </c>
      <c r="BI102" s="506">
        <f t="shared" si="122"/>
        <v>0</v>
      </c>
      <c r="BJ102" s="506">
        <f t="shared" si="123"/>
        <v>0</v>
      </c>
      <c r="BK102" s="506">
        <f t="shared" si="124"/>
        <v>0</v>
      </c>
      <c r="BL102" s="506">
        <f t="shared" si="103"/>
        <v>0</v>
      </c>
      <c r="BM102" s="506">
        <f t="shared" si="104"/>
        <v>0</v>
      </c>
      <c r="BN102" s="506">
        <f t="shared" si="125"/>
        <v>0</v>
      </c>
      <c r="BO102" s="506">
        <f t="shared" si="126"/>
        <v>0</v>
      </c>
      <c r="BP102" s="506">
        <f t="shared" si="127"/>
        <v>0</v>
      </c>
      <c r="BQ102" s="506">
        <f t="shared" si="128"/>
        <v>0</v>
      </c>
      <c r="BR102" s="506">
        <f t="shared" si="129"/>
        <v>0</v>
      </c>
      <c r="BS102" s="506">
        <f t="shared" si="130"/>
        <v>0</v>
      </c>
      <c r="BT102" s="506">
        <f t="shared" si="131"/>
        <v>0</v>
      </c>
      <c r="BU102" s="506">
        <f t="shared" si="132"/>
        <v>0</v>
      </c>
      <c r="BV102" s="506">
        <f t="shared" si="133"/>
        <v>0</v>
      </c>
      <c r="BW102" s="506">
        <f t="shared" si="134"/>
        <v>0</v>
      </c>
      <c r="BX102" s="506">
        <f t="shared" si="105"/>
        <v>0</v>
      </c>
      <c r="BY102" s="506">
        <f t="shared" si="106"/>
        <v>0</v>
      </c>
      <c r="BZ102" s="506">
        <f t="shared" si="107"/>
        <v>0</v>
      </c>
      <c r="CA102" s="506">
        <f t="shared" si="108"/>
        <v>0</v>
      </c>
      <c r="CB102" s="506">
        <f t="shared" si="109"/>
        <v>0</v>
      </c>
      <c r="CC102" s="506">
        <f t="shared" si="135"/>
        <v>0</v>
      </c>
      <c r="CD102" s="506">
        <f t="shared" si="136"/>
        <v>0</v>
      </c>
      <c r="CE102" s="506">
        <f t="shared" si="137"/>
        <v>0</v>
      </c>
      <c r="CF102" s="506">
        <f t="shared" si="138"/>
        <v>0</v>
      </c>
      <c r="CG102" s="506">
        <f t="shared" si="139"/>
        <v>0</v>
      </c>
      <c r="CH102" s="506">
        <f t="shared" si="140"/>
        <v>0</v>
      </c>
      <c r="CI102" s="506">
        <f t="shared" si="141"/>
        <v>0</v>
      </c>
      <c r="CJ102" s="506">
        <f t="shared" si="110"/>
        <v>0</v>
      </c>
      <c r="CK102" s="506" t="str">
        <f t="shared" si="111"/>
        <v/>
      </c>
      <c r="CL102" s="506">
        <f t="shared" si="112"/>
        <v>64610.36</v>
      </c>
      <c r="CM102" s="506">
        <f t="shared" si="113"/>
        <v>24666.17</v>
      </c>
      <c r="CN102" s="506" t="str">
        <f t="shared" si="114"/>
        <v>0290-00</v>
      </c>
    </row>
    <row r="103" spans="1:92" ht="15.75" thickBot="1" x14ac:dyDescent="0.3">
      <c r="A103" s="495" t="s">
        <v>187</v>
      </c>
      <c r="B103" s="495" t="s">
        <v>188</v>
      </c>
      <c r="C103" s="495" t="s">
        <v>617</v>
      </c>
      <c r="D103" s="495" t="s">
        <v>618</v>
      </c>
      <c r="E103" s="495" t="s">
        <v>191</v>
      </c>
      <c r="F103" s="496" t="s">
        <v>192</v>
      </c>
      <c r="G103" s="495" t="s">
        <v>193</v>
      </c>
      <c r="H103" s="497"/>
      <c r="I103" s="497"/>
      <c r="J103" s="495" t="s">
        <v>225</v>
      </c>
      <c r="K103" s="495" t="s">
        <v>619</v>
      </c>
      <c r="L103" s="495" t="s">
        <v>232</v>
      </c>
      <c r="M103" s="495" t="s">
        <v>197</v>
      </c>
      <c r="N103" s="495" t="s">
        <v>198</v>
      </c>
      <c r="O103" s="498">
        <v>1</v>
      </c>
      <c r="P103" s="504">
        <v>1</v>
      </c>
      <c r="Q103" s="504">
        <v>1</v>
      </c>
      <c r="R103" s="499">
        <v>80</v>
      </c>
      <c r="S103" s="504">
        <v>1</v>
      </c>
      <c r="T103" s="499">
        <v>47664.67</v>
      </c>
      <c r="U103" s="499">
        <v>776.61</v>
      </c>
      <c r="V103" s="499">
        <v>21762.400000000001</v>
      </c>
      <c r="W103" s="499">
        <v>50398.400000000001</v>
      </c>
      <c r="X103" s="499">
        <v>23032.45</v>
      </c>
      <c r="Y103" s="499">
        <v>50398.400000000001</v>
      </c>
      <c r="Z103" s="499">
        <v>22770.38</v>
      </c>
      <c r="AA103" s="495" t="s">
        <v>620</v>
      </c>
      <c r="AB103" s="495" t="s">
        <v>621</v>
      </c>
      <c r="AC103" s="495" t="s">
        <v>622</v>
      </c>
      <c r="AD103" s="495" t="s">
        <v>242</v>
      </c>
      <c r="AE103" s="495" t="s">
        <v>619</v>
      </c>
      <c r="AF103" s="495" t="s">
        <v>237</v>
      </c>
      <c r="AG103" s="495" t="s">
        <v>204</v>
      </c>
      <c r="AH103" s="500">
        <v>24.23</v>
      </c>
      <c r="AI103" s="500">
        <v>7416.8</v>
      </c>
      <c r="AJ103" s="495" t="s">
        <v>205</v>
      </c>
      <c r="AK103" s="495" t="s">
        <v>206</v>
      </c>
      <c r="AL103" s="495" t="s">
        <v>207</v>
      </c>
      <c r="AM103" s="495" t="s">
        <v>208</v>
      </c>
      <c r="AN103" s="495" t="s">
        <v>92</v>
      </c>
      <c r="AO103" s="498">
        <v>80</v>
      </c>
      <c r="AP103" s="504">
        <v>1</v>
      </c>
      <c r="AQ103" s="504">
        <v>1</v>
      </c>
      <c r="AR103" s="502" t="s">
        <v>209</v>
      </c>
      <c r="AS103" s="506">
        <f t="shared" si="98"/>
        <v>1</v>
      </c>
      <c r="AT103">
        <f t="shared" si="99"/>
        <v>1</v>
      </c>
      <c r="AU103" s="506">
        <f>IF(AT103=0,"",IF(AND(AT103=1,M103="F",SUMIF(C2:C177,C103,AS2:AS177)&lt;=1),SUMIF(C2:C177,C103,AS2:AS177),IF(AND(AT103=1,M103="F",SUMIF(C2:C177,C103,AS2:AS177)&gt;1),1,"")))</f>
        <v>1</v>
      </c>
      <c r="AV103" s="506" t="str">
        <f>IF(AT103=0,"",IF(AND(AT103=3,M103="F",SUMIF(C2:C177,C103,AS2:AS177)&lt;=1),SUMIF(C2:C177,C103,AS2:AS177),IF(AND(AT103=3,M103="F",SUMIF(C2:C177,C103,AS2:AS177)&gt;1),1,"")))</f>
        <v/>
      </c>
      <c r="AW103" s="506">
        <f>SUMIF(C2:C177,C103,O2:O177)</f>
        <v>1</v>
      </c>
      <c r="AX103" s="506">
        <f>IF(AND(M103="F",AS103&lt;&gt;0),SUMIF(C2:C177,C103,W2:W177),0)</f>
        <v>50398.400000000001</v>
      </c>
      <c r="AY103" s="506">
        <f t="shared" si="100"/>
        <v>50398.400000000001</v>
      </c>
      <c r="AZ103" s="506" t="str">
        <f t="shared" si="101"/>
        <v/>
      </c>
      <c r="BA103" s="506">
        <f t="shared" si="102"/>
        <v>0</v>
      </c>
      <c r="BB103" s="506">
        <f t="shared" si="115"/>
        <v>11650</v>
      </c>
      <c r="BC103" s="506">
        <f t="shared" si="116"/>
        <v>0</v>
      </c>
      <c r="BD103" s="506">
        <f t="shared" si="117"/>
        <v>3124.7008000000001</v>
      </c>
      <c r="BE103" s="506">
        <f t="shared" si="118"/>
        <v>730.77680000000009</v>
      </c>
      <c r="BF103" s="506">
        <f t="shared" si="119"/>
        <v>6017.5689600000005</v>
      </c>
      <c r="BG103" s="506">
        <f t="shared" si="120"/>
        <v>363.37246400000004</v>
      </c>
      <c r="BH103" s="506">
        <f t="shared" si="121"/>
        <v>246.95215999999999</v>
      </c>
      <c r="BI103" s="506">
        <f t="shared" si="122"/>
        <v>278.95514400000002</v>
      </c>
      <c r="BJ103" s="506">
        <f t="shared" si="123"/>
        <v>619.90032000000008</v>
      </c>
      <c r="BK103" s="506">
        <f t="shared" si="124"/>
        <v>0</v>
      </c>
      <c r="BL103" s="506">
        <f t="shared" si="103"/>
        <v>11382.226648000002</v>
      </c>
      <c r="BM103" s="506">
        <f t="shared" si="104"/>
        <v>0</v>
      </c>
      <c r="BN103" s="506">
        <f t="shared" si="125"/>
        <v>11650</v>
      </c>
      <c r="BO103" s="506">
        <f t="shared" si="126"/>
        <v>0</v>
      </c>
      <c r="BP103" s="506">
        <f t="shared" si="127"/>
        <v>3124.7008000000001</v>
      </c>
      <c r="BQ103" s="506">
        <f t="shared" si="128"/>
        <v>730.77680000000009</v>
      </c>
      <c r="BR103" s="506">
        <f t="shared" si="129"/>
        <v>6017.5689600000005</v>
      </c>
      <c r="BS103" s="506">
        <f t="shared" si="130"/>
        <v>363.37246400000004</v>
      </c>
      <c r="BT103" s="506">
        <f t="shared" si="131"/>
        <v>0</v>
      </c>
      <c r="BU103" s="506">
        <f t="shared" si="132"/>
        <v>278.95514400000002</v>
      </c>
      <c r="BV103" s="506">
        <f t="shared" si="133"/>
        <v>604.7808</v>
      </c>
      <c r="BW103" s="506">
        <f t="shared" si="134"/>
        <v>0</v>
      </c>
      <c r="BX103" s="506">
        <f t="shared" si="105"/>
        <v>11120.154968000001</v>
      </c>
      <c r="BY103" s="506">
        <f t="shared" si="106"/>
        <v>0</v>
      </c>
      <c r="BZ103" s="506">
        <f t="shared" si="107"/>
        <v>0</v>
      </c>
      <c r="CA103" s="506">
        <f t="shared" si="108"/>
        <v>0</v>
      </c>
      <c r="CB103" s="506">
        <f t="shared" si="109"/>
        <v>0</v>
      </c>
      <c r="CC103" s="506">
        <f t="shared" si="135"/>
        <v>0</v>
      </c>
      <c r="CD103" s="506">
        <f t="shared" si="136"/>
        <v>0</v>
      </c>
      <c r="CE103" s="506">
        <f t="shared" si="137"/>
        <v>0</v>
      </c>
      <c r="CF103" s="506">
        <f t="shared" si="138"/>
        <v>-246.95215999999999</v>
      </c>
      <c r="CG103" s="506">
        <f t="shared" si="139"/>
        <v>0</v>
      </c>
      <c r="CH103" s="506">
        <f t="shared" si="140"/>
        <v>-15.119519999999996</v>
      </c>
      <c r="CI103" s="506">
        <f t="shared" si="141"/>
        <v>0</v>
      </c>
      <c r="CJ103" s="506">
        <f t="shared" si="110"/>
        <v>-262.07168000000001</v>
      </c>
      <c r="CK103" s="506" t="str">
        <f t="shared" si="111"/>
        <v/>
      </c>
      <c r="CL103" s="506" t="str">
        <f t="shared" si="112"/>
        <v/>
      </c>
      <c r="CM103" s="506" t="str">
        <f t="shared" si="113"/>
        <v/>
      </c>
      <c r="CN103" s="506" t="str">
        <f t="shared" si="114"/>
        <v>0290-00</v>
      </c>
    </row>
    <row r="104" spans="1:92" ht="15.75" thickBot="1" x14ac:dyDescent="0.3">
      <c r="A104" s="495" t="s">
        <v>187</v>
      </c>
      <c r="B104" s="495" t="s">
        <v>188</v>
      </c>
      <c r="C104" s="495" t="s">
        <v>623</v>
      </c>
      <c r="D104" s="495" t="s">
        <v>624</v>
      </c>
      <c r="E104" s="495" t="s">
        <v>191</v>
      </c>
      <c r="F104" s="496" t="s">
        <v>192</v>
      </c>
      <c r="G104" s="495" t="s">
        <v>193</v>
      </c>
      <c r="H104" s="497"/>
      <c r="I104" s="497"/>
      <c r="J104" s="495" t="s">
        <v>254</v>
      </c>
      <c r="K104" s="495" t="s">
        <v>625</v>
      </c>
      <c r="L104" s="495" t="s">
        <v>196</v>
      </c>
      <c r="M104" s="495" t="s">
        <v>197</v>
      </c>
      <c r="N104" s="495" t="s">
        <v>198</v>
      </c>
      <c r="O104" s="498">
        <v>1</v>
      </c>
      <c r="P104" s="504">
        <v>1</v>
      </c>
      <c r="Q104" s="504">
        <v>1</v>
      </c>
      <c r="R104" s="499">
        <v>66</v>
      </c>
      <c r="S104" s="504">
        <v>0.82</v>
      </c>
      <c r="T104" s="499">
        <v>48455.13</v>
      </c>
      <c r="U104" s="499">
        <v>41.48</v>
      </c>
      <c r="V104" s="499">
        <v>21615.68</v>
      </c>
      <c r="W104" s="499">
        <v>50827.9</v>
      </c>
      <c r="X104" s="499">
        <v>23129.43</v>
      </c>
      <c r="Y104" s="499">
        <v>50827.9</v>
      </c>
      <c r="Z104" s="499">
        <v>22865.119999999999</v>
      </c>
      <c r="AA104" s="495" t="s">
        <v>626</v>
      </c>
      <c r="AB104" s="495" t="s">
        <v>627</v>
      </c>
      <c r="AC104" s="495" t="s">
        <v>377</v>
      </c>
      <c r="AD104" s="495" t="s">
        <v>206</v>
      </c>
      <c r="AE104" s="495" t="s">
        <v>625</v>
      </c>
      <c r="AF104" s="495" t="s">
        <v>203</v>
      </c>
      <c r="AG104" s="495" t="s">
        <v>204</v>
      </c>
      <c r="AH104" s="500">
        <v>29.62</v>
      </c>
      <c r="AI104" s="498">
        <v>34450</v>
      </c>
      <c r="AJ104" s="495" t="s">
        <v>243</v>
      </c>
      <c r="AK104" s="495" t="s">
        <v>206</v>
      </c>
      <c r="AL104" s="495" t="s">
        <v>207</v>
      </c>
      <c r="AM104" s="495" t="s">
        <v>208</v>
      </c>
      <c r="AN104" s="495" t="s">
        <v>92</v>
      </c>
      <c r="AO104" s="498">
        <v>66</v>
      </c>
      <c r="AP104" s="504">
        <v>1</v>
      </c>
      <c r="AQ104" s="504">
        <v>0.82</v>
      </c>
      <c r="AR104" s="502" t="s">
        <v>209</v>
      </c>
      <c r="AS104" s="506">
        <f t="shared" si="98"/>
        <v>0.82499999999999996</v>
      </c>
      <c r="AT104">
        <f t="shared" si="99"/>
        <v>1</v>
      </c>
      <c r="AU104" s="506">
        <f>IF(AT104=0,"",IF(AND(AT104=1,M104="F",SUMIF(C2:C177,C104,AS2:AS177)&lt;=1),SUMIF(C2:C177,C104,AS2:AS177),IF(AND(AT104=1,M104="F",SUMIF(C2:C177,C104,AS2:AS177)&gt;1),1,"")))</f>
        <v>0.82499999999999996</v>
      </c>
      <c r="AV104" s="506" t="str">
        <f>IF(AT104=0,"",IF(AND(AT104=3,M104="F",SUMIF(C2:C177,C104,AS2:AS177)&lt;=1),SUMIF(C2:C177,C104,AS2:AS177),IF(AND(AT104=3,M104="F",SUMIF(C2:C177,C104,AS2:AS177)&gt;1),1,"")))</f>
        <v/>
      </c>
      <c r="AW104" s="506">
        <f>SUMIF(C2:C177,C104,O2:O177)</f>
        <v>1</v>
      </c>
      <c r="AX104" s="506">
        <f>IF(AND(M104="F",AS104&lt;&gt;0),SUMIF(C2:C177,C104,W2:W177),0)</f>
        <v>50827.9</v>
      </c>
      <c r="AY104" s="506">
        <f t="shared" si="100"/>
        <v>50827.9</v>
      </c>
      <c r="AZ104" s="506" t="str">
        <f t="shared" si="101"/>
        <v/>
      </c>
      <c r="BA104" s="506">
        <f t="shared" si="102"/>
        <v>0</v>
      </c>
      <c r="BB104" s="506">
        <f t="shared" si="115"/>
        <v>11650</v>
      </c>
      <c r="BC104" s="506">
        <f t="shared" si="116"/>
        <v>0</v>
      </c>
      <c r="BD104" s="506">
        <f t="shared" si="117"/>
        <v>3151.3298</v>
      </c>
      <c r="BE104" s="506">
        <f t="shared" si="118"/>
        <v>737.00455000000011</v>
      </c>
      <c r="BF104" s="506">
        <f t="shared" si="119"/>
        <v>6068.8512600000004</v>
      </c>
      <c r="BG104" s="506">
        <f t="shared" si="120"/>
        <v>366.46915900000005</v>
      </c>
      <c r="BH104" s="506">
        <f t="shared" si="121"/>
        <v>249.05671000000001</v>
      </c>
      <c r="BI104" s="506">
        <f t="shared" si="122"/>
        <v>281.3324265</v>
      </c>
      <c r="BJ104" s="506">
        <f t="shared" si="123"/>
        <v>625.18317000000002</v>
      </c>
      <c r="BK104" s="506">
        <f t="shared" si="124"/>
        <v>0</v>
      </c>
      <c r="BL104" s="506">
        <f t="shared" si="103"/>
        <v>11479.227075500001</v>
      </c>
      <c r="BM104" s="506">
        <f t="shared" si="104"/>
        <v>0</v>
      </c>
      <c r="BN104" s="506">
        <f t="shared" si="125"/>
        <v>11650</v>
      </c>
      <c r="BO104" s="506">
        <f t="shared" si="126"/>
        <v>0</v>
      </c>
      <c r="BP104" s="506">
        <f t="shared" si="127"/>
        <v>3151.3298</v>
      </c>
      <c r="BQ104" s="506">
        <f t="shared" si="128"/>
        <v>737.00455000000011</v>
      </c>
      <c r="BR104" s="506">
        <f t="shared" si="129"/>
        <v>6068.8512600000004</v>
      </c>
      <c r="BS104" s="506">
        <f t="shared" si="130"/>
        <v>366.46915900000005</v>
      </c>
      <c r="BT104" s="506">
        <f t="shared" si="131"/>
        <v>0</v>
      </c>
      <c r="BU104" s="506">
        <f t="shared" si="132"/>
        <v>281.3324265</v>
      </c>
      <c r="BV104" s="506">
        <f t="shared" si="133"/>
        <v>609.9348</v>
      </c>
      <c r="BW104" s="506">
        <f t="shared" si="134"/>
        <v>0</v>
      </c>
      <c r="BX104" s="506">
        <f t="shared" si="105"/>
        <v>11214.921995500001</v>
      </c>
      <c r="BY104" s="506">
        <f t="shared" si="106"/>
        <v>0</v>
      </c>
      <c r="BZ104" s="506">
        <f t="shared" si="107"/>
        <v>0</v>
      </c>
      <c r="CA104" s="506">
        <f t="shared" si="108"/>
        <v>0</v>
      </c>
      <c r="CB104" s="506">
        <f t="shared" si="109"/>
        <v>0</v>
      </c>
      <c r="CC104" s="506">
        <f t="shared" si="135"/>
        <v>0</v>
      </c>
      <c r="CD104" s="506">
        <f t="shared" si="136"/>
        <v>0</v>
      </c>
      <c r="CE104" s="506">
        <f t="shared" si="137"/>
        <v>0</v>
      </c>
      <c r="CF104" s="506">
        <f t="shared" si="138"/>
        <v>-249.05671000000001</v>
      </c>
      <c r="CG104" s="506">
        <f t="shared" si="139"/>
        <v>0</v>
      </c>
      <c r="CH104" s="506">
        <f t="shared" si="140"/>
        <v>-15.248369999999996</v>
      </c>
      <c r="CI104" s="506">
        <f t="shared" si="141"/>
        <v>0</v>
      </c>
      <c r="CJ104" s="506">
        <f t="shared" si="110"/>
        <v>-264.30508000000003</v>
      </c>
      <c r="CK104" s="506" t="str">
        <f t="shared" si="111"/>
        <v/>
      </c>
      <c r="CL104" s="506" t="str">
        <f t="shared" si="112"/>
        <v/>
      </c>
      <c r="CM104" s="506" t="str">
        <f t="shared" si="113"/>
        <v/>
      </c>
      <c r="CN104" s="506" t="str">
        <f t="shared" si="114"/>
        <v>0290-00</v>
      </c>
    </row>
    <row r="105" spans="1:92" ht="15.75" thickBot="1" x14ac:dyDescent="0.3">
      <c r="A105" s="495" t="s">
        <v>187</v>
      </c>
      <c r="B105" s="495" t="s">
        <v>188</v>
      </c>
      <c r="C105" s="495" t="s">
        <v>628</v>
      </c>
      <c r="D105" s="495" t="s">
        <v>268</v>
      </c>
      <c r="E105" s="495" t="s">
        <v>191</v>
      </c>
      <c r="F105" s="496" t="s">
        <v>192</v>
      </c>
      <c r="G105" s="495" t="s">
        <v>193</v>
      </c>
      <c r="H105" s="497"/>
      <c r="I105" s="497"/>
      <c r="J105" s="495" t="s">
        <v>225</v>
      </c>
      <c r="K105" s="495" t="s">
        <v>269</v>
      </c>
      <c r="L105" s="495" t="s">
        <v>204</v>
      </c>
      <c r="M105" s="495" t="s">
        <v>213</v>
      </c>
      <c r="N105" s="495" t="s">
        <v>270</v>
      </c>
      <c r="O105" s="498">
        <v>0</v>
      </c>
      <c r="P105" s="504">
        <v>1</v>
      </c>
      <c r="Q105" s="504">
        <v>1</v>
      </c>
      <c r="R105" s="499">
        <v>80</v>
      </c>
      <c r="S105" s="504">
        <v>1</v>
      </c>
      <c r="T105" s="499">
        <v>23773.99</v>
      </c>
      <c r="U105" s="499">
        <v>3836.18</v>
      </c>
      <c r="V105" s="499">
        <v>14436.92</v>
      </c>
      <c r="W105" s="499">
        <v>32094.400000000001</v>
      </c>
      <c r="X105" s="499">
        <v>14057.34</v>
      </c>
      <c r="Y105" s="499">
        <v>32094.400000000001</v>
      </c>
      <c r="Z105" s="499">
        <v>13896.87</v>
      </c>
      <c r="AA105" s="497"/>
      <c r="AB105" s="495" t="s">
        <v>23</v>
      </c>
      <c r="AC105" s="495" t="s">
        <v>23</v>
      </c>
      <c r="AD105" s="497"/>
      <c r="AE105" s="497"/>
      <c r="AF105" s="497"/>
      <c r="AG105" s="497"/>
      <c r="AH105" s="498">
        <v>0</v>
      </c>
      <c r="AI105" s="498">
        <v>0</v>
      </c>
      <c r="AJ105" s="497"/>
      <c r="AK105" s="497"/>
      <c r="AL105" s="495" t="s">
        <v>207</v>
      </c>
      <c r="AM105" s="497"/>
      <c r="AN105" s="497"/>
      <c r="AO105" s="498">
        <v>0</v>
      </c>
      <c r="AP105" s="504">
        <v>0</v>
      </c>
      <c r="AQ105" s="504">
        <v>0</v>
      </c>
      <c r="AR105" s="503"/>
      <c r="AS105" s="506">
        <f t="shared" si="98"/>
        <v>0</v>
      </c>
      <c r="AT105">
        <f t="shared" si="99"/>
        <v>0</v>
      </c>
      <c r="AU105" s="506" t="str">
        <f>IF(AT105=0,"",IF(AND(AT105=1,M105="F",SUMIF(C2:C177,C105,AS2:AS177)&lt;=1),SUMIF(C2:C177,C105,AS2:AS177),IF(AND(AT105=1,M105="F",SUMIF(C2:C177,C105,AS2:AS177)&gt;1),1,"")))</f>
        <v/>
      </c>
      <c r="AV105" s="506" t="str">
        <f>IF(AT105=0,"",IF(AND(AT105=3,M105="F",SUMIF(C2:C177,C105,AS2:AS177)&lt;=1),SUMIF(C2:C177,C105,AS2:AS177),IF(AND(AT105=3,M105="F",SUMIF(C2:C177,C105,AS2:AS177)&gt;1),1,"")))</f>
        <v/>
      </c>
      <c r="AW105" s="506">
        <f>SUMIF(C2:C177,C105,O2:O177)</f>
        <v>0</v>
      </c>
      <c r="AX105" s="506">
        <f>IF(AND(M105="F",AS105&lt;&gt;0),SUMIF(C2:C177,C105,W2:W177),0)</f>
        <v>0</v>
      </c>
      <c r="AY105" s="506" t="str">
        <f t="shared" si="100"/>
        <v/>
      </c>
      <c r="AZ105" s="506" t="str">
        <f t="shared" si="101"/>
        <v/>
      </c>
      <c r="BA105" s="506">
        <f t="shared" si="102"/>
        <v>0</v>
      </c>
      <c r="BB105" s="506">
        <f t="shared" si="115"/>
        <v>0</v>
      </c>
      <c r="BC105" s="506">
        <f t="shared" si="116"/>
        <v>0</v>
      </c>
      <c r="BD105" s="506">
        <f t="shared" si="117"/>
        <v>0</v>
      </c>
      <c r="BE105" s="506">
        <f t="shared" si="118"/>
        <v>0</v>
      </c>
      <c r="BF105" s="506">
        <f t="shared" si="119"/>
        <v>0</v>
      </c>
      <c r="BG105" s="506">
        <f t="shared" si="120"/>
        <v>0</v>
      </c>
      <c r="BH105" s="506">
        <f t="shared" si="121"/>
        <v>0</v>
      </c>
      <c r="BI105" s="506">
        <f t="shared" si="122"/>
        <v>0</v>
      </c>
      <c r="BJ105" s="506">
        <f t="shared" si="123"/>
        <v>0</v>
      </c>
      <c r="BK105" s="506">
        <f t="shared" si="124"/>
        <v>0</v>
      </c>
      <c r="BL105" s="506">
        <f t="shared" si="103"/>
        <v>0</v>
      </c>
      <c r="BM105" s="506">
        <f t="shared" si="104"/>
        <v>0</v>
      </c>
      <c r="BN105" s="506">
        <f t="shared" si="125"/>
        <v>0</v>
      </c>
      <c r="BO105" s="506">
        <f t="shared" si="126"/>
        <v>0</v>
      </c>
      <c r="BP105" s="506">
        <f t="shared" si="127"/>
        <v>0</v>
      </c>
      <c r="BQ105" s="506">
        <f t="shared" si="128"/>
        <v>0</v>
      </c>
      <c r="BR105" s="506">
        <f t="shared" si="129"/>
        <v>0</v>
      </c>
      <c r="BS105" s="506">
        <f t="shared" si="130"/>
        <v>0</v>
      </c>
      <c r="BT105" s="506">
        <f t="shared" si="131"/>
        <v>0</v>
      </c>
      <c r="BU105" s="506">
        <f t="shared" si="132"/>
        <v>0</v>
      </c>
      <c r="BV105" s="506">
        <f t="shared" si="133"/>
        <v>0</v>
      </c>
      <c r="BW105" s="506">
        <f t="shared" si="134"/>
        <v>0</v>
      </c>
      <c r="BX105" s="506">
        <f t="shared" si="105"/>
        <v>0</v>
      </c>
      <c r="BY105" s="506">
        <f t="shared" si="106"/>
        <v>0</v>
      </c>
      <c r="BZ105" s="506">
        <f t="shared" si="107"/>
        <v>0</v>
      </c>
      <c r="CA105" s="506">
        <f t="shared" si="108"/>
        <v>0</v>
      </c>
      <c r="CB105" s="506">
        <f t="shared" si="109"/>
        <v>0</v>
      </c>
      <c r="CC105" s="506">
        <f t="shared" si="135"/>
        <v>0</v>
      </c>
      <c r="CD105" s="506">
        <f t="shared" si="136"/>
        <v>0</v>
      </c>
      <c r="CE105" s="506">
        <f t="shared" si="137"/>
        <v>0</v>
      </c>
      <c r="CF105" s="506">
        <f t="shared" si="138"/>
        <v>0</v>
      </c>
      <c r="CG105" s="506">
        <f t="shared" si="139"/>
        <v>0</v>
      </c>
      <c r="CH105" s="506">
        <f t="shared" si="140"/>
        <v>0</v>
      </c>
      <c r="CI105" s="506">
        <f t="shared" si="141"/>
        <v>0</v>
      </c>
      <c r="CJ105" s="506">
        <f t="shared" si="110"/>
        <v>0</v>
      </c>
      <c r="CK105" s="506" t="str">
        <f t="shared" si="111"/>
        <v/>
      </c>
      <c r="CL105" s="506" t="str">
        <f t="shared" si="112"/>
        <v/>
      </c>
      <c r="CM105" s="506" t="str">
        <f t="shared" si="113"/>
        <v/>
      </c>
      <c r="CN105" s="506" t="str">
        <f t="shared" si="114"/>
        <v>0290-00</v>
      </c>
    </row>
    <row r="106" spans="1:92" ht="15.75" thickBot="1" x14ac:dyDescent="0.3">
      <c r="A106" s="495" t="s">
        <v>187</v>
      </c>
      <c r="B106" s="495" t="s">
        <v>188</v>
      </c>
      <c r="C106" s="495" t="s">
        <v>629</v>
      </c>
      <c r="D106" s="495" t="s">
        <v>630</v>
      </c>
      <c r="E106" s="495" t="s">
        <v>191</v>
      </c>
      <c r="F106" s="496" t="s">
        <v>192</v>
      </c>
      <c r="G106" s="495" t="s">
        <v>193</v>
      </c>
      <c r="H106" s="497"/>
      <c r="I106" s="497"/>
      <c r="J106" s="495" t="s">
        <v>194</v>
      </c>
      <c r="K106" s="495" t="s">
        <v>631</v>
      </c>
      <c r="L106" s="495" t="s">
        <v>196</v>
      </c>
      <c r="M106" s="495" t="s">
        <v>197</v>
      </c>
      <c r="N106" s="495" t="s">
        <v>198</v>
      </c>
      <c r="O106" s="498">
        <v>1</v>
      </c>
      <c r="P106" s="504">
        <v>1</v>
      </c>
      <c r="Q106" s="504">
        <v>1</v>
      </c>
      <c r="R106" s="499">
        <v>80</v>
      </c>
      <c r="S106" s="504">
        <v>1</v>
      </c>
      <c r="T106" s="499">
        <v>51108.12</v>
      </c>
      <c r="U106" s="499">
        <v>632.58000000000004</v>
      </c>
      <c r="V106" s="499">
        <v>22535.25</v>
      </c>
      <c r="W106" s="499">
        <v>53435.199999999997</v>
      </c>
      <c r="X106" s="499">
        <v>23718.31</v>
      </c>
      <c r="Y106" s="499">
        <v>53435.199999999997</v>
      </c>
      <c r="Z106" s="499">
        <v>23440.45</v>
      </c>
      <c r="AA106" s="495" t="s">
        <v>632</v>
      </c>
      <c r="AB106" s="495" t="s">
        <v>633</v>
      </c>
      <c r="AC106" s="495" t="s">
        <v>634</v>
      </c>
      <c r="AD106" s="495" t="s">
        <v>242</v>
      </c>
      <c r="AE106" s="495" t="s">
        <v>631</v>
      </c>
      <c r="AF106" s="495" t="s">
        <v>203</v>
      </c>
      <c r="AG106" s="495" t="s">
        <v>204</v>
      </c>
      <c r="AH106" s="500">
        <v>25.69</v>
      </c>
      <c r="AI106" s="498">
        <v>3448</v>
      </c>
      <c r="AJ106" s="495" t="s">
        <v>205</v>
      </c>
      <c r="AK106" s="495" t="s">
        <v>206</v>
      </c>
      <c r="AL106" s="495" t="s">
        <v>207</v>
      </c>
      <c r="AM106" s="495" t="s">
        <v>208</v>
      </c>
      <c r="AN106" s="495" t="s">
        <v>92</v>
      </c>
      <c r="AO106" s="498">
        <v>80</v>
      </c>
      <c r="AP106" s="504">
        <v>1</v>
      </c>
      <c r="AQ106" s="504">
        <v>1</v>
      </c>
      <c r="AR106" s="502" t="s">
        <v>209</v>
      </c>
      <c r="AS106" s="506">
        <f t="shared" si="98"/>
        <v>1</v>
      </c>
      <c r="AT106">
        <f t="shared" si="99"/>
        <v>1</v>
      </c>
      <c r="AU106" s="506">
        <f>IF(AT106=0,"",IF(AND(AT106=1,M106="F",SUMIF(C2:C177,C106,AS2:AS177)&lt;=1),SUMIF(C2:C177,C106,AS2:AS177),IF(AND(AT106=1,M106="F",SUMIF(C2:C177,C106,AS2:AS177)&gt;1),1,"")))</f>
        <v>1</v>
      </c>
      <c r="AV106" s="506" t="str">
        <f>IF(AT106=0,"",IF(AND(AT106=3,M106="F",SUMIF(C2:C177,C106,AS2:AS177)&lt;=1),SUMIF(C2:C177,C106,AS2:AS177),IF(AND(AT106=3,M106="F",SUMIF(C2:C177,C106,AS2:AS177)&gt;1),1,"")))</f>
        <v/>
      </c>
      <c r="AW106" s="506">
        <f>SUMIF(C2:C177,C106,O2:O177)</f>
        <v>1</v>
      </c>
      <c r="AX106" s="506">
        <f>IF(AND(M106="F",AS106&lt;&gt;0),SUMIF(C2:C177,C106,W2:W177),0)</f>
        <v>53435.199999999997</v>
      </c>
      <c r="AY106" s="506">
        <f t="shared" si="100"/>
        <v>53435.199999999997</v>
      </c>
      <c r="AZ106" s="506" t="str">
        <f t="shared" si="101"/>
        <v/>
      </c>
      <c r="BA106" s="506">
        <f t="shared" si="102"/>
        <v>0</v>
      </c>
      <c r="BB106" s="506">
        <f t="shared" si="115"/>
        <v>11650</v>
      </c>
      <c r="BC106" s="506">
        <f t="shared" si="116"/>
        <v>0</v>
      </c>
      <c r="BD106" s="506">
        <f t="shared" si="117"/>
        <v>3312.9823999999999</v>
      </c>
      <c r="BE106" s="506">
        <f t="shared" si="118"/>
        <v>774.81039999999996</v>
      </c>
      <c r="BF106" s="506">
        <f t="shared" si="119"/>
        <v>6380.1628799999999</v>
      </c>
      <c r="BG106" s="506">
        <f t="shared" si="120"/>
        <v>385.26779199999999</v>
      </c>
      <c r="BH106" s="506">
        <f t="shared" si="121"/>
        <v>261.83247999999998</v>
      </c>
      <c r="BI106" s="506">
        <f t="shared" si="122"/>
        <v>295.76383199999998</v>
      </c>
      <c r="BJ106" s="506">
        <f t="shared" si="123"/>
        <v>657.25296000000003</v>
      </c>
      <c r="BK106" s="506">
        <f t="shared" si="124"/>
        <v>0</v>
      </c>
      <c r="BL106" s="506">
        <f t="shared" si="103"/>
        <v>12068.072743999999</v>
      </c>
      <c r="BM106" s="506">
        <f t="shared" si="104"/>
        <v>0</v>
      </c>
      <c r="BN106" s="506">
        <f t="shared" si="125"/>
        <v>11650</v>
      </c>
      <c r="BO106" s="506">
        <f t="shared" si="126"/>
        <v>0</v>
      </c>
      <c r="BP106" s="506">
        <f t="shared" si="127"/>
        <v>3312.9823999999999</v>
      </c>
      <c r="BQ106" s="506">
        <f t="shared" si="128"/>
        <v>774.81039999999996</v>
      </c>
      <c r="BR106" s="506">
        <f t="shared" si="129"/>
        <v>6380.1628799999999</v>
      </c>
      <c r="BS106" s="506">
        <f t="shared" si="130"/>
        <v>385.26779199999999</v>
      </c>
      <c r="BT106" s="506">
        <f t="shared" si="131"/>
        <v>0</v>
      </c>
      <c r="BU106" s="506">
        <f t="shared" si="132"/>
        <v>295.76383199999998</v>
      </c>
      <c r="BV106" s="506">
        <f t="shared" si="133"/>
        <v>641.22239999999999</v>
      </c>
      <c r="BW106" s="506">
        <f t="shared" si="134"/>
        <v>0</v>
      </c>
      <c r="BX106" s="506">
        <f t="shared" si="105"/>
        <v>11790.209704000001</v>
      </c>
      <c r="BY106" s="506">
        <f t="shared" si="106"/>
        <v>0</v>
      </c>
      <c r="BZ106" s="506">
        <f t="shared" si="107"/>
        <v>0</v>
      </c>
      <c r="CA106" s="506">
        <f t="shared" si="108"/>
        <v>0</v>
      </c>
      <c r="CB106" s="506">
        <f t="shared" si="109"/>
        <v>0</v>
      </c>
      <c r="CC106" s="506">
        <f t="shared" si="135"/>
        <v>0</v>
      </c>
      <c r="CD106" s="506">
        <f t="shared" si="136"/>
        <v>0</v>
      </c>
      <c r="CE106" s="506">
        <f t="shared" si="137"/>
        <v>0</v>
      </c>
      <c r="CF106" s="506">
        <f t="shared" si="138"/>
        <v>-261.83247999999998</v>
      </c>
      <c r="CG106" s="506">
        <f t="shared" si="139"/>
        <v>0</v>
      </c>
      <c r="CH106" s="506">
        <f t="shared" si="140"/>
        <v>-16.030559999999994</v>
      </c>
      <c r="CI106" s="506">
        <f t="shared" si="141"/>
        <v>0</v>
      </c>
      <c r="CJ106" s="506">
        <f t="shared" si="110"/>
        <v>-277.86303999999996</v>
      </c>
      <c r="CK106" s="506" t="str">
        <f t="shared" si="111"/>
        <v/>
      </c>
      <c r="CL106" s="506" t="str">
        <f t="shared" si="112"/>
        <v/>
      </c>
      <c r="CM106" s="506" t="str">
        <f t="shared" si="113"/>
        <v/>
      </c>
      <c r="CN106" s="506" t="str">
        <f t="shared" si="114"/>
        <v>0290-00</v>
      </c>
    </row>
    <row r="107" spans="1:92" ht="15.75" thickBot="1" x14ac:dyDescent="0.3">
      <c r="A107" s="495" t="s">
        <v>187</v>
      </c>
      <c r="B107" s="495" t="s">
        <v>188</v>
      </c>
      <c r="C107" s="495" t="s">
        <v>635</v>
      </c>
      <c r="D107" s="495" t="s">
        <v>224</v>
      </c>
      <c r="E107" s="495" t="s">
        <v>191</v>
      </c>
      <c r="F107" s="496" t="s">
        <v>192</v>
      </c>
      <c r="G107" s="495" t="s">
        <v>193</v>
      </c>
      <c r="H107" s="497"/>
      <c r="I107" s="497"/>
      <c r="J107" s="495" t="s">
        <v>230</v>
      </c>
      <c r="K107" s="495" t="s">
        <v>226</v>
      </c>
      <c r="L107" s="495" t="s">
        <v>192</v>
      </c>
      <c r="M107" s="495" t="s">
        <v>197</v>
      </c>
      <c r="N107" s="495" t="s">
        <v>227</v>
      </c>
      <c r="O107" s="498">
        <v>0</v>
      </c>
      <c r="P107" s="504">
        <v>1</v>
      </c>
      <c r="Q107" s="504">
        <v>0</v>
      </c>
      <c r="R107" s="499">
        <v>0</v>
      </c>
      <c r="S107" s="504">
        <v>0</v>
      </c>
      <c r="T107" s="499">
        <v>17044.34</v>
      </c>
      <c r="U107" s="499">
        <v>0</v>
      </c>
      <c r="V107" s="499">
        <v>12926.66</v>
      </c>
      <c r="W107" s="499">
        <v>17044.310000000001</v>
      </c>
      <c r="X107" s="499">
        <v>12926.64</v>
      </c>
      <c r="Y107" s="499">
        <v>17044.310000000001</v>
      </c>
      <c r="Z107" s="499">
        <v>12926.64</v>
      </c>
      <c r="AA107" s="497"/>
      <c r="AB107" s="495" t="s">
        <v>23</v>
      </c>
      <c r="AC107" s="495" t="s">
        <v>23</v>
      </c>
      <c r="AD107" s="497"/>
      <c r="AE107" s="497"/>
      <c r="AF107" s="497"/>
      <c r="AG107" s="497"/>
      <c r="AH107" s="498">
        <v>0</v>
      </c>
      <c r="AI107" s="498">
        <v>0</v>
      </c>
      <c r="AJ107" s="497"/>
      <c r="AK107" s="497"/>
      <c r="AL107" s="495" t="s">
        <v>207</v>
      </c>
      <c r="AM107" s="497"/>
      <c r="AN107" s="497"/>
      <c r="AO107" s="498">
        <v>0</v>
      </c>
      <c r="AP107" s="504">
        <v>0</v>
      </c>
      <c r="AQ107" s="504">
        <v>0</v>
      </c>
      <c r="AR107" s="503"/>
      <c r="AS107" s="506">
        <f t="shared" si="98"/>
        <v>0</v>
      </c>
      <c r="AT107">
        <f t="shared" si="99"/>
        <v>0</v>
      </c>
      <c r="AU107" s="506" t="str">
        <f>IF(AT107=0,"",IF(AND(AT107=1,M107="F",SUMIF(C2:C177,C107,AS2:AS177)&lt;=1),SUMIF(C2:C177,C107,AS2:AS177),IF(AND(AT107=1,M107="F",SUMIF(C2:C177,C107,AS2:AS177)&gt;1),1,"")))</f>
        <v/>
      </c>
      <c r="AV107" s="506" t="str">
        <f>IF(AT107=0,"",IF(AND(AT107=3,M107="F",SUMIF(C2:C177,C107,AS2:AS177)&lt;=1),SUMIF(C2:C177,C107,AS2:AS177),IF(AND(AT107=3,M107="F",SUMIF(C2:C177,C107,AS2:AS177)&gt;1),1,"")))</f>
        <v/>
      </c>
      <c r="AW107" s="506">
        <f>SUMIF(C2:C177,C107,O2:O177)</f>
        <v>0</v>
      </c>
      <c r="AX107" s="506">
        <f>IF(AND(M107="F",AS107&lt;&gt;0),SUMIF(C2:C177,C107,W2:W177),0)</f>
        <v>0</v>
      </c>
      <c r="AY107" s="506" t="str">
        <f t="shared" si="100"/>
        <v/>
      </c>
      <c r="AZ107" s="506" t="str">
        <f t="shared" si="101"/>
        <v/>
      </c>
      <c r="BA107" s="506">
        <f t="shared" si="102"/>
        <v>0</v>
      </c>
      <c r="BB107" s="506">
        <f t="shared" si="115"/>
        <v>0</v>
      </c>
      <c r="BC107" s="506">
        <f t="shared" si="116"/>
        <v>0</v>
      </c>
      <c r="BD107" s="506">
        <f t="shared" si="117"/>
        <v>0</v>
      </c>
      <c r="BE107" s="506">
        <f t="shared" si="118"/>
        <v>0</v>
      </c>
      <c r="BF107" s="506">
        <f t="shared" si="119"/>
        <v>0</v>
      </c>
      <c r="BG107" s="506">
        <f t="shared" si="120"/>
        <v>0</v>
      </c>
      <c r="BH107" s="506">
        <f t="shared" si="121"/>
        <v>0</v>
      </c>
      <c r="BI107" s="506">
        <f t="shared" si="122"/>
        <v>0</v>
      </c>
      <c r="BJ107" s="506">
        <f t="shared" si="123"/>
        <v>0</v>
      </c>
      <c r="BK107" s="506">
        <f t="shared" si="124"/>
        <v>0</v>
      </c>
      <c r="BL107" s="506">
        <f t="shared" si="103"/>
        <v>0</v>
      </c>
      <c r="BM107" s="506">
        <f t="shared" si="104"/>
        <v>0</v>
      </c>
      <c r="BN107" s="506">
        <f t="shared" si="125"/>
        <v>0</v>
      </c>
      <c r="BO107" s="506">
        <f t="shared" si="126"/>
        <v>0</v>
      </c>
      <c r="BP107" s="506">
        <f t="shared" si="127"/>
        <v>0</v>
      </c>
      <c r="BQ107" s="506">
        <f t="shared" si="128"/>
        <v>0</v>
      </c>
      <c r="BR107" s="506">
        <f t="shared" si="129"/>
        <v>0</v>
      </c>
      <c r="BS107" s="506">
        <f t="shared" si="130"/>
        <v>0</v>
      </c>
      <c r="BT107" s="506">
        <f t="shared" si="131"/>
        <v>0</v>
      </c>
      <c r="BU107" s="506">
        <f t="shared" si="132"/>
        <v>0</v>
      </c>
      <c r="BV107" s="506">
        <f t="shared" si="133"/>
        <v>0</v>
      </c>
      <c r="BW107" s="506">
        <f t="shared" si="134"/>
        <v>0</v>
      </c>
      <c r="BX107" s="506">
        <f t="shared" si="105"/>
        <v>0</v>
      </c>
      <c r="BY107" s="506">
        <f t="shared" si="106"/>
        <v>0</v>
      </c>
      <c r="BZ107" s="506">
        <f t="shared" si="107"/>
        <v>0</v>
      </c>
      <c r="CA107" s="506">
        <f t="shared" si="108"/>
        <v>0</v>
      </c>
      <c r="CB107" s="506">
        <f t="shared" si="109"/>
        <v>0</v>
      </c>
      <c r="CC107" s="506">
        <f t="shared" si="135"/>
        <v>0</v>
      </c>
      <c r="CD107" s="506">
        <f t="shared" si="136"/>
        <v>0</v>
      </c>
      <c r="CE107" s="506">
        <f t="shared" si="137"/>
        <v>0</v>
      </c>
      <c r="CF107" s="506">
        <f t="shared" si="138"/>
        <v>0</v>
      </c>
      <c r="CG107" s="506">
        <f t="shared" si="139"/>
        <v>0</v>
      </c>
      <c r="CH107" s="506">
        <f t="shared" si="140"/>
        <v>0</v>
      </c>
      <c r="CI107" s="506">
        <f t="shared" si="141"/>
        <v>0</v>
      </c>
      <c r="CJ107" s="506">
        <f t="shared" si="110"/>
        <v>0</v>
      </c>
      <c r="CK107" s="506" t="str">
        <f t="shared" si="111"/>
        <v/>
      </c>
      <c r="CL107" s="506">
        <f t="shared" si="112"/>
        <v>17044.34</v>
      </c>
      <c r="CM107" s="506">
        <f t="shared" si="113"/>
        <v>12926.66</v>
      </c>
      <c r="CN107" s="506" t="str">
        <f t="shared" si="114"/>
        <v>0290-00</v>
      </c>
    </row>
    <row r="108" spans="1:92" ht="15.75" thickBot="1" x14ac:dyDescent="0.3">
      <c r="A108" s="495" t="s">
        <v>187</v>
      </c>
      <c r="B108" s="495" t="s">
        <v>188</v>
      </c>
      <c r="C108" s="495" t="s">
        <v>636</v>
      </c>
      <c r="D108" s="495" t="s">
        <v>637</v>
      </c>
      <c r="E108" s="495" t="s">
        <v>191</v>
      </c>
      <c r="F108" s="496" t="s">
        <v>192</v>
      </c>
      <c r="G108" s="495" t="s">
        <v>193</v>
      </c>
      <c r="H108" s="497"/>
      <c r="I108" s="497"/>
      <c r="J108" s="495" t="s">
        <v>225</v>
      </c>
      <c r="K108" s="495" t="s">
        <v>638</v>
      </c>
      <c r="L108" s="495" t="s">
        <v>204</v>
      </c>
      <c r="M108" s="495" t="s">
        <v>197</v>
      </c>
      <c r="N108" s="495" t="s">
        <v>198</v>
      </c>
      <c r="O108" s="498">
        <v>1</v>
      </c>
      <c r="P108" s="504">
        <v>1</v>
      </c>
      <c r="Q108" s="504">
        <v>1</v>
      </c>
      <c r="R108" s="499">
        <v>80</v>
      </c>
      <c r="S108" s="504">
        <v>1</v>
      </c>
      <c r="T108" s="499">
        <v>40371.89</v>
      </c>
      <c r="U108" s="499">
        <v>0</v>
      </c>
      <c r="V108" s="499">
        <v>20623.759999999998</v>
      </c>
      <c r="W108" s="499">
        <v>42515.199999999997</v>
      </c>
      <c r="X108" s="499">
        <v>21252.03</v>
      </c>
      <c r="Y108" s="499">
        <v>42515.199999999997</v>
      </c>
      <c r="Z108" s="499">
        <v>21030.959999999999</v>
      </c>
      <c r="AA108" s="495" t="s">
        <v>639</v>
      </c>
      <c r="AB108" s="495" t="s">
        <v>640</v>
      </c>
      <c r="AC108" s="495" t="s">
        <v>641</v>
      </c>
      <c r="AD108" s="495" t="s">
        <v>301</v>
      </c>
      <c r="AE108" s="495" t="s">
        <v>638</v>
      </c>
      <c r="AF108" s="495" t="s">
        <v>274</v>
      </c>
      <c r="AG108" s="495" t="s">
        <v>204</v>
      </c>
      <c r="AH108" s="500">
        <v>20.440000000000001</v>
      </c>
      <c r="AI108" s="500">
        <v>12915.7</v>
      </c>
      <c r="AJ108" s="495" t="s">
        <v>205</v>
      </c>
      <c r="AK108" s="495" t="s">
        <v>206</v>
      </c>
      <c r="AL108" s="495" t="s">
        <v>207</v>
      </c>
      <c r="AM108" s="495" t="s">
        <v>208</v>
      </c>
      <c r="AN108" s="495" t="s">
        <v>92</v>
      </c>
      <c r="AO108" s="498">
        <v>80</v>
      </c>
      <c r="AP108" s="504">
        <v>1</v>
      </c>
      <c r="AQ108" s="504">
        <v>1</v>
      </c>
      <c r="AR108" s="502" t="s">
        <v>209</v>
      </c>
      <c r="AS108" s="506">
        <f t="shared" si="98"/>
        <v>1</v>
      </c>
      <c r="AT108">
        <f t="shared" si="99"/>
        <v>1</v>
      </c>
      <c r="AU108" s="506">
        <f>IF(AT108=0,"",IF(AND(AT108=1,M108="F",SUMIF(C2:C177,C108,AS2:AS177)&lt;=1),SUMIF(C2:C177,C108,AS2:AS177),IF(AND(AT108=1,M108="F",SUMIF(C2:C177,C108,AS2:AS177)&gt;1),1,"")))</f>
        <v>1</v>
      </c>
      <c r="AV108" s="506" t="str">
        <f>IF(AT108=0,"",IF(AND(AT108=3,M108="F",SUMIF(C2:C177,C108,AS2:AS177)&lt;=1),SUMIF(C2:C177,C108,AS2:AS177),IF(AND(AT108=3,M108="F",SUMIF(C2:C177,C108,AS2:AS177)&gt;1),1,"")))</f>
        <v/>
      </c>
      <c r="AW108" s="506">
        <f>SUMIF(C2:C177,C108,O2:O177)</f>
        <v>1</v>
      </c>
      <c r="AX108" s="506">
        <f>IF(AND(M108="F",AS108&lt;&gt;0),SUMIF(C2:C177,C108,W2:W177),0)</f>
        <v>42515.199999999997</v>
      </c>
      <c r="AY108" s="506">
        <f t="shared" si="100"/>
        <v>42515.199999999997</v>
      </c>
      <c r="AZ108" s="506" t="str">
        <f t="shared" si="101"/>
        <v/>
      </c>
      <c r="BA108" s="506">
        <f t="shared" si="102"/>
        <v>0</v>
      </c>
      <c r="BB108" s="506">
        <f t="shared" si="115"/>
        <v>11650</v>
      </c>
      <c r="BC108" s="506">
        <f t="shared" si="116"/>
        <v>0</v>
      </c>
      <c r="BD108" s="506">
        <f t="shared" si="117"/>
        <v>2635.9423999999999</v>
      </c>
      <c r="BE108" s="506">
        <f t="shared" si="118"/>
        <v>616.47040000000004</v>
      </c>
      <c r="BF108" s="506">
        <f t="shared" si="119"/>
        <v>5076.3148799999999</v>
      </c>
      <c r="BG108" s="506">
        <f t="shared" si="120"/>
        <v>306.53459199999998</v>
      </c>
      <c r="BH108" s="506">
        <f t="shared" si="121"/>
        <v>208.32447999999997</v>
      </c>
      <c r="BI108" s="506">
        <f t="shared" si="122"/>
        <v>235.32163199999999</v>
      </c>
      <c r="BJ108" s="506">
        <f t="shared" si="123"/>
        <v>522.93696</v>
      </c>
      <c r="BK108" s="506">
        <f t="shared" si="124"/>
        <v>0</v>
      </c>
      <c r="BL108" s="506">
        <f t="shared" si="103"/>
        <v>9601.8453439999976</v>
      </c>
      <c r="BM108" s="506">
        <f t="shared" si="104"/>
        <v>0</v>
      </c>
      <c r="BN108" s="506">
        <f t="shared" si="125"/>
        <v>11650</v>
      </c>
      <c r="BO108" s="506">
        <f t="shared" si="126"/>
        <v>0</v>
      </c>
      <c r="BP108" s="506">
        <f t="shared" si="127"/>
        <v>2635.9423999999999</v>
      </c>
      <c r="BQ108" s="506">
        <f t="shared" si="128"/>
        <v>616.47040000000004</v>
      </c>
      <c r="BR108" s="506">
        <f t="shared" si="129"/>
        <v>5076.3148799999999</v>
      </c>
      <c r="BS108" s="506">
        <f t="shared" si="130"/>
        <v>306.53459199999998</v>
      </c>
      <c r="BT108" s="506">
        <f t="shared" si="131"/>
        <v>0</v>
      </c>
      <c r="BU108" s="506">
        <f t="shared" si="132"/>
        <v>235.32163199999999</v>
      </c>
      <c r="BV108" s="506">
        <f t="shared" si="133"/>
        <v>510.18239999999997</v>
      </c>
      <c r="BW108" s="506">
        <f t="shared" si="134"/>
        <v>0</v>
      </c>
      <c r="BX108" s="506">
        <f t="shared" si="105"/>
        <v>9380.7663039999989</v>
      </c>
      <c r="BY108" s="506">
        <f t="shared" si="106"/>
        <v>0</v>
      </c>
      <c r="BZ108" s="506">
        <f t="shared" si="107"/>
        <v>0</v>
      </c>
      <c r="CA108" s="506">
        <f t="shared" si="108"/>
        <v>0</v>
      </c>
      <c r="CB108" s="506">
        <f t="shared" si="109"/>
        <v>0</v>
      </c>
      <c r="CC108" s="506">
        <f t="shared" si="135"/>
        <v>0</v>
      </c>
      <c r="CD108" s="506">
        <f t="shared" si="136"/>
        <v>0</v>
      </c>
      <c r="CE108" s="506">
        <f t="shared" si="137"/>
        <v>0</v>
      </c>
      <c r="CF108" s="506">
        <f t="shared" si="138"/>
        <v>-208.32447999999997</v>
      </c>
      <c r="CG108" s="506">
        <f t="shared" si="139"/>
        <v>0</v>
      </c>
      <c r="CH108" s="506">
        <f t="shared" si="140"/>
        <v>-12.754559999999996</v>
      </c>
      <c r="CI108" s="506">
        <f t="shared" si="141"/>
        <v>0</v>
      </c>
      <c r="CJ108" s="506">
        <f t="shared" si="110"/>
        <v>-221.07903999999996</v>
      </c>
      <c r="CK108" s="506" t="str">
        <f t="shared" si="111"/>
        <v/>
      </c>
      <c r="CL108" s="506" t="str">
        <f t="shared" si="112"/>
        <v/>
      </c>
      <c r="CM108" s="506" t="str">
        <f t="shared" si="113"/>
        <v/>
      </c>
      <c r="CN108" s="506" t="str">
        <f t="shared" si="114"/>
        <v>0290-00</v>
      </c>
    </row>
    <row r="109" spans="1:92" ht="15.75" thickBot="1" x14ac:dyDescent="0.3">
      <c r="A109" s="495" t="s">
        <v>187</v>
      </c>
      <c r="B109" s="495" t="s">
        <v>188</v>
      </c>
      <c r="C109" s="495" t="s">
        <v>642</v>
      </c>
      <c r="D109" s="495" t="s">
        <v>347</v>
      </c>
      <c r="E109" s="495" t="s">
        <v>191</v>
      </c>
      <c r="F109" s="496" t="s">
        <v>192</v>
      </c>
      <c r="G109" s="495" t="s">
        <v>193</v>
      </c>
      <c r="H109" s="497"/>
      <c r="I109" s="497"/>
      <c r="J109" s="495" t="s">
        <v>254</v>
      </c>
      <c r="K109" s="495" t="s">
        <v>348</v>
      </c>
      <c r="L109" s="495" t="s">
        <v>196</v>
      </c>
      <c r="M109" s="495" t="s">
        <v>197</v>
      </c>
      <c r="N109" s="495" t="s">
        <v>198</v>
      </c>
      <c r="O109" s="498">
        <v>1</v>
      </c>
      <c r="P109" s="504">
        <v>1</v>
      </c>
      <c r="Q109" s="504">
        <v>1</v>
      </c>
      <c r="R109" s="499">
        <v>80</v>
      </c>
      <c r="S109" s="504">
        <v>1</v>
      </c>
      <c r="T109" s="499">
        <v>56101.62</v>
      </c>
      <c r="U109" s="499">
        <v>133.25</v>
      </c>
      <c r="V109" s="499">
        <v>23829.81</v>
      </c>
      <c r="W109" s="499">
        <v>59384</v>
      </c>
      <c r="X109" s="499">
        <v>25061.81</v>
      </c>
      <c r="Y109" s="499">
        <v>59384</v>
      </c>
      <c r="Z109" s="499">
        <v>24753.01</v>
      </c>
      <c r="AA109" s="495" t="s">
        <v>643</v>
      </c>
      <c r="AB109" s="495" t="s">
        <v>644</v>
      </c>
      <c r="AC109" s="495" t="s">
        <v>339</v>
      </c>
      <c r="AD109" s="495" t="s">
        <v>196</v>
      </c>
      <c r="AE109" s="495" t="s">
        <v>348</v>
      </c>
      <c r="AF109" s="495" t="s">
        <v>203</v>
      </c>
      <c r="AG109" s="495" t="s">
        <v>204</v>
      </c>
      <c r="AH109" s="500">
        <v>28.55</v>
      </c>
      <c r="AI109" s="498">
        <v>31256</v>
      </c>
      <c r="AJ109" s="495" t="s">
        <v>205</v>
      </c>
      <c r="AK109" s="495" t="s">
        <v>206</v>
      </c>
      <c r="AL109" s="495" t="s">
        <v>207</v>
      </c>
      <c r="AM109" s="495" t="s">
        <v>208</v>
      </c>
      <c r="AN109" s="495" t="s">
        <v>92</v>
      </c>
      <c r="AO109" s="498">
        <v>80</v>
      </c>
      <c r="AP109" s="504">
        <v>1</v>
      </c>
      <c r="AQ109" s="504">
        <v>1</v>
      </c>
      <c r="AR109" s="502" t="s">
        <v>209</v>
      </c>
      <c r="AS109" s="506">
        <f t="shared" si="98"/>
        <v>1</v>
      </c>
      <c r="AT109">
        <f t="shared" si="99"/>
        <v>1</v>
      </c>
      <c r="AU109" s="506">
        <f>IF(AT109=0,"",IF(AND(AT109=1,M109="F",SUMIF(C2:C177,C109,AS2:AS177)&lt;=1),SUMIF(C2:C177,C109,AS2:AS177),IF(AND(AT109=1,M109="F",SUMIF(C2:C177,C109,AS2:AS177)&gt;1),1,"")))</f>
        <v>1</v>
      </c>
      <c r="AV109" s="506" t="str">
        <f>IF(AT109=0,"",IF(AND(AT109=3,M109="F",SUMIF(C2:C177,C109,AS2:AS177)&lt;=1),SUMIF(C2:C177,C109,AS2:AS177),IF(AND(AT109=3,M109="F",SUMIF(C2:C177,C109,AS2:AS177)&gt;1),1,"")))</f>
        <v/>
      </c>
      <c r="AW109" s="506">
        <f>SUMIF(C2:C177,C109,O2:O177)</f>
        <v>1</v>
      </c>
      <c r="AX109" s="506">
        <f>IF(AND(M109="F",AS109&lt;&gt;0),SUMIF(C2:C177,C109,W2:W177),0)</f>
        <v>59384</v>
      </c>
      <c r="AY109" s="506">
        <f t="shared" si="100"/>
        <v>59384</v>
      </c>
      <c r="AZ109" s="506" t="str">
        <f t="shared" si="101"/>
        <v/>
      </c>
      <c r="BA109" s="506">
        <f t="shared" si="102"/>
        <v>0</v>
      </c>
      <c r="BB109" s="506">
        <f t="shared" si="115"/>
        <v>11650</v>
      </c>
      <c r="BC109" s="506">
        <f t="shared" si="116"/>
        <v>0</v>
      </c>
      <c r="BD109" s="506">
        <f t="shared" si="117"/>
        <v>3681.808</v>
      </c>
      <c r="BE109" s="506">
        <f t="shared" si="118"/>
        <v>861.0680000000001</v>
      </c>
      <c r="BF109" s="506">
        <f t="shared" si="119"/>
        <v>7090.4495999999999</v>
      </c>
      <c r="BG109" s="506">
        <f t="shared" si="120"/>
        <v>428.15863999999999</v>
      </c>
      <c r="BH109" s="506">
        <f t="shared" si="121"/>
        <v>290.98160000000001</v>
      </c>
      <c r="BI109" s="506">
        <f t="shared" si="122"/>
        <v>328.69044000000002</v>
      </c>
      <c r="BJ109" s="506">
        <f t="shared" si="123"/>
        <v>730.42320000000007</v>
      </c>
      <c r="BK109" s="506">
        <f t="shared" si="124"/>
        <v>0</v>
      </c>
      <c r="BL109" s="506">
        <f t="shared" si="103"/>
        <v>13411.579479999999</v>
      </c>
      <c r="BM109" s="506">
        <f t="shared" si="104"/>
        <v>0</v>
      </c>
      <c r="BN109" s="506">
        <f t="shared" si="125"/>
        <v>11650</v>
      </c>
      <c r="BO109" s="506">
        <f t="shared" si="126"/>
        <v>0</v>
      </c>
      <c r="BP109" s="506">
        <f t="shared" si="127"/>
        <v>3681.808</v>
      </c>
      <c r="BQ109" s="506">
        <f t="shared" si="128"/>
        <v>861.0680000000001</v>
      </c>
      <c r="BR109" s="506">
        <f t="shared" si="129"/>
        <v>7090.4495999999999</v>
      </c>
      <c r="BS109" s="506">
        <f t="shared" si="130"/>
        <v>428.15863999999999</v>
      </c>
      <c r="BT109" s="506">
        <f t="shared" si="131"/>
        <v>0</v>
      </c>
      <c r="BU109" s="506">
        <f t="shared" si="132"/>
        <v>328.69044000000002</v>
      </c>
      <c r="BV109" s="506">
        <f t="shared" si="133"/>
        <v>712.60800000000006</v>
      </c>
      <c r="BW109" s="506">
        <f t="shared" si="134"/>
        <v>0</v>
      </c>
      <c r="BX109" s="506">
        <f t="shared" si="105"/>
        <v>13102.78268</v>
      </c>
      <c r="BY109" s="506">
        <f t="shared" si="106"/>
        <v>0</v>
      </c>
      <c r="BZ109" s="506">
        <f t="shared" si="107"/>
        <v>0</v>
      </c>
      <c r="CA109" s="506">
        <f t="shared" si="108"/>
        <v>0</v>
      </c>
      <c r="CB109" s="506">
        <f t="shared" si="109"/>
        <v>0</v>
      </c>
      <c r="CC109" s="506">
        <f t="shared" si="135"/>
        <v>0</v>
      </c>
      <c r="CD109" s="506">
        <f t="shared" si="136"/>
        <v>0</v>
      </c>
      <c r="CE109" s="506">
        <f t="shared" si="137"/>
        <v>0</v>
      </c>
      <c r="CF109" s="506">
        <f t="shared" si="138"/>
        <v>-290.98160000000001</v>
      </c>
      <c r="CG109" s="506">
        <f t="shared" si="139"/>
        <v>0</v>
      </c>
      <c r="CH109" s="506">
        <f t="shared" si="140"/>
        <v>-17.815199999999994</v>
      </c>
      <c r="CI109" s="506">
        <f t="shared" si="141"/>
        <v>0</v>
      </c>
      <c r="CJ109" s="506">
        <f t="shared" si="110"/>
        <v>-308.79680000000002</v>
      </c>
      <c r="CK109" s="506" t="str">
        <f t="shared" si="111"/>
        <v/>
      </c>
      <c r="CL109" s="506" t="str">
        <f t="shared" si="112"/>
        <v/>
      </c>
      <c r="CM109" s="506" t="str">
        <f t="shared" si="113"/>
        <v/>
      </c>
      <c r="CN109" s="506" t="str">
        <f t="shared" si="114"/>
        <v>0290-00</v>
      </c>
    </row>
    <row r="110" spans="1:92" ht="15.75" thickBot="1" x14ac:dyDescent="0.3">
      <c r="A110" s="495" t="s">
        <v>187</v>
      </c>
      <c r="B110" s="495" t="s">
        <v>188</v>
      </c>
      <c r="C110" s="495" t="s">
        <v>645</v>
      </c>
      <c r="D110" s="495" t="s">
        <v>604</v>
      </c>
      <c r="E110" s="495" t="s">
        <v>191</v>
      </c>
      <c r="F110" s="496" t="s">
        <v>192</v>
      </c>
      <c r="G110" s="495" t="s">
        <v>193</v>
      </c>
      <c r="H110" s="497"/>
      <c r="I110" s="497"/>
      <c r="J110" s="495" t="s">
        <v>230</v>
      </c>
      <c r="K110" s="495" t="s">
        <v>605</v>
      </c>
      <c r="L110" s="495" t="s">
        <v>232</v>
      </c>
      <c r="M110" s="495" t="s">
        <v>197</v>
      </c>
      <c r="N110" s="495" t="s">
        <v>198</v>
      </c>
      <c r="O110" s="498">
        <v>1</v>
      </c>
      <c r="P110" s="504">
        <v>1</v>
      </c>
      <c r="Q110" s="504">
        <v>1</v>
      </c>
      <c r="R110" s="499">
        <v>80</v>
      </c>
      <c r="S110" s="504">
        <v>1</v>
      </c>
      <c r="T110" s="499">
        <v>43309.53</v>
      </c>
      <c r="U110" s="499">
        <v>0</v>
      </c>
      <c r="V110" s="499">
        <v>20559.150000000001</v>
      </c>
      <c r="W110" s="499">
        <v>44378.86</v>
      </c>
      <c r="X110" s="499">
        <v>21672.92</v>
      </c>
      <c r="Y110" s="499">
        <v>44378.86</v>
      </c>
      <c r="Z110" s="499">
        <v>21442.15</v>
      </c>
      <c r="AA110" s="495" t="s">
        <v>646</v>
      </c>
      <c r="AB110" s="495" t="s">
        <v>647</v>
      </c>
      <c r="AC110" s="495" t="s">
        <v>648</v>
      </c>
      <c r="AD110" s="495" t="s">
        <v>202</v>
      </c>
      <c r="AE110" s="495" t="s">
        <v>605</v>
      </c>
      <c r="AF110" s="495" t="s">
        <v>237</v>
      </c>
      <c r="AG110" s="495" t="s">
        <v>204</v>
      </c>
      <c r="AH110" s="500">
        <v>26.67</v>
      </c>
      <c r="AI110" s="500">
        <v>11770.6</v>
      </c>
      <c r="AJ110" s="495" t="s">
        <v>243</v>
      </c>
      <c r="AK110" s="495" t="s">
        <v>206</v>
      </c>
      <c r="AL110" s="495" t="s">
        <v>207</v>
      </c>
      <c r="AM110" s="495" t="s">
        <v>208</v>
      </c>
      <c r="AN110" s="495" t="s">
        <v>92</v>
      </c>
      <c r="AO110" s="498">
        <v>64</v>
      </c>
      <c r="AP110" s="504">
        <v>1</v>
      </c>
      <c r="AQ110" s="504">
        <v>0.8</v>
      </c>
      <c r="AR110" s="502" t="s">
        <v>209</v>
      </c>
      <c r="AS110" s="506">
        <f t="shared" si="98"/>
        <v>0.8</v>
      </c>
      <c r="AT110">
        <f t="shared" si="99"/>
        <v>1</v>
      </c>
      <c r="AU110" s="506">
        <f>IF(AT110=0,"",IF(AND(AT110=1,M110="F",SUMIF(C2:C177,C110,AS2:AS177)&lt;=1),SUMIF(C2:C177,C110,AS2:AS177),IF(AND(AT110=1,M110="F",SUMIF(C2:C177,C110,AS2:AS177)&gt;1),1,"")))</f>
        <v>0.8</v>
      </c>
      <c r="AV110" s="506" t="str">
        <f>IF(AT110=0,"",IF(AND(AT110=3,M110="F",SUMIF(C2:C177,C110,AS2:AS177)&lt;=1),SUMIF(C2:C177,C110,AS2:AS177),IF(AND(AT110=3,M110="F",SUMIF(C2:C177,C110,AS2:AS177)&gt;1),1,"")))</f>
        <v/>
      </c>
      <c r="AW110" s="506">
        <f>SUMIF(C2:C177,C110,O2:O177)</f>
        <v>1</v>
      </c>
      <c r="AX110" s="506">
        <f>IF(AND(M110="F",AS110&lt;&gt;0),SUMIF(C2:C177,C110,W2:W177),0)</f>
        <v>44378.86</v>
      </c>
      <c r="AY110" s="506">
        <f t="shared" si="100"/>
        <v>44378.86</v>
      </c>
      <c r="AZ110" s="506" t="str">
        <f t="shared" si="101"/>
        <v/>
      </c>
      <c r="BA110" s="506">
        <f t="shared" si="102"/>
        <v>0</v>
      </c>
      <c r="BB110" s="506">
        <f t="shared" si="115"/>
        <v>11650</v>
      </c>
      <c r="BC110" s="506">
        <f t="shared" si="116"/>
        <v>0</v>
      </c>
      <c r="BD110" s="506">
        <f t="shared" si="117"/>
        <v>2751.4893200000001</v>
      </c>
      <c r="BE110" s="506">
        <f t="shared" si="118"/>
        <v>643.49347</v>
      </c>
      <c r="BF110" s="506">
        <f t="shared" si="119"/>
        <v>5298.8358840000001</v>
      </c>
      <c r="BG110" s="506">
        <f t="shared" si="120"/>
        <v>319.97158060000004</v>
      </c>
      <c r="BH110" s="506">
        <f t="shared" si="121"/>
        <v>217.456414</v>
      </c>
      <c r="BI110" s="506">
        <f t="shared" si="122"/>
        <v>245.63699009999999</v>
      </c>
      <c r="BJ110" s="506">
        <f t="shared" si="123"/>
        <v>545.85997800000007</v>
      </c>
      <c r="BK110" s="506">
        <f t="shared" si="124"/>
        <v>0</v>
      </c>
      <c r="BL110" s="506">
        <f t="shared" si="103"/>
        <v>10022.743636700001</v>
      </c>
      <c r="BM110" s="506">
        <f t="shared" si="104"/>
        <v>0</v>
      </c>
      <c r="BN110" s="506">
        <f t="shared" si="125"/>
        <v>11650</v>
      </c>
      <c r="BO110" s="506">
        <f t="shared" si="126"/>
        <v>0</v>
      </c>
      <c r="BP110" s="506">
        <f t="shared" si="127"/>
        <v>2751.4893200000001</v>
      </c>
      <c r="BQ110" s="506">
        <f t="shared" si="128"/>
        <v>643.49347</v>
      </c>
      <c r="BR110" s="506">
        <f t="shared" si="129"/>
        <v>5298.8358840000001</v>
      </c>
      <c r="BS110" s="506">
        <f t="shared" si="130"/>
        <v>319.97158060000004</v>
      </c>
      <c r="BT110" s="506">
        <f t="shared" si="131"/>
        <v>0</v>
      </c>
      <c r="BU110" s="506">
        <f t="shared" si="132"/>
        <v>245.63699009999999</v>
      </c>
      <c r="BV110" s="506">
        <f t="shared" si="133"/>
        <v>532.54632000000004</v>
      </c>
      <c r="BW110" s="506">
        <f t="shared" si="134"/>
        <v>0</v>
      </c>
      <c r="BX110" s="506">
        <f t="shared" si="105"/>
        <v>9791.9735646999998</v>
      </c>
      <c r="BY110" s="506">
        <f t="shared" si="106"/>
        <v>0</v>
      </c>
      <c r="BZ110" s="506">
        <f t="shared" si="107"/>
        <v>0</v>
      </c>
      <c r="CA110" s="506">
        <f t="shared" si="108"/>
        <v>0</v>
      </c>
      <c r="CB110" s="506">
        <f t="shared" si="109"/>
        <v>0</v>
      </c>
      <c r="CC110" s="506">
        <f t="shared" si="135"/>
        <v>0</v>
      </c>
      <c r="CD110" s="506">
        <f t="shared" si="136"/>
        <v>0</v>
      </c>
      <c r="CE110" s="506">
        <f t="shared" si="137"/>
        <v>0</v>
      </c>
      <c r="CF110" s="506">
        <f t="shared" si="138"/>
        <v>-217.456414</v>
      </c>
      <c r="CG110" s="506">
        <f t="shared" si="139"/>
        <v>0</v>
      </c>
      <c r="CH110" s="506">
        <f t="shared" si="140"/>
        <v>-13.313657999999997</v>
      </c>
      <c r="CI110" s="506">
        <f t="shared" si="141"/>
        <v>0</v>
      </c>
      <c r="CJ110" s="506">
        <f t="shared" si="110"/>
        <v>-230.770072</v>
      </c>
      <c r="CK110" s="506" t="str">
        <f t="shared" si="111"/>
        <v/>
      </c>
      <c r="CL110" s="506" t="str">
        <f t="shared" si="112"/>
        <v/>
      </c>
      <c r="CM110" s="506" t="str">
        <f t="shared" si="113"/>
        <v/>
      </c>
      <c r="CN110" s="506" t="str">
        <f t="shared" si="114"/>
        <v>0290-00</v>
      </c>
    </row>
    <row r="111" spans="1:92" ht="15.75" thickBot="1" x14ac:dyDescent="0.3">
      <c r="A111" s="495" t="s">
        <v>187</v>
      </c>
      <c r="B111" s="495" t="s">
        <v>188</v>
      </c>
      <c r="C111" s="495" t="s">
        <v>649</v>
      </c>
      <c r="D111" s="495" t="s">
        <v>268</v>
      </c>
      <c r="E111" s="495" t="s">
        <v>191</v>
      </c>
      <c r="F111" s="496" t="s">
        <v>192</v>
      </c>
      <c r="G111" s="495" t="s">
        <v>193</v>
      </c>
      <c r="H111" s="497"/>
      <c r="I111" s="497"/>
      <c r="J111" s="495" t="s">
        <v>225</v>
      </c>
      <c r="K111" s="495" t="s">
        <v>269</v>
      </c>
      <c r="L111" s="495" t="s">
        <v>204</v>
      </c>
      <c r="M111" s="495" t="s">
        <v>292</v>
      </c>
      <c r="N111" s="495" t="s">
        <v>270</v>
      </c>
      <c r="O111" s="498">
        <v>0</v>
      </c>
      <c r="P111" s="504">
        <v>0</v>
      </c>
      <c r="Q111" s="504">
        <v>0</v>
      </c>
      <c r="R111" s="499">
        <v>80</v>
      </c>
      <c r="S111" s="504">
        <v>0</v>
      </c>
      <c r="T111" s="499">
        <v>14837.95</v>
      </c>
      <c r="U111" s="499">
        <v>406.17</v>
      </c>
      <c r="V111" s="499">
        <v>9946.7000000000007</v>
      </c>
      <c r="W111" s="499">
        <v>0</v>
      </c>
      <c r="X111" s="499">
        <v>0</v>
      </c>
      <c r="Y111" s="499">
        <v>0</v>
      </c>
      <c r="Z111" s="499">
        <v>0</v>
      </c>
      <c r="AA111" s="497"/>
      <c r="AB111" s="495" t="s">
        <v>23</v>
      </c>
      <c r="AC111" s="495" t="s">
        <v>23</v>
      </c>
      <c r="AD111" s="497"/>
      <c r="AE111" s="497"/>
      <c r="AF111" s="497"/>
      <c r="AG111" s="497"/>
      <c r="AH111" s="498">
        <v>0</v>
      </c>
      <c r="AI111" s="498">
        <v>0</v>
      </c>
      <c r="AJ111" s="497"/>
      <c r="AK111" s="497"/>
      <c r="AL111" s="495" t="s">
        <v>207</v>
      </c>
      <c r="AM111" s="497"/>
      <c r="AN111" s="497"/>
      <c r="AO111" s="498">
        <v>0</v>
      </c>
      <c r="AP111" s="504">
        <v>0</v>
      </c>
      <c r="AQ111" s="504">
        <v>0</v>
      </c>
      <c r="AR111" s="503"/>
      <c r="AS111" s="506">
        <f t="shared" si="98"/>
        <v>0</v>
      </c>
      <c r="AT111">
        <f t="shared" si="99"/>
        <v>0</v>
      </c>
      <c r="AU111" s="506" t="str">
        <f>IF(AT111=0,"",IF(AND(AT111=1,M111="F",SUMIF(C2:C177,C111,AS2:AS177)&lt;=1),SUMIF(C2:C177,C111,AS2:AS177),IF(AND(AT111=1,M111="F",SUMIF(C2:C177,C111,AS2:AS177)&gt;1),1,"")))</f>
        <v/>
      </c>
      <c r="AV111" s="506" t="str">
        <f>IF(AT111=0,"",IF(AND(AT111=3,M111="F",SUMIF(C2:C177,C111,AS2:AS177)&lt;=1),SUMIF(C2:C177,C111,AS2:AS177),IF(AND(AT111=3,M111="F",SUMIF(C2:C177,C111,AS2:AS177)&gt;1),1,"")))</f>
        <v/>
      </c>
      <c r="AW111" s="506">
        <f>SUMIF(C2:C177,C111,O2:O177)</f>
        <v>0</v>
      </c>
      <c r="AX111" s="506">
        <f>IF(AND(M111="F",AS111&lt;&gt;0),SUMIF(C2:C177,C111,W2:W177),0)</f>
        <v>0</v>
      </c>
      <c r="AY111" s="506" t="str">
        <f t="shared" si="100"/>
        <v/>
      </c>
      <c r="AZ111" s="506" t="str">
        <f t="shared" si="101"/>
        <v/>
      </c>
      <c r="BA111" s="506">
        <f t="shared" si="102"/>
        <v>0</v>
      </c>
      <c r="BB111" s="506">
        <f t="shared" si="115"/>
        <v>0</v>
      </c>
      <c r="BC111" s="506">
        <f t="shared" si="116"/>
        <v>0</v>
      </c>
      <c r="BD111" s="506">
        <f t="shared" si="117"/>
        <v>0</v>
      </c>
      <c r="BE111" s="506">
        <f t="shared" si="118"/>
        <v>0</v>
      </c>
      <c r="BF111" s="506">
        <f t="shared" si="119"/>
        <v>0</v>
      </c>
      <c r="BG111" s="506">
        <f t="shared" si="120"/>
        <v>0</v>
      </c>
      <c r="BH111" s="506">
        <f t="shared" si="121"/>
        <v>0</v>
      </c>
      <c r="BI111" s="506">
        <f t="shared" si="122"/>
        <v>0</v>
      </c>
      <c r="BJ111" s="506">
        <f t="shared" si="123"/>
        <v>0</v>
      </c>
      <c r="BK111" s="506">
        <f t="shared" si="124"/>
        <v>0</v>
      </c>
      <c r="BL111" s="506">
        <f t="shared" si="103"/>
        <v>0</v>
      </c>
      <c r="BM111" s="506">
        <f t="shared" si="104"/>
        <v>0</v>
      </c>
      <c r="BN111" s="506">
        <f t="shared" si="125"/>
        <v>0</v>
      </c>
      <c r="BO111" s="506">
        <f t="shared" si="126"/>
        <v>0</v>
      </c>
      <c r="BP111" s="506">
        <f t="shared" si="127"/>
        <v>0</v>
      </c>
      <c r="BQ111" s="506">
        <f t="shared" si="128"/>
        <v>0</v>
      </c>
      <c r="BR111" s="506">
        <f t="shared" si="129"/>
        <v>0</v>
      </c>
      <c r="BS111" s="506">
        <f t="shared" si="130"/>
        <v>0</v>
      </c>
      <c r="BT111" s="506">
        <f t="shared" si="131"/>
        <v>0</v>
      </c>
      <c r="BU111" s="506">
        <f t="shared" si="132"/>
        <v>0</v>
      </c>
      <c r="BV111" s="506">
        <f t="shared" si="133"/>
        <v>0</v>
      </c>
      <c r="BW111" s="506">
        <f t="shared" si="134"/>
        <v>0</v>
      </c>
      <c r="BX111" s="506">
        <f t="shared" si="105"/>
        <v>0</v>
      </c>
      <c r="BY111" s="506">
        <f t="shared" si="106"/>
        <v>0</v>
      </c>
      <c r="BZ111" s="506">
        <f t="shared" si="107"/>
        <v>0</v>
      </c>
      <c r="CA111" s="506">
        <f t="shared" si="108"/>
        <v>0</v>
      </c>
      <c r="CB111" s="506">
        <f t="shared" si="109"/>
        <v>0</v>
      </c>
      <c r="CC111" s="506">
        <f t="shared" si="135"/>
        <v>0</v>
      </c>
      <c r="CD111" s="506">
        <f t="shared" si="136"/>
        <v>0</v>
      </c>
      <c r="CE111" s="506">
        <f t="shared" si="137"/>
        <v>0</v>
      </c>
      <c r="CF111" s="506">
        <f t="shared" si="138"/>
        <v>0</v>
      </c>
      <c r="CG111" s="506">
        <f t="shared" si="139"/>
        <v>0</v>
      </c>
      <c r="CH111" s="506">
        <f t="shared" si="140"/>
        <v>0</v>
      </c>
      <c r="CI111" s="506">
        <f t="shared" si="141"/>
        <v>0</v>
      </c>
      <c r="CJ111" s="506">
        <f t="shared" si="110"/>
        <v>0</v>
      </c>
      <c r="CK111" s="506" t="str">
        <f t="shared" si="111"/>
        <v/>
      </c>
      <c r="CL111" s="506" t="str">
        <f t="shared" si="112"/>
        <v/>
      </c>
      <c r="CM111" s="506" t="str">
        <f t="shared" si="113"/>
        <v/>
      </c>
      <c r="CN111" s="506" t="str">
        <f t="shared" si="114"/>
        <v>0290-00</v>
      </c>
    </row>
    <row r="112" spans="1:92" ht="15.75" thickBot="1" x14ac:dyDescent="0.3">
      <c r="A112" s="495" t="s">
        <v>187</v>
      </c>
      <c r="B112" s="495" t="s">
        <v>188</v>
      </c>
      <c r="C112" s="495" t="s">
        <v>650</v>
      </c>
      <c r="D112" s="495" t="s">
        <v>294</v>
      </c>
      <c r="E112" s="495" t="s">
        <v>191</v>
      </c>
      <c r="F112" s="496" t="s">
        <v>192</v>
      </c>
      <c r="G112" s="495" t="s">
        <v>193</v>
      </c>
      <c r="H112" s="497"/>
      <c r="I112" s="497"/>
      <c r="J112" s="495" t="s">
        <v>248</v>
      </c>
      <c r="K112" s="495" t="s">
        <v>295</v>
      </c>
      <c r="L112" s="495" t="s">
        <v>204</v>
      </c>
      <c r="M112" s="495" t="s">
        <v>197</v>
      </c>
      <c r="N112" s="495" t="s">
        <v>198</v>
      </c>
      <c r="O112" s="498">
        <v>1</v>
      </c>
      <c r="P112" s="504">
        <v>1</v>
      </c>
      <c r="Q112" s="504">
        <v>1</v>
      </c>
      <c r="R112" s="499">
        <v>80</v>
      </c>
      <c r="S112" s="504">
        <v>1</v>
      </c>
      <c r="T112" s="499">
        <v>24558.46</v>
      </c>
      <c r="U112" s="499">
        <v>0</v>
      </c>
      <c r="V112" s="499">
        <v>16460.62</v>
      </c>
      <c r="W112" s="499">
        <v>25350</v>
      </c>
      <c r="X112" s="499">
        <v>17375.259999999998</v>
      </c>
      <c r="Y112" s="499">
        <v>25350</v>
      </c>
      <c r="Z112" s="499">
        <v>17243.45</v>
      </c>
      <c r="AA112" s="495" t="s">
        <v>651</v>
      </c>
      <c r="AB112" s="495" t="s">
        <v>652</v>
      </c>
      <c r="AC112" s="495" t="s">
        <v>653</v>
      </c>
      <c r="AD112" s="495" t="s">
        <v>305</v>
      </c>
      <c r="AE112" s="495" t="s">
        <v>295</v>
      </c>
      <c r="AF112" s="495" t="s">
        <v>274</v>
      </c>
      <c r="AG112" s="495" t="s">
        <v>204</v>
      </c>
      <c r="AH112" s="500">
        <v>16.25</v>
      </c>
      <c r="AI112" s="498">
        <v>7001</v>
      </c>
      <c r="AJ112" s="495" t="s">
        <v>243</v>
      </c>
      <c r="AK112" s="495" t="s">
        <v>206</v>
      </c>
      <c r="AL112" s="495" t="s">
        <v>207</v>
      </c>
      <c r="AM112" s="495" t="s">
        <v>208</v>
      </c>
      <c r="AN112" s="495" t="s">
        <v>92</v>
      </c>
      <c r="AO112" s="498">
        <v>60</v>
      </c>
      <c r="AP112" s="504">
        <v>1</v>
      </c>
      <c r="AQ112" s="504">
        <v>0.75</v>
      </c>
      <c r="AR112" s="502" t="s">
        <v>209</v>
      </c>
      <c r="AS112" s="506">
        <f t="shared" si="98"/>
        <v>0.75</v>
      </c>
      <c r="AT112">
        <f t="shared" si="99"/>
        <v>1</v>
      </c>
      <c r="AU112" s="506">
        <f>IF(AT112=0,"",IF(AND(AT112=1,M112="F",SUMIF(C2:C177,C112,AS2:AS177)&lt;=1),SUMIF(C2:C177,C112,AS2:AS177),IF(AND(AT112=1,M112="F",SUMIF(C2:C177,C112,AS2:AS177)&gt;1),1,"")))</f>
        <v>0.75</v>
      </c>
      <c r="AV112" s="506" t="str">
        <f>IF(AT112=0,"",IF(AND(AT112=3,M112="F",SUMIF(C2:C177,C112,AS2:AS177)&lt;=1),SUMIF(C2:C177,C112,AS2:AS177),IF(AND(AT112=3,M112="F",SUMIF(C2:C177,C112,AS2:AS177)&gt;1),1,"")))</f>
        <v/>
      </c>
      <c r="AW112" s="506">
        <f>SUMIF(C2:C177,C112,O2:O177)</f>
        <v>1</v>
      </c>
      <c r="AX112" s="506">
        <f>IF(AND(M112="F",AS112&lt;&gt;0),SUMIF(C2:C177,C112,W2:W177),0)</f>
        <v>25350</v>
      </c>
      <c r="AY112" s="506">
        <f t="shared" si="100"/>
        <v>25350</v>
      </c>
      <c r="AZ112" s="506" t="str">
        <f t="shared" si="101"/>
        <v/>
      </c>
      <c r="BA112" s="506">
        <f t="shared" si="102"/>
        <v>0</v>
      </c>
      <c r="BB112" s="506">
        <f t="shared" si="115"/>
        <v>11650</v>
      </c>
      <c r="BC112" s="506">
        <f t="shared" si="116"/>
        <v>0</v>
      </c>
      <c r="BD112" s="506">
        <f t="shared" si="117"/>
        <v>1571.7</v>
      </c>
      <c r="BE112" s="506">
        <f t="shared" si="118"/>
        <v>367.57500000000005</v>
      </c>
      <c r="BF112" s="506">
        <f t="shared" si="119"/>
        <v>3026.79</v>
      </c>
      <c r="BG112" s="506">
        <f t="shared" si="120"/>
        <v>182.77350000000001</v>
      </c>
      <c r="BH112" s="506">
        <f t="shared" si="121"/>
        <v>124.21499999999999</v>
      </c>
      <c r="BI112" s="506">
        <f t="shared" si="122"/>
        <v>140.31225000000001</v>
      </c>
      <c r="BJ112" s="506">
        <f t="shared" si="123"/>
        <v>311.80500000000001</v>
      </c>
      <c r="BK112" s="506">
        <f t="shared" si="124"/>
        <v>0</v>
      </c>
      <c r="BL112" s="506">
        <f t="shared" si="103"/>
        <v>5725.1707500000011</v>
      </c>
      <c r="BM112" s="506">
        <f t="shared" si="104"/>
        <v>0</v>
      </c>
      <c r="BN112" s="506">
        <f t="shared" si="125"/>
        <v>11650</v>
      </c>
      <c r="BO112" s="506">
        <f t="shared" si="126"/>
        <v>0</v>
      </c>
      <c r="BP112" s="506">
        <f t="shared" si="127"/>
        <v>1571.7</v>
      </c>
      <c r="BQ112" s="506">
        <f t="shared" si="128"/>
        <v>367.57500000000005</v>
      </c>
      <c r="BR112" s="506">
        <f t="shared" si="129"/>
        <v>3026.79</v>
      </c>
      <c r="BS112" s="506">
        <f t="shared" si="130"/>
        <v>182.77350000000001</v>
      </c>
      <c r="BT112" s="506">
        <f t="shared" si="131"/>
        <v>0</v>
      </c>
      <c r="BU112" s="506">
        <f t="shared" si="132"/>
        <v>140.31225000000001</v>
      </c>
      <c r="BV112" s="506">
        <f t="shared" si="133"/>
        <v>304.2</v>
      </c>
      <c r="BW112" s="506">
        <f t="shared" si="134"/>
        <v>0</v>
      </c>
      <c r="BX112" s="506">
        <f t="shared" si="105"/>
        <v>5593.3507500000005</v>
      </c>
      <c r="BY112" s="506">
        <f t="shared" si="106"/>
        <v>0</v>
      </c>
      <c r="BZ112" s="506">
        <f t="shared" si="107"/>
        <v>0</v>
      </c>
      <c r="CA112" s="506">
        <f t="shared" si="108"/>
        <v>0</v>
      </c>
      <c r="CB112" s="506">
        <f t="shared" si="109"/>
        <v>0</v>
      </c>
      <c r="CC112" s="506">
        <f t="shared" si="135"/>
        <v>0</v>
      </c>
      <c r="CD112" s="506">
        <f t="shared" si="136"/>
        <v>0</v>
      </c>
      <c r="CE112" s="506">
        <f t="shared" si="137"/>
        <v>0</v>
      </c>
      <c r="CF112" s="506">
        <f t="shared" si="138"/>
        <v>-124.21499999999999</v>
      </c>
      <c r="CG112" s="506">
        <f t="shared" si="139"/>
        <v>0</v>
      </c>
      <c r="CH112" s="506">
        <f t="shared" si="140"/>
        <v>-7.6049999999999978</v>
      </c>
      <c r="CI112" s="506">
        <f t="shared" si="141"/>
        <v>0</v>
      </c>
      <c r="CJ112" s="506">
        <f t="shared" si="110"/>
        <v>-131.82</v>
      </c>
      <c r="CK112" s="506" t="str">
        <f t="shared" si="111"/>
        <v/>
      </c>
      <c r="CL112" s="506" t="str">
        <f t="shared" si="112"/>
        <v/>
      </c>
      <c r="CM112" s="506" t="str">
        <f t="shared" si="113"/>
        <v/>
      </c>
      <c r="CN112" s="506" t="str">
        <f t="shared" si="114"/>
        <v>0290-00</v>
      </c>
    </row>
    <row r="113" spans="1:92" ht="15.75" thickBot="1" x14ac:dyDescent="0.3">
      <c r="A113" s="495" t="s">
        <v>187</v>
      </c>
      <c r="B113" s="495" t="s">
        <v>188</v>
      </c>
      <c r="C113" s="495" t="s">
        <v>654</v>
      </c>
      <c r="D113" s="495" t="s">
        <v>224</v>
      </c>
      <c r="E113" s="495" t="s">
        <v>191</v>
      </c>
      <c r="F113" s="496" t="s">
        <v>192</v>
      </c>
      <c r="G113" s="495" t="s">
        <v>193</v>
      </c>
      <c r="H113" s="497"/>
      <c r="I113" s="497"/>
      <c r="J113" s="495" t="s">
        <v>225</v>
      </c>
      <c r="K113" s="495" t="s">
        <v>226</v>
      </c>
      <c r="L113" s="495" t="s">
        <v>192</v>
      </c>
      <c r="M113" s="495" t="s">
        <v>197</v>
      </c>
      <c r="N113" s="495" t="s">
        <v>227</v>
      </c>
      <c r="O113" s="498">
        <v>0</v>
      </c>
      <c r="P113" s="504">
        <v>1</v>
      </c>
      <c r="Q113" s="504">
        <v>0</v>
      </c>
      <c r="R113" s="499">
        <v>0</v>
      </c>
      <c r="S113" s="504">
        <v>0</v>
      </c>
      <c r="T113" s="499">
        <v>23500.77</v>
      </c>
      <c r="U113" s="499">
        <v>381.83</v>
      </c>
      <c r="V113" s="499">
        <v>8489.27</v>
      </c>
      <c r="W113" s="499">
        <v>23882.6</v>
      </c>
      <c r="X113" s="499">
        <v>8489.27</v>
      </c>
      <c r="Y113" s="499">
        <v>23882.6</v>
      </c>
      <c r="Z113" s="499">
        <v>8489.27</v>
      </c>
      <c r="AA113" s="497"/>
      <c r="AB113" s="495" t="s">
        <v>23</v>
      </c>
      <c r="AC113" s="495" t="s">
        <v>23</v>
      </c>
      <c r="AD113" s="497"/>
      <c r="AE113" s="497"/>
      <c r="AF113" s="497"/>
      <c r="AG113" s="497"/>
      <c r="AH113" s="498">
        <v>0</v>
      </c>
      <c r="AI113" s="498">
        <v>0</v>
      </c>
      <c r="AJ113" s="497"/>
      <c r="AK113" s="497"/>
      <c r="AL113" s="495" t="s">
        <v>207</v>
      </c>
      <c r="AM113" s="497"/>
      <c r="AN113" s="497"/>
      <c r="AO113" s="498">
        <v>0</v>
      </c>
      <c r="AP113" s="504">
        <v>0</v>
      </c>
      <c r="AQ113" s="504">
        <v>0</v>
      </c>
      <c r="AR113" s="503"/>
      <c r="AS113" s="506">
        <f t="shared" si="98"/>
        <v>0</v>
      </c>
      <c r="AT113">
        <f t="shared" si="99"/>
        <v>0</v>
      </c>
      <c r="AU113" s="506" t="str">
        <f>IF(AT113=0,"",IF(AND(AT113=1,M113="F",SUMIF(C2:C177,C113,AS2:AS177)&lt;=1),SUMIF(C2:C177,C113,AS2:AS177),IF(AND(AT113=1,M113="F",SUMIF(C2:C177,C113,AS2:AS177)&gt;1),1,"")))</f>
        <v/>
      </c>
      <c r="AV113" s="506" t="str">
        <f>IF(AT113=0,"",IF(AND(AT113=3,M113="F",SUMIF(C2:C177,C113,AS2:AS177)&lt;=1),SUMIF(C2:C177,C113,AS2:AS177),IF(AND(AT113=3,M113="F",SUMIF(C2:C177,C113,AS2:AS177)&gt;1),1,"")))</f>
        <v/>
      </c>
      <c r="AW113" s="506">
        <f>SUMIF(C2:C177,C113,O2:O177)</f>
        <v>0</v>
      </c>
      <c r="AX113" s="506">
        <f>IF(AND(M113="F",AS113&lt;&gt;0),SUMIF(C2:C177,C113,W2:W177),0)</f>
        <v>0</v>
      </c>
      <c r="AY113" s="506" t="str">
        <f t="shared" si="100"/>
        <v/>
      </c>
      <c r="AZ113" s="506" t="str">
        <f t="shared" si="101"/>
        <v/>
      </c>
      <c r="BA113" s="506">
        <f t="shared" si="102"/>
        <v>0</v>
      </c>
      <c r="BB113" s="506">
        <f t="shared" si="115"/>
        <v>0</v>
      </c>
      <c r="BC113" s="506">
        <f t="shared" si="116"/>
        <v>0</v>
      </c>
      <c r="BD113" s="506">
        <f t="shared" si="117"/>
        <v>0</v>
      </c>
      <c r="BE113" s="506">
        <f t="shared" si="118"/>
        <v>0</v>
      </c>
      <c r="BF113" s="506">
        <f t="shared" si="119"/>
        <v>0</v>
      </c>
      <c r="BG113" s="506">
        <f t="shared" si="120"/>
        <v>0</v>
      </c>
      <c r="BH113" s="506">
        <f t="shared" si="121"/>
        <v>0</v>
      </c>
      <c r="BI113" s="506">
        <f t="shared" si="122"/>
        <v>0</v>
      </c>
      <c r="BJ113" s="506">
        <f t="shared" si="123"/>
        <v>0</v>
      </c>
      <c r="BK113" s="506">
        <f t="shared" si="124"/>
        <v>0</v>
      </c>
      <c r="BL113" s="506">
        <f t="shared" si="103"/>
        <v>0</v>
      </c>
      <c r="BM113" s="506">
        <f t="shared" si="104"/>
        <v>0</v>
      </c>
      <c r="BN113" s="506">
        <f t="shared" si="125"/>
        <v>0</v>
      </c>
      <c r="BO113" s="506">
        <f t="shared" si="126"/>
        <v>0</v>
      </c>
      <c r="BP113" s="506">
        <f t="shared" si="127"/>
        <v>0</v>
      </c>
      <c r="BQ113" s="506">
        <f t="shared" si="128"/>
        <v>0</v>
      </c>
      <c r="BR113" s="506">
        <f t="shared" si="129"/>
        <v>0</v>
      </c>
      <c r="BS113" s="506">
        <f t="shared" si="130"/>
        <v>0</v>
      </c>
      <c r="BT113" s="506">
        <f t="shared" si="131"/>
        <v>0</v>
      </c>
      <c r="BU113" s="506">
        <f t="shared" si="132"/>
        <v>0</v>
      </c>
      <c r="BV113" s="506">
        <f t="shared" si="133"/>
        <v>0</v>
      </c>
      <c r="BW113" s="506">
        <f t="shared" si="134"/>
        <v>0</v>
      </c>
      <c r="BX113" s="506">
        <f t="shared" si="105"/>
        <v>0</v>
      </c>
      <c r="BY113" s="506">
        <f t="shared" si="106"/>
        <v>0</v>
      </c>
      <c r="BZ113" s="506">
        <f t="shared" si="107"/>
        <v>0</v>
      </c>
      <c r="CA113" s="506">
        <f t="shared" si="108"/>
        <v>0</v>
      </c>
      <c r="CB113" s="506">
        <f t="shared" si="109"/>
        <v>0</v>
      </c>
      <c r="CC113" s="506">
        <f t="shared" si="135"/>
        <v>0</v>
      </c>
      <c r="CD113" s="506">
        <f t="shared" si="136"/>
        <v>0</v>
      </c>
      <c r="CE113" s="506">
        <f t="shared" si="137"/>
        <v>0</v>
      </c>
      <c r="CF113" s="506">
        <f t="shared" si="138"/>
        <v>0</v>
      </c>
      <c r="CG113" s="506">
        <f t="shared" si="139"/>
        <v>0</v>
      </c>
      <c r="CH113" s="506">
        <f t="shared" si="140"/>
        <v>0</v>
      </c>
      <c r="CI113" s="506">
        <f t="shared" si="141"/>
        <v>0</v>
      </c>
      <c r="CJ113" s="506">
        <f t="shared" si="110"/>
        <v>0</v>
      </c>
      <c r="CK113" s="506" t="str">
        <f t="shared" si="111"/>
        <v/>
      </c>
      <c r="CL113" s="506">
        <f t="shared" si="112"/>
        <v>23882.600000000002</v>
      </c>
      <c r="CM113" s="506">
        <f t="shared" si="113"/>
        <v>8489.27</v>
      </c>
      <c r="CN113" s="506" t="str">
        <f t="shared" si="114"/>
        <v>0290-00</v>
      </c>
    </row>
    <row r="114" spans="1:92" ht="15.75" thickBot="1" x14ac:dyDescent="0.3">
      <c r="A114" s="495" t="s">
        <v>187</v>
      </c>
      <c r="B114" s="495" t="s">
        <v>188</v>
      </c>
      <c r="C114" s="495" t="s">
        <v>655</v>
      </c>
      <c r="D114" s="495" t="s">
        <v>576</v>
      </c>
      <c r="E114" s="495" t="s">
        <v>191</v>
      </c>
      <c r="F114" s="496" t="s">
        <v>192</v>
      </c>
      <c r="G114" s="495" t="s">
        <v>193</v>
      </c>
      <c r="H114" s="497"/>
      <c r="I114" s="497"/>
      <c r="J114" s="495" t="s">
        <v>230</v>
      </c>
      <c r="K114" s="495" t="s">
        <v>577</v>
      </c>
      <c r="L114" s="495" t="s">
        <v>192</v>
      </c>
      <c r="M114" s="495" t="s">
        <v>197</v>
      </c>
      <c r="N114" s="495" t="s">
        <v>578</v>
      </c>
      <c r="O114" s="498">
        <v>1</v>
      </c>
      <c r="P114" s="504">
        <v>1</v>
      </c>
      <c r="Q114" s="504">
        <v>1</v>
      </c>
      <c r="R114" s="499">
        <v>80</v>
      </c>
      <c r="S114" s="504">
        <v>1</v>
      </c>
      <c r="T114" s="499">
        <v>104980.8</v>
      </c>
      <c r="U114" s="499">
        <v>0</v>
      </c>
      <c r="V114" s="499">
        <v>32764.75</v>
      </c>
      <c r="W114" s="499">
        <v>106080</v>
      </c>
      <c r="X114" s="499">
        <v>35020.449999999997</v>
      </c>
      <c r="Y114" s="499">
        <v>106080</v>
      </c>
      <c r="Z114" s="499">
        <v>34468.839999999997</v>
      </c>
      <c r="AA114" s="495" t="s">
        <v>656</v>
      </c>
      <c r="AB114" s="495" t="s">
        <v>657</v>
      </c>
      <c r="AC114" s="495" t="s">
        <v>658</v>
      </c>
      <c r="AD114" s="495" t="s">
        <v>292</v>
      </c>
      <c r="AE114" s="495" t="s">
        <v>577</v>
      </c>
      <c r="AF114" s="495" t="s">
        <v>659</v>
      </c>
      <c r="AG114" s="495" t="s">
        <v>204</v>
      </c>
      <c r="AH114" s="498">
        <v>51</v>
      </c>
      <c r="AI114" s="498">
        <v>8152</v>
      </c>
      <c r="AJ114" s="495" t="s">
        <v>205</v>
      </c>
      <c r="AK114" s="495" t="s">
        <v>206</v>
      </c>
      <c r="AL114" s="495" t="s">
        <v>207</v>
      </c>
      <c r="AM114" s="495" t="s">
        <v>208</v>
      </c>
      <c r="AN114" s="495" t="s">
        <v>92</v>
      </c>
      <c r="AO114" s="498">
        <v>80</v>
      </c>
      <c r="AP114" s="504">
        <v>1</v>
      </c>
      <c r="AQ114" s="504">
        <v>1</v>
      </c>
      <c r="AR114" s="502" t="s">
        <v>209</v>
      </c>
      <c r="AS114" s="506">
        <f t="shared" si="98"/>
        <v>1</v>
      </c>
      <c r="AT114">
        <f t="shared" si="99"/>
        <v>1</v>
      </c>
      <c r="AU114" s="506">
        <f>IF(AT114=0,"",IF(AND(AT114=1,M114="F",SUMIF(C2:C177,C114,AS2:AS177)&lt;=1),SUMIF(C2:C177,C114,AS2:AS177),IF(AND(AT114=1,M114="F",SUMIF(C2:C177,C114,AS2:AS177)&gt;1),1,"")))</f>
        <v>1</v>
      </c>
      <c r="AV114" s="506" t="str">
        <f>IF(AT114=0,"",IF(AND(AT114=3,M114="F",SUMIF(C2:C177,C114,AS2:AS177)&lt;=1),SUMIF(C2:C177,C114,AS2:AS177),IF(AND(AT114=3,M114="F",SUMIF(C2:C177,C114,AS2:AS177)&gt;1),1,"")))</f>
        <v/>
      </c>
      <c r="AW114" s="506">
        <f>SUMIF(C2:C177,C114,O2:O177)</f>
        <v>1</v>
      </c>
      <c r="AX114" s="506">
        <f>IF(AND(M114="F",AS114&lt;&gt;0),SUMIF(C2:C177,C114,W2:W177),0)</f>
        <v>106080</v>
      </c>
      <c r="AY114" s="506">
        <f t="shared" si="100"/>
        <v>106080</v>
      </c>
      <c r="AZ114" s="506" t="str">
        <f t="shared" si="101"/>
        <v/>
      </c>
      <c r="BA114" s="506">
        <f t="shared" si="102"/>
        <v>0</v>
      </c>
      <c r="BB114" s="506">
        <f t="shared" si="115"/>
        <v>11650</v>
      </c>
      <c r="BC114" s="506">
        <f t="shared" si="116"/>
        <v>0</v>
      </c>
      <c r="BD114" s="506">
        <f t="shared" si="117"/>
        <v>6576.96</v>
      </c>
      <c r="BE114" s="506">
        <f t="shared" si="118"/>
        <v>1538.16</v>
      </c>
      <c r="BF114" s="506">
        <f t="shared" si="119"/>
        <v>12665.952000000001</v>
      </c>
      <c r="BG114" s="506">
        <f t="shared" si="120"/>
        <v>764.83680000000004</v>
      </c>
      <c r="BH114" s="506">
        <f t="shared" si="121"/>
        <v>519.79200000000003</v>
      </c>
      <c r="BI114" s="506">
        <f t="shared" si="122"/>
        <v>0</v>
      </c>
      <c r="BJ114" s="506">
        <f t="shared" si="123"/>
        <v>1304.7840000000001</v>
      </c>
      <c r="BK114" s="506">
        <f t="shared" si="124"/>
        <v>0</v>
      </c>
      <c r="BL114" s="506">
        <f t="shared" si="103"/>
        <v>23370.484800000002</v>
      </c>
      <c r="BM114" s="506">
        <f t="shared" si="104"/>
        <v>0</v>
      </c>
      <c r="BN114" s="506">
        <f t="shared" si="125"/>
        <v>11650</v>
      </c>
      <c r="BO114" s="506">
        <f t="shared" si="126"/>
        <v>0</v>
      </c>
      <c r="BP114" s="506">
        <f t="shared" si="127"/>
        <v>6576.96</v>
      </c>
      <c r="BQ114" s="506">
        <f t="shared" si="128"/>
        <v>1538.16</v>
      </c>
      <c r="BR114" s="506">
        <f t="shared" si="129"/>
        <v>12665.952000000001</v>
      </c>
      <c r="BS114" s="506">
        <f t="shared" si="130"/>
        <v>764.83680000000004</v>
      </c>
      <c r="BT114" s="506">
        <f t="shared" si="131"/>
        <v>0</v>
      </c>
      <c r="BU114" s="506">
        <f t="shared" si="132"/>
        <v>0</v>
      </c>
      <c r="BV114" s="506">
        <f t="shared" si="133"/>
        <v>1272.96</v>
      </c>
      <c r="BW114" s="506">
        <f t="shared" si="134"/>
        <v>0</v>
      </c>
      <c r="BX114" s="506">
        <f t="shared" si="105"/>
        <v>22818.8688</v>
      </c>
      <c r="BY114" s="506">
        <f t="shared" si="106"/>
        <v>0</v>
      </c>
      <c r="BZ114" s="506">
        <f t="shared" si="107"/>
        <v>0</v>
      </c>
      <c r="CA114" s="506">
        <f t="shared" si="108"/>
        <v>0</v>
      </c>
      <c r="CB114" s="506">
        <f t="shared" si="109"/>
        <v>0</v>
      </c>
      <c r="CC114" s="506">
        <f t="shared" si="135"/>
        <v>0</v>
      </c>
      <c r="CD114" s="506">
        <f t="shared" si="136"/>
        <v>0</v>
      </c>
      <c r="CE114" s="506">
        <f t="shared" si="137"/>
        <v>0</v>
      </c>
      <c r="CF114" s="506">
        <f t="shared" si="138"/>
        <v>-519.79200000000003</v>
      </c>
      <c r="CG114" s="506">
        <f t="shared" si="139"/>
        <v>0</v>
      </c>
      <c r="CH114" s="506">
        <f t="shared" si="140"/>
        <v>-31.823999999999991</v>
      </c>
      <c r="CI114" s="506">
        <f t="shared" si="141"/>
        <v>0</v>
      </c>
      <c r="CJ114" s="506">
        <f t="shared" si="110"/>
        <v>-551.61599999999999</v>
      </c>
      <c r="CK114" s="506" t="str">
        <f t="shared" si="111"/>
        <v/>
      </c>
      <c r="CL114" s="506" t="str">
        <f t="shared" si="112"/>
        <v/>
      </c>
      <c r="CM114" s="506" t="str">
        <f t="shared" si="113"/>
        <v/>
      </c>
      <c r="CN114" s="506" t="str">
        <f t="shared" si="114"/>
        <v>0290-00</v>
      </c>
    </row>
    <row r="115" spans="1:92" ht="15.75" thickBot="1" x14ac:dyDescent="0.3">
      <c r="A115" s="495" t="s">
        <v>187</v>
      </c>
      <c r="B115" s="495" t="s">
        <v>188</v>
      </c>
      <c r="C115" s="495" t="s">
        <v>660</v>
      </c>
      <c r="D115" s="495" t="s">
        <v>661</v>
      </c>
      <c r="E115" s="495" t="s">
        <v>191</v>
      </c>
      <c r="F115" s="496" t="s">
        <v>192</v>
      </c>
      <c r="G115" s="495" t="s">
        <v>193</v>
      </c>
      <c r="H115" s="497"/>
      <c r="I115" s="497"/>
      <c r="J115" s="495" t="s">
        <v>358</v>
      </c>
      <c r="K115" s="495" t="s">
        <v>662</v>
      </c>
      <c r="L115" s="495" t="s">
        <v>301</v>
      </c>
      <c r="M115" s="495" t="s">
        <v>197</v>
      </c>
      <c r="N115" s="495" t="s">
        <v>198</v>
      </c>
      <c r="O115" s="498">
        <v>1</v>
      </c>
      <c r="P115" s="504">
        <v>1</v>
      </c>
      <c r="Q115" s="504">
        <v>1</v>
      </c>
      <c r="R115" s="499">
        <v>80</v>
      </c>
      <c r="S115" s="504">
        <v>1</v>
      </c>
      <c r="T115" s="499">
        <v>32680.17</v>
      </c>
      <c r="U115" s="499">
        <v>0</v>
      </c>
      <c r="V115" s="499">
        <v>16161.54</v>
      </c>
      <c r="W115" s="499">
        <v>41600</v>
      </c>
      <c r="X115" s="499">
        <v>21045.33</v>
      </c>
      <c r="Y115" s="499">
        <v>41600</v>
      </c>
      <c r="Z115" s="499">
        <v>20829.009999999998</v>
      </c>
      <c r="AA115" s="495" t="s">
        <v>663</v>
      </c>
      <c r="AB115" s="495" t="s">
        <v>664</v>
      </c>
      <c r="AC115" s="495" t="s">
        <v>665</v>
      </c>
      <c r="AD115" s="495" t="s">
        <v>301</v>
      </c>
      <c r="AE115" s="495" t="s">
        <v>662</v>
      </c>
      <c r="AF115" s="495" t="s">
        <v>259</v>
      </c>
      <c r="AG115" s="495" t="s">
        <v>204</v>
      </c>
      <c r="AH115" s="498">
        <v>20</v>
      </c>
      <c r="AI115" s="500">
        <v>23540.799999999999</v>
      </c>
      <c r="AJ115" s="495" t="s">
        <v>205</v>
      </c>
      <c r="AK115" s="495" t="s">
        <v>206</v>
      </c>
      <c r="AL115" s="495" t="s">
        <v>207</v>
      </c>
      <c r="AM115" s="495" t="s">
        <v>208</v>
      </c>
      <c r="AN115" s="495" t="s">
        <v>92</v>
      </c>
      <c r="AO115" s="498">
        <v>80</v>
      </c>
      <c r="AP115" s="504">
        <v>1</v>
      </c>
      <c r="AQ115" s="504">
        <v>1</v>
      </c>
      <c r="AR115" s="502" t="s">
        <v>209</v>
      </c>
      <c r="AS115" s="506">
        <f t="shared" si="98"/>
        <v>1</v>
      </c>
      <c r="AT115">
        <f t="shared" si="99"/>
        <v>1</v>
      </c>
      <c r="AU115" s="506">
        <f>IF(AT115=0,"",IF(AND(AT115=1,M115="F",SUMIF(C2:C177,C115,AS2:AS177)&lt;=1),SUMIF(C2:C177,C115,AS2:AS177),IF(AND(AT115=1,M115="F",SUMIF(C2:C177,C115,AS2:AS177)&gt;1),1,"")))</f>
        <v>1</v>
      </c>
      <c r="AV115" s="506" t="str">
        <f>IF(AT115=0,"",IF(AND(AT115=3,M115="F",SUMIF(C2:C177,C115,AS2:AS177)&lt;=1),SUMIF(C2:C177,C115,AS2:AS177),IF(AND(AT115=3,M115="F",SUMIF(C2:C177,C115,AS2:AS177)&gt;1),1,"")))</f>
        <v/>
      </c>
      <c r="AW115" s="506">
        <f>SUMIF(C2:C177,C115,O2:O177)</f>
        <v>1</v>
      </c>
      <c r="AX115" s="506">
        <f>IF(AND(M115="F",AS115&lt;&gt;0),SUMIF(C2:C177,C115,W2:W177),0)</f>
        <v>41600</v>
      </c>
      <c r="AY115" s="506">
        <f t="shared" si="100"/>
        <v>41600</v>
      </c>
      <c r="AZ115" s="506" t="str">
        <f t="shared" si="101"/>
        <v/>
      </c>
      <c r="BA115" s="506">
        <f t="shared" si="102"/>
        <v>0</v>
      </c>
      <c r="BB115" s="506">
        <f t="shared" si="115"/>
        <v>11650</v>
      </c>
      <c r="BC115" s="506">
        <f t="shared" si="116"/>
        <v>0</v>
      </c>
      <c r="BD115" s="506">
        <f t="shared" si="117"/>
        <v>2579.1999999999998</v>
      </c>
      <c r="BE115" s="506">
        <f t="shared" si="118"/>
        <v>603.20000000000005</v>
      </c>
      <c r="BF115" s="506">
        <f t="shared" si="119"/>
        <v>4967.04</v>
      </c>
      <c r="BG115" s="506">
        <f t="shared" si="120"/>
        <v>299.93600000000004</v>
      </c>
      <c r="BH115" s="506">
        <f t="shared" si="121"/>
        <v>203.84</v>
      </c>
      <c r="BI115" s="506">
        <f t="shared" si="122"/>
        <v>230.256</v>
      </c>
      <c r="BJ115" s="506">
        <f t="shared" si="123"/>
        <v>511.68</v>
      </c>
      <c r="BK115" s="506">
        <f t="shared" si="124"/>
        <v>0</v>
      </c>
      <c r="BL115" s="506">
        <f t="shared" si="103"/>
        <v>9395.152</v>
      </c>
      <c r="BM115" s="506">
        <f t="shared" si="104"/>
        <v>0</v>
      </c>
      <c r="BN115" s="506">
        <f t="shared" si="125"/>
        <v>11650</v>
      </c>
      <c r="BO115" s="506">
        <f t="shared" si="126"/>
        <v>0</v>
      </c>
      <c r="BP115" s="506">
        <f t="shared" si="127"/>
        <v>2579.1999999999998</v>
      </c>
      <c r="BQ115" s="506">
        <f t="shared" si="128"/>
        <v>603.20000000000005</v>
      </c>
      <c r="BR115" s="506">
        <f t="shared" si="129"/>
        <v>4967.04</v>
      </c>
      <c r="BS115" s="506">
        <f t="shared" si="130"/>
        <v>299.93600000000004</v>
      </c>
      <c r="BT115" s="506">
        <f t="shared" si="131"/>
        <v>0</v>
      </c>
      <c r="BU115" s="506">
        <f t="shared" si="132"/>
        <v>230.256</v>
      </c>
      <c r="BV115" s="506">
        <f t="shared" si="133"/>
        <v>499.2</v>
      </c>
      <c r="BW115" s="506">
        <f t="shared" si="134"/>
        <v>0</v>
      </c>
      <c r="BX115" s="506">
        <f t="shared" si="105"/>
        <v>9178.8320000000003</v>
      </c>
      <c r="BY115" s="506">
        <f t="shared" si="106"/>
        <v>0</v>
      </c>
      <c r="BZ115" s="506">
        <f t="shared" si="107"/>
        <v>0</v>
      </c>
      <c r="CA115" s="506">
        <f t="shared" si="108"/>
        <v>0</v>
      </c>
      <c r="CB115" s="506">
        <f t="shared" si="109"/>
        <v>0</v>
      </c>
      <c r="CC115" s="506">
        <f t="shared" si="135"/>
        <v>0</v>
      </c>
      <c r="CD115" s="506">
        <f t="shared" si="136"/>
        <v>0</v>
      </c>
      <c r="CE115" s="506">
        <f t="shared" si="137"/>
        <v>0</v>
      </c>
      <c r="CF115" s="506">
        <f t="shared" si="138"/>
        <v>-203.84</v>
      </c>
      <c r="CG115" s="506">
        <f t="shared" si="139"/>
        <v>0</v>
      </c>
      <c r="CH115" s="506">
        <f t="shared" si="140"/>
        <v>-12.479999999999997</v>
      </c>
      <c r="CI115" s="506">
        <f t="shared" si="141"/>
        <v>0</v>
      </c>
      <c r="CJ115" s="506">
        <f t="shared" si="110"/>
        <v>-216.32</v>
      </c>
      <c r="CK115" s="506" t="str">
        <f t="shared" si="111"/>
        <v/>
      </c>
      <c r="CL115" s="506" t="str">
        <f t="shared" si="112"/>
        <v/>
      </c>
      <c r="CM115" s="506" t="str">
        <f t="shared" si="113"/>
        <v/>
      </c>
      <c r="CN115" s="506" t="str">
        <f t="shared" si="114"/>
        <v>0290-00</v>
      </c>
    </row>
    <row r="116" spans="1:92" ht="15.75" thickBot="1" x14ac:dyDescent="0.3">
      <c r="A116" s="495" t="s">
        <v>187</v>
      </c>
      <c r="B116" s="495" t="s">
        <v>188</v>
      </c>
      <c r="C116" s="495" t="s">
        <v>666</v>
      </c>
      <c r="D116" s="495" t="s">
        <v>245</v>
      </c>
      <c r="E116" s="495" t="s">
        <v>191</v>
      </c>
      <c r="F116" s="496" t="s">
        <v>192</v>
      </c>
      <c r="G116" s="495" t="s">
        <v>193</v>
      </c>
      <c r="H116" s="497"/>
      <c r="I116" s="497"/>
      <c r="J116" s="495" t="s">
        <v>230</v>
      </c>
      <c r="K116" s="495" t="s">
        <v>246</v>
      </c>
      <c r="L116" s="495" t="s">
        <v>207</v>
      </c>
      <c r="M116" s="495" t="s">
        <v>197</v>
      </c>
      <c r="N116" s="495" t="s">
        <v>198</v>
      </c>
      <c r="O116" s="498">
        <v>1</v>
      </c>
      <c r="P116" s="504">
        <v>0.9</v>
      </c>
      <c r="Q116" s="504">
        <v>0.9</v>
      </c>
      <c r="R116" s="499">
        <v>80</v>
      </c>
      <c r="S116" s="504">
        <v>0.9</v>
      </c>
      <c r="T116" s="499">
        <v>70202.64</v>
      </c>
      <c r="U116" s="499">
        <v>1238.7</v>
      </c>
      <c r="V116" s="499">
        <v>26367.360000000001</v>
      </c>
      <c r="W116" s="499">
        <v>68328</v>
      </c>
      <c r="X116" s="499">
        <v>25916.84</v>
      </c>
      <c r="Y116" s="499">
        <v>68328</v>
      </c>
      <c r="Z116" s="499">
        <v>25561.53</v>
      </c>
      <c r="AA116" s="495" t="s">
        <v>667</v>
      </c>
      <c r="AB116" s="495" t="s">
        <v>668</v>
      </c>
      <c r="AC116" s="495" t="s">
        <v>669</v>
      </c>
      <c r="AD116" s="495" t="s">
        <v>301</v>
      </c>
      <c r="AE116" s="495" t="s">
        <v>246</v>
      </c>
      <c r="AF116" s="495" t="s">
        <v>282</v>
      </c>
      <c r="AG116" s="495" t="s">
        <v>204</v>
      </c>
      <c r="AH116" s="500">
        <v>36.5</v>
      </c>
      <c r="AI116" s="498">
        <v>17732</v>
      </c>
      <c r="AJ116" s="495" t="s">
        <v>205</v>
      </c>
      <c r="AK116" s="495" t="s">
        <v>206</v>
      </c>
      <c r="AL116" s="495" t="s">
        <v>207</v>
      </c>
      <c r="AM116" s="495" t="s">
        <v>208</v>
      </c>
      <c r="AN116" s="495" t="s">
        <v>92</v>
      </c>
      <c r="AO116" s="498">
        <v>80</v>
      </c>
      <c r="AP116" s="504">
        <v>1</v>
      </c>
      <c r="AQ116" s="504">
        <v>0.9</v>
      </c>
      <c r="AR116" s="502" t="s">
        <v>209</v>
      </c>
      <c r="AS116" s="506">
        <f t="shared" si="98"/>
        <v>0.9</v>
      </c>
      <c r="AT116">
        <f t="shared" si="99"/>
        <v>1</v>
      </c>
      <c r="AU116" s="506">
        <f>IF(AT116=0,"",IF(AND(AT116=1,M116="F",SUMIF(C2:C177,C116,AS2:AS177)&lt;=1),SUMIF(C2:C177,C116,AS2:AS177),IF(AND(AT116=1,M116="F",SUMIF(C2:C177,C116,AS2:AS177)&gt;1),1,"")))</f>
        <v>1</v>
      </c>
      <c r="AV116" s="506" t="str">
        <f>IF(AT116=0,"",IF(AND(AT116=3,M116="F",SUMIF(C2:C177,C116,AS2:AS177)&lt;=1),SUMIF(C2:C177,C116,AS2:AS177),IF(AND(AT116=3,M116="F",SUMIF(C2:C177,C116,AS2:AS177)&gt;1),1,"")))</f>
        <v/>
      </c>
      <c r="AW116" s="506">
        <f>SUMIF(C2:C177,C116,O2:O177)</f>
        <v>2</v>
      </c>
      <c r="AX116" s="506">
        <f>IF(AND(M116="F",AS116&lt;&gt;0),SUMIF(C2:C177,C116,W2:W177),0)</f>
        <v>75920</v>
      </c>
      <c r="AY116" s="506">
        <f t="shared" si="100"/>
        <v>68328</v>
      </c>
      <c r="AZ116" s="506" t="str">
        <f t="shared" si="101"/>
        <v/>
      </c>
      <c r="BA116" s="506">
        <f t="shared" si="102"/>
        <v>0</v>
      </c>
      <c r="BB116" s="506">
        <f t="shared" si="115"/>
        <v>10485</v>
      </c>
      <c r="BC116" s="506">
        <f t="shared" si="116"/>
        <v>0</v>
      </c>
      <c r="BD116" s="506">
        <f t="shared" si="117"/>
        <v>4236.3360000000002</v>
      </c>
      <c r="BE116" s="506">
        <f t="shared" si="118"/>
        <v>990.75600000000009</v>
      </c>
      <c r="BF116" s="506">
        <f t="shared" si="119"/>
        <v>8158.3632000000007</v>
      </c>
      <c r="BG116" s="506">
        <f t="shared" si="120"/>
        <v>492.64488</v>
      </c>
      <c r="BH116" s="506">
        <f t="shared" si="121"/>
        <v>334.80719999999997</v>
      </c>
      <c r="BI116" s="506">
        <f t="shared" si="122"/>
        <v>378.19547999999998</v>
      </c>
      <c r="BJ116" s="506">
        <f t="shared" si="123"/>
        <v>840.43439999999998</v>
      </c>
      <c r="BK116" s="506">
        <f t="shared" si="124"/>
        <v>0</v>
      </c>
      <c r="BL116" s="506">
        <f t="shared" si="103"/>
        <v>15431.53716</v>
      </c>
      <c r="BM116" s="506">
        <f t="shared" si="104"/>
        <v>0</v>
      </c>
      <c r="BN116" s="506">
        <f t="shared" si="125"/>
        <v>10485</v>
      </c>
      <c r="BO116" s="506">
        <f t="shared" si="126"/>
        <v>0</v>
      </c>
      <c r="BP116" s="506">
        <f t="shared" si="127"/>
        <v>4236.3360000000002</v>
      </c>
      <c r="BQ116" s="506">
        <f t="shared" si="128"/>
        <v>990.75600000000009</v>
      </c>
      <c r="BR116" s="506">
        <f t="shared" si="129"/>
        <v>8158.3632000000007</v>
      </c>
      <c r="BS116" s="506">
        <f t="shared" si="130"/>
        <v>492.64488</v>
      </c>
      <c r="BT116" s="506">
        <f t="shared" si="131"/>
        <v>0</v>
      </c>
      <c r="BU116" s="506">
        <f t="shared" si="132"/>
        <v>378.19547999999998</v>
      </c>
      <c r="BV116" s="506">
        <f t="shared" si="133"/>
        <v>819.93600000000004</v>
      </c>
      <c r="BW116" s="506">
        <f t="shared" si="134"/>
        <v>0</v>
      </c>
      <c r="BX116" s="506">
        <f t="shared" si="105"/>
        <v>15076.23156</v>
      </c>
      <c r="BY116" s="506">
        <f t="shared" si="106"/>
        <v>0</v>
      </c>
      <c r="BZ116" s="506">
        <f t="shared" si="107"/>
        <v>0</v>
      </c>
      <c r="CA116" s="506">
        <f t="shared" si="108"/>
        <v>0</v>
      </c>
      <c r="CB116" s="506">
        <f t="shared" si="109"/>
        <v>0</v>
      </c>
      <c r="CC116" s="506">
        <f t="shared" si="135"/>
        <v>0</v>
      </c>
      <c r="CD116" s="506">
        <f t="shared" si="136"/>
        <v>0</v>
      </c>
      <c r="CE116" s="506">
        <f t="shared" si="137"/>
        <v>0</v>
      </c>
      <c r="CF116" s="506">
        <f t="shared" si="138"/>
        <v>-334.80719999999997</v>
      </c>
      <c r="CG116" s="506">
        <f t="shared" si="139"/>
        <v>0</v>
      </c>
      <c r="CH116" s="506">
        <f t="shared" si="140"/>
        <v>-20.498399999999993</v>
      </c>
      <c r="CI116" s="506">
        <f t="shared" si="141"/>
        <v>0</v>
      </c>
      <c r="CJ116" s="506">
        <f t="shared" si="110"/>
        <v>-355.30559999999997</v>
      </c>
      <c r="CK116" s="506" t="str">
        <f t="shared" si="111"/>
        <v/>
      </c>
      <c r="CL116" s="506" t="str">
        <f t="shared" si="112"/>
        <v/>
      </c>
      <c r="CM116" s="506" t="str">
        <f t="shared" si="113"/>
        <v/>
      </c>
      <c r="CN116" s="506" t="str">
        <f t="shared" si="114"/>
        <v>0290-00</v>
      </c>
    </row>
    <row r="117" spans="1:92" ht="15.75" thickBot="1" x14ac:dyDescent="0.3">
      <c r="A117" s="495" t="s">
        <v>187</v>
      </c>
      <c r="B117" s="495" t="s">
        <v>188</v>
      </c>
      <c r="C117" s="495" t="s">
        <v>670</v>
      </c>
      <c r="D117" s="495" t="s">
        <v>294</v>
      </c>
      <c r="E117" s="495" t="s">
        <v>191</v>
      </c>
      <c r="F117" s="496" t="s">
        <v>192</v>
      </c>
      <c r="G117" s="495" t="s">
        <v>193</v>
      </c>
      <c r="H117" s="497"/>
      <c r="I117" s="497"/>
      <c r="J117" s="495" t="s">
        <v>230</v>
      </c>
      <c r="K117" s="495" t="s">
        <v>295</v>
      </c>
      <c r="L117" s="495" t="s">
        <v>204</v>
      </c>
      <c r="M117" s="495" t="s">
        <v>213</v>
      </c>
      <c r="N117" s="495" t="s">
        <v>198</v>
      </c>
      <c r="O117" s="498">
        <v>0</v>
      </c>
      <c r="P117" s="504">
        <v>1</v>
      </c>
      <c r="Q117" s="504">
        <v>1</v>
      </c>
      <c r="R117" s="499">
        <v>80</v>
      </c>
      <c r="S117" s="504">
        <v>1</v>
      </c>
      <c r="T117" s="499">
        <v>0</v>
      </c>
      <c r="U117" s="499">
        <v>0</v>
      </c>
      <c r="V117" s="499">
        <v>0</v>
      </c>
      <c r="W117" s="499">
        <v>32094.400000000001</v>
      </c>
      <c r="X117" s="499">
        <v>14057.32</v>
      </c>
      <c r="Y117" s="499">
        <v>32094.400000000001</v>
      </c>
      <c r="Z117" s="499">
        <v>13896.85</v>
      </c>
      <c r="AA117" s="497"/>
      <c r="AB117" s="495" t="s">
        <v>23</v>
      </c>
      <c r="AC117" s="495" t="s">
        <v>23</v>
      </c>
      <c r="AD117" s="497"/>
      <c r="AE117" s="497"/>
      <c r="AF117" s="497"/>
      <c r="AG117" s="497"/>
      <c r="AH117" s="498">
        <v>0</v>
      </c>
      <c r="AI117" s="498">
        <v>0</v>
      </c>
      <c r="AJ117" s="497"/>
      <c r="AK117" s="497"/>
      <c r="AL117" s="495" t="s">
        <v>207</v>
      </c>
      <c r="AM117" s="497"/>
      <c r="AN117" s="497"/>
      <c r="AO117" s="498">
        <v>0</v>
      </c>
      <c r="AP117" s="504">
        <v>0</v>
      </c>
      <c r="AQ117" s="504">
        <v>0</v>
      </c>
      <c r="AR117" s="503"/>
      <c r="AS117" s="506">
        <f t="shared" si="98"/>
        <v>0</v>
      </c>
      <c r="AT117">
        <f t="shared" si="99"/>
        <v>0</v>
      </c>
      <c r="AU117" s="506" t="str">
        <f>IF(AT117=0,"",IF(AND(AT117=1,M117="F",SUMIF(C2:C177,C117,AS2:AS177)&lt;=1),SUMIF(C2:C177,C117,AS2:AS177),IF(AND(AT117=1,M117="F",SUMIF(C2:C177,C117,AS2:AS177)&gt;1),1,"")))</f>
        <v/>
      </c>
      <c r="AV117" s="506" t="str">
        <f>IF(AT117=0,"",IF(AND(AT117=3,M117="F",SUMIF(C2:C177,C117,AS2:AS177)&lt;=1),SUMIF(C2:C177,C117,AS2:AS177),IF(AND(AT117=3,M117="F",SUMIF(C2:C177,C117,AS2:AS177)&gt;1),1,"")))</f>
        <v/>
      </c>
      <c r="AW117" s="506">
        <f>SUMIF(C2:C177,C117,O2:O177)</f>
        <v>0</v>
      </c>
      <c r="AX117" s="506">
        <f>IF(AND(M117="F",AS117&lt;&gt;0),SUMIF(C2:C177,C117,W2:W177),0)</f>
        <v>0</v>
      </c>
      <c r="AY117" s="506" t="str">
        <f t="shared" si="100"/>
        <v/>
      </c>
      <c r="AZ117" s="506" t="str">
        <f t="shared" si="101"/>
        <v/>
      </c>
      <c r="BA117" s="506">
        <f t="shared" si="102"/>
        <v>0</v>
      </c>
      <c r="BB117" s="506">
        <f t="shared" si="115"/>
        <v>0</v>
      </c>
      <c r="BC117" s="506">
        <f t="shared" si="116"/>
        <v>0</v>
      </c>
      <c r="BD117" s="506">
        <f t="shared" si="117"/>
        <v>0</v>
      </c>
      <c r="BE117" s="506">
        <f t="shared" si="118"/>
        <v>0</v>
      </c>
      <c r="BF117" s="506">
        <f t="shared" si="119"/>
        <v>0</v>
      </c>
      <c r="BG117" s="506">
        <f t="shared" si="120"/>
        <v>0</v>
      </c>
      <c r="BH117" s="506">
        <f t="shared" si="121"/>
        <v>0</v>
      </c>
      <c r="BI117" s="506">
        <f t="shared" si="122"/>
        <v>0</v>
      </c>
      <c r="BJ117" s="506">
        <f t="shared" si="123"/>
        <v>0</v>
      </c>
      <c r="BK117" s="506">
        <f t="shared" si="124"/>
        <v>0</v>
      </c>
      <c r="BL117" s="506">
        <f t="shared" si="103"/>
        <v>0</v>
      </c>
      <c r="BM117" s="506">
        <f t="shared" si="104"/>
        <v>0</v>
      </c>
      <c r="BN117" s="506">
        <f t="shared" si="125"/>
        <v>0</v>
      </c>
      <c r="BO117" s="506">
        <f t="shared" si="126"/>
        <v>0</v>
      </c>
      <c r="BP117" s="506">
        <f t="shared" si="127"/>
        <v>0</v>
      </c>
      <c r="BQ117" s="506">
        <f t="shared" si="128"/>
        <v>0</v>
      </c>
      <c r="BR117" s="506">
        <f t="shared" si="129"/>
        <v>0</v>
      </c>
      <c r="BS117" s="506">
        <f t="shared" si="130"/>
        <v>0</v>
      </c>
      <c r="BT117" s="506">
        <f t="shared" si="131"/>
        <v>0</v>
      </c>
      <c r="BU117" s="506">
        <f t="shared" si="132"/>
        <v>0</v>
      </c>
      <c r="BV117" s="506">
        <f t="shared" si="133"/>
        <v>0</v>
      </c>
      <c r="BW117" s="506">
        <f t="shared" si="134"/>
        <v>0</v>
      </c>
      <c r="BX117" s="506">
        <f t="shared" si="105"/>
        <v>0</v>
      </c>
      <c r="BY117" s="506">
        <f t="shared" si="106"/>
        <v>0</v>
      </c>
      <c r="BZ117" s="506">
        <f t="shared" si="107"/>
        <v>0</v>
      </c>
      <c r="CA117" s="506">
        <f t="shared" si="108"/>
        <v>0</v>
      </c>
      <c r="CB117" s="506">
        <f t="shared" si="109"/>
        <v>0</v>
      </c>
      <c r="CC117" s="506">
        <f t="shared" si="135"/>
        <v>0</v>
      </c>
      <c r="CD117" s="506">
        <f t="shared" si="136"/>
        <v>0</v>
      </c>
      <c r="CE117" s="506">
        <f t="shared" si="137"/>
        <v>0</v>
      </c>
      <c r="CF117" s="506">
        <f t="shared" si="138"/>
        <v>0</v>
      </c>
      <c r="CG117" s="506">
        <f t="shared" si="139"/>
        <v>0</v>
      </c>
      <c r="CH117" s="506">
        <f t="shared" si="140"/>
        <v>0</v>
      </c>
      <c r="CI117" s="506">
        <f t="shared" si="141"/>
        <v>0</v>
      </c>
      <c r="CJ117" s="506">
        <f t="shared" si="110"/>
        <v>0</v>
      </c>
      <c r="CK117" s="506" t="str">
        <f t="shared" si="111"/>
        <v/>
      </c>
      <c r="CL117" s="506" t="str">
        <f t="shared" si="112"/>
        <v/>
      </c>
      <c r="CM117" s="506" t="str">
        <f t="shared" si="113"/>
        <v/>
      </c>
      <c r="CN117" s="506" t="str">
        <f t="shared" si="114"/>
        <v>0290-00</v>
      </c>
    </row>
    <row r="118" spans="1:92" ht="15.75" thickBot="1" x14ac:dyDescent="0.3">
      <c r="A118" s="495" t="s">
        <v>187</v>
      </c>
      <c r="B118" s="495" t="s">
        <v>188</v>
      </c>
      <c r="C118" s="495" t="s">
        <v>671</v>
      </c>
      <c r="D118" s="495" t="s">
        <v>672</v>
      </c>
      <c r="E118" s="495" t="s">
        <v>191</v>
      </c>
      <c r="F118" s="496" t="s">
        <v>192</v>
      </c>
      <c r="G118" s="495" t="s">
        <v>193</v>
      </c>
      <c r="H118" s="497"/>
      <c r="I118" s="497"/>
      <c r="J118" s="495" t="s">
        <v>194</v>
      </c>
      <c r="K118" s="495" t="s">
        <v>673</v>
      </c>
      <c r="L118" s="495" t="s">
        <v>196</v>
      </c>
      <c r="M118" s="495" t="s">
        <v>197</v>
      </c>
      <c r="N118" s="495" t="s">
        <v>198</v>
      </c>
      <c r="O118" s="498">
        <v>1</v>
      </c>
      <c r="P118" s="504">
        <v>1</v>
      </c>
      <c r="Q118" s="504">
        <v>1</v>
      </c>
      <c r="R118" s="499">
        <v>80</v>
      </c>
      <c r="S118" s="504">
        <v>1</v>
      </c>
      <c r="T118" s="499">
        <v>53568.92</v>
      </c>
      <c r="U118" s="499">
        <v>265.02</v>
      </c>
      <c r="V118" s="499">
        <v>22864.12</v>
      </c>
      <c r="W118" s="499">
        <v>56222.400000000001</v>
      </c>
      <c r="X118" s="499">
        <v>24347.78</v>
      </c>
      <c r="Y118" s="499">
        <v>56222.400000000001</v>
      </c>
      <c r="Z118" s="499">
        <v>24055.43</v>
      </c>
      <c r="AA118" s="495" t="s">
        <v>674</v>
      </c>
      <c r="AB118" s="495" t="s">
        <v>675</v>
      </c>
      <c r="AC118" s="495" t="s">
        <v>676</v>
      </c>
      <c r="AD118" s="495" t="s">
        <v>301</v>
      </c>
      <c r="AE118" s="495" t="s">
        <v>673</v>
      </c>
      <c r="AF118" s="495" t="s">
        <v>203</v>
      </c>
      <c r="AG118" s="495" t="s">
        <v>204</v>
      </c>
      <c r="AH118" s="500">
        <v>27.03</v>
      </c>
      <c r="AI118" s="500">
        <v>59596.6</v>
      </c>
      <c r="AJ118" s="495" t="s">
        <v>205</v>
      </c>
      <c r="AK118" s="495" t="s">
        <v>206</v>
      </c>
      <c r="AL118" s="495" t="s">
        <v>207</v>
      </c>
      <c r="AM118" s="495" t="s">
        <v>208</v>
      </c>
      <c r="AN118" s="495" t="s">
        <v>92</v>
      </c>
      <c r="AO118" s="498">
        <v>80</v>
      </c>
      <c r="AP118" s="504">
        <v>1</v>
      </c>
      <c r="AQ118" s="504">
        <v>1</v>
      </c>
      <c r="AR118" s="502" t="s">
        <v>209</v>
      </c>
      <c r="AS118" s="506">
        <f t="shared" si="98"/>
        <v>1</v>
      </c>
      <c r="AT118">
        <f t="shared" si="99"/>
        <v>1</v>
      </c>
      <c r="AU118" s="506">
        <f>IF(AT118=0,"",IF(AND(AT118=1,M118="F",SUMIF(C2:C177,C118,AS2:AS177)&lt;=1),SUMIF(C2:C177,C118,AS2:AS177),IF(AND(AT118=1,M118="F",SUMIF(C2:C177,C118,AS2:AS177)&gt;1),1,"")))</f>
        <v>1</v>
      </c>
      <c r="AV118" s="506" t="str">
        <f>IF(AT118=0,"",IF(AND(AT118=3,M118="F",SUMIF(C2:C177,C118,AS2:AS177)&lt;=1),SUMIF(C2:C177,C118,AS2:AS177),IF(AND(AT118=3,M118="F",SUMIF(C2:C177,C118,AS2:AS177)&gt;1),1,"")))</f>
        <v/>
      </c>
      <c r="AW118" s="506">
        <f>SUMIF(C2:C177,C118,O2:O177)</f>
        <v>1</v>
      </c>
      <c r="AX118" s="506">
        <f>IF(AND(M118="F",AS118&lt;&gt;0),SUMIF(C2:C177,C118,W2:W177),0)</f>
        <v>56222.400000000001</v>
      </c>
      <c r="AY118" s="506">
        <f t="shared" si="100"/>
        <v>56222.400000000001</v>
      </c>
      <c r="AZ118" s="506" t="str">
        <f t="shared" si="101"/>
        <v/>
      </c>
      <c r="BA118" s="506">
        <f t="shared" si="102"/>
        <v>0</v>
      </c>
      <c r="BB118" s="506">
        <f t="shared" si="115"/>
        <v>11650</v>
      </c>
      <c r="BC118" s="506">
        <f t="shared" si="116"/>
        <v>0</v>
      </c>
      <c r="BD118" s="506">
        <f t="shared" si="117"/>
        <v>3485.7888000000003</v>
      </c>
      <c r="BE118" s="506">
        <f t="shared" si="118"/>
        <v>815.22480000000007</v>
      </c>
      <c r="BF118" s="506">
        <f t="shared" si="119"/>
        <v>6712.9545600000001</v>
      </c>
      <c r="BG118" s="506">
        <f t="shared" si="120"/>
        <v>405.36350400000003</v>
      </c>
      <c r="BH118" s="506">
        <f t="shared" si="121"/>
        <v>275.48975999999999</v>
      </c>
      <c r="BI118" s="506">
        <f t="shared" si="122"/>
        <v>311.19098400000001</v>
      </c>
      <c r="BJ118" s="506">
        <f t="shared" si="123"/>
        <v>691.53552000000002</v>
      </c>
      <c r="BK118" s="506">
        <f t="shared" si="124"/>
        <v>0</v>
      </c>
      <c r="BL118" s="506">
        <f t="shared" si="103"/>
        <v>12697.547928000002</v>
      </c>
      <c r="BM118" s="506">
        <f t="shared" si="104"/>
        <v>0</v>
      </c>
      <c r="BN118" s="506">
        <f t="shared" si="125"/>
        <v>11650</v>
      </c>
      <c r="BO118" s="506">
        <f t="shared" si="126"/>
        <v>0</v>
      </c>
      <c r="BP118" s="506">
        <f t="shared" si="127"/>
        <v>3485.7888000000003</v>
      </c>
      <c r="BQ118" s="506">
        <f t="shared" si="128"/>
        <v>815.22480000000007</v>
      </c>
      <c r="BR118" s="506">
        <f t="shared" si="129"/>
        <v>6712.9545600000001</v>
      </c>
      <c r="BS118" s="506">
        <f t="shared" si="130"/>
        <v>405.36350400000003</v>
      </c>
      <c r="BT118" s="506">
        <f t="shared" si="131"/>
        <v>0</v>
      </c>
      <c r="BU118" s="506">
        <f t="shared" si="132"/>
        <v>311.19098400000001</v>
      </c>
      <c r="BV118" s="506">
        <f t="shared" si="133"/>
        <v>674.66880000000003</v>
      </c>
      <c r="BW118" s="506">
        <f t="shared" si="134"/>
        <v>0</v>
      </c>
      <c r="BX118" s="506">
        <f t="shared" si="105"/>
        <v>12405.191448000001</v>
      </c>
      <c r="BY118" s="506">
        <f t="shared" si="106"/>
        <v>0</v>
      </c>
      <c r="BZ118" s="506">
        <f t="shared" si="107"/>
        <v>0</v>
      </c>
      <c r="CA118" s="506">
        <f t="shared" si="108"/>
        <v>0</v>
      </c>
      <c r="CB118" s="506">
        <f t="shared" si="109"/>
        <v>0</v>
      </c>
      <c r="CC118" s="506">
        <f t="shared" si="135"/>
        <v>0</v>
      </c>
      <c r="CD118" s="506">
        <f t="shared" si="136"/>
        <v>0</v>
      </c>
      <c r="CE118" s="506">
        <f t="shared" si="137"/>
        <v>0</v>
      </c>
      <c r="CF118" s="506">
        <f t="shared" si="138"/>
        <v>-275.48975999999999</v>
      </c>
      <c r="CG118" s="506">
        <f t="shared" si="139"/>
        <v>0</v>
      </c>
      <c r="CH118" s="506">
        <f t="shared" si="140"/>
        <v>-16.866719999999997</v>
      </c>
      <c r="CI118" s="506">
        <f t="shared" si="141"/>
        <v>0</v>
      </c>
      <c r="CJ118" s="506">
        <f t="shared" si="110"/>
        <v>-292.35647999999998</v>
      </c>
      <c r="CK118" s="506" t="str">
        <f t="shared" si="111"/>
        <v/>
      </c>
      <c r="CL118" s="506" t="str">
        <f t="shared" si="112"/>
        <v/>
      </c>
      <c r="CM118" s="506" t="str">
        <f t="shared" si="113"/>
        <v/>
      </c>
      <c r="CN118" s="506" t="str">
        <f t="shared" si="114"/>
        <v>0290-00</v>
      </c>
    </row>
    <row r="119" spans="1:92" ht="15.75" thickBot="1" x14ac:dyDescent="0.3">
      <c r="A119" s="495" t="s">
        <v>187</v>
      </c>
      <c r="B119" s="495" t="s">
        <v>188</v>
      </c>
      <c r="C119" s="495" t="s">
        <v>677</v>
      </c>
      <c r="D119" s="495" t="s">
        <v>678</v>
      </c>
      <c r="E119" s="495" t="s">
        <v>191</v>
      </c>
      <c r="F119" s="496" t="s">
        <v>192</v>
      </c>
      <c r="G119" s="495" t="s">
        <v>193</v>
      </c>
      <c r="H119" s="497"/>
      <c r="I119" s="497"/>
      <c r="J119" s="495" t="s">
        <v>225</v>
      </c>
      <c r="K119" s="495" t="s">
        <v>679</v>
      </c>
      <c r="L119" s="495" t="s">
        <v>305</v>
      </c>
      <c r="M119" s="495" t="s">
        <v>213</v>
      </c>
      <c r="N119" s="495" t="s">
        <v>227</v>
      </c>
      <c r="O119" s="498">
        <v>0</v>
      </c>
      <c r="P119" s="504">
        <v>1</v>
      </c>
      <c r="Q119" s="504">
        <v>0</v>
      </c>
      <c r="R119" s="499">
        <v>0</v>
      </c>
      <c r="S119" s="504">
        <v>0</v>
      </c>
      <c r="T119" s="499">
        <v>0</v>
      </c>
      <c r="U119" s="499">
        <v>0</v>
      </c>
      <c r="V119" s="499">
        <v>0</v>
      </c>
      <c r="W119" s="499">
        <v>0</v>
      </c>
      <c r="X119" s="499">
        <v>0</v>
      </c>
      <c r="Y119" s="499">
        <v>0</v>
      </c>
      <c r="Z119" s="499">
        <v>0</v>
      </c>
      <c r="AA119" s="497"/>
      <c r="AB119" s="495" t="s">
        <v>23</v>
      </c>
      <c r="AC119" s="495" t="s">
        <v>23</v>
      </c>
      <c r="AD119" s="497"/>
      <c r="AE119" s="497"/>
      <c r="AF119" s="497"/>
      <c r="AG119" s="497"/>
      <c r="AH119" s="498">
        <v>0</v>
      </c>
      <c r="AI119" s="498">
        <v>0</v>
      </c>
      <c r="AJ119" s="497"/>
      <c r="AK119" s="497"/>
      <c r="AL119" s="495" t="s">
        <v>207</v>
      </c>
      <c r="AM119" s="497"/>
      <c r="AN119" s="497"/>
      <c r="AO119" s="498">
        <v>0</v>
      </c>
      <c r="AP119" s="504">
        <v>0</v>
      </c>
      <c r="AQ119" s="504">
        <v>0</v>
      </c>
      <c r="AR119" s="503"/>
      <c r="AS119" s="506">
        <f t="shared" si="98"/>
        <v>0</v>
      </c>
      <c r="AT119">
        <f t="shared" si="99"/>
        <v>0</v>
      </c>
      <c r="AU119" s="506" t="str">
        <f>IF(AT119=0,"",IF(AND(AT119=1,M119="F",SUMIF(C2:C177,C119,AS2:AS177)&lt;=1),SUMIF(C2:C177,C119,AS2:AS177),IF(AND(AT119=1,M119="F",SUMIF(C2:C177,C119,AS2:AS177)&gt;1),1,"")))</f>
        <v/>
      </c>
      <c r="AV119" s="506" t="str">
        <f>IF(AT119=0,"",IF(AND(AT119=3,M119="F",SUMIF(C2:C177,C119,AS2:AS177)&lt;=1),SUMIF(C2:C177,C119,AS2:AS177),IF(AND(AT119=3,M119="F",SUMIF(C2:C177,C119,AS2:AS177)&gt;1),1,"")))</f>
        <v/>
      </c>
      <c r="AW119" s="506">
        <f>SUMIF(C2:C177,C119,O2:O177)</f>
        <v>0</v>
      </c>
      <c r="AX119" s="506">
        <f>IF(AND(M119="F",AS119&lt;&gt;0),SUMIF(C2:C177,C119,W2:W177),0)</f>
        <v>0</v>
      </c>
      <c r="AY119" s="506" t="str">
        <f t="shared" si="100"/>
        <v/>
      </c>
      <c r="AZ119" s="506" t="str">
        <f t="shared" si="101"/>
        <v/>
      </c>
      <c r="BA119" s="506">
        <f t="shared" si="102"/>
        <v>0</v>
      </c>
      <c r="BB119" s="506">
        <f t="shared" si="115"/>
        <v>0</v>
      </c>
      <c r="BC119" s="506">
        <f t="shared" si="116"/>
        <v>0</v>
      </c>
      <c r="BD119" s="506">
        <f t="shared" si="117"/>
        <v>0</v>
      </c>
      <c r="BE119" s="506">
        <f t="shared" si="118"/>
        <v>0</v>
      </c>
      <c r="BF119" s="506">
        <f t="shared" si="119"/>
        <v>0</v>
      </c>
      <c r="BG119" s="506">
        <f t="shared" si="120"/>
        <v>0</v>
      </c>
      <c r="BH119" s="506">
        <f t="shared" si="121"/>
        <v>0</v>
      </c>
      <c r="BI119" s="506">
        <f t="shared" si="122"/>
        <v>0</v>
      </c>
      <c r="BJ119" s="506">
        <f t="shared" si="123"/>
        <v>0</v>
      </c>
      <c r="BK119" s="506">
        <f t="shared" si="124"/>
        <v>0</v>
      </c>
      <c r="BL119" s="506">
        <f t="shared" si="103"/>
        <v>0</v>
      </c>
      <c r="BM119" s="506">
        <f t="shared" si="104"/>
        <v>0</v>
      </c>
      <c r="BN119" s="506">
        <f t="shared" si="125"/>
        <v>0</v>
      </c>
      <c r="BO119" s="506">
        <f t="shared" si="126"/>
        <v>0</v>
      </c>
      <c r="BP119" s="506">
        <f t="shared" si="127"/>
        <v>0</v>
      </c>
      <c r="BQ119" s="506">
        <f t="shared" si="128"/>
        <v>0</v>
      </c>
      <c r="BR119" s="506">
        <f t="shared" si="129"/>
        <v>0</v>
      </c>
      <c r="BS119" s="506">
        <f t="shared" si="130"/>
        <v>0</v>
      </c>
      <c r="BT119" s="506">
        <f t="shared" si="131"/>
        <v>0</v>
      </c>
      <c r="BU119" s="506">
        <f t="shared" si="132"/>
        <v>0</v>
      </c>
      <c r="BV119" s="506">
        <f t="shared" si="133"/>
        <v>0</v>
      </c>
      <c r="BW119" s="506">
        <f t="shared" si="134"/>
        <v>0</v>
      </c>
      <c r="BX119" s="506">
        <f t="shared" si="105"/>
        <v>0</v>
      </c>
      <c r="BY119" s="506">
        <f t="shared" si="106"/>
        <v>0</v>
      </c>
      <c r="BZ119" s="506">
        <f t="shared" si="107"/>
        <v>0</v>
      </c>
      <c r="CA119" s="506">
        <f t="shared" si="108"/>
        <v>0</v>
      </c>
      <c r="CB119" s="506">
        <f t="shared" si="109"/>
        <v>0</v>
      </c>
      <c r="CC119" s="506">
        <f t="shared" si="135"/>
        <v>0</v>
      </c>
      <c r="CD119" s="506">
        <f t="shared" si="136"/>
        <v>0</v>
      </c>
      <c r="CE119" s="506">
        <f t="shared" si="137"/>
        <v>0</v>
      </c>
      <c r="CF119" s="506">
        <f t="shared" si="138"/>
        <v>0</v>
      </c>
      <c r="CG119" s="506">
        <f t="shared" si="139"/>
        <v>0</v>
      </c>
      <c r="CH119" s="506">
        <f t="shared" si="140"/>
        <v>0</v>
      </c>
      <c r="CI119" s="506">
        <f t="shared" si="141"/>
        <v>0</v>
      </c>
      <c r="CJ119" s="506">
        <f t="shared" si="110"/>
        <v>0</v>
      </c>
      <c r="CK119" s="506" t="str">
        <f t="shared" si="111"/>
        <v/>
      </c>
      <c r="CL119" s="506">
        <f t="shared" si="112"/>
        <v>0</v>
      </c>
      <c r="CM119" s="506">
        <f t="shared" si="113"/>
        <v>0</v>
      </c>
      <c r="CN119" s="506" t="str">
        <f t="shared" si="114"/>
        <v>0290-00</v>
      </c>
    </row>
    <row r="120" spans="1:92" ht="15.75" thickBot="1" x14ac:dyDescent="0.3">
      <c r="A120" s="495" t="s">
        <v>187</v>
      </c>
      <c r="B120" s="495" t="s">
        <v>188</v>
      </c>
      <c r="C120" s="495" t="s">
        <v>680</v>
      </c>
      <c r="D120" s="495" t="s">
        <v>681</v>
      </c>
      <c r="E120" s="495" t="s">
        <v>191</v>
      </c>
      <c r="F120" s="496" t="s">
        <v>192</v>
      </c>
      <c r="G120" s="495" t="s">
        <v>193</v>
      </c>
      <c r="H120" s="497"/>
      <c r="I120" s="497"/>
      <c r="J120" s="495" t="s">
        <v>225</v>
      </c>
      <c r="K120" s="495" t="s">
        <v>682</v>
      </c>
      <c r="L120" s="495" t="s">
        <v>207</v>
      </c>
      <c r="M120" s="495" t="s">
        <v>197</v>
      </c>
      <c r="N120" s="495" t="s">
        <v>578</v>
      </c>
      <c r="O120" s="498">
        <v>1</v>
      </c>
      <c r="P120" s="504">
        <v>1</v>
      </c>
      <c r="Q120" s="504">
        <v>1</v>
      </c>
      <c r="R120" s="499">
        <v>80</v>
      </c>
      <c r="S120" s="504">
        <v>1</v>
      </c>
      <c r="T120" s="499">
        <v>79261.91</v>
      </c>
      <c r="U120" s="499">
        <v>364.96</v>
      </c>
      <c r="V120" s="499">
        <v>27876.95</v>
      </c>
      <c r="W120" s="499">
        <v>83387.199999999997</v>
      </c>
      <c r="X120" s="499">
        <v>30021.01</v>
      </c>
      <c r="Y120" s="499">
        <v>83387.199999999997</v>
      </c>
      <c r="Z120" s="499">
        <v>29587.4</v>
      </c>
      <c r="AA120" s="495" t="s">
        <v>683</v>
      </c>
      <c r="AB120" s="495" t="s">
        <v>684</v>
      </c>
      <c r="AC120" s="495" t="s">
        <v>653</v>
      </c>
      <c r="AD120" s="495" t="s">
        <v>202</v>
      </c>
      <c r="AE120" s="495" t="s">
        <v>682</v>
      </c>
      <c r="AF120" s="495" t="s">
        <v>282</v>
      </c>
      <c r="AG120" s="495" t="s">
        <v>204</v>
      </c>
      <c r="AH120" s="500">
        <v>40.090000000000003</v>
      </c>
      <c r="AI120" s="498">
        <v>29482</v>
      </c>
      <c r="AJ120" s="495" t="s">
        <v>205</v>
      </c>
      <c r="AK120" s="495" t="s">
        <v>206</v>
      </c>
      <c r="AL120" s="495" t="s">
        <v>207</v>
      </c>
      <c r="AM120" s="495" t="s">
        <v>208</v>
      </c>
      <c r="AN120" s="495" t="s">
        <v>92</v>
      </c>
      <c r="AO120" s="498">
        <v>80</v>
      </c>
      <c r="AP120" s="504">
        <v>1</v>
      </c>
      <c r="AQ120" s="504">
        <v>1</v>
      </c>
      <c r="AR120" s="502" t="s">
        <v>209</v>
      </c>
      <c r="AS120" s="506">
        <f t="shared" si="98"/>
        <v>1</v>
      </c>
      <c r="AT120">
        <f t="shared" si="99"/>
        <v>1</v>
      </c>
      <c r="AU120" s="506">
        <f>IF(AT120=0,"",IF(AND(AT120=1,M120="F",SUMIF(C2:C177,C120,AS2:AS177)&lt;=1),SUMIF(C2:C177,C120,AS2:AS177),IF(AND(AT120=1,M120="F",SUMIF(C2:C177,C120,AS2:AS177)&gt;1),1,"")))</f>
        <v>1</v>
      </c>
      <c r="AV120" s="506" t="str">
        <f>IF(AT120=0,"",IF(AND(AT120=3,M120="F",SUMIF(C2:C177,C120,AS2:AS177)&lt;=1),SUMIF(C2:C177,C120,AS2:AS177),IF(AND(AT120=3,M120="F",SUMIF(C2:C177,C120,AS2:AS177)&gt;1),1,"")))</f>
        <v/>
      </c>
      <c r="AW120" s="506">
        <f>SUMIF(C2:C177,C120,O2:O177)</f>
        <v>1</v>
      </c>
      <c r="AX120" s="506">
        <f>IF(AND(M120="F",AS120&lt;&gt;0),SUMIF(C2:C177,C120,W2:W177),0)</f>
        <v>83387.199999999997</v>
      </c>
      <c r="AY120" s="506">
        <f t="shared" si="100"/>
        <v>83387.199999999997</v>
      </c>
      <c r="AZ120" s="506" t="str">
        <f t="shared" si="101"/>
        <v/>
      </c>
      <c r="BA120" s="506">
        <f t="shared" si="102"/>
        <v>0</v>
      </c>
      <c r="BB120" s="506">
        <f t="shared" si="115"/>
        <v>11650</v>
      </c>
      <c r="BC120" s="506">
        <f t="shared" si="116"/>
        <v>0</v>
      </c>
      <c r="BD120" s="506">
        <f t="shared" si="117"/>
        <v>5170.0064000000002</v>
      </c>
      <c r="BE120" s="506">
        <f t="shared" si="118"/>
        <v>1209.1143999999999</v>
      </c>
      <c r="BF120" s="506">
        <f t="shared" si="119"/>
        <v>9956.4316799999997</v>
      </c>
      <c r="BG120" s="506">
        <f t="shared" si="120"/>
        <v>601.22171200000003</v>
      </c>
      <c r="BH120" s="506">
        <f t="shared" si="121"/>
        <v>408.59727999999996</v>
      </c>
      <c r="BI120" s="506">
        <f t="shared" si="122"/>
        <v>0</v>
      </c>
      <c r="BJ120" s="506">
        <f t="shared" si="123"/>
        <v>1025.66256</v>
      </c>
      <c r="BK120" s="506">
        <f t="shared" si="124"/>
        <v>0</v>
      </c>
      <c r="BL120" s="506">
        <f t="shared" si="103"/>
        <v>18371.034032</v>
      </c>
      <c r="BM120" s="506">
        <f t="shared" si="104"/>
        <v>0</v>
      </c>
      <c r="BN120" s="506">
        <f t="shared" si="125"/>
        <v>11650</v>
      </c>
      <c r="BO120" s="506">
        <f t="shared" si="126"/>
        <v>0</v>
      </c>
      <c r="BP120" s="506">
        <f t="shared" si="127"/>
        <v>5170.0064000000002</v>
      </c>
      <c r="BQ120" s="506">
        <f t="shared" si="128"/>
        <v>1209.1143999999999</v>
      </c>
      <c r="BR120" s="506">
        <f t="shared" si="129"/>
        <v>9956.4316799999997</v>
      </c>
      <c r="BS120" s="506">
        <f t="shared" si="130"/>
        <v>601.22171200000003</v>
      </c>
      <c r="BT120" s="506">
        <f t="shared" si="131"/>
        <v>0</v>
      </c>
      <c r="BU120" s="506">
        <f t="shared" si="132"/>
        <v>0</v>
      </c>
      <c r="BV120" s="506">
        <f t="shared" si="133"/>
        <v>1000.6464</v>
      </c>
      <c r="BW120" s="506">
        <f t="shared" si="134"/>
        <v>0</v>
      </c>
      <c r="BX120" s="506">
        <f t="shared" si="105"/>
        <v>17937.420592000002</v>
      </c>
      <c r="BY120" s="506">
        <f t="shared" si="106"/>
        <v>0</v>
      </c>
      <c r="BZ120" s="506">
        <f t="shared" si="107"/>
        <v>0</v>
      </c>
      <c r="CA120" s="506">
        <f t="shared" si="108"/>
        <v>0</v>
      </c>
      <c r="CB120" s="506">
        <f t="shared" si="109"/>
        <v>0</v>
      </c>
      <c r="CC120" s="506">
        <f t="shared" si="135"/>
        <v>0</v>
      </c>
      <c r="CD120" s="506">
        <f t="shared" si="136"/>
        <v>0</v>
      </c>
      <c r="CE120" s="506">
        <f t="shared" si="137"/>
        <v>0</v>
      </c>
      <c r="CF120" s="506">
        <f t="shared" si="138"/>
        <v>-408.59727999999996</v>
      </c>
      <c r="CG120" s="506">
        <f t="shared" si="139"/>
        <v>0</v>
      </c>
      <c r="CH120" s="506">
        <f t="shared" si="140"/>
        <v>-25.016159999999992</v>
      </c>
      <c r="CI120" s="506">
        <f t="shared" si="141"/>
        <v>0</v>
      </c>
      <c r="CJ120" s="506">
        <f t="shared" si="110"/>
        <v>-433.61343999999997</v>
      </c>
      <c r="CK120" s="506" t="str">
        <f t="shared" si="111"/>
        <v/>
      </c>
      <c r="CL120" s="506" t="str">
        <f t="shared" si="112"/>
        <v/>
      </c>
      <c r="CM120" s="506" t="str">
        <f t="shared" si="113"/>
        <v/>
      </c>
      <c r="CN120" s="506" t="str">
        <f t="shared" si="114"/>
        <v>0290-00</v>
      </c>
    </row>
    <row r="121" spans="1:92" ht="15.75" thickBot="1" x14ac:dyDescent="0.3">
      <c r="A121" s="495" t="s">
        <v>187</v>
      </c>
      <c r="B121" s="495" t="s">
        <v>188</v>
      </c>
      <c r="C121" s="495" t="s">
        <v>685</v>
      </c>
      <c r="D121" s="495" t="s">
        <v>661</v>
      </c>
      <c r="E121" s="495" t="s">
        <v>191</v>
      </c>
      <c r="F121" s="496" t="s">
        <v>192</v>
      </c>
      <c r="G121" s="495" t="s">
        <v>193</v>
      </c>
      <c r="H121" s="497"/>
      <c r="I121" s="497"/>
      <c r="J121" s="495" t="s">
        <v>230</v>
      </c>
      <c r="K121" s="495" t="s">
        <v>662</v>
      </c>
      <c r="L121" s="495" t="s">
        <v>301</v>
      </c>
      <c r="M121" s="495" t="s">
        <v>197</v>
      </c>
      <c r="N121" s="495" t="s">
        <v>198</v>
      </c>
      <c r="O121" s="498">
        <v>1</v>
      </c>
      <c r="P121" s="504">
        <v>1</v>
      </c>
      <c r="Q121" s="504">
        <v>1</v>
      </c>
      <c r="R121" s="499">
        <v>80</v>
      </c>
      <c r="S121" s="504">
        <v>1</v>
      </c>
      <c r="T121" s="499">
        <v>13440</v>
      </c>
      <c r="U121" s="499">
        <v>0</v>
      </c>
      <c r="V121" s="499">
        <v>7903.52</v>
      </c>
      <c r="W121" s="499">
        <v>41600</v>
      </c>
      <c r="X121" s="499">
        <v>21045.34</v>
      </c>
      <c r="Y121" s="499">
        <v>41600</v>
      </c>
      <c r="Z121" s="499">
        <v>20829.009999999998</v>
      </c>
      <c r="AA121" s="495" t="s">
        <v>686</v>
      </c>
      <c r="AB121" s="495" t="s">
        <v>687</v>
      </c>
      <c r="AC121" s="495" t="s">
        <v>688</v>
      </c>
      <c r="AD121" s="495" t="s">
        <v>207</v>
      </c>
      <c r="AE121" s="495" t="s">
        <v>662</v>
      </c>
      <c r="AF121" s="495" t="s">
        <v>259</v>
      </c>
      <c r="AG121" s="495" t="s">
        <v>204</v>
      </c>
      <c r="AH121" s="498">
        <v>20</v>
      </c>
      <c r="AI121" s="500">
        <v>5891.5</v>
      </c>
      <c r="AJ121" s="495" t="s">
        <v>205</v>
      </c>
      <c r="AK121" s="495" t="s">
        <v>206</v>
      </c>
      <c r="AL121" s="495" t="s">
        <v>207</v>
      </c>
      <c r="AM121" s="495" t="s">
        <v>208</v>
      </c>
      <c r="AN121" s="495" t="s">
        <v>92</v>
      </c>
      <c r="AO121" s="498">
        <v>80</v>
      </c>
      <c r="AP121" s="504">
        <v>1</v>
      </c>
      <c r="AQ121" s="504">
        <v>1</v>
      </c>
      <c r="AR121" s="502" t="s">
        <v>209</v>
      </c>
      <c r="AS121" s="506">
        <f t="shared" si="98"/>
        <v>1</v>
      </c>
      <c r="AT121">
        <f t="shared" si="99"/>
        <v>1</v>
      </c>
      <c r="AU121" s="506">
        <f>IF(AT121=0,"",IF(AND(AT121=1,M121="F",SUMIF(C2:C177,C121,AS2:AS177)&lt;=1),SUMIF(C2:C177,C121,AS2:AS177),IF(AND(AT121=1,M121="F",SUMIF(C2:C177,C121,AS2:AS177)&gt;1),1,"")))</f>
        <v>1</v>
      </c>
      <c r="AV121" s="506" t="str">
        <f>IF(AT121=0,"",IF(AND(AT121=3,M121="F",SUMIF(C2:C177,C121,AS2:AS177)&lt;=1),SUMIF(C2:C177,C121,AS2:AS177),IF(AND(AT121=3,M121="F",SUMIF(C2:C177,C121,AS2:AS177)&gt;1),1,"")))</f>
        <v/>
      </c>
      <c r="AW121" s="506">
        <f>SUMIF(C2:C177,C121,O2:O177)</f>
        <v>1</v>
      </c>
      <c r="AX121" s="506">
        <f>IF(AND(M121="F",AS121&lt;&gt;0),SUMIF(C2:C177,C121,W2:W177),0)</f>
        <v>41600</v>
      </c>
      <c r="AY121" s="506">
        <f t="shared" si="100"/>
        <v>41600</v>
      </c>
      <c r="AZ121" s="506" t="str">
        <f t="shared" si="101"/>
        <v/>
      </c>
      <c r="BA121" s="506">
        <f t="shared" si="102"/>
        <v>0</v>
      </c>
      <c r="BB121" s="506">
        <f t="shared" si="115"/>
        <v>11650</v>
      </c>
      <c r="BC121" s="506">
        <f t="shared" si="116"/>
        <v>0</v>
      </c>
      <c r="BD121" s="506">
        <f t="shared" si="117"/>
        <v>2579.1999999999998</v>
      </c>
      <c r="BE121" s="506">
        <f t="shared" si="118"/>
        <v>603.20000000000005</v>
      </c>
      <c r="BF121" s="506">
        <f t="shared" si="119"/>
        <v>4967.04</v>
      </c>
      <c r="BG121" s="506">
        <f t="shared" si="120"/>
        <v>299.93600000000004</v>
      </c>
      <c r="BH121" s="506">
        <f t="shared" si="121"/>
        <v>203.84</v>
      </c>
      <c r="BI121" s="506">
        <f t="shared" si="122"/>
        <v>230.256</v>
      </c>
      <c r="BJ121" s="506">
        <f t="shared" si="123"/>
        <v>511.68</v>
      </c>
      <c r="BK121" s="506">
        <f t="shared" si="124"/>
        <v>0</v>
      </c>
      <c r="BL121" s="506">
        <f t="shared" si="103"/>
        <v>9395.152</v>
      </c>
      <c r="BM121" s="506">
        <f t="shared" si="104"/>
        <v>0</v>
      </c>
      <c r="BN121" s="506">
        <f t="shared" si="125"/>
        <v>11650</v>
      </c>
      <c r="BO121" s="506">
        <f t="shared" si="126"/>
        <v>0</v>
      </c>
      <c r="BP121" s="506">
        <f t="shared" si="127"/>
        <v>2579.1999999999998</v>
      </c>
      <c r="BQ121" s="506">
        <f t="shared" si="128"/>
        <v>603.20000000000005</v>
      </c>
      <c r="BR121" s="506">
        <f t="shared" si="129"/>
        <v>4967.04</v>
      </c>
      <c r="BS121" s="506">
        <f t="shared" si="130"/>
        <v>299.93600000000004</v>
      </c>
      <c r="BT121" s="506">
        <f t="shared" si="131"/>
        <v>0</v>
      </c>
      <c r="BU121" s="506">
        <f t="shared" si="132"/>
        <v>230.256</v>
      </c>
      <c r="BV121" s="506">
        <f t="shared" si="133"/>
        <v>499.2</v>
      </c>
      <c r="BW121" s="506">
        <f t="shared" si="134"/>
        <v>0</v>
      </c>
      <c r="BX121" s="506">
        <f t="shared" si="105"/>
        <v>9178.8320000000003</v>
      </c>
      <c r="BY121" s="506">
        <f t="shared" si="106"/>
        <v>0</v>
      </c>
      <c r="BZ121" s="506">
        <f t="shared" si="107"/>
        <v>0</v>
      </c>
      <c r="CA121" s="506">
        <f t="shared" si="108"/>
        <v>0</v>
      </c>
      <c r="CB121" s="506">
        <f t="shared" si="109"/>
        <v>0</v>
      </c>
      <c r="CC121" s="506">
        <f t="shared" si="135"/>
        <v>0</v>
      </c>
      <c r="CD121" s="506">
        <f t="shared" si="136"/>
        <v>0</v>
      </c>
      <c r="CE121" s="506">
        <f t="shared" si="137"/>
        <v>0</v>
      </c>
      <c r="CF121" s="506">
        <f t="shared" si="138"/>
        <v>-203.84</v>
      </c>
      <c r="CG121" s="506">
        <f t="shared" si="139"/>
        <v>0</v>
      </c>
      <c r="CH121" s="506">
        <f t="shared" si="140"/>
        <v>-12.479999999999997</v>
      </c>
      <c r="CI121" s="506">
        <f t="shared" si="141"/>
        <v>0</v>
      </c>
      <c r="CJ121" s="506">
        <f t="shared" si="110"/>
        <v>-216.32</v>
      </c>
      <c r="CK121" s="506" t="str">
        <f t="shared" si="111"/>
        <v/>
      </c>
      <c r="CL121" s="506" t="str">
        <f t="shared" si="112"/>
        <v/>
      </c>
      <c r="CM121" s="506" t="str">
        <f t="shared" si="113"/>
        <v/>
      </c>
      <c r="CN121" s="506" t="str">
        <f t="shared" si="114"/>
        <v>0290-00</v>
      </c>
    </row>
    <row r="122" spans="1:92" ht="15.75" thickBot="1" x14ac:dyDescent="0.3">
      <c r="A122" s="495" t="s">
        <v>187</v>
      </c>
      <c r="B122" s="495" t="s">
        <v>188</v>
      </c>
      <c r="C122" s="495" t="s">
        <v>689</v>
      </c>
      <c r="D122" s="495" t="s">
        <v>690</v>
      </c>
      <c r="E122" s="495" t="s">
        <v>191</v>
      </c>
      <c r="F122" s="496" t="s">
        <v>192</v>
      </c>
      <c r="G122" s="495" t="s">
        <v>193</v>
      </c>
      <c r="H122" s="497"/>
      <c r="I122" s="497"/>
      <c r="J122" s="495" t="s">
        <v>225</v>
      </c>
      <c r="K122" s="495" t="s">
        <v>691</v>
      </c>
      <c r="L122" s="495" t="s">
        <v>286</v>
      </c>
      <c r="M122" s="495" t="s">
        <v>197</v>
      </c>
      <c r="N122" s="495" t="s">
        <v>198</v>
      </c>
      <c r="O122" s="498">
        <v>1</v>
      </c>
      <c r="P122" s="504">
        <v>1</v>
      </c>
      <c r="Q122" s="504">
        <v>1</v>
      </c>
      <c r="R122" s="499">
        <v>80</v>
      </c>
      <c r="S122" s="504">
        <v>1</v>
      </c>
      <c r="T122" s="499">
        <v>42980.53</v>
      </c>
      <c r="U122" s="499">
        <v>0</v>
      </c>
      <c r="V122" s="499">
        <v>21281.22</v>
      </c>
      <c r="W122" s="499">
        <v>44803.199999999997</v>
      </c>
      <c r="X122" s="499">
        <v>21768.76</v>
      </c>
      <c r="Y122" s="499">
        <v>44803.199999999997</v>
      </c>
      <c r="Z122" s="499">
        <v>21535.79</v>
      </c>
      <c r="AA122" s="495" t="s">
        <v>692</v>
      </c>
      <c r="AB122" s="495" t="s">
        <v>693</v>
      </c>
      <c r="AC122" s="495" t="s">
        <v>694</v>
      </c>
      <c r="AD122" s="495" t="s">
        <v>213</v>
      </c>
      <c r="AE122" s="495" t="s">
        <v>691</v>
      </c>
      <c r="AF122" s="495" t="s">
        <v>290</v>
      </c>
      <c r="AG122" s="495" t="s">
        <v>204</v>
      </c>
      <c r="AH122" s="500">
        <v>21.54</v>
      </c>
      <c r="AI122" s="500">
        <v>5326.6</v>
      </c>
      <c r="AJ122" s="495" t="s">
        <v>205</v>
      </c>
      <c r="AK122" s="495" t="s">
        <v>206</v>
      </c>
      <c r="AL122" s="495" t="s">
        <v>207</v>
      </c>
      <c r="AM122" s="495" t="s">
        <v>208</v>
      </c>
      <c r="AN122" s="495" t="s">
        <v>92</v>
      </c>
      <c r="AO122" s="498">
        <v>80</v>
      </c>
      <c r="AP122" s="504">
        <v>1</v>
      </c>
      <c r="AQ122" s="504">
        <v>1</v>
      </c>
      <c r="AR122" s="502" t="s">
        <v>209</v>
      </c>
      <c r="AS122" s="506">
        <f t="shared" si="98"/>
        <v>1</v>
      </c>
      <c r="AT122">
        <f t="shared" si="99"/>
        <v>1</v>
      </c>
      <c r="AU122" s="506">
        <f>IF(AT122=0,"",IF(AND(AT122=1,M122="F",SUMIF(C2:C177,C122,AS2:AS177)&lt;=1),SUMIF(C2:C177,C122,AS2:AS177),IF(AND(AT122=1,M122="F",SUMIF(C2:C177,C122,AS2:AS177)&gt;1),1,"")))</f>
        <v>1</v>
      </c>
      <c r="AV122" s="506" t="str">
        <f>IF(AT122=0,"",IF(AND(AT122=3,M122="F",SUMIF(C2:C177,C122,AS2:AS177)&lt;=1),SUMIF(C2:C177,C122,AS2:AS177),IF(AND(AT122=3,M122="F",SUMIF(C2:C177,C122,AS2:AS177)&gt;1),1,"")))</f>
        <v/>
      </c>
      <c r="AW122" s="506">
        <f>SUMIF(C2:C177,C122,O2:O177)</f>
        <v>1</v>
      </c>
      <c r="AX122" s="506">
        <f>IF(AND(M122="F",AS122&lt;&gt;0),SUMIF(C2:C177,C122,W2:W177),0)</f>
        <v>44803.199999999997</v>
      </c>
      <c r="AY122" s="506">
        <f t="shared" si="100"/>
        <v>44803.199999999997</v>
      </c>
      <c r="AZ122" s="506" t="str">
        <f t="shared" si="101"/>
        <v/>
      </c>
      <c r="BA122" s="506">
        <f t="shared" si="102"/>
        <v>0</v>
      </c>
      <c r="BB122" s="506">
        <f t="shared" si="115"/>
        <v>11650</v>
      </c>
      <c r="BC122" s="506">
        <f t="shared" si="116"/>
        <v>0</v>
      </c>
      <c r="BD122" s="506">
        <f t="shared" si="117"/>
        <v>2777.7983999999997</v>
      </c>
      <c r="BE122" s="506">
        <f t="shared" si="118"/>
        <v>649.64639999999997</v>
      </c>
      <c r="BF122" s="506">
        <f t="shared" si="119"/>
        <v>5349.5020800000002</v>
      </c>
      <c r="BG122" s="506">
        <f t="shared" si="120"/>
        <v>323.03107199999999</v>
      </c>
      <c r="BH122" s="506">
        <f t="shared" si="121"/>
        <v>219.53567999999999</v>
      </c>
      <c r="BI122" s="506">
        <f t="shared" si="122"/>
        <v>247.98571199999998</v>
      </c>
      <c r="BJ122" s="506">
        <f t="shared" si="123"/>
        <v>551.07935999999995</v>
      </c>
      <c r="BK122" s="506">
        <f t="shared" si="124"/>
        <v>0</v>
      </c>
      <c r="BL122" s="506">
        <f t="shared" si="103"/>
        <v>10118.578704</v>
      </c>
      <c r="BM122" s="506">
        <f t="shared" si="104"/>
        <v>0</v>
      </c>
      <c r="BN122" s="506">
        <f t="shared" si="125"/>
        <v>11650</v>
      </c>
      <c r="BO122" s="506">
        <f t="shared" si="126"/>
        <v>0</v>
      </c>
      <c r="BP122" s="506">
        <f t="shared" si="127"/>
        <v>2777.7983999999997</v>
      </c>
      <c r="BQ122" s="506">
        <f t="shared" si="128"/>
        <v>649.64639999999997</v>
      </c>
      <c r="BR122" s="506">
        <f t="shared" si="129"/>
        <v>5349.5020800000002</v>
      </c>
      <c r="BS122" s="506">
        <f t="shared" si="130"/>
        <v>323.03107199999999</v>
      </c>
      <c r="BT122" s="506">
        <f t="shared" si="131"/>
        <v>0</v>
      </c>
      <c r="BU122" s="506">
        <f t="shared" si="132"/>
        <v>247.98571199999998</v>
      </c>
      <c r="BV122" s="506">
        <f t="shared" si="133"/>
        <v>537.63839999999993</v>
      </c>
      <c r="BW122" s="506">
        <f t="shared" si="134"/>
        <v>0</v>
      </c>
      <c r="BX122" s="506">
        <f t="shared" si="105"/>
        <v>9885.6020639999988</v>
      </c>
      <c r="BY122" s="506">
        <f t="shared" si="106"/>
        <v>0</v>
      </c>
      <c r="BZ122" s="506">
        <f t="shared" si="107"/>
        <v>0</v>
      </c>
      <c r="CA122" s="506">
        <f t="shared" si="108"/>
        <v>0</v>
      </c>
      <c r="CB122" s="506">
        <f t="shared" si="109"/>
        <v>0</v>
      </c>
      <c r="CC122" s="506">
        <f t="shared" si="135"/>
        <v>0</v>
      </c>
      <c r="CD122" s="506">
        <f t="shared" si="136"/>
        <v>0</v>
      </c>
      <c r="CE122" s="506">
        <f t="shared" si="137"/>
        <v>0</v>
      </c>
      <c r="CF122" s="506">
        <f t="shared" si="138"/>
        <v>-219.53567999999999</v>
      </c>
      <c r="CG122" s="506">
        <f t="shared" si="139"/>
        <v>0</v>
      </c>
      <c r="CH122" s="506">
        <f t="shared" si="140"/>
        <v>-13.440959999999995</v>
      </c>
      <c r="CI122" s="506">
        <f t="shared" si="141"/>
        <v>0</v>
      </c>
      <c r="CJ122" s="506">
        <f t="shared" si="110"/>
        <v>-232.97663999999997</v>
      </c>
      <c r="CK122" s="506" t="str">
        <f t="shared" si="111"/>
        <v/>
      </c>
      <c r="CL122" s="506" t="str">
        <f t="shared" si="112"/>
        <v/>
      </c>
      <c r="CM122" s="506" t="str">
        <f t="shared" si="113"/>
        <v/>
      </c>
      <c r="CN122" s="506" t="str">
        <f t="shared" si="114"/>
        <v>0290-00</v>
      </c>
    </row>
    <row r="123" spans="1:92" ht="15.75" thickBot="1" x14ac:dyDescent="0.3">
      <c r="A123" s="495" t="s">
        <v>187</v>
      </c>
      <c r="B123" s="495" t="s">
        <v>188</v>
      </c>
      <c r="C123" s="495" t="s">
        <v>695</v>
      </c>
      <c r="D123" s="495" t="s">
        <v>388</v>
      </c>
      <c r="E123" s="495" t="s">
        <v>191</v>
      </c>
      <c r="F123" s="496" t="s">
        <v>192</v>
      </c>
      <c r="G123" s="495" t="s">
        <v>193</v>
      </c>
      <c r="H123" s="497"/>
      <c r="I123" s="497"/>
      <c r="J123" s="495" t="s">
        <v>225</v>
      </c>
      <c r="K123" s="495" t="s">
        <v>389</v>
      </c>
      <c r="L123" s="495" t="s">
        <v>232</v>
      </c>
      <c r="M123" s="495" t="s">
        <v>197</v>
      </c>
      <c r="N123" s="495" t="s">
        <v>270</v>
      </c>
      <c r="O123" s="498">
        <v>1</v>
      </c>
      <c r="P123" s="504">
        <v>1</v>
      </c>
      <c r="Q123" s="504">
        <v>1</v>
      </c>
      <c r="R123" s="499">
        <v>60</v>
      </c>
      <c r="S123" s="504">
        <v>0.75</v>
      </c>
      <c r="T123" s="499">
        <v>25237.31</v>
      </c>
      <c r="U123" s="499">
        <v>0</v>
      </c>
      <c r="V123" s="499">
        <v>13986.31</v>
      </c>
      <c r="W123" s="499">
        <v>33462</v>
      </c>
      <c r="X123" s="499">
        <v>19207.36</v>
      </c>
      <c r="Y123" s="499">
        <v>33462</v>
      </c>
      <c r="Z123" s="499">
        <v>19033.36</v>
      </c>
      <c r="AA123" s="495" t="s">
        <v>696</v>
      </c>
      <c r="AB123" s="495" t="s">
        <v>697</v>
      </c>
      <c r="AC123" s="495" t="s">
        <v>698</v>
      </c>
      <c r="AD123" s="495" t="s">
        <v>305</v>
      </c>
      <c r="AE123" s="495" t="s">
        <v>389</v>
      </c>
      <c r="AF123" s="495" t="s">
        <v>237</v>
      </c>
      <c r="AG123" s="495" t="s">
        <v>204</v>
      </c>
      <c r="AH123" s="500">
        <v>21.45</v>
      </c>
      <c r="AI123" s="500">
        <v>5097.5</v>
      </c>
      <c r="AJ123" s="495" t="s">
        <v>243</v>
      </c>
      <c r="AK123" s="495" t="s">
        <v>206</v>
      </c>
      <c r="AL123" s="495" t="s">
        <v>207</v>
      </c>
      <c r="AM123" s="495" t="s">
        <v>208</v>
      </c>
      <c r="AN123" s="495" t="s">
        <v>92</v>
      </c>
      <c r="AO123" s="498">
        <v>60</v>
      </c>
      <c r="AP123" s="504">
        <v>1</v>
      </c>
      <c r="AQ123" s="504">
        <v>0.75</v>
      </c>
      <c r="AR123" s="502" t="s">
        <v>209</v>
      </c>
      <c r="AS123" s="506">
        <f t="shared" si="98"/>
        <v>0.75</v>
      </c>
      <c r="AT123">
        <f t="shared" si="99"/>
        <v>1</v>
      </c>
      <c r="AU123" s="506">
        <f>IF(AT123=0,"",IF(AND(AT123=1,M123="F",SUMIF(C2:C177,C123,AS2:AS177)&lt;=1),SUMIF(C2:C177,C123,AS2:AS177),IF(AND(AT123=1,M123="F",SUMIF(C2:C177,C123,AS2:AS177)&gt;1),1,"")))</f>
        <v>0.75</v>
      </c>
      <c r="AV123" s="506" t="str">
        <f>IF(AT123=0,"",IF(AND(AT123=3,M123="F",SUMIF(C2:C177,C123,AS2:AS177)&lt;=1),SUMIF(C2:C177,C123,AS2:AS177),IF(AND(AT123=3,M123="F",SUMIF(C2:C177,C123,AS2:AS177)&gt;1),1,"")))</f>
        <v/>
      </c>
      <c r="AW123" s="506">
        <f>SUMIF(C2:C177,C123,O2:O177)</f>
        <v>1</v>
      </c>
      <c r="AX123" s="506">
        <f>IF(AND(M123="F",AS123&lt;&gt;0),SUMIF(C2:C177,C123,W2:W177),0)</f>
        <v>33462</v>
      </c>
      <c r="AY123" s="506">
        <f t="shared" si="100"/>
        <v>33462</v>
      </c>
      <c r="AZ123" s="506" t="str">
        <f t="shared" si="101"/>
        <v/>
      </c>
      <c r="BA123" s="506">
        <f t="shared" si="102"/>
        <v>0</v>
      </c>
      <c r="BB123" s="506">
        <f t="shared" si="115"/>
        <v>11650</v>
      </c>
      <c r="BC123" s="506">
        <f t="shared" si="116"/>
        <v>0</v>
      </c>
      <c r="BD123" s="506">
        <f t="shared" si="117"/>
        <v>2074.6439999999998</v>
      </c>
      <c r="BE123" s="506">
        <f t="shared" si="118"/>
        <v>485.19900000000001</v>
      </c>
      <c r="BF123" s="506">
        <f t="shared" si="119"/>
        <v>3995.3628000000003</v>
      </c>
      <c r="BG123" s="506">
        <f t="shared" si="120"/>
        <v>241.26102</v>
      </c>
      <c r="BH123" s="506">
        <f t="shared" si="121"/>
        <v>163.96379999999999</v>
      </c>
      <c r="BI123" s="506">
        <f t="shared" si="122"/>
        <v>185.21216999999999</v>
      </c>
      <c r="BJ123" s="506">
        <f t="shared" si="123"/>
        <v>411.58260000000001</v>
      </c>
      <c r="BK123" s="506">
        <f t="shared" si="124"/>
        <v>0</v>
      </c>
      <c r="BL123" s="506">
        <f t="shared" si="103"/>
        <v>7557.2253899999987</v>
      </c>
      <c r="BM123" s="506">
        <f t="shared" si="104"/>
        <v>0</v>
      </c>
      <c r="BN123" s="506">
        <f t="shared" si="125"/>
        <v>11650</v>
      </c>
      <c r="BO123" s="506">
        <f t="shared" si="126"/>
        <v>0</v>
      </c>
      <c r="BP123" s="506">
        <f t="shared" si="127"/>
        <v>2074.6439999999998</v>
      </c>
      <c r="BQ123" s="506">
        <f t="shared" si="128"/>
        <v>485.19900000000001</v>
      </c>
      <c r="BR123" s="506">
        <f t="shared" si="129"/>
        <v>3995.3628000000003</v>
      </c>
      <c r="BS123" s="506">
        <f t="shared" si="130"/>
        <v>241.26102</v>
      </c>
      <c r="BT123" s="506">
        <f t="shared" si="131"/>
        <v>0</v>
      </c>
      <c r="BU123" s="506">
        <f t="shared" si="132"/>
        <v>185.21216999999999</v>
      </c>
      <c r="BV123" s="506">
        <f t="shared" si="133"/>
        <v>401.54399999999998</v>
      </c>
      <c r="BW123" s="506">
        <f t="shared" si="134"/>
        <v>0</v>
      </c>
      <c r="BX123" s="506">
        <f t="shared" si="105"/>
        <v>7383.2229899999993</v>
      </c>
      <c r="BY123" s="506">
        <f t="shared" si="106"/>
        <v>0</v>
      </c>
      <c r="BZ123" s="506">
        <f t="shared" si="107"/>
        <v>0</v>
      </c>
      <c r="CA123" s="506">
        <f t="shared" si="108"/>
        <v>0</v>
      </c>
      <c r="CB123" s="506">
        <f t="shared" si="109"/>
        <v>0</v>
      </c>
      <c r="CC123" s="506">
        <f t="shared" si="135"/>
        <v>0</v>
      </c>
      <c r="CD123" s="506">
        <f t="shared" si="136"/>
        <v>0</v>
      </c>
      <c r="CE123" s="506">
        <f t="shared" si="137"/>
        <v>0</v>
      </c>
      <c r="CF123" s="506">
        <f t="shared" si="138"/>
        <v>-163.96379999999999</v>
      </c>
      <c r="CG123" s="506">
        <f t="shared" si="139"/>
        <v>0</v>
      </c>
      <c r="CH123" s="506">
        <f t="shared" si="140"/>
        <v>-10.038599999999997</v>
      </c>
      <c r="CI123" s="506">
        <f t="shared" si="141"/>
        <v>0</v>
      </c>
      <c r="CJ123" s="506">
        <f t="shared" si="110"/>
        <v>-174.00239999999999</v>
      </c>
      <c r="CK123" s="506" t="str">
        <f t="shared" si="111"/>
        <v/>
      </c>
      <c r="CL123" s="506" t="str">
        <f t="shared" si="112"/>
        <v/>
      </c>
      <c r="CM123" s="506" t="str">
        <f t="shared" si="113"/>
        <v/>
      </c>
      <c r="CN123" s="506" t="str">
        <f t="shared" si="114"/>
        <v>0290-00</v>
      </c>
    </row>
    <row r="124" spans="1:92" ht="15.75" thickBot="1" x14ac:dyDescent="0.3">
      <c r="A124" s="495" t="s">
        <v>187</v>
      </c>
      <c r="B124" s="495" t="s">
        <v>188</v>
      </c>
      <c r="C124" s="495" t="s">
        <v>699</v>
      </c>
      <c r="D124" s="495" t="s">
        <v>190</v>
      </c>
      <c r="E124" s="495" t="s">
        <v>191</v>
      </c>
      <c r="F124" s="496" t="s">
        <v>192</v>
      </c>
      <c r="G124" s="495" t="s">
        <v>193</v>
      </c>
      <c r="H124" s="497"/>
      <c r="I124" s="497"/>
      <c r="J124" s="495" t="s">
        <v>225</v>
      </c>
      <c r="K124" s="495" t="s">
        <v>195</v>
      </c>
      <c r="L124" s="495" t="s">
        <v>196</v>
      </c>
      <c r="M124" s="495" t="s">
        <v>213</v>
      </c>
      <c r="N124" s="495" t="s">
        <v>227</v>
      </c>
      <c r="O124" s="498">
        <v>0</v>
      </c>
      <c r="P124" s="504">
        <v>1</v>
      </c>
      <c r="Q124" s="504">
        <v>0</v>
      </c>
      <c r="R124" s="499">
        <v>0</v>
      </c>
      <c r="S124" s="504">
        <v>0</v>
      </c>
      <c r="T124" s="499">
        <v>33452.519999999997</v>
      </c>
      <c r="U124" s="499">
        <v>170.86</v>
      </c>
      <c r="V124" s="499">
        <v>14699.47</v>
      </c>
      <c r="W124" s="499">
        <v>33623.379999999997</v>
      </c>
      <c r="X124" s="499">
        <v>14699.47</v>
      </c>
      <c r="Y124" s="499">
        <v>33623.379999999997</v>
      </c>
      <c r="Z124" s="499">
        <v>14699.47</v>
      </c>
      <c r="AA124" s="497"/>
      <c r="AB124" s="495" t="s">
        <v>23</v>
      </c>
      <c r="AC124" s="495" t="s">
        <v>23</v>
      </c>
      <c r="AD124" s="497"/>
      <c r="AE124" s="497"/>
      <c r="AF124" s="497"/>
      <c r="AG124" s="497"/>
      <c r="AH124" s="498">
        <v>0</v>
      </c>
      <c r="AI124" s="498">
        <v>0</v>
      </c>
      <c r="AJ124" s="497"/>
      <c r="AK124" s="497"/>
      <c r="AL124" s="495" t="s">
        <v>207</v>
      </c>
      <c r="AM124" s="497"/>
      <c r="AN124" s="497"/>
      <c r="AO124" s="498">
        <v>0</v>
      </c>
      <c r="AP124" s="504">
        <v>0</v>
      </c>
      <c r="AQ124" s="504">
        <v>0</v>
      </c>
      <c r="AR124" s="503"/>
      <c r="AS124" s="506">
        <f t="shared" si="98"/>
        <v>0</v>
      </c>
      <c r="AT124">
        <f t="shared" si="99"/>
        <v>0</v>
      </c>
      <c r="AU124" s="506" t="str">
        <f>IF(AT124=0,"",IF(AND(AT124=1,M124="F",SUMIF(C2:C177,C124,AS2:AS177)&lt;=1),SUMIF(C2:C177,C124,AS2:AS177),IF(AND(AT124=1,M124="F",SUMIF(C2:C177,C124,AS2:AS177)&gt;1),1,"")))</f>
        <v/>
      </c>
      <c r="AV124" s="506" t="str">
        <f>IF(AT124=0,"",IF(AND(AT124=3,M124="F",SUMIF(C2:C177,C124,AS2:AS177)&lt;=1),SUMIF(C2:C177,C124,AS2:AS177),IF(AND(AT124=3,M124="F",SUMIF(C2:C177,C124,AS2:AS177)&gt;1),1,"")))</f>
        <v/>
      </c>
      <c r="AW124" s="506">
        <f>SUMIF(C2:C177,C124,O2:O177)</f>
        <v>0</v>
      </c>
      <c r="AX124" s="506">
        <f>IF(AND(M124="F",AS124&lt;&gt;0),SUMIF(C2:C177,C124,W2:W177),0)</f>
        <v>0</v>
      </c>
      <c r="AY124" s="506" t="str">
        <f t="shared" si="100"/>
        <v/>
      </c>
      <c r="AZ124" s="506" t="str">
        <f t="shared" si="101"/>
        <v/>
      </c>
      <c r="BA124" s="506">
        <f t="shared" si="102"/>
        <v>0</v>
      </c>
      <c r="BB124" s="506">
        <f t="shared" si="115"/>
        <v>0</v>
      </c>
      <c r="BC124" s="506">
        <f t="shared" si="116"/>
        <v>0</v>
      </c>
      <c r="BD124" s="506">
        <f t="shared" si="117"/>
        <v>0</v>
      </c>
      <c r="BE124" s="506">
        <f t="shared" si="118"/>
        <v>0</v>
      </c>
      <c r="BF124" s="506">
        <f t="shared" si="119"/>
        <v>0</v>
      </c>
      <c r="BG124" s="506">
        <f t="shared" si="120"/>
        <v>0</v>
      </c>
      <c r="BH124" s="506">
        <f t="shared" si="121"/>
        <v>0</v>
      </c>
      <c r="BI124" s="506">
        <f t="shared" si="122"/>
        <v>0</v>
      </c>
      <c r="BJ124" s="506">
        <f t="shared" si="123"/>
        <v>0</v>
      </c>
      <c r="BK124" s="506">
        <f t="shared" si="124"/>
        <v>0</v>
      </c>
      <c r="BL124" s="506">
        <f t="shared" si="103"/>
        <v>0</v>
      </c>
      <c r="BM124" s="506">
        <f t="shared" si="104"/>
        <v>0</v>
      </c>
      <c r="BN124" s="506">
        <f t="shared" si="125"/>
        <v>0</v>
      </c>
      <c r="BO124" s="506">
        <f t="shared" si="126"/>
        <v>0</v>
      </c>
      <c r="BP124" s="506">
        <f t="shared" si="127"/>
        <v>0</v>
      </c>
      <c r="BQ124" s="506">
        <f t="shared" si="128"/>
        <v>0</v>
      </c>
      <c r="BR124" s="506">
        <f t="shared" si="129"/>
        <v>0</v>
      </c>
      <c r="BS124" s="506">
        <f t="shared" si="130"/>
        <v>0</v>
      </c>
      <c r="BT124" s="506">
        <f t="shared" si="131"/>
        <v>0</v>
      </c>
      <c r="BU124" s="506">
        <f t="shared" si="132"/>
        <v>0</v>
      </c>
      <c r="BV124" s="506">
        <f t="shared" si="133"/>
        <v>0</v>
      </c>
      <c r="BW124" s="506">
        <f t="shared" si="134"/>
        <v>0</v>
      </c>
      <c r="BX124" s="506">
        <f t="shared" si="105"/>
        <v>0</v>
      </c>
      <c r="BY124" s="506">
        <f t="shared" si="106"/>
        <v>0</v>
      </c>
      <c r="BZ124" s="506">
        <f t="shared" si="107"/>
        <v>0</v>
      </c>
      <c r="CA124" s="506">
        <f t="shared" si="108"/>
        <v>0</v>
      </c>
      <c r="CB124" s="506">
        <f t="shared" si="109"/>
        <v>0</v>
      </c>
      <c r="CC124" s="506">
        <f t="shared" si="135"/>
        <v>0</v>
      </c>
      <c r="CD124" s="506">
        <f t="shared" si="136"/>
        <v>0</v>
      </c>
      <c r="CE124" s="506">
        <f t="shared" si="137"/>
        <v>0</v>
      </c>
      <c r="CF124" s="506">
        <f t="shared" si="138"/>
        <v>0</v>
      </c>
      <c r="CG124" s="506">
        <f t="shared" si="139"/>
        <v>0</v>
      </c>
      <c r="CH124" s="506">
        <f t="shared" si="140"/>
        <v>0</v>
      </c>
      <c r="CI124" s="506">
        <f t="shared" si="141"/>
        <v>0</v>
      </c>
      <c r="CJ124" s="506">
        <f t="shared" si="110"/>
        <v>0</v>
      </c>
      <c r="CK124" s="506" t="str">
        <f t="shared" si="111"/>
        <v/>
      </c>
      <c r="CL124" s="506">
        <f t="shared" si="112"/>
        <v>33623.379999999997</v>
      </c>
      <c r="CM124" s="506">
        <f t="shared" si="113"/>
        <v>14699.47</v>
      </c>
      <c r="CN124" s="506" t="str">
        <f t="shared" si="114"/>
        <v>0290-00</v>
      </c>
    </row>
    <row r="125" spans="1:92" ht="15.75" thickBot="1" x14ac:dyDescent="0.3">
      <c r="A125" s="495" t="s">
        <v>187</v>
      </c>
      <c r="B125" s="495" t="s">
        <v>188</v>
      </c>
      <c r="C125" s="495" t="s">
        <v>700</v>
      </c>
      <c r="D125" s="495" t="s">
        <v>701</v>
      </c>
      <c r="E125" s="495" t="s">
        <v>191</v>
      </c>
      <c r="F125" s="496" t="s">
        <v>192</v>
      </c>
      <c r="G125" s="495" t="s">
        <v>193</v>
      </c>
      <c r="H125" s="497"/>
      <c r="I125" s="497"/>
      <c r="J125" s="495" t="s">
        <v>225</v>
      </c>
      <c r="K125" s="495" t="s">
        <v>702</v>
      </c>
      <c r="L125" s="495" t="s">
        <v>192</v>
      </c>
      <c r="M125" s="495" t="s">
        <v>197</v>
      </c>
      <c r="N125" s="495" t="s">
        <v>578</v>
      </c>
      <c r="O125" s="498">
        <v>1</v>
      </c>
      <c r="P125" s="504">
        <v>1</v>
      </c>
      <c r="Q125" s="504">
        <v>1</v>
      </c>
      <c r="R125" s="499">
        <v>80</v>
      </c>
      <c r="S125" s="504">
        <v>1</v>
      </c>
      <c r="T125" s="499">
        <v>117624.02</v>
      </c>
      <c r="U125" s="499">
        <v>0</v>
      </c>
      <c r="V125" s="499">
        <v>35526.269999999997</v>
      </c>
      <c r="W125" s="499">
        <v>122907.2</v>
      </c>
      <c r="X125" s="499">
        <v>38125.410000000003</v>
      </c>
      <c r="Y125" s="499">
        <v>122907.2</v>
      </c>
      <c r="Z125" s="499">
        <v>38088.54</v>
      </c>
      <c r="AA125" s="495" t="s">
        <v>703</v>
      </c>
      <c r="AB125" s="495" t="s">
        <v>704</v>
      </c>
      <c r="AC125" s="495" t="s">
        <v>705</v>
      </c>
      <c r="AD125" s="495" t="s">
        <v>305</v>
      </c>
      <c r="AE125" s="495" t="s">
        <v>702</v>
      </c>
      <c r="AF125" s="495" t="s">
        <v>582</v>
      </c>
      <c r="AG125" s="495" t="s">
        <v>204</v>
      </c>
      <c r="AH125" s="500">
        <v>59.09</v>
      </c>
      <c r="AI125" s="500">
        <v>41587.699999999997</v>
      </c>
      <c r="AJ125" s="495" t="s">
        <v>205</v>
      </c>
      <c r="AK125" s="495" t="s">
        <v>206</v>
      </c>
      <c r="AL125" s="495" t="s">
        <v>207</v>
      </c>
      <c r="AM125" s="495" t="s">
        <v>207</v>
      </c>
      <c r="AN125" s="495" t="s">
        <v>92</v>
      </c>
      <c r="AO125" s="498">
        <v>80</v>
      </c>
      <c r="AP125" s="504">
        <v>1</v>
      </c>
      <c r="AQ125" s="504">
        <v>1</v>
      </c>
      <c r="AR125" s="502" t="s">
        <v>209</v>
      </c>
      <c r="AS125" s="506">
        <f t="shared" si="98"/>
        <v>1</v>
      </c>
      <c r="AT125">
        <f t="shared" si="99"/>
        <v>1</v>
      </c>
      <c r="AU125" s="506">
        <f>IF(AT125=0,"",IF(AND(AT125=1,M125="F",SUMIF(C2:C177,C125,AS2:AS177)&lt;=1),SUMIF(C2:C177,C125,AS2:AS177),IF(AND(AT125=1,M125="F",SUMIF(C2:C177,C125,AS2:AS177)&gt;1),1,"")))</f>
        <v>1</v>
      </c>
      <c r="AV125" s="506" t="str">
        <f>IF(AT125=0,"",IF(AND(AT125=3,M125="F",SUMIF(C2:C177,C125,AS2:AS177)&lt;=1),SUMIF(C2:C177,C125,AS2:AS177),IF(AND(AT125=3,M125="F",SUMIF(C2:C177,C125,AS2:AS177)&gt;1),1,"")))</f>
        <v/>
      </c>
      <c r="AW125" s="506">
        <f>SUMIF(C2:C177,C125,O2:O177)</f>
        <v>1</v>
      </c>
      <c r="AX125" s="506">
        <f>IF(AND(M125="F",AS125&lt;&gt;0),SUMIF(C2:C177,C125,W2:W177),0)</f>
        <v>122907.2</v>
      </c>
      <c r="AY125" s="506">
        <f t="shared" si="100"/>
        <v>122907.2</v>
      </c>
      <c r="AZ125" s="506" t="str">
        <f t="shared" si="101"/>
        <v/>
      </c>
      <c r="BA125" s="506">
        <f t="shared" si="102"/>
        <v>0</v>
      </c>
      <c r="BB125" s="506">
        <f t="shared" si="115"/>
        <v>11650</v>
      </c>
      <c r="BC125" s="506">
        <f t="shared" si="116"/>
        <v>0</v>
      </c>
      <c r="BD125" s="506">
        <f t="shared" si="117"/>
        <v>7620.2464</v>
      </c>
      <c r="BE125" s="506">
        <f t="shared" si="118"/>
        <v>1782.1544000000001</v>
      </c>
      <c r="BF125" s="506">
        <f t="shared" si="119"/>
        <v>14675.11968</v>
      </c>
      <c r="BG125" s="506">
        <f t="shared" si="120"/>
        <v>886.16091200000005</v>
      </c>
      <c r="BH125" s="506">
        <f t="shared" si="121"/>
        <v>0</v>
      </c>
      <c r="BI125" s="506">
        <f t="shared" si="122"/>
        <v>0</v>
      </c>
      <c r="BJ125" s="506">
        <f t="shared" si="123"/>
        <v>1511.75856</v>
      </c>
      <c r="BK125" s="506">
        <f t="shared" si="124"/>
        <v>0</v>
      </c>
      <c r="BL125" s="506">
        <f t="shared" si="103"/>
        <v>26475.439951999997</v>
      </c>
      <c r="BM125" s="506">
        <f t="shared" si="104"/>
        <v>0</v>
      </c>
      <c r="BN125" s="506">
        <f t="shared" si="125"/>
        <v>11650</v>
      </c>
      <c r="BO125" s="506">
        <f t="shared" si="126"/>
        <v>0</v>
      </c>
      <c r="BP125" s="506">
        <f t="shared" si="127"/>
        <v>7620.2464</v>
      </c>
      <c r="BQ125" s="506">
        <f t="shared" si="128"/>
        <v>1782.1544000000001</v>
      </c>
      <c r="BR125" s="506">
        <f t="shared" si="129"/>
        <v>14675.11968</v>
      </c>
      <c r="BS125" s="506">
        <f t="shared" si="130"/>
        <v>886.16091200000005</v>
      </c>
      <c r="BT125" s="506">
        <f t="shared" si="131"/>
        <v>0</v>
      </c>
      <c r="BU125" s="506">
        <f t="shared" si="132"/>
        <v>0</v>
      </c>
      <c r="BV125" s="506">
        <f t="shared" si="133"/>
        <v>1474.8864000000001</v>
      </c>
      <c r="BW125" s="506">
        <f t="shared" si="134"/>
        <v>0</v>
      </c>
      <c r="BX125" s="506">
        <f t="shared" si="105"/>
        <v>26438.567791999998</v>
      </c>
      <c r="BY125" s="506">
        <f t="shared" si="106"/>
        <v>0</v>
      </c>
      <c r="BZ125" s="506">
        <f t="shared" si="107"/>
        <v>0</v>
      </c>
      <c r="CA125" s="506">
        <f t="shared" si="108"/>
        <v>0</v>
      </c>
      <c r="CB125" s="506">
        <f t="shared" si="109"/>
        <v>0</v>
      </c>
      <c r="CC125" s="506">
        <f t="shared" si="135"/>
        <v>0</v>
      </c>
      <c r="CD125" s="506">
        <f t="shared" si="136"/>
        <v>0</v>
      </c>
      <c r="CE125" s="506">
        <f t="shared" si="137"/>
        <v>0</v>
      </c>
      <c r="CF125" s="506">
        <f t="shared" si="138"/>
        <v>0</v>
      </c>
      <c r="CG125" s="506">
        <f t="shared" si="139"/>
        <v>0</v>
      </c>
      <c r="CH125" s="506">
        <f t="shared" si="140"/>
        <v>-36.872159999999987</v>
      </c>
      <c r="CI125" s="506">
        <f t="shared" si="141"/>
        <v>0</v>
      </c>
      <c r="CJ125" s="506">
        <f t="shared" si="110"/>
        <v>-36.872159999999987</v>
      </c>
      <c r="CK125" s="506" t="str">
        <f t="shared" si="111"/>
        <v/>
      </c>
      <c r="CL125" s="506" t="str">
        <f t="shared" si="112"/>
        <v/>
      </c>
      <c r="CM125" s="506" t="str">
        <f t="shared" si="113"/>
        <v/>
      </c>
      <c r="CN125" s="506" t="str">
        <f t="shared" si="114"/>
        <v>0290-00</v>
      </c>
    </row>
    <row r="126" spans="1:92" ht="15.75" thickBot="1" x14ac:dyDescent="0.3">
      <c r="A126" s="495" t="s">
        <v>187</v>
      </c>
      <c r="B126" s="495" t="s">
        <v>188</v>
      </c>
      <c r="C126" s="495" t="s">
        <v>706</v>
      </c>
      <c r="D126" s="495" t="s">
        <v>661</v>
      </c>
      <c r="E126" s="495" t="s">
        <v>191</v>
      </c>
      <c r="F126" s="496" t="s">
        <v>192</v>
      </c>
      <c r="G126" s="495" t="s">
        <v>193</v>
      </c>
      <c r="H126" s="497"/>
      <c r="I126" s="497"/>
      <c r="J126" s="495" t="s">
        <v>358</v>
      </c>
      <c r="K126" s="495" t="s">
        <v>662</v>
      </c>
      <c r="L126" s="495" t="s">
        <v>301</v>
      </c>
      <c r="M126" s="495" t="s">
        <v>197</v>
      </c>
      <c r="N126" s="495" t="s">
        <v>198</v>
      </c>
      <c r="O126" s="498">
        <v>1</v>
      </c>
      <c r="P126" s="504">
        <v>1</v>
      </c>
      <c r="Q126" s="504">
        <v>1</v>
      </c>
      <c r="R126" s="499">
        <v>80</v>
      </c>
      <c r="S126" s="504">
        <v>1</v>
      </c>
      <c r="T126" s="499">
        <v>43336.01</v>
      </c>
      <c r="U126" s="499">
        <v>0</v>
      </c>
      <c r="V126" s="499">
        <v>21247.3</v>
      </c>
      <c r="W126" s="499">
        <v>45718.38</v>
      </c>
      <c r="X126" s="499">
        <v>21975.43</v>
      </c>
      <c r="Y126" s="499">
        <v>45718.38</v>
      </c>
      <c r="Z126" s="499">
        <v>21737.7</v>
      </c>
      <c r="AA126" s="495" t="s">
        <v>707</v>
      </c>
      <c r="AB126" s="495" t="s">
        <v>708</v>
      </c>
      <c r="AC126" s="495" t="s">
        <v>554</v>
      </c>
      <c r="AD126" s="495" t="s">
        <v>202</v>
      </c>
      <c r="AE126" s="495" t="s">
        <v>662</v>
      </c>
      <c r="AF126" s="495" t="s">
        <v>259</v>
      </c>
      <c r="AG126" s="495" t="s">
        <v>204</v>
      </c>
      <c r="AH126" s="500">
        <v>21.98</v>
      </c>
      <c r="AI126" s="500">
        <v>10643.7</v>
      </c>
      <c r="AJ126" s="495" t="s">
        <v>205</v>
      </c>
      <c r="AK126" s="495" t="s">
        <v>206</v>
      </c>
      <c r="AL126" s="495" t="s">
        <v>207</v>
      </c>
      <c r="AM126" s="495" t="s">
        <v>208</v>
      </c>
      <c r="AN126" s="495" t="s">
        <v>92</v>
      </c>
      <c r="AO126" s="498">
        <v>80</v>
      </c>
      <c r="AP126" s="504">
        <v>1</v>
      </c>
      <c r="AQ126" s="504">
        <v>1</v>
      </c>
      <c r="AR126" s="502" t="s">
        <v>209</v>
      </c>
      <c r="AS126" s="506">
        <f t="shared" si="98"/>
        <v>1</v>
      </c>
      <c r="AT126">
        <f t="shared" si="99"/>
        <v>1</v>
      </c>
      <c r="AU126" s="506">
        <f>IF(AT126=0,"",IF(AND(AT126=1,M126="F",SUMIF(C2:C177,C126,AS2:AS177)&lt;=1),SUMIF(C2:C177,C126,AS2:AS177),IF(AND(AT126=1,M126="F",SUMIF(C2:C177,C126,AS2:AS177)&gt;1),1,"")))</f>
        <v>1</v>
      </c>
      <c r="AV126" s="506" t="str">
        <f>IF(AT126=0,"",IF(AND(AT126=3,M126="F",SUMIF(C2:C177,C126,AS2:AS177)&lt;=1),SUMIF(C2:C177,C126,AS2:AS177),IF(AND(AT126=3,M126="F",SUMIF(C2:C177,C126,AS2:AS177)&gt;1),1,"")))</f>
        <v/>
      </c>
      <c r="AW126" s="506">
        <f>SUMIF(C2:C177,C126,O2:O177)</f>
        <v>1</v>
      </c>
      <c r="AX126" s="506">
        <f>IF(AND(M126="F",AS126&lt;&gt;0),SUMIF(C2:C177,C126,W2:W177),0)</f>
        <v>45718.38</v>
      </c>
      <c r="AY126" s="506">
        <f t="shared" si="100"/>
        <v>45718.38</v>
      </c>
      <c r="AZ126" s="506" t="str">
        <f t="shared" si="101"/>
        <v/>
      </c>
      <c r="BA126" s="506">
        <f t="shared" si="102"/>
        <v>0</v>
      </c>
      <c r="BB126" s="506">
        <f t="shared" si="115"/>
        <v>11650</v>
      </c>
      <c r="BC126" s="506">
        <f t="shared" si="116"/>
        <v>0</v>
      </c>
      <c r="BD126" s="506">
        <f t="shared" si="117"/>
        <v>2834.5395599999997</v>
      </c>
      <c r="BE126" s="506">
        <f t="shared" si="118"/>
        <v>662.91651000000002</v>
      </c>
      <c r="BF126" s="506">
        <f t="shared" si="119"/>
        <v>5458.7745720000003</v>
      </c>
      <c r="BG126" s="506">
        <f t="shared" si="120"/>
        <v>329.62951979999997</v>
      </c>
      <c r="BH126" s="506">
        <f t="shared" si="121"/>
        <v>224.02006199999997</v>
      </c>
      <c r="BI126" s="506">
        <f t="shared" si="122"/>
        <v>253.05123329999998</v>
      </c>
      <c r="BJ126" s="506">
        <f t="shared" si="123"/>
        <v>562.33607399999994</v>
      </c>
      <c r="BK126" s="506">
        <f t="shared" si="124"/>
        <v>0</v>
      </c>
      <c r="BL126" s="506">
        <f t="shared" si="103"/>
        <v>10325.267531100002</v>
      </c>
      <c r="BM126" s="506">
        <f t="shared" si="104"/>
        <v>0</v>
      </c>
      <c r="BN126" s="506">
        <f t="shared" si="125"/>
        <v>11650</v>
      </c>
      <c r="BO126" s="506">
        <f t="shared" si="126"/>
        <v>0</v>
      </c>
      <c r="BP126" s="506">
        <f t="shared" si="127"/>
        <v>2834.5395599999997</v>
      </c>
      <c r="BQ126" s="506">
        <f t="shared" si="128"/>
        <v>662.91651000000002</v>
      </c>
      <c r="BR126" s="506">
        <f t="shared" si="129"/>
        <v>5458.7745720000003</v>
      </c>
      <c r="BS126" s="506">
        <f t="shared" si="130"/>
        <v>329.62951979999997</v>
      </c>
      <c r="BT126" s="506">
        <f t="shared" si="131"/>
        <v>0</v>
      </c>
      <c r="BU126" s="506">
        <f t="shared" si="132"/>
        <v>253.05123329999998</v>
      </c>
      <c r="BV126" s="506">
        <f t="shared" si="133"/>
        <v>548.62055999999995</v>
      </c>
      <c r="BW126" s="506">
        <f t="shared" si="134"/>
        <v>0</v>
      </c>
      <c r="BX126" s="506">
        <f t="shared" si="105"/>
        <v>10087.531955100001</v>
      </c>
      <c r="BY126" s="506">
        <f t="shared" si="106"/>
        <v>0</v>
      </c>
      <c r="BZ126" s="506">
        <f t="shared" si="107"/>
        <v>0</v>
      </c>
      <c r="CA126" s="506">
        <f t="shared" si="108"/>
        <v>0</v>
      </c>
      <c r="CB126" s="506">
        <f t="shared" si="109"/>
        <v>0</v>
      </c>
      <c r="CC126" s="506">
        <f t="shared" si="135"/>
        <v>0</v>
      </c>
      <c r="CD126" s="506">
        <f t="shared" si="136"/>
        <v>0</v>
      </c>
      <c r="CE126" s="506">
        <f t="shared" si="137"/>
        <v>0</v>
      </c>
      <c r="CF126" s="506">
        <f t="shared" si="138"/>
        <v>-224.02006199999997</v>
      </c>
      <c r="CG126" s="506">
        <f t="shared" si="139"/>
        <v>0</v>
      </c>
      <c r="CH126" s="506">
        <f t="shared" si="140"/>
        <v>-13.715513999999995</v>
      </c>
      <c r="CI126" s="506">
        <f t="shared" si="141"/>
        <v>0</v>
      </c>
      <c r="CJ126" s="506">
        <f t="shared" si="110"/>
        <v>-237.73557599999995</v>
      </c>
      <c r="CK126" s="506" t="str">
        <f t="shared" si="111"/>
        <v/>
      </c>
      <c r="CL126" s="506" t="str">
        <f t="shared" si="112"/>
        <v/>
      </c>
      <c r="CM126" s="506" t="str">
        <f t="shared" si="113"/>
        <v/>
      </c>
      <c r="CN126" s="506" t="str">
        <f t="shared" si="114"/>
        <v>0290-00</v>
      </c>
    </row>
    <row r="127" spans="1:92" ht="15.75" thickBot="1" x14ac:dyDescent="0.3">
      <c r="A127" s="495" t="s">
        <v>187</v>
      </c>
      <c r="B127" s="495" t="s">
        <v>188</v>
      </c>
      <c r="C127" s="495" t="s">
        <v>709</v>
      </c>
      <c r="D127" s="495" t="s">
        <v>678</v>
      </c>
      <c r="E127" s="495" t="s">
        <v>191</v>
      </c>
      <c r="F127" s="496" t="s">
        <v>192</v>
      </c>
      <c r="G127" s="495" t="s">
        <v>193</v>
      </c>
      <c r="H127" s="497"/>
      <c r="I127" s="497"/>
      <c r="J127" s="495" t="s">
        <v>225</v>
      </c>
      <c r="K127" s="495" t="s">
        <v>679</v>
      </c>
      <c r="L127" s="495" t="s">
        <v>305</v>
      </c>
      <c r="M127" s="495" t="s">
        <v>197</v>
      </c>
      <c r="N127" s="495" t="s">
        <v>198</v>
      </c>
      <c r="O127" s="498">
        <v>1</v>
      </c>
      <c r="P127" s="504">
        <v>1</v>
      </c>
      <c r="Q127" s="504">
        <v>1</v>
      </c>
      <c r="R127" s="499">
        <v>80</v>
      </c>
      <c r="S127" s="504">
        <v>1</v>
      </c>
      <c r="T127" s="499">
        <v>74421.06</v>
      </c>
      <c r="U127" s="499">
        <v>0</v>
      </c>
      <c r="V127" s="499">
        <v>27773.72</v>
      </c>
      <c r="W127" s="499">
        <v>76752</v>
      </c>
      <c r="X127" s="499">
        <v>28984.400000000001</v>
      </c>
      <c r="Y127" s="499">
        <v>76752</v>
      </c>
      <c r="Z127" s="499">
        <v>28585.3</v>
      </c>
      <c r="AA127" s="495" t="s">
        <v>710</v>
      </c>
      <c r="AB127" s="495" t="s">
        <v>711</v>
      </c>
      <c r="AC127" s="495" t="s">
        <v>712</v>
      </c>
      <c r="AD127" s="495" t="s">
        <v>301</v>
      </c>
      <c r="AE127" s="495" t="s">
        <v>679</v>
      </c>
      <c r="AF127" s="495" t="s">
        <v>440</v>
      </c>
      <c r="AG127" s="495" t="s">
        <v>204</v>
      </c>
      <c r="AH127" s="500">
        <v>36.9</v>
      </c>
      <c r="AI127" s="500">
        <v>5956.9</v>
      </c>
      <c r="AJ127" s="495" t="s">
        <v>205</v>
      </c>
      <c r="AK127" s="495" t="s">
        <v>206</v>
      </c>
      <c r="AL127" s="495" t="s">
        <v>207</v>
      </c>
      <c r="AM127" s="495" t="s">
        <v>208</v>
      </c>
      <c r="AN127" s="495" t="s">
        <v>92</v>
      </c>
      <c r="AO127" s="498">
        <v>80</v>
      </c>
      <c r="AP127" s="504">
        <v>1</v>
      </c>
      <c r="AQ127" s="504">
        <v>1</v>
      </c>
      <c r="AR127" s="502" t="s">
        <v>209</v>
      </c>
      <c r="AS127" s="506">
        <f t="shared" si="98"/>
        <v>1</v>
      </c>
      <c r="AT127">
        <f t="shared" si="99"/>
        <v>1</v>
      </c>
      <c r="AU127" s="506">
        <f>IF(AT127=0,"",IF(AND(AT127=1,M127="F",SUMIF(C2:C177,C127,AS2:AS177)&lt;=1),SUMIF(C2:C177,C127,AS2:AS177),IF(AND(AT127=1,M127="F",SUMIF(C2:C177,C127,AS2:AS177)&gt;1),1,"")))</f>
        <v>1</v>
      </c>
      <c r="AV127" s="506" t="str">
        <f>IF(AT127=0,"",IF(AND(AT127=3,M127="F",SUMIF(C2:C177,C127,AS2:AS177)&lt;=1),SUMIF(C2:C177,C127,AS2:AS177),IF(AND(AT127=3,M127="F",SUMIF(C2:C177,C127,AS2:AS177)&gt;1),1,"")))</f>
        <v/>
      </c>
      <c r="AW127" s="506">
        <f>SUMIF(C2:C177,C127,O2:O177)</f>
        <v>1</v>
      </c>
      <c r="AX127" s="506">
        <f>IF(AND(M127="F",AS127&lt;&gt;0),SUMIF(C2:C177,C127,W2:W177),0)</f>
        <v>76752</v>
      </c>
      <c r="AY127" s="506">
        <f t="shared" si="100"/>
        <v>76752</v>
      </c>
      <c r="AZ127" s="506" t="str">
        <f t="shared" si="101"/>
        <v/>
      </c>
      <c r="BA127" s="506">
        <f t="shared" si="102"/>
        <v>0</v>
      </c>
      <c r="BB127" s="506">
        <f t="shared" si="115"/>
        <v>11650</v>
      </c>
      <c r="BC127" s="506">
        <f t="shared" si="116"/>
        <v>0</v>
      </c>
      <c r="BD127" s="506">
        <f t="shared" si="117"/>
        <v>4758.6239999999998</v>
      </c>
      <c r="BE127" s="506">
        <f t="shared" si="118"/>
        <v>1112.904</v>
      </c>
      <c r="BF127" s="506">
        <f t="shared" si="119"/>
        <v>9164.1887999999999</v>
      </c>
      <c r="BG127" s="506">
        <f t="shared" si="120"/>
        <v>553.38192000000004</v>
      </c>
      <c r="BH127" s="506">
        <f t="shared" si="121"/>
        <v>376.08479999999997</v>
      </c>
      <c r="BI127" s="506">
        <f t="shared" si="122"/>
        <v>424.82231999999999</v>
      </c>
      <c r="BJ127" s="506">
        <f t="shared" si="123"/>
        <v>944.04960000000005</v>
      </c>
      <c r="BK127" s="506">
        <f t="shared" si="124"/>
        <v>0</v>
      </c>
      <c r="BL127" s="506">
        <f t="shared" si="103"/>
        <v>17334.05544</v>
      </c>
      <c r="BM127" s="506">
        <f t="shared" si="104"/>
        <v>0</v>
      </c>
      <c r="BN127" s="506">
        <f t="shared" si="125"/>
        <v>11650</v>
      </c>
      <c r="BO127" s="506">
        <f t="shared" si="126"/>
        <v>0</v>
      </c>
      <c r="BP127" s="506">
        <f t="shared" si="127"/>
        <v>4758.6239999999998</v>
      </c>
      <c r="BQ127" s="506">
        <f t="shared" si="128"/>
        <v>1112.904</v>
      </c>
      <c r="BR127" s="506">
        <f t="shared" si="129"/>
        <v>9164.1887999999999</v>
      </c>
      <c r="BS127" s="506">
        <f t="shared" si="130"/>
        <v>553.38192000000004</v>
      </c>
      <c r="BT127" s="506">
        <f t="shared" si="131"/>
        <v>0</v>
      </c>
      <c r="BU127" s="506">
        <f t="shared" si="132"/>
        <v>424.82231999999999</v>
      </c>
      <c r="BV127" s="506">
        <f t="shared" si="133"/>
        <v>921.024</v>
      </c>
      <c r="BW127" s="506">
        <f t="shared" si="134"/>
        <v>0</v>
      </c>
      <c r="BX127" s="506">
        <f t="shared" si="105"/>
        <v>16934.945039999999</v>
      </c>
      <c r="BY127" s="506">
        <f t="shared" si="106"/>
        <v>0</v>
      </c>
      <c r="BZ127" s="506">
        <f t="shared" si="107"/>
        <v>0</v>
      </c>
      <c r="CA127" s="506">
        <f t="shared" si="108"/>
        <v>0</v>
      </c>
      <c r="CB127" s="506">
        <f t="shared" si="109"/>
        <v>0</v>
      </c>
      <c r="CC127" s="506">
        <f t="shared" si="135"/>
        <v>0</v>
      </c>
      <c r="CD127" s="506">
        <f t="shared" si="136"/>
        <v>0</v>
      </c>
      <c r="CE127" s="506">
        <f t="shared" si="137"/>
        <v>0</v>
      </c>
      <c r="CF127" s="506">
        <f t="shared" si="138"/>
        <v>-376.08479999999997</v>
      </c>
      <c r="CG127" s="506">
        <f t="shared" si="139"/>
        <v>0</v>
      </c>
      <c r="CH127" s="506">
        <f t="shared" si="140"/>
        <v>-23.025599999999994</v>
      </c>
      <c r="CI127" s="506">
        <f t="shared" si="141"/>
        <v>0</v>
      </c>
      <c r="CJ127" s="506">
        <f t="shared" si="110"/>
        <v>-399.11039999999997</v>
      </c>
      <c r="CK127" s="506" t="str">
        <f t="shared" si="111"/>
        <v/>
      </c>
      <c r="CL127" s="506" t="str">
        <f t="shared" si="112"/>
        <v/>
      </c>
      <c r="CM127" s="506" t="str">
        <f t="shared" si="113"/>
        <v/>
      </c>
      <c r="CN127" s="506" t="str">
        <f t="shared" si="114"/>
        <v>0290-00</v>
      </c>
    </row>
    <row r="128" spans="1:92" ht="15.75" thickBot="1" x14ac:dyDescent="0.3">
      <c r="A128" s="495" t="s">
        <v>187</v>
      </c>
      <c r="B128" s="495" t="s">
        <v>188</v>
      </c>
      <c r="C128" s="495" t="s">
        <v>713</v>
      </c>
      <c r="D128" s="495" t="s">
        <v>294</v>
      </c>
      <c r="E128" s="495" t="s">
        <v>191</v>
      </c>
      <c r="F128" s="496" t="s">
        <v>192</v>
      </c>
      <c r="G128" s="495" t="s">
        <v>193</v>
      </c>
      <c r="H128" s="497"/>
      <c r="I128" s="497"/>
      <c r="J128" s="495" t="s">
        <v>254</v>
      </c>
      <c r="K128" s="495" t="s">
        <v>295</v>
      </c>
      <c r="L128" s="495" t="s">
        <v>204</v>
      </c>
      <c r="M128" s="495" t="s">
        <v>213</v>
      </c>
      <c r="N128" s="495" t="s">
        <v>198</v>
      </c>
      <c r="O128" s="498">
        <v>0</v>
      </c>
      <c r="P128" s="504">
        <v>1</v>
      </c>
      <c r="Q128" s="504">
        <v>1</v>
      </c>
      <c r="R128" s="499">
        <v>80</v>
      </c>
      <c r="S128" s="504">
        <v>1</v>
      </c>
      <c r="T128" s="499">
        <v>21384.67</v>
      </c>
      <c r="U128" s="499">
        <v>0</v>
      </c>
      <c r="V128" s="499">
        <v>13135.52</v>
      </c>
      <c r="W128" s="499">
        <v>32094.400000000001</v>
      </c>
      <c r="X128" s="499">
        <v>14057.32</v>
      </c>
      <c r="Y128" s="499">
        <v>32094.400000000001</v>
      </c>
      <c r="Z128" s="499">
        <v>13896.85</v>
      </c>
      <c r="AA128" s="497"/>
      <c r="AB128" s="495" t="s">
        <v>23</v>
      </c>
      <c r="AC128" s="495" t="s">
        <v>23</v>
      </c>
      <c r="AD128" s="497"/>
      <c r="AE128" s="497"/>
      <c r="AF128" s="497"/>
      <c r="AG128" s="497"/>
      <c r="AH128" s="498">
        <v>0</v>
      </c>
      <c r="AI128" s="498">
        <v>0</v>
      </c>
      <c r="AJ128" s="497"/>
      <c r="AK128" s="497"/>
      <c r="AL128" s="495" t="s">
        <v>207</v>
      </c>
      <c r="AM128" s="497"/>
      <c r="AN128" s="497"/>
      <c r="AO128" s="498">
        <v>0</v>
      </c>
      <c r="AP128" s="504">
        <v>0</v>
      </c>
      <c r="AQ128" s="504">
        <v>0</v>
      </c>
      <c r="AR128" s="503"/>
      <c r="AS128" s="506">
        <f t="shared" si="98"/>
        <v>0</v>
      </c>
      <c r="AT128">
        <f t="shared" si="99"/>
        <v>0</v>
      </c>
      <c r="AU128" s="506" t="str">
        <f>IF(AT128=0,"",IF(AND(AT128=1,M128="F",SUMIF(C2:C177,C128,AS2:AS177)&lt;=1),SUMIF(C2:C177,C128,AS2:AS177),IF(AND(AT128=1,M128="F",SUMIF(C2:C177,C128,AS2:AS177)&gt;1),1,"")))</f>
        <v/>
      </c>
      <c r="AV128" s="506" t="str">
        <f>IF(AT128=0,"",IF(AND(AT128=3,M128="F",SUMIF(C2:C177,C128,AS2:AS177)&lt;=1),SUMIF(C2:C177,C128,AS2:AS177),IF(AND(AT128=3,M128="F",SUMIF(C2:C177,C128,AS2:AS177)&gt;1),1,"")))</f>
        <v/>
      </c>
      <c r="AW128" s="506">
        <f>SUMIF(C2:C177,C128,O2:O177)</f>
        <v>0</v>
      </c>
      <c r="AX128" s="506">
        <f>IF(AND(M128="F",AS128&lt;&gt;0),SUMIF(C2:C177,C128,W2:W177),0)</f>
        <v>0</v>
      </c>
      <c r="AY128" s="506" t="str">
        <f t="shared" si="100"/>
        <v/>
      </c>
      <c r="AZ128" s="506" t="str">
        <f t="shared" si="101"/>
        <v/>
      </c>
      <c r="BA128" s="506">
        <f t="shared" si="102"/>
        <v>0</v>
      </c>
      <c r="BB128" s="506">
        <f t="shared" si="115"/>
        <v>0</v>
      </c>
      <c r="BC128" s="506">
        <f t="shared" si="116"/>
        <v>0</v>
      </c>
      <c r="BD128" s="506">
        <f t="shared" si="117"/>
        <v>0</v>
      </c>
      <c r="BE128" s="506">
        <f t="shared" si="118"/>
        <v>0</v>
      </c>
      <c r="BF128" s="506">
        <f t="shared" si="119"/>
        <v>0</v>
      </c>
      <c r="BG128" s="506">
        <f t="shared" si="120"/>
        <v>0</v>
      </c>
      <c r="BH128" s="506">
        <f t="shared" si="121"/>
        <v>0</v>
      </c>
      <c r="BI128" s="506">
        <f t="shared" si="122"/>
        <v>0</v>
      </c>
      <c r="BJ128" s="506">
        <f t="shared" si="123"/>
        <v>0</v>
      </c>
      <c r="BK128" s="506">
        <f t="shared" si="124"/>
        <v>0</v>
      </c>
      <c r="BL128" s="506">
        <f t="shared" si="103"/>
        <v>0</v>
      </c>
      <c r="BM128" s="506">
        <f t="shared" si="104"/>
        <v>0</v>
      </c>
      <c r="BN128" s="506">
        <f t="shared" si="125"/>
        <v>0</v>
      </c>
      <c r="BO128" s="506">
        <f t="shared" si="126"/>
        <v>0</v>
      </c>
      <c r="BP128" s="506">
        <f t="shared" si="127"/>
        <v>0</v>
      </c>
      <c r="BQ128" s="506">
        <f t="shared" si="128"/>
        <v>0</v>
      </c>
      <c r="BR128" s="506">
        <f t="shared" si="129"/>
        <v>0</v>
      </c>
      <c r="BS128" s="506">
        <f t="shared" si="130"/>
        <v>0</v>
      </c>
      <c r="BT128" s="506">
        <f t="shared" si="131"/>
        <v>0</v>
      </c>
      <c r="BU128" s="506">
        <f t="shared" si="132"/>
        <v>0</v>
      </c>
      <c r="BV128" s="506">
        <f t="shared" si="133"/>
        <v>0</v>
      </c>
      <c r="BW128" s="506">
        <f t="shared" si="134"/>
        <v>0</v>
      </c>
      <c r="BX128" s="506">
        <f t="shared" si="105"/>
        <v>0</v>
      </c>
      <c r="BY128" s="506">
        <f t="shared" si="106"/>
        <v>0</v>
      </c>
      <c r="BZ128" s="506">
        <f t="shared" si="107"/>
        <v>0</v>
      </c>
      <c r="CA128" s="506">
        <f t="shared" si="108"/>
        <v>0</v>
      </c>
      <c r="CB128" s="506">
        <f t="shared" si="109"/>
        <v>0</v>
      </c>
      <c r="CC128" s="506">
        <f t="shared" si="135"/>
        <v>0</v>
      </c>
      <c r="CD128" s="506">
        <f t="shared" si="136"/>
        <v>0</v>
      </c>
      <c r="CE128" s="506">
        <f t="shared" si="137"/>
        <v>0</v>
      </c>
      <c r="CF128" s="506">
        <f t="shared" si="138"/>
        <v>0</v>
      </c>
      <c r="CG128" s="506">
        <f t="shared" si="139"/>
        <v>0</v>
      </c>
      <c r="CH128" s="506">
        <f t="shared" si="140"/>
        <v>0</v>
      </c>
      <c r="CI128" s="506">
        <f t="shared" si="141"/>
        <v>0</v>
      </c>
      <c r="CJ128" s="506">
        <f t="shared" si="110"/>
        <v>0</v>
      </c>
      <c r="CK128" s="506" t="str">
        <f t="shared" si="111"/>
        <v/>
      </c>
      <c r="CL128" s="506" t="str">
        <f t="shared" si="112"/>
        <v/>
      </c>
      <c r="CM128" s="506" t="str">
        <f t="shared" si="113"/>
        <v/>
      </c>
      <c r="CN128" s="506" t="str">
        <f t="shared" si="114"/>
        <v>0290-00</v>
      </c>
    </row>
    <row r="129" spans="1:92" ht="15.75" thickBot="1" x14ac:dyDescent="0.3">
      <c r="A129" s="495" t="s">
        <v>187</v>
      </c>
      <c r="B129" s="495" t="s">
        <v>188</v>
      </c>
      <c r="C129" s="495" t="s">
        <v>714</v>
      </c>
      <c r="D129" s="495" t="s">
        <v>245</v>
      </c>
      <c r="E129" s="495" t="s">
        <v>191</v>
      </c>
      <c r="F129" s="496" t="s">
        <v>192</v>
      </c>
      <c r="G129" s="495" t="s">
        <v>193</v>
      </c>
      <c r="H129" s="497"/>
      <c r="I129" s="497"/>
      <c r="J129" s="495" t="s">
        <v>194</v>
      </c>
      <c r="K129" s="495" t="s">
        <v>246</v>
      </c>
      <c r="L129" s="495" t="s">
        <v>207</v>
      </c>
      <c r="M129" s="495" t="s">
        <v>197</v>
      </c>
      <c r="N129" s="495" t="s">
        <v>198</v>
      </c>
      <c r="O129" s="498">
        <v>1</v>
      </c>
      <c r="P129" s="504">
        <v>1</v>
      </c>
      <c r="Q129" s="504">
        <v>1</v>
      </c>
      <c r="R129" s="499">
        <v>80</v>
      </c>
      <c r="S129" s="504">
        <v>1</v>
      </c>
      <c r="T129" s="499">
        <v>75229.8</v>
      </c>
      <c r="U129" s="499">
        <v>2590.4899999999998</v>
      </c>
      <c r="V129" s="499">
        <v>27520.27</v>
      </c>
      <c r="W129" s="499">
        <v>79102.399999999994</v>
      </c>
      <c r="X129" s="499">
        <v>29515.22</v>
      </c>
      <c r="Y129" s="499">
        <v>79102.399999999994</v>
      </c>
      <c r="Z129" s="499">
        <v>29103.9</v>
      </c>
      <c r="AA129" s="495" t="s">
        <v>715</v>
      </c>
      <c r="AB129" s="495" t="s">
        <v>716</v>
      </c>
      <c r="AC129" s="495" t="s">
        <v>622</v>
      </c>
      <c r="AD129" s="495" t="s">
        <v>301</v>
      </c>
      <c r="AE129" s="495" t="s">
        <v>246</v>
      </c>
      <c r="AF129" s="495" t="s">
        <v>282</v>
      </c>
      <c r="AG129" s="495" t="s">
        <v>204</v>
      </c>
      <c r="AH129" s="500">
        <v>38.03</v>
      </c>
      <c r="AI129" s="500">
        <v>15323.4</v>
      </c>
      <c r="AJ129" s="495" t="s">
        <v>205</v>
      </c>
      <c r="AK129" s="495" t="s">
        <v>206</v>
      </c>
      <c r="AL129" s="495" t="s">
        <v>207</v>
      </c>
      <c r="AM129" s="495" t="s">
        <v>208</v>
      </c>
      <c r="AN129" s="495" t="s">
        <v>92</v>
      </c>
      <c r="AO129" s="498">
        <v>80</v>
      </c>
      <c r="AP129" s="504">
        <v>1</v>
      </c>
      <c r="AQ129" s="504">
        <v>1</v>
      </c>
      <c r="AR129" s="502" t="s">
        <v>209</v>
      </c>
      <c r="AS129" s="506">
        <f t="shared" si="98"/>
        <v>1</v>
      </c>
      <c r="AT129">
        <f t="shared" si="99"/>
        <v>1</v>
      </c>
      <c r="AU129" s="506">
        <f>IF(AT129=0,"",IF(AND(AT129=1,M129="F",SUMIF(C2:C177,C129,AS2:AS177)&lt;=1),SUMIF(C2:C177,C129,AS2:AS177),IF(AND(AT129=1,M129="F",SUMIF(C2:C177,C129,AS2:AS177)&gt;1),1,"")))</f>
        <v>1</v>
      </c>
      <c r="AV129" s="506" t="str">
        <f>IF(AT129=0,"",IF(AND(AT129=3,M129="F",SUMIF(C2:C177,C129,AS2:AS177)&lt;=1),SUMIF(C2:C177,C129,AS2:AS177),IF(AND(AT129=3,M129="F",SUMIF(C2:C177,C129,AS2:AS177)&gt;1),1,"")))</f>
        <v/>
      </c>
      <c r="AW129" s="506">
        <f>SUMIF(C2:C177,C129,O2:O177)</f>
        <v>1</v>
      </c>
      <c r="AX129" s="506">
        <f>IF(AND(M129="F",AS129&lt;&gt;0),SUMIF(C2:C177,C129,W2:W177),0)</f>
        <v>79102.399999999994</v>
      </c>
      <c r="AY129" s="506">
        <f t="shared" si="100"/>
        <v>79102.399999999994</v>
      </c>
      <c r="AZ129" s="506" t="str">
        <f t="shared" si="101"/>
        <v/>
      </c>
      <c r="BA129" s="506">
        <f t="shared" si="102"/>
        <v>0</v>
      </c>
      <c r="BB129" s="506">
        <f t="shared" si="115"/>
        <v>11650</v>
      </c>
      <c r="BC129" s="506">
        <f t="shared" si="116"/>
        <v>0</v>
      </c>
      <c r="BD129" s="506">
        <f t="shared" si="117"/>
        <v>4904.3487999999998</v>
      </c>
      <c r="BE129" s="506">
        <f t="shared" si="118"/>
        <v>1146.9848</v>
      </c>
      <c r="BF129" s="506">
        <f t="shared" si="119"/>
        <v>9444.8265599999995</v>
      </c>
      <c r="BG129" s="506">
        <f t="shared" si="120"/>
        <v>570.328304</v>
      </c>
      <c r="BH129" s="506">
        <f t="shared" si="121"/>
        <v>387.60175999999996</v>
      </c>
      <c r="BI129" s="506">
        <f t="shared" si="122"/>
        <v>437.83178399999997</v>
      </c>
      <c r="BJ129" s="506">
        <f t="shared" si="123"/>
        <v>972.95952</v>
      </c>
      <c r="BK129" s="506">
        <f t="shared" si="124"/>
        <v>0</v>
      </c>
      <c r="BL129" s="506">
        <f t="shared" si="103"/>
        <v>17864.881528000002</v>
      </c>
      <c r="BM129" s="506">
        <f t="shared" si="104"/>
        <v>0</v>
      </c>
      <c r="BN129" s="506">
        <f t="shared" si="125"/>
        <v>11650</v>
      </c>
      <c r="BO129" s="506">
        <f t="shared" si="126"/>
        <v>0</v>
      </c>
      <c r="BP129" s="506">
        <f t="shared" si="127"/>
        <v>4904.3487999999998</v>
      </c>
      <c r="BQ129" s="506">
        <f t="shared" si="128"/>
        <v>1146.9848</v>
      </c>
      <c r="BR129" s="506">
        <f t="shared" si="129"/>
        <v>9444.8265599999995</v>
      </c>
      <c r="BS129" s="506">
        <f t="shared" si="130"/>
        <v>570.328304</v>
      </c>
      <c r="BT129" s="506">
        <f t="shared" si="131"/>
        <v>0</v>
      </c>
      <c r="BU129" s="506">
        <f t="shared" si="132"/>
        <v>437.83178399999997</v>
      </c>
      <c r="BV129" s="506">
        <f t="shared" si="133"/>
        <v>949.22879999999998</v>
      </c>
      <c r="BW129" s="506">
        <f t="shared" si="134"/>
        <v>0</v>
      </c>
      <c r="BX129" s="506">
        <f t="shared" si="105"/>
        <v>17453.549048000001</v>
      </c>
      <c r="BY129" s="506">
        <f t="shared" si="106"/>
        <v>0</v>
      </c>
      <c r="BZ129" s="506">
        <f t="shared" si="107"/>
        <v>0</v>
      </c>
      <c r="CA129" s="506">
        <f t="shared" si="108"/>
        <v>0</v>
      </c>
      <c r="CB129" s="506">
        <f t="shared" si="109"/>
        <v>0</v>
      </c>
      <c r="CC129" s="506">
        <f t="shared" si="135"/>
        <v>0</v>
      </c>
      <c r="CD129" s="506">
        <f t="shared" si="136"/>
        <v>0</v>
      </c>
      <c r="CE129" s="506">
        <f t="shared" si="137"/>
        <v>0</v>
      </c>
      <c r="CF129" s="506">
        <f t="shared" si="138"/>
        <v>-387.60175999999996</v>
      </c>
      <c r="CG129" s="506">
        <f t="shared" si="139"/>
        <v>0</v>
      </c>
      <c r="CH129" s="506">
        <f t="shared" si="140"/>
        <v>-23.730719999999991</v>
      </c>
      <c r="CI129" s="506">
        <f t="shared" si="141"/>
        <v>0</v>
      </c>
      <c r="CJ129" s="506">
        <f t="shared" si="110"/>
        <v>-411.33247999999992</v>
      </c>
      <c r="CK129" s="506" t="str">
        <f t="shared" si="111"/>
        <v/>
      </c>
      <c r="CL129" s="506" t="str">
        <f t="shared" si="112"/>
        <v/>
      </c>
      <c r="CM129" s="506" t="str">
        <f t="shared" si="113"/>
        <v/>
      </c>
      <c r="CN129" s="506" t="str">
        <f t="shared" si="114"/>
        <v>0290-00</v>
      </c>
    </row>
    <row r="130" spans="1:92" ht="15.75" thickBot="1" x14ac:dyDescent="0.3">
      <c r="A130" s="495" t="s">
        <v>187</v>
      </c>
      <c r="B130" s="495" t="s">
        <v>188</v>
      </c>
      <c r="C130" s="495" t="s">
        <v>717</v>
      </c>
      <c r="D130" s="495" t="s">
        <v>224</v>
      </c>
      <c r="E130" s="495" t="s">
        <v>191</v>
      </c>
      <c r="F130" s="496" t="s">
        <v>192</v>
      </c>
      <c r="G130" s="495" t="s">
        <v>193</v>
      </c>
      <c r="H130" s="497"/>
      <c r="I130" s="497"/>
      <c r="J130" s="495" t="s">
        <v>194</v>
      </c>
      <c r="K130" s="495" t="s">
        <v>226</v>
      </c>
      <c r="L130" s="495" t="s">
        <v>192</v>
      </c>
      <c r="M130" s="495" t="s">
        <v>213</v>
      </c>
      <c r="N130" s="495" t="s">
        <v>227</v>
      </c>
      <c r="O130" s="498">
        <v>0</v>
      </c>
      <c r="P130" s="504">
        <v>1</v>
      </c>
      <c r="Q130" s="504">
        <v>0</v>
      </c>
      <c r="R130" s="499">
        <v>0</v>
      </c>
      <c r="S130" s="504">
        <v>0</v>
      </c>
      <c r="T130" s="499">
        <v>8249.0300000000007</v>
      </c>
      <c r="U130" s="499">
        <v>0</v>
      </c>
      <c r="V130" s="499">
        <v>2667.68</v>
      </c>
      <c r="W130" s="499">
        <v>8249.02</v>
      </c>
      <c r="X130" s="499">
        <v>2667.67</v>
      </c>
      <c r="Y130" s="499">
        <v>8249.02</v>
      </c>
      <c r="Z130" s="499">
        <v>2667.67</v>
      </c>
      <c r="AA130" s="497"/>
      <c r="AB130" s="495" t="s">
        <v>23</v>
      </c>
      <c r="AC130" s="495" t="s">
        <v>23</v>
      </c>
      <c r="AD130" s="497"/>
      <c r="AE130" s="497"/>
      <c r="AF130" s="497"/>
      <c r="AG130" s="497"/>
      <c r="AH130" s="498">
        <v>0</v>
      </c>
      <c r="AI130" s="498">
        <v>0</v>
      </c>
      <c r="AJ130" s="497"/>
      <c r="AK130" s="497"/>
      <c r="AL130" s="495" t="s">
        <v>207</v>
      </c>
      <c r="AM130" s="497"/>
      <c r="AN130" s="497"/>
      <c r="AO130" s="498">
        <v>0</v>
      </c>
      <c r="AP130" s="504">
        <v>0</v>
      </c>
      <c r="AQ130" s="504">
        <v>0</v>
      </c>
      <c r="AR130" s="503"/>
      <c r="AS130" s="506">
        <f t="shared" si="98"/>
        <v>0</v>
      </c>
      <c r="AT130">
        <f t="shared" si="99"/>
        <v>0</v>
      </c>
      <c r="AU130" s="506" t="str">
        <f>IF(AT130=0,"",IF(AND(AT130=1,M130="F",SUMIF(C2:C177,C130,AS2:AS177)&lt;=1),SUMIF(C2:C177,C130,AS2:AS177),IF(AND(AT130=1,M130="F",SUMIF(C2:C177,C130,AS2:AS177)&gt;1),1,"")))</f>
        <v/>
      </c>
      <c r="AV130" s="506" t="str">
        <f>IF(AT130=0,"",IF(AND(AT130=3,M130="F",SUMIF(C2:C177,C130,AS2:AS177)&lt;=1),SUMIF(C2:C177,C130,AS2:AS177),IF(AND(AT130=3,M130="F",SUMIF(C2:C177,C130,AS2:AS177)&gt;1),1,"")))</f>
        <v/>
      </c>
      <c r="AW130" s="506">
        <f>SUMIF(C2:C177,C130,O2:O177)</f>
        <v>0</v>
      </c>
      <c r="AX130" s="506">
        <f>IF(AND(M130="F",AS130&lt;&gt;0),SUMIF(C2:C177,C130,W2:W177),0)</f>
        <v>0</v>
      </c>
      <c r="AY130" s="506" t="str">
        <f t="shared" si="100"/>
        <v/>
      </c>
      <c r="AZ130" s="506" t="str">
        <f t="shared" si="101"/>
        <v/>
      </c>
      <c r="BA130" s="506">
        <f t="shared" si="102"/>
        <v>0</v>
      </c>
      <c r="BB130" s="506">
        <f t="shared" ref="BB130:BB161" si="142">IF(AND(AT130=1,AK130="E",AU130&gt;=0.75,AW130=1),Health,IF(AND(AT130=1,AK130="E",AU130&gt;=0.75),Health*P130,IF(AND(AT130=1,AK130="E",AU130&gt;=0.5,AW130=1),PTHealth,IF(AND(AT130=1,AK130="E",AU130&gt;=0.5),PTHealth*P130,0))))</f>
        <v>0</v>
      </c>
      <c r="BC130" s="506">
        <f t="shared" ref="BC130:BC161" si="143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506">
        <f t="shared" ref="BD130:BD161" si="144">IF(AND(AT130&lt;&gt;0,AX130&gt;=MAXSSDI),SSDI*MAXSSDI*P130,IF(AT130&lt;&gt;0,SSDI*W130,0))</f>
        <v>0</v>
      </c>
      <c r="BE130" s="506">
        <f t="shared" ref="BE130:BE161" si="145">IF(AT130&lt;&gt;0,SSHI*W130,0)</f>
        <v>0</v>
      </c>
      <c r="BF130" s="506">
        <f t="shared" ref="BF130:BF161" si="146">IF(AND(AT130&lt;&gt;0,AN130&lt;&gt;"NE"),VLOOKUP(AN130,Retirement_Rates,3,FALSE)*W130,0)</f>
        <v>0</v>
      </c>
      <c r="BG130" s="506">
        <f t="shared" ref="BG130:BG161" si="147">IF(AND(AT130&lt;&gt;0,AJ130&lt;&gt;"PF"),Life*W130,0)</f>
        <v>0</v>
      </c>
      <c r="BH130" s="506">
        <f t="shared" ref="BH130:BH161" si="148">IF(AND(AT130&lt;&gt;0,AM130="Y"),UI*W130,0)</f>
        <v>0</v>
      </c>
      <c r="BI130" s="506">
        <f t="shared" ref="BI130:BI161" si="149">IF(AND(AT130&lt;&gt;0,N130&lt;&gt;"NR"),DHR*W130,0)</f>
        <v>0</v>
      </c>
      <c r="BJ130" s="506">
        <f t="shared" ref="BJ130:BJ161" si="150">IF(AT130&lt;&gt;0,WC*W130,0)</f>
        <v>0</v>
      </c>
      <c r="BK130" s="506">
        <f t="shared" ref="BK130:BK161" si="151">IF(OR(AND(AT130&lt;&gt;0,AJ130&lt;&gt;"PF",AN130&lt;&gt;"NE",AG130&lt;&gt;"A"),AND(AL130="E",OR(AT130=1,AT130=3))),Sick*W130,0)</f>
        <v>0</v>
      </c>
      <c r="BL130" s="506">
        <f t="shared" si="103"/>
        <v>0</v>
      </c>
      <c r="BM130" s="506">
        <f t="shared" si="104"/>
        <v>0</v>
      </c>
      <c r="BN130" s="506">
        <f t="shared" ref="BN130:BN161" si="152">IF(AND(AT130=1,AK130="E",AU130&gt;=0.75,AW130=1),HealthBY,IF(AND(AT130=1,AK130="E",AU130&gt;=0.75),HealthBY*P130,IF(AND(AT130=1,AK130="E",AU130&gt;=0.5,AW130=1),PTHealthBY,IF(AND(AT130=1,AK130="E",AU130&gt;=0.5),PTHealthBY*P130,0))))</f>
        <v>0</v>
      </c>
      <c r="BO130" s="506">
        <f t="shared" ref="BO130:BO161" si="153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506">
        <f t="shared" ref="BP130:BP161" si="154">IF(AND(AT130&lt;&gt;0,(AX130+BA130)&gt;=MAXSSDIBY),SSDIBY*MAXSSDIBY*P130,IF(AT130&lt;&gt;0,SSDIBY*W130,0))</f>
        <v>0</v>
      </c>
      <c r="BQ130" s="506">
        <f t="shared" ref="BQ130:BQ161" si="155">IF(AT130&lt;&gt;0,SSHIBY*W130,0)</f>
        <v>0</v>
      </c>
      <c r="BR130" s="506">
        <f t="shared" ref="BR130:BR161" si="156">IF(AND(AT130&lt;&gt;0,AN130&lt;&gt;"NE"),VLOOKUP(AN130,Retirement_Rates,4,FALSE)*W130,0)</f>
        <v>0</v>
      </c>
      <c r="BS130" s="506">
        <f t="shared" ref="BS130:BS161" si="157">IF(AND(AT130&lt;&gt;0,AJ130&lt;&gt;"PF"),LifeBY*W130,0)</f>
        <v>0</v>
      </c>
      <c r="BT130" s="506">
        <f t="shared" ref="BT130:BT161" si="158">IF(AND(AT130&lt;&gt;0,AM130="Y"),UIBY*W130,0)</f>
        <v>0</v>
      </c>
      <c r="BU130" s="506">
        <f t="shared" ref="BU130:BU161" si="159">IF(AND(AT130&lt;&gt;0,N130&lt;&gt;"NR"),DHRBY*W130,0)</f>
        <v>0</v>
      </c>
      <c r="BV130" s="506">
        <f t="shared" ref="BV130:BV161" si="160">IF(AT130&lt;&gt;0,WCBY*W130,0)</f>
        <v>0</v>
      </c>
      <c r="BW130" s="506">
        <f t="shared" ref="BW130:BW161" si="161">IF(OR(AND(AT130&lt;&gt;0,AJ130&lt;&gt;"PF",AN130&lt;&gt;"NE",AG130&lt;&gt;"A"),AND(AL130="E",OR(AT130=1,AT130=3))),SickBY*W130,0)</f>
        <v>0</v>
      </c>
      <c r="BX130" s="506">
        <f t="shared" si="105"/>
        <v>0</v>
      </c>
      <c r="BY130" s="506">
        <f t="shared" si="106"/>
        <v>0</v>
      </c>
      <c r="BZ130" s="506">
        <f t="shared" si="107"/>
        <v>0</v>
      </c>
      <c r="CA130" s="506">
        <f t="shared" si="108"/>
        <v>0</v>
      </c>
      <c r="CB130" s="506">
        <f t="shared" si="109"/>
        <v>0</v>
      </c>
      <c r="CC130" s="506">
        <f t="shared" ref="CC130:CC161" si="162">IF(AT130&lt;&gt;0,SSHICHG*Y130,0)</f>
        <v>0</v>
      </c>
      <c r="CD130" s="506">
        <f t="shared" ref="CD130:CD161" si="163">IF(AND(AT130&lt;&gt;0,AN130&lt;&gt;"NE"),VLOOKUP(AN130,Retirement_Rates,5,FALSE)*Y130,0)</f>
        <v>0</v>
      </c>
      <c r="CE130" s="506">
        <f t="shared" ref="CE130:CE161" si="164">IF(AND(AT130&lt;&gt;0,AJ130&lt;&gt;"PF"),LifeCHG*Y130,0)</f>
        <v>0</v>
      </c>
      <c r="CF130" s="506">
        <f t="shared" ref="CF130:CF161" si="165">IF(AND(AT130&lt;&gt;0,AM130="Y"),UICHG*Y130,0)</f>
        <v>0</v>
      </c>
      <c r="CG130" s="506">
        <f t="shared" ref="CG130:CG161" si="166">IF(AND(AT130&lt;&gt;0,N130&lt;&gt;"NR"),DHRCHG*Y130,0)</f>
        <v>0</v>
      </c>
      <c r="CH130" s="506">
        <f t="shared" ref="CH130:CH161" si="167">IF(AT130&lt;&gt;0,WCCHG*Y130,0)</f>
        <v>0</v>
      </c>
      <c r="CI130" s="506">
        <f t="shared" ref="CI130:CI161" si="168">IF(OR(AND(AT130&lt;&gt;0,AJ130&lt;&gt;"PF",AN130&lt;&gt;"NE",AG130&lt;&gt;"A"),AND(AL130="E",OR(AT130=1,AT130=3))),SickCHG*Y130,0)</f>
        <v>0</v>
      </c>
      <c r="CJ130" s="506">
        <f t="shared" si="110"/>
        <v>0</v>
      </c>
      <c r="CK130" s="506" t="str">
        <f t="shared" si="111"/>
        <v/>
      </c>
      <c r="CL130" s="506">
        <f t="shared" si="112"/>
        <v>8249.0300000000007</v>
      </c>
      <c r="CM130" s="506">
        <f t="shared" si="113"/>
        <v>2667.68</v>
      </c>
      <c r="CN130" s="506" t="str">
        <f t="shared" si="114"/>
        <v>0290-00</v>
      </c>
    </row>
    <row r="131" spans="1:92" ht="15.75" thickBot="1" x14ac:dyDescent="0.3">
      <c r="A131" s="495" t="s">
        <v>187</v>
      </c>
      <c r="B131" s="495" t="s">
        <v>188</v>
      </c>
      <c r="C131" s="495" t="s">
        <v>718</v>
      </c>
      <c r="D131" s="495" t="s">
        <v>300</v>
      </c>
      <c r="E131" s="495" t="s">
        <v>191</v>
      </c>
      <c r="F131" s="496" t="s">
        <v>192</v>
      </c>
      <c r="G131" s="495" t="s">
        <v>193</v>
      </c>
      <c r="H131" s="497"/>
      <c r="I131" s="497"/>
      <c r="J131" s="495" t="s">
        <v>254</v>
      </c>
      <c r="K131" s="495" t="s">
        <v>258</v>
      </c>
      <c r="L131" s="495" t="s">
        <v>301</v>
      </c>
      <c r="M131" s="495" t="s">
        <v>197</v>
      </c>
      <c r="N131" s="495" t="s">
        <v>198</v>
      </c>
      <c r="O131" s="498">
        <v>1</v>
      </c>
      <c r="P131" s="504">
        <v>1</v>
      </c>
      <c r="Q131" s="504">
        <v>1</v>
      </c>
      <c r="R131" s="499">
        <v>80</v>
      </c>
      <c r="S131" s="504">
        <v>1</v>
      </c>
      <c r="T131" s="499">
        <v>52255.62</v>
      </c>
      <c r="U131" s="499">
        <v>0</v>
      </c>
      <c r="V131" s="499">
        <v>21624.75</v>
      </c>
      <c r="W131" s="499">
        <v>41600</v>
      </c>
      <c r="X131" s="499">
        <v>21045.33</v>
      </c>
      <c r="Y131" s="499">
        <v>41600</v>
      </c>
      <c r="Z131" s="499">
        <v>20829.02</v>
      </c>
      <c r="AA131" s="495" t="s">
        <v>719</v>
      </c>
      <c r="AB131" s="495" t="s">
        <v>720</v>
      </c>
      <c r="AC131" s="495" t="s">
        <v>721</v>
      </c>
      <c r="AD131" s="495" t="s">
        <v>352</v>
      </c>
      <c r="AE131" s="495" t="s">
        <v>258</v>
      </c>
      <c r="AF131" s="495" t="s">
        <v>259</v>
      </c>
      <c r="AG131" s="495" t="s">
        <v>204</v>
      </c>
      <c r="AH131" s="498">
        <v>20</v>
      </c>
      <c r="AI131" s="498">
        <v>5600</v>
      </c>
      <c r="AJ131" s="495" t="s">
        <v>205</v>
      </c>
      <c r="AK131" s="495" t="s">
        <v>206</v>
      </c>
      <c r="AL131" s="495" t="s">
        <v>207</v>
      </c>
      <c r="AM131" s="495" t="s">
        <v>208</v>
      </c>
      <c r="AN131" s="495" t="s">
        <v>92</v>
      </c>
      <c r="AO131" s="498">
        <v>80</v>
      </c>
      <c r="AP131" s="504">
        <v>1</v>
      </c>
      <c r="AQ131" s="504">
        <v>1</v>
      </c>
      <c r="AR131" s="502">
        <v>3</v>
      </c>
      <c r="AS131" s="506">
        <f t="shared" ref="AS131:AS177" si="169">IF(((AO131/80)*AP131*P131)&gt;1,AQ131,((AO131/80)*AP131*P131))</f>
        <v>1</v>
      </c>
      <c r="AT131">
        <f t="shared" ref="AT131:AT177" si="170">IF(AND(M131="F",N131&lt;&gt;"NG",AS131&lt;&gt;0,AND(AR131&lt;&gt;6,AR131&lt;&gt;36,AR131&lt;&gt;56),AG131&lt;&gt;"A",OR(AG131="H",AJ131="FS")),1,IF(AND(M131="F",N131&lt;&gt;"NG",AS131&lt;&gt;0,AG131="A"),3,0))</f>
        <v>1</v>
      </c>
      <c r="AU131" s="506">
        <f>IF(AT131=0,"",IF(AND(AT131=1,M131="F",SUMIF(C2:C177,C131,AS2:AS177)&lt;=1),SUMIF(C2:C177,C131,AS2:AS177),IF(AND(AT131=1,M131="F",SUMIF(C2:C177,C131,AS2:AS177)&gt;1),1,"")))</f>
        <v>1</v>
      </c>
      <c r="AV131" s="506" t="str">
        <f>IF(AT131=0,"",IF(AND(AT131=3,M131="F",SUMIF(C2:C177,C131,AS2:AS177)&lt;=1),SUMIF(C2:C177,C131,AS2:AS177),IF(AND(AT131=3,M131="F",SUMIF(C2:C177,C131,AS2:AS177)&gt;1),1,"")))</f>
        <v/>
      </c>
      <c r="AW131" s="506">
        <f>SUMIF(C2:C177,C131,O2:O177)</f>
        <v>1</v>
      </c>
      <c r="AX131" s="506">
        <f>IF(AND(M131="F",AS131&lt;&gt;0),SUMIF(C2:C177,C131,W2:W177),0)</f>
        <v>41600</v>
      </c>
      <c r="AY131" s="506">
        <f t="shared" ref="AY131:AY177" si="171">IF(AT131=1,W131,"")</f>
        <v>41600</v>
      </c>
      <c r="AZ131" s="506" t="str">
        <f t="shared" ref="AZ131:AZ177" si="172">IF(AT131=3,W131,"")</f>
        <v/>
      </c>
      <c r="BA131" s="506">
        <f t="shared" ref="BA131:BA177" si="173">IF(AT131=1,Y131-W131,0)</f>
        <v>0</v>
      </c>
      <c r="BB131" s="506">
        <f t="shared" si="142"/>
        <v>11650</v>
      </c>
      <c r="BC131" s="506">
        <f t="shared" si="143"/>
        <v>0</v>
      </c>
      <c r="BD131" s="506">
        <f t="shared" si="144"/>
        <v>2579.1999999999998</v>
      </c>
      <c r="BE131" s="506">
        <f t="shared" si="145"/>
        <v>603.20000000000005</v>
      </c>
      <c r="BF131" s="506">
        <f t="shared" si="146"/>
        <v>4967.04</v>
      </c>
      <c r="BG131" s="506">
        <f t="shared" si="147"/>
        <v>299.93600000000004</v>
      </c>
      <c r="BH131" s="506">
        <f t="shared" si="148"/>
        <v>203.84</v>
      </c>
      <c r="BI131" s="506">
        <f t="shared" si="149"/>
        <v>230.256</v>
      </c>
      <c r="BJ131" s="506">
        <f t="shared" si="150"/>
        <v>511.68</v>
      </c>
      <c r="BK131" s="506">
        <f t="shared" si="151"/>
        <v>0</v>
      </c>
      <c r="BL131" s="506">
        <f t="shared" ref="BL131:BL177" si="174">IF(AT131=1,SUM(BD131:BK131),0)</f>
        <v>9395.152</v>
      </c>
      <c r="BM131" s="506">
        <f t="shared" ref="BM131:BM177" si="175">IF(AT131=3,SUM(BD131:BK131),0)</f>
        <v>0</v>
      </c>
      <c r="BN131" s="506">
        <f t="shared" si="152"/>
        <v>11650</v>
      </c>
      <c r="BO131" s="506">
        <f t="shared" si="153"/>
        <v>0</v>
      </c>
      <c r="BP131" s="506">
        <f t="shared" si="154"/>
        <v>2579.1999999999998</v>
      </c>
      <c r="BQ131" s="506">
        <f t="shared" si="155"/>
        <v>603.20000000000005</v>
      </c>
      <c r="BR131" s="506">
        <f t="shared" si="156"/>
        <v>4967.04</v>
      </c>
      <c r="BS131" s="506">
        <f t="shared" si="157"/>
        <v>299.93600000000004</v>
      </c>
      <c r="BT131" s="506">
        <f t="shared" si="158"/>
        <v>0</v>
      </c>
      <c r="BU131" s="506">
        <f t="shared" si="159"/>
        <v>230.256</v>
      </c>
      <c r="BV131" s="506">
        <f t="shared" si="160"/>
        <v>499.2</v>
      </c>
      <c r="BW131" s="506">
        <f t="shared" si="161"/>
        <v>0</v>
      </c>
      <c r="BX131" s="506">
        <f t="shared" ref="BX131:BX177" si="176">IF(AT131=1,SUM(BP131:BW131),0)</f>
        <v>9178.8320000000003</v>
      </c>
      <c r="BY131" s="506">
        <f t="shared" ref="BY131:BY177" si="177">IF(AT131=3,SUM(BP131:BW131),0)</f>
        <v>0</v>
      </c>
      <c r="BZ131" s="506">
        <f t="shared" ref="BZ131:BZ177" si="178">IF(AT131=1,BN131-BB131,0)</f>
        <v>0</v>
      </c>
      <c r="CA131" s="506">
        <f t="shared" ref="CA131:CA177" si="179">IF(AT131=3,BO131-BC131,0)</f>
        <v>0</v>
      </c>
      <c r="CB131" s="506">
        <f t="shared" ref="CB131:CB177" si="180">BP131-BD131</f>
        <v>0</v>
      </c>
      <c r="CC131" s="506">
        <f t="shared" si="162"/>
        <v>0</v>
      </c>
      <c r="CD131" s="506">
        <f t="shared" si="163"/>
        <v>0</v>
      </c>
      <c r="CE131" s="506">
        <f t="shared" si="164"/>
        <v>0</v>
      </c>
      <c r="CF131" s="506">
        <f t="shared" si="165"/>
        <v>-203.84</v>
      </c>
      <c r="CG131" s="506">
        <f t="shared" si="166"/>
        <v>0</v>
      </c>
      <c r="CH131" s="506">
        <f t="shared" si="167"/>
        <v>-12.479999999999997</v>
      </c>
      <c r="CI131" s="506">
        <f t="shared" si="168"/>
        <v>0</v>
      </c>
      <c r="CJ131" s="506">
        <f t="shared" ref="CJ131:CJ177" si="181">IF(AT131=1,SUM(CB131:CI131),0)</f>
        <v>-216.32</v>
      </c>
      <c r="CK131" s="506" t="str">
        <f t="shared" ref="CK131:CK177" si="182">IF(AT131=3,SUM(CB131:CI131),"")</f>
        <v/>
      </c>
      <c r="CL131" s="506" t="str">
        <f t="shared" ref="CL131:CL177" si="183">IF(OR(N131="NG",AG131="D"),(T131+U131),"")</f>
        <v/>
      </c>
      <c r="CM131" s="506" t="str">
        <f t="shared" ref="CM131:CM177" si="184">IF(OR(N131="NG",AG131="D"),V131,"")</f>
        <v/>
      </c>
      <c r="CN131" s="506" t="str">
        <f t="shared" ref="CN131:CN177" si="185">E131 &amp; "-" &amp; F131</f>
        <v>0290-00</v>
      </c>
    </row>
    <row r="132" spans="1:92" ht="15.75" thickBot="1" x14ac:dyDescent="0.3">
      <c r="A132" s="495" t="s">
        <v>187</v>
      </c>
      <c r="B132" s="495" t="s">
        <v>188</v>
      </c>
      <c r="C132" s="495" t="s">
        <v>722</v>
      </c>
      <c r="D132" s="495" t="s">
        <v>678</v>
      </c>
      <c r="E132" s="495" t="s">
        <v>191</v>
      </c>
      <c r="F132" s="496" t="s">
        <v>192</v>
      </c>
      <c r="G132" s="495" t="s">
        <v>193</v>
      </c>
      <c r="H132" s="497"/>
      <c r="I132" s="497"/>
      <c r="J132" s="495" t="s">
        <v>194</v>
      </c>
      <c r="K132" s="495" t="s">
        <v>679</v>
      </c>
      <c r="L132" s="495" t="s">
        <v>305</v>
      </c>
      <c r="M132" s="495" t="s">
        <v>197</v>
      </c>
      <c r="N132" s="495" t="s">
        <v>198</v>
      </c>
      <c r="O132" s="498">
        <v>1</v>
      </c>
      <c r="P132" s="504">
        <v>1</v>
      </c>
      <c r="Q132" s="504">
        <v>1</v>
      </c>
      <c r="R132" s="499">
        <v>80</v>
      </c>
      <c r="S132" s="504">
        <v>1</v>
      </c>
      <c r="T132" s="499">
        <v>73868.94</v>
      </c>
      <c r="U132" s="499">
        <v>98.06</v>
      </c>
      <c r="V132" s="499">
        <v>27524.28</v>
      </c>
      <c r="W132" s="499">
        <v>76523.199999999997</v>
      </c>
      <c r="X132" s="499">
        <v>28932.720000000001</v>
      </c>
      <c r="Y132" s="499">
        <v>76523.199999999997</v>
      </c>
      <c r="Z132" s="499">
        <v>28534.799999999999</v>
      </c>
      <c r="AA132" s="495" t="s">
        <v>723</v>
      </c>
      <c r="AB132" s="495" t="s">
        <v>724</v>
      </c>
      <c r="AC132" s="495" t="s">
        <v>725</v>
      </c>
      <c r="AD132" s="495" t="s">
        <v>242</v>
      </c>
      <c r="AE132" s="495" t="s">
        <v>679</v>
      </c>
      <c r="AF132" s="495" t="s">
        <v>440</v>
      </c>
      <c r="AG132" s="495" t="s">
        <v>204</v>
      </c>
      <c r="AH132" s="500">
        <v>36.79</v>
      </c>
      <c r="AI132" s="500">
        <v>6918.6</v>
      </c>
      <c r="AJ132" s="495" t="s">
        <v>205</v>
      </c>
      <c r="AK132" s="495" t="s">
        <v>206</v>
      </c>
      <c r="AL132" s="495" t="s">
        <v>207</v>
      </c>
      <c r="AM132" s="495" t="s">
        <v>208</v>
      </c>
      <c r="AN132" s="495" t="s">
        <v>92</v>
      </c>
      <c r="AO132" s="498">
        <v>80</v>
      </c>
      <c r="AP132" s="504">
        <v>1</v>
      </c>
      <c r="AQ132" s="504">
        <v>1</v>
      </c>
      <c r="AR132" s="502" t="s">
        <v>209</v>
      </c>
      <c r="AS132" s="506">
        <f t="shared" si="169"/>
        <v>1</v>
      </c>
      <c r="AT132">
        <f t="shared" si="170"/>
        <v>1</v>
      </c>
      <c r="AU132" s="506">
        <f>IF(AT132=0,"",IF(AND(AT132=1,M132="F",SUMIF(C2:C177,C132,AS2:AS177)&lt;=1),SUMIF(C2:C177,C132,AS2:AS177),IF(AND(AT132=1,M132="F",SUMIF(C2:C177,C132,AS2:AS177)&gt;1),1,"")))</f>
        <v>1</v>
      </c>
      <c r="AV132" s="506" t="str">
        <f>IF(AT132=0,"",IF(AND(AT132=3,M132="F",SUMIF(C2:C177,C132,AS2:AS177)&lt;=1),SUMIF(C2:C177,C132,AS2:AS177),IF(AND(AT132=3,M132="F",SUMIF(C2:C177,C132,AS2:AS177)&gt;1),1,"")))</f>
        <v/>
      </c>
      <c r="AW132" s="506">
        <f>SUMIF(C2:C177,C132,O2:O177)</f>
        <v>1</v>
      </c>
      <c r="AX132" s="506">
        <f>IF(AND(M132="F",AS132&lt;&gt;0),SUMIF(C2:C177,C132,W2:W177),0)</f>
        <v>76523.199999999997</v>
      </c>
      <c r="AY132" s="506">
        <f t="shared" si="171"/>
        <v>76523.199999999997</v>
      </c>
      <c r="AZ132" s="506" t="str">
        <f t="shared" si="172"/>
        <v/>
      </c>
      <c r="BA132" s="506">
        <f t="shared" si="173"/>
        <v>0</v>
      </c>
      <c r="BB132" s="506">
        <f t="shared" si="142"/>
        <v>11650</v>
      </c>
      <c r="BC132" s="506">
        <f t="shared" si="143"/>
        <v>0</v>
      </c>
      <c r="BD132" s="506">
        <f t="shared" si="144"/>
        <v>4744.4384</v>
      </c>
      <c r="BE132" s="506">
        <f t="shared" si="145"/>
        <v>1109.5863999999999</v>
      </c>
      <c r="BF132" s="506">
        <f t="shared" si="146"/>
        <v>9136.8700800000006</v>
      </c>
      <c r="BG132" s="506">
        <f t="shared" si="147"/>
        <v>551.73227199999997</v>
      </c>
      <c r="BH132" s="506">
        <f t="shared" si="148"/>
        <v>374.96367999999995</v>
      </c>
      <c r="BI132" s="506">
        <f t="shared" si="149"/>
        <v>423.55591199999998</v>
      </c>
      <c r="BJ132" s="506">
        <f t="shared" si="150"/>
        <v>941.23536000000001</v>
      </c>
      <c r="BK132" s="506">
        <f t="shared" si="151"/>
        <v>0</v>
      </c>
      <c r="BL132" s="506">
        <f t="shared" si="174"/>
        <v>17282.382104</v>
      </c>
      <c r="BM132" s="506">
        <f t="shared" si="175"/>
        <v>0</v>
      </c>
      <c r="BN132" s="506">
        <f t="shared" si="152"/>
        <v>11650</v>
      </c>
      <c r="BO132" s="506">
        <f t="shared" si="153"/>
        <v>0</v>
      </c>
      <c r="BP132" s="506">
        <f t="shared" si="154"/>
        <v>4744.4384</v>
      </c>
      <c r="BQ132" s="506">
        <f t="shared" si="155"/>
        <v>1109.5863999999999</v>
      </c>
      <c r="BR132" s="506">
        <f t="shared" si="156"/>
        <v>9136.8700800000006</v>
      </c>
      <c r="BS132" s="506">
        <f t="shared" si="157"/>
        <v>551.73227199999997</v>
      </c>
      <c r="BT132" s="506">
        <f t="shared" si="158"/>
        <v>0</v>
      </c>
      <c r="BU132" s="506">
        <f t="shared" si="159"/>
        <v>423.55591199999998</v>
      </c>
      <c r="BV132" s="506">
        <f t="shared" si="160"/>
        <v>918.27840000000003</v>
      </c>
      <c r="BW132" s="506">
        <f t="shared" si="161"/>
        <v>0</v>
      </c>
      <c r="BX132" s="506">
        <f t="shared" si="176"/>
        <v>16884.461464</v>
      </c>
      <c r="BY132" s="506">
        <f t="shared" si="177"/>
        <v>0</v>
      </c>
      <c r="BZ132" s="506">
        <f t="shared" si="178"/>
        <v>0</v>
      </c>
      <c r="CA132" s="506">
        <f t="shared" si="179"/>
        <v>0</v>
      </c>
      <c r="CB132" s="506">
        <f t="shared" si="180"/>
        <v>0</v>
      </c>
      <c r="CC132" s="506">
        <f t="shared" si="162"/>
        <v>0</v>
      </c>
      <c r="CD132" s="506">
        <f t="shared" si="163"/>
        <v>0</v>
      </c>
      <c r="CE132" s="506">
        <f t="shared" si="164"/>
        <v>0</v>
      </c>
      <c r="CF132" s="506">
        <f t="shared" si="165"/>
        <v>-374.96367999999995</v>
      </c>
      <c r="CG132" s="506">
        <f t="shared" si="166"/>
        <v>0</v>
      </c>
      <c r="CH132" s="506">
        <f t="shared" si="167"/>
        <v>-22.956959999999992</v>
      </c>
      <c r="CI132" s="506">
        <f t="shared" si="168"/>
        <v>0</v>
      </c>
      <c r="CJ132" s="506">
        <f t="shared" si="181"/>
        <v>-397.92063999999993</v>
      </c>
      <c r="CK132" s="506" t="str">
        <f t="shared" si="182"/>
        <v/>
      </c>
      <c r="CL132" s="506" t="str">
        <f t="shared" si="183"/>
        <v/>
      </c>
      <c r="CM132" s="506" t="str">
        <f t="shared" si="184"/>
        <v/>
      </c>
      <c r="CN132" s="506" t="str">
        <f t="shared" si="185"/>
        <v>0290-00</v>
      </c>
    </row>
    <row r="133" spans="1:92" ht="15.75" thickBot="1" x14ac:dyDescent="0.3">
      <c r="A133" s="495" t="s">
        <v>187</v>
      </c>
      <c r="B133" s="495" t="s">
        <v>188</v>
      </c>
      <c r="C133" s="495" t="s">
        <v>726</v>
      </c>
      <c r="D133" s="495" t="s">
        <v>366</v>
      </c>
      <c r="E133" s="495" t="s">
        <v>191</v>
      </c>
      <c r="F133" s="496" t="s">
        <v>192</v>
      </c>
      <c r="G133" s="495" t="s">
        <v>193</v>
      </c>
      <c r="H133" s="497"/>
      <c r="I133" s="497"/>
      <c r="J133" s="495" t="s">
        <v>358</v>
      </c>
      <c r="K133" s="495" t="s">
        <v>367</v>
      </c>
      <c r="L133" s="495" t="s">
        <v>286</v>
      </c>
      <c r="M133" s="495" t="s">
        <v>213</v>
      </c>
      <c r="N133" s="495" t="s">
        <v>198</v>
      </c>
      <c r="O133" s="498">
        <v>0</v>
      </c>
      <c r="P133" s="504">
        <v>1</v>
      </c>
      <c r="Q133" s="504">
        <v>1</v>
      </c>
      <c r="R133" s="499">
        <v>80</v>
      </c>
      <c r="S133" s="504">
        <v>1</v>
      </c>
      <c r="T133" s="499">
        <v>9360.49</v>
      </c>
      <c r="U133" s="499">
        <v>1555.52</v>
      </c>
      <c r="V133" s="499">
        <v>5024.03</v>
      </c>
      <c r="W133" s="499">
        <v>37502.39</v>
      </c>
      <c r="X133" s="499">
        <v>16426.03</v>
      </c>
      <c r="Y133" s="499">
        <v>37502.39</v>
      </c>
      <c r="Z133" s="499">
        <v>16238.5</v>
      </c>
      <c r="AA133" s="497"/>
      <c r="AB133" s="495" t="s">
        <v>23</v>
      </c>
      <c r="AC133" s="495" t="s">
        <v>23</v>
      </c>
      <c r="AD133" s="497"/>
      <c r="AE133" s="497"/>
      <c r="AF133" s="497"/>
      <c r="AG133" s="497"/>
      <c r="AH133" s="498">
        <v>0</v>
      </c>
      <c r="AI133" s="498">
        <v>0</v>
      </c>
      <c r="AJ133" s="497"/>
      <c r="AK133" s="497"/>
      <c r="AL133" s="495" t="s">
        <v>207</v>
      </c>
      <c r="AM133" s="497"/>
      <c r="AN133" s="497"/>
      <c r="AO133" s="498">
        <v>0</v>
      </c>
      <c r="AP133" s="504">
        <v>0</v>
      </c>
      <c r="AQ133" s="504">
        <v>0</v>
      </c>
      <c r="AR133" s="503"/>
      <c r="AS133" s="506">
        <f t="shared" si="169"/>
        <v>0</v>
      </c>
      <c r="AT133">
        <f t="shared" si="170"/>
        <v>0</v>
      </c>
      <c r="AU133" s="506" t="str">
        <f>IF(AT133=0,"",IF(AND(AT133=1,M133="F",SUMIF(C2:C177,C133,AS2:AS177)&lt;=1),SUMIF(C2:C177,C133,AS2:AS177),IF(AND(AT133=1,M133="F",SUMIF(C2:C177,C133,AS2:AS177)&gt;1),1,"")))</f>
        <v/>
      </c>
      <c r="AV133" s="506" t="str">
        <f>IF(AT133=0,"",IF(AND(AT133=3,M133="F",SUMIF(C2:C177,C133,AS2:AS177)&lt;=1),SUMIF(C2:C177,C133,AS2:AS177),IF(AND(AT133=3,M133="F",SUMIF(C2:C177,C133,AS2:AS177)&gt;1),1,"")))</f>
        <v/>
      </c>
      <c r="AW133" s="506">
        <f>SUMIF(C2:C177,C133,O2:O177)</f>
        <v>0</v>
      </c>
      <c r="AX133" s="506">
        <f>IF(AND(M133="F",AS133&lt;&gt;0),SUMIF(C2:C177,C133,W2:W177),0)</f>
        <v>0</v>
      </c>
      <c r="AY133" s="506" t="str">
        <f t="shared" si="171"/>
        <v/>
      </c>
      <c r="AZ133" s="506" t="str">
        <f t="shared" si="172"/>
        <v/>
      </c>
      <c r="BA133" s="506">
        <f t="shared" si="173"/>
        <v>0</v>
      </c>
      <c r="BB133" s="506">
        <f t="shared" si="142"/>
        <v>0</v>
      </c>
      <c r="BC133" s="506">
        <f t="shared" si="143"/>
        <v>0</v>
      </c>
      <c r="BD133" s="506">
        <f t="shared" si="144"/>
        <v>0</v>
      </c>
      <c r="BE133" s="506">
        <f t="shared" si="145"/>
        <v>0</v>
      </c>
      <c r="BF133" s="506">
        <f t="shared" si="146"/>
        <v>0</v>
      </c>
      <c r="BG133" s="506">
        <f t="shared" si="147"/>
        <v>0</v>
      </c>
      <c r="BH133" s="506">
        <f t="shared" si="148"/>
        <v>0</v>
      </c>
      <c r="BI133" s="506">
        <f t="shared" si="149"/>
        <v>0</v>
      </c>
      <c r="BJ133" s="506">
        <f t="shared" si="150"/>
        <v>0</v>
      </c>
      <c r="BK133" s="506">
        <f t="shared" si="151"/>
        <v>0</v>
      </c>
      <c r="BL133" s="506">
        <f t="shared" si="174"/>
        <v>0</v>
      </c>
      <c r="BM133" s="506">
        <f t="shared" si="175"/>
        <v>0</v>
      </c>
      <c r="BN133" s="506">
        <f t="shared" si="152"/>
        <v>0</v>
      </c>
      <c r="BO133" s="506">
        <f t="shared" si="153"/>
        <v>0</v>
      </c>
      <c r="BP133" s="506">
        <f t="shared" si="154"/>
        <v>0</v>
      </c>
      <c r="BQ133" s="506">
        <f t="shared" si="155"/>
        <v>0</v>
      </c>
      <c r="BR133" s="506">
        <f t="shared" si="156"/>
        <v>0</v>
      </c>
      <c r="BS133" s="506">
        <f t="shared" si="157"/>
        <v>0</v>
      </c>
      <c r="BT133" s="506">
        <f t="shared" si="158"/>
        <v>0</v>
      </c>
      <c r="BU133" s="506">
        <f t="shared" si="159"/>
        <v>0</v>
      </c>
      <c r="BV133" s="506">
        <f t="shared" si="160"/>
        <v>0</v>
      </c>
      <c r="BW133" s="506">
        <f t="shared" si="161"/>
        <v>0</v>
      </c>
      <c r="BX133" s="506">
        <f t="shared" si="176"/>
        <v>0</v>
      </c>
      <c r="BY133" s="506">
        <f t="shared" si="177"/>
        <v>0</v>
      </c>
      <c r="BZ133" s="506">
        <f t="shared" si="178"/>
        <v>0</v>
      </c>
      <c r="CA133" s="506">
        <f t="shared" si="179"/>
        <v>0</v>
      </c>
      <c r="CB133" s="506">
        <f t="shared" si="180"/>
        <v>0</v>
      </c>
      <c r="CC133" s="506">
        <f t="shared" si="162"/>
        <v>0</v>
      </c>
      <c r="CD133" s="506">
        <f t="shared" si="163"/>
        <v>0</v>
      </c>
      <c r="CE133" s="506">
        <f t="shared" si="164"/>
        <v>0</v>
      </c>
      <c r="CF133" s="506">
        <f t="shared" si="165"/>
        <v>0</v>
      </c>
      <c r="CG133" s="506">
        <f t="shared" si="166"/>
        <v>0</v>
      </c>
      <c r="CH133" s="506">
        <f t="shared" si="167"/>
        <v>0</v>
      </c>
      <c r="CI133" s="506">
        <f t="shared" si="168"/>
        <v>0</v>
      </c>
      <c r="CJ133" s="506">
        <f t="shared" si="181"/>
        <v>0</v>
      </c>
      <c r="CK133" s="506" t="str">
        <f t="shared" si="182"/>
        <v/>
      </c>
      <c r="CL133" s="506" t="str">
        <f t="shared" si="183"/>
        <v/>
      </c>
      <c r="CM133" s="506" t="str">
        <f t="shared" si="184"/>
        <v/>
      </c>
      <c r="CN133" s="506" t="str">
        <f t="shared" si="185"/>
        <v>0290-00</v>
      </c>
    </row>
    <row r="134" spans="1:92" ht="15.75" thickBot="1" x14ac:dyDescent="0.3">
      <c r="A134" s="495" t="s">
        <v>187</v>
      </c>
      <c r="B134" s="495" t="s">
        <v>188</v>
      </c>
      <c r="C134" s="495" t="s">
        <v>727</v>
      </c>
      <c r="D134" s="495" t="s">
        <v>380</v>
      </c>
      <c r="E134" s="495" t="s">
        <v>191</v>
      </c>
      <c r="F134" s="496" t="s">
        <v>192</v>
      </c>
      <c r="G134" s="495" t="s">
        <v>193</v>
      </c>
      <c r="H134" s="497"/>
      <c r="I134" s="497"/>
      <c r="J134" s="495" t="s">
        <v>254</v>
      </c>
      <c r="K134" s="495" t="s">
        <v>381</v>
      </c>
      <c r="L134" s="495" t="s">
        <v>196</v>
      </c>
      <c r="M134" s="495" t="s">
        <v>197</v>
      </c>
      <c r="N134" s="495" t="s">
        <v>198</v>
      </c>
      <c r="O134" s="498">
        <v>1</v>
      </c>
      <c r="P134" s="504">
        <v>1</v>
      </c>
      <c r="Q134" s="504">
        <v>1</v>
      </c>
      <c r="R134" s="499">
        <v>80</v>
      </c>
      <c r="S134" s="504">
        <v>1</v>
      </c>
      <c r="T134" s="499">
        <v>37088.800000000003</v>
      </c>
      <c r="U134" s="499">
        <v>0</v>
      </c>
      <c r="V134" s="499">
        <v>17470.73</v>
      </c>
      <c r="W134" s="499">
        <v>53955.199999999997</v>
      </c>
      <c r="X134" s="499">
        <v>23835.74</v>
      </c>
      <c r="Y134" s="499">
        <v>53955.199999999997</v>
      </c>
      <c r="Z134" s="499">
        <v>23555.200000000001</v>
      </c>
      <c r="AA134" s="495" t="s">
        <v>728</v>
      </c>
      <c r="AB134" s="495" t="s">
        <v>729</v>
      </c>
      <c r="AC134" s="495" t="s">
        <v>730</v>
      </c>
      <c r="AD134" s="495" t="s">
        <v>242</v>
      </c>
      <c r="AE134" s="495" t="s">
        <v>381</v>
      </c>
      <c r="AF134" s="495" t="s">
        <v>203</v>
      </c>
      <c r="AG134" s="495" t="s">
        <v>204</v>
      </c>
      <c r="AH134" s="500">
        <v>25.94</v>
      </c>
      <c r="AI134" s="498">
        <v>1582</v>
      </c>
      <c r="AJ134" s="495" t="s">
        <v>205</v>
      </c>
      <c r="AK134" s="495" t="s">
        <v>206</v>
      </c>
      <c r="AL134" s="495" t="s">
        <v>207</v>
      </c>
      <c r="AM134" s="495" t="s">
        <v>208</v>
      </c>
      <c r="AN134" s="495" t="s">
        <v>92</v>
      </c>
      <c r="AO134" s="498">
        <v>80</v>
      </c>
      <c r="AP134" s="504">
        <v>1</v>
      </c>
      <c r="AQ134" s="504">
        <v>1</v>
      </c>
      <c r="AR134" s="502" t="s">
        <v>209</v>
      </c>
      <c r="AS134" s="506">
        <f t="shared" si="169"/>
        <v>1</v>
      </c>
      <c r="AT134">
        <f t="shared" si="170"/>
        <v>1</v>
      </c>
      <c r="AU134" s="506">
        <f>IF(AT134=0,"",IF(AND(AT134=1,M134="F",SUMIF(C2:C177,C134,AS2:AS177)&lt;=1),SUMIF(C2:C177,C134,AS2:AS177),IF(AND(AT134=1,M134="F",SUMIF(C2:C177,C134,AS2:AS177)&gt;1),1,"")))</f>
        <v>1</v>
      </c>
      <c r="AV134" s="506" t="str">
        <f>IF(AT134=0,"",IF(AND(AT134=3,M134="F",SUMIF(C2:C177,C134,AS2:AS177)&lt;=1),SUMIF(C2:C177,C134,AS2:AS177),IF(AND(AT134=3,M134="F",SUMIF(C2:C177,C134,AS2:AS177)&gt;1),1,"")))</f>
        <v/>
      </c>
      <c r="AW134" s="506">
        <f>SUMIF(C2:C177,C134,O2:O177)</f>
        <v>1</v>
      </c>
      <c r="AX134" s="506">
        <f>IF(AND(M134="F",AS134&lt;&gt;0),SUMIF(C2:C177,C134,W2:W177),0)</f>
        <v>53955.199999999997</v>
      </c>
      <c r="AY134" s="506">
        <f t="shared" si="171"/>
        <v>53955.199999999997</v>
      </c>
      <c r="AZ134" s="506" t="str">
        <f t="shared" si="172"/>
        <v/>
      </c>
      <c r="BA134" s="506">
        <f t="shared" si="173"/>
        <v>0</v>
      </c>
      <c r="BB134" s="506">
        <f t="shared" si="142"/>
        <v>11650</v>
      </c>
      <c r="BC134" s="506">
        <f t="shared" si="143"/>
        <v>0</v>
      </c>
      <c r="BD134" s="506">
        <f t="shared" si="144"/>
        <v>3345.2223999999997</v>
      </c>
      <c r="BE134" s="506">
        <f t="shared" si="145"/>
        <v>782.35040000000004</v>
      </c>
      <c r="BF134" s="506">
        <f t="shared" si="146"/>
        <v>6442.2508799999996</v>
      </c>
      <c r="BG134" s="506">
        <f t="shared" si="147"/>
        <v>389.01699200000002</v>
      </c>
      <c r="BH134" s="506">
        <f t="shared" si="148"/>
        <v>264.38047999999998</v>
      </c>
      <c r="BI134" s="506">
        <f t="shared" si="149"/>
        <v>298.64203199999997</v>
      </c>
      <c r="BJ134" s="506">
        <f t="shared" si="150"/>
        <v>663.64895999999999</v>
      </c>
      <c r="BK134" s="506">
        <f t="shared" si="151"/>
        <v>0</v>
      </c>
      <c r="BL134" s="506">
        <f t="shared" si="174"/>
        <v>12185.512144</v>
      </c>
      <c r="BM134" s="506">
        <f t="shared" si="175"/>
        <v>0</v>
      </c>
      <c r="BN134" s="506">
        <f t="shared" si="152"/>
        <v>11650</v>
      </c>
      <c r="BO134" s="506">
        <f t="shared" si="153"/>
        <v>0</v>
      </c>
      <c r="BP134" s="506">
        <f t="shared" si="154"/>
        <v>3345.2223999999997</v>
      </c>
      <c r="BQ134" s="506">
        <f t="shared" si="155"/>
        <v>782.35040000000004</v>
      </c>
      <c r="BR134" s="506">
        <f t="shared" si="156"/>
        <v>6442.2508799999996</v>
      </c>
      <c r="BS134" s="506">
        <f t="shared" si="157"/>
        <v>389.01699200000002</v>
      </c>
      <c r="BT134" s="506">
        <f t="shared" si="158"/>
        <v>0</v>
      </c>
      <c r="BU134" s="506">
        <f t="shared" si="159"/>
        <v>298.64203199999997</v>
      </c>
      <c r="BV134" s="506">
        <f t="shared" si="160"/>
        <v>647.4624</v>
      </c>
      <c r="BW134" s="506">
        <f t="shared" si="161"/>
        <v>0</v>
      </c>
      <c r="BX134" s="506">
        <f t="shared" si="176"/>
        <v>11904.945104</v>
      </c>
      <c r="BY134" s="506">
        <f t="shared" si="177"/>
        <v>0</v>
      </c>
      <c r="BZ134" s="506">
        <f t="shared" si="178"/>
        <v>0</v>
      </c>
      <c r="CA134" s="506">
        <f t="shared" si="179"/>
        <v>0</v>
      </c>
      <c r="CB134" s="506">
        <f t="shared" si="180"/>
        <v>0</v>
      </c>
      <c r="CC134" s="506">
        <f t="shared" si="162"/>
        <v>0</v>
      </c>
      <c r="CD134" s="506">
        <f t="shared" si="163"/>
        <v>0</v>
      </c>
      <c r="CE134" s="506">
        <f t="shared" si="164"/>
        <v>0</v>
      </c>
      <c r="CF134" s="506">
        <f t="shared" si="165"/>
        <v>-264.38047999999998</v>
      </c>
      <c r="CG134" s="506">
        <f t="shared" si="166"/>
        <v>0</v>
      </c>
      <c r="CH134" s="506">
        <f t="shared" si="167"/>
        <v>-16.186559999999997</v>
      </c>
      <c r="CI134" s="506">
        <f t="shared" si="168"/>
        <v>0</v>
      </c>
      <c r="CJ134" s="506">
        <f t="shared" si="181"/>
        <v>-280.56703999999996</v>
      </c>
      <c r="CK134" s="506" t="str">
        <f t="shared" si="182"/>
        <v/>
      </c>
      <c r="CL134" s="506" t="str">
        <f t="shared" si="183"/>
        <v/>
      </c>
      <c r="CM134" s="506" t="str">
        <f t="shared" si="184"/>
        <v/>
      </c>
      <c r="CN134" s="506" t="str">
        <f t="shared" si="185"/>
        <v>0290-00</v>
      </c>
    </row>
    <row r="135" spans="1:92" ht="15.75" thickBot="1" x14ac:dyDescent="0.3">
      <c r="A135" s="495" t="s">
        <v>187</v>
      </c>
      <c r="B135" s="495" t="s">
        <v>188</v>
      </c>
      <c r="C135" s="495" t="s">
        <v>731</v>
      </c>
      <c r="D135" s="495" t="s">
        <v>229</v>
      </c>
      <c r="E135" s="495" t="s">
        <v>191</v>
      </c>
      <c r="F135" s="496" t="s">
        <v>192</v>
      </c>
      <c r="G135" s="495" t="s">
        <v>193</v>
      </c>
      <c r="H135" s="497"/>
      <c r="I135" s="497"/>
      <c r="J135" s="495" t="s">
        <v>254</v>
      </c>
      <c r="K135" s="495" t="s">
        <v>231</v>
      </c>
      <c r="L135" s="495" t="s">
        <v>232</v>
      </c>
      <c r="M135" s="495" t="s">
        <v>197</v>
      </c>
      <c r="N135" s="495" t="s">
        <v>198</v>
      </c>
      <c r="O135" s="498">
        <v>1</v>
      </c>
      <c r="P135" s="504">
        <v>1</v>
      </c>
      <c r="Q135" s="504">
        <v>1</v>
      </c>
      <c r="R135" s="499">
        <v>80</v>
      </c>
      <c r="S135" s="504">
        <v>1</v>
      </c>
      <c r="T135" s="499">
        <v>51611.24</v>
      </c>
      <c r="U135" s="499">
        <v>0</v>
      </c>
      <c r="V135" s="499">
        <v>23078.94</v>
      </c>
      <c r="W135" s="499">
        <v>53934.39</v>
      </c>
      <c r="X135" s="499">
        <v>23831.03</v>
      </c>
      <c r="Y135" s="499">
        <v>53934.39</v>
      </c>
      <c r="Z135" s="499">
        <v>23550.57</v>
      </c>
      <c r="AA135" s="495" t="s">
        <v>732</v>
      </c>
      <c r="AB135" s="495" t="s">
        <v>733</v>
      </c>
      <c r="AC135" s="495" t="s">
        <v>734</v>
      </c>
      <c r="AD135" s="495" t="s">
        <v>344</v>
      </c>
      <c r="AE135" s="495" t="s">
        <v>231</v>
      </c>
      <c r="AF135" s="495" t="s">
        <v>237</v>
      </c>
      <c r="AG135" s="495" t="s">
        <v>204</v>
      </c>
      <c r="AH135" s="500">
        <v>25.93</v>
      </c>
      <c r="AI135" s="498">
        <v>13116</v>
      </c>
      <c r="AJ135" s="495" t="s">
        <v>205</v>
      </c>
      <c r="AK135" s="495" t="s">
        <v>206</v>
      </c>
      <c r="AL135" s="495" t="s">
        <v>207</v>
      </c>
      <c r="AM135" s="495" t="s">
        <v>208</v>
      </c>
      <c r="AN135" s="495" t="s">
        <v>92</v>
      </c>
      <c r="AO135" s="498">
        <v>80</v>
      </c>
      <c r="AP135" s="504">
        <v>1</v>
      </c>
      <c r="AQ135" s="504">
        <v>1</v>
      </c>
      <c r="AR135" s="502" t="s">
        <v>209</v>
      </c>
      <c r="AS135" s="506">
        <f t="shared" si="169"/>
        <v>1</v>
      </c>
      <c r="AT135">
        <f t="shared" si="170"/>
        <v>1</v>
      </c>
      <c r="AU135" s="506">
        <f>IF(AT135=0,"",IF(AND(AT135=1,M135="F",SUMIF(C2:C177,C135,AS2:AS177)&lt;=1),SUMIF(C2:C177,C135,AS2:AS177),IF(AND(AT135=1,M135="F",SUMIF(C2:C177,C135,AS2:AS177)&gt;1),1,"")))</f>
        <v>1</v>
      </c>
      <c r="AV135" s="506" t="str">
        <f>IF(AT135=0,"",IF(AND(AT135=3,M135="F",SUMIF(C2:C177,C135,AS2:AS177)&lt;=1),SUMIF(C2:C177,C135,AS2:AS177),IF(AND(AT135=3,M135="F",SUMIF(C2:C177,C135,AS2:AS177)&gt;1),1,"")))</f>
        <v/>
      </c>
      <c r="AW135" s="506">
        <f>SUMIF(C2:C177,C135,O2:O177)</f>
        <v>1</v>
      </c>
      <c r="AX135" s="506">
        <f>IF(AND(M135="F",AS135&lt;&gt;0),SUMIF(C2:C177,C135,W2:W177),0)</f>
        <v>53934.39</v>
      </c>
      <c r="AY135" s="506">
        <f t="shared" si="171"/>
        <v>53934.39</v>
      </c>
      <c r="AZ135" s="506" t="str">
        <f t="shared" si="172"/>
        <v/>
      </c>
      <c r="BA135" s="506">
        <f t="shared" si="173"/>
        <v>0</v>
      </c>
      <c r="BB135" s="506">
        <f t="shared" si="142"/>
        <v>11650</v>
      </c>
      <c r="BC135" s="506">
        <f t="shared" si="143"/>
        <v>0</v>
      </c>
      <c r="BD135" s="506">
        <f t="shared" si="144"/>
        <v>3343.9321799999998</v>
      </c>
      <c r="BE135" s="506">
        <f t="shared" si="145"/>
        <v>782.04865500000005</v>
      </c>
      <c r="BF135" s="506">
        <f t="shared" si="146"/>
        <v>6439.7661660000003</v>
      </c>
      <c r="BG135" s="506">
        <f t="shared" si="147"/>
        <v>388.8669519</v>
      </c>
      <c r="BH135" s="506">
        <f t="shared" si="148"/>
        <v>264.27851099999998</v>
      </c>
      <c r="BI135" s="506">
        <f t="shared" si="149"/>
        <v>298.52684864999998</v>
      </c>
      <c r="BJ135" s="506">
        <f t="shared" si="150"/>
        <v>663.39299700000004</v>
      </c>
      <c r="BK135" s="506">
        <f t="shared" si="151"/>
        <v>0</v>
      </c>
      <c r="BL135" s="506">
        <f t="shared" si="174"/>
        <v>12180.812309550001</v>
      </c>
      <c r="BM135" s="506">
        <f t="shared" si="175"/>
        <v>0</v>
      </c>
      <c r="BN135" s="506">
        <f t="shared" si="152"/>
        <v>11650</v>
      </c>
      <c r="BO135" s="506">
        <f t="shared" si="153"/>
        <v>0</v>
      </c>
      <c r="BP135" s="506">
        <f t="shared" si="154"/>
        <v>3343.9321799999998</v>
      </c>
      <c r="BQ135" s="506">
        <f t="shared" si="155"/>
        <v>782.04865500000005</v>
      </c>
      <c r="BR135" s="506">
        <f t="shared" si="156"/>
        <v>6439.7661660000003</v>
      </c>
      <c r="BS135" s="506">
        <f t="shared" si="157"/>
        <v>388.8669519</v>
      </c>
      <c r="BT135" s="506">
        <f t="shared" si="158"/>
        <v>0</v>
      </c>
      <c r="BU135" s="506">
        <f t="shared" si="159"/>
        <v>298.52684864999998</v>
      </c>
      <c r="BV135" s="506">
        <f t="shared" si="160"/>
        <v>647.21267999999998</v>
      </c>
      <c r="BW135" s="506">
        <f t="shared" si="161"/>
        <v>0</v>
      </c>
      <c r="BX135" s="506">
        <f t="shared" si="176"/>
        <v>11900.353481550001</v>
      </c>
      <c r="BY135" s="506">
        <f t="shared" si="177"/>
        <v>0</v>
      </c>
      <c r="BZ135" s="506">
        <f t="shared" si="178"/>
        <v>0</v>
      </c>
      <c r="CA135" s="506">
        <f t="shared" si="179"/>
        <v>0</v>
      </c>
      <c r="CB135" s="506">
        <f t="shared" si="180"/>
        <v>0</v>
      </c>
      <c r="CC135" s="506">
        <f t="shared" si="162"/>
        <v>0</v>
      </c>
      <c r="CD135" s="506">
        <f t="shared" si="163"/>
        <v>0</v>
      </c>
      <c r="CE135" s="506">
        <f t="shared" si="164"/>
        <v>0</v>
      </c>
      <c r="CF135" s="506">
        <f t="shared" si="165"/>
        <v>-264.27851099999998</v>
      </c>
      <c r="CG135" s="506">
        <f t="shared" si="166"/>
        <v>0</v>
      </c>
      <c r="CH135" s="506">
        <f t="shared" si="167"/>
        <v>-16.180316999999995</v>
      </c>
      <c r="CI135" s="506">
        <f t="shared" si="168"/>
        <v>0</v>
      </c>
      <c r="CJ135" s="506">
        <f t="shared" si="181"/>
        <v>-280.45882799999998</v>
      </c>
      <c r="CK135" s="506" t="str">
        <f t="shared" si="182"/>
        <v/>
      </c>
      <c r="CL135" s="506" t="str">
        <f t="shared" si="183"/>
        <v/>
      </c>
      <c r="CM135" s="506" t="str">
        <f t="shared" si="184"/>
        <v/>
      </c>
      <c r="CN135" s="506" t="str">
        <f t="shared" si="185"/>
        <v>0290-00</v>
      </c>
    </row>
    <row r="136" spans="1:92" ht="15.75" thickBot="1" x14ac:dyDescent="0.3">
      <c r="A136" s="495" t="s">
        <v>187</v>
      </c>
      <c r="B136" s="495" t="s">
        <v>188</v>
      </c>
      <c r="C136" s="495" t="s">
        <v>735</v>
      </c>
      <c r="D136" s="495" t="s">
        <v>678</v>
      </c>
      <c r="E136" s="495" t="s">
        <v>191</v>
      </c>
      <c r="F136" s="496" t="s">
        <v>192</v>
      </c>
      <c r="G136" s="495" t="s">
        <v>193</v>
      </c>
      <c r="H136" s="497"/>
      <c r="I136" s="497"/>
      <c r="J136" s="495" t="s">
        <v>225</v>
      </c>
      <c r="K136" s="495" t="s">
        <v>679</v>
      </c>
      <c r="L136" s="495" t="s">
        <v>305</v>
      </c>
      <c r="M136" s="495" t="s">
        <v>197</v>
      </c>
      <c r="N136" s="495" t="s">
        <v>198</v>
      </c>
      <c r="O136" s="498">
        <v>1</v>
      </c>
      <c r="P136" s="504">
        <v>1</v>
      </c>
      <c r="Q136" s="504">
        <v>1</v>
      </c>
      <c r="R136" s="499">
        <v>80</v>
      </c>
      <c r="S136" s="504">
        <v>1</v>
      </c>
      <c r="T136" s="499">
        <v>64600.71</v>
      </c>
      <c r="U136" s="499">
        <v>0</v>
      </c>
      <c r="V136" s="499">
        <v>25867.59</v>
      </c>
      <c r="W136" s="499">
        <v>75025.600000000006</v>
      </c>
      <c r="X136" s="499">
        <v>28594.5</v>
      </c>
      <c r="Y136" s="499">
        <v>75025.600000000006</v>
      </c>
      <c r="Z136" s="499">
        <v>28204.37</v>
      </c>
      <c r="AA136" s="495" t="s">
        <v>736</v>
      </c>
      <c r="AB136" s="495" t="s">
        <v>737</v>
      </c>
      <c r="AC136" s="495" t="s">
        <v>738</v>
      </c>
      <c r="AD136" s="495" t="s">
        <v>232</v>
      </c>
      <c r="AE136" s="495" t="s">
        <v>679</v>
      </c>
      <c r="AF136" s="495" t="s">
        <v>440</v>
      </c>
      <c r="AG136" s="495" t="s">
        <v>204</v>
      </c>
      <c r="AH136" s="500">
        <v>36.07</v>
      </c>
      <c r="AI136" s="500">
        <v>6728.2</v>
      </c>
      <c r="AJ136" s="495" t="s">
        <v>205</v>
      </c>
      <c r="AK136" s="495" t="s">
        <v>206</v>
      </c>
      <c r="AL136" s="495" t="s">
        <v>207</v>
      </c>
      <c r="AM136" s="495" t="s">
        <v>208</v>
      </c>
      <c r="AN136" s="495" t="s">
        <v>92</v>
      </c>
      <c r="AO136" s="498">
        <v>80</v>
      </c>
      <c r="AP136" s="504">
        <v>1</v>
      </c>
      <c r="AQ136" s="504">
        <v>1</v>
      </c>
      <c r="AR136" s="502" t="s">
        <v>209</v>
      </c>
      <c r="AS136" s="506">
        <f t="shared" si="169"/>
        <v>1</v>
      </c>
      <c r="AT136">
        <f t="shared" si="170"/>
        <v>1</v>
      </c>
      <c r="AU136" s="506">
        <f>IF(AT136=0,"",IF(AND(AT136=1,M136="F",SUMIF(C2:C177,C136,AS2:AS177)&lt;=1),SUMIF(C2:C177,C136,AS2:AS177),IF(AND(AT136=1,M136="F",SUMIF(C2:C177,C136,AS2:AS177)&gt;1),1,"")))</f>
        <v>1</v>
      </c>
      <c r="AV136" s="506" t="str">
        <f>IF(AT136=0,"",IF(AND(AT136=3,M136="F",SUMIF(C2:C177,C136,AS2:AS177)&lt;=1),SUMIF(C2:C177,C136,AS2:AS177),IF(AND(AT136=3,M136="F",SUMIF(C2:C177,C136,AS2:AS177)&gt;1),1,"")))</f>
        <v/>
      </c>
      <c r="AW136" s="506">
        <f>SUMIF(C2:C177,C136,O2:O177)</f>
        <v>1</v>
      </c>
      <c r="AX136" s="506">
        <f>IF(AND(M136="F",AS136&lt;&gt;0),SUMIF(C2:C177,C136,W2:W177),0)</f>
        <v>75025.600000000006</v>
      </c>
      <c r="AY136" s="506">
        <f t="shared" si="171"/>
        <v>75025.600000000006</v>
      </c>
      <c r="AZ136" s="506" t="str">
        <f t="shared" si="172"/>
        <v/>
      </c>
      <c r="BA136" s="506">
        <f t="shared" si="173"/>
        <v>0</v>
      </c>
      <c r="BB136" s="506">
        <f t="shared" si="142"/>
        <v>11650</v>
      </c>
      <c r="BC136" s="506">
        <f t="shared" si="143"/>
        <v>0</v>
      </c>
      <c r="BD136" s="506">
        <f t="shared" si="144"/>
        <v>4651.5871999999999</v>
      </c>
      <c r="BE136" s="506">
        <f t="shared" si="145"/>
        <v>1087.8712</v>
      </c>
      <c r="BF136" s="506">
        <f t="shared" si="146"/>
        <v>8958.0566400000007</v>
      </c>
      <c r="BG136" s="506">
        <f t="shared" si="147"/>
        <v>540.93457600000011</v>
      </c>
      <c r="BH136" s="506">
        <f t="shared" si="148"/>
        <v>367.62544000000003</v>
      </c>
      <c r="BI136" s="506">
        <f t="shared" si="149"/>
        <v>415.26669600000002</v>
      </c>
      <c r="BJ136" s="506">
        <f t="shared" si="150"/>
        <v>922.81488000000013</v>
      </c>
      <c r="BK136" s="506">
        <f t="shared" si="151"/>
        <v>0</v>
      </c>
      <c r="BL136" s="506">
        <f t="shared" si="174"/>
        <v>16944.156632000002</v>
      </c>
      <c r="BM136" s="506">
        <f t="shared" si="175"/>
        <v>0</v>
      </c>
      <c r="BN136" s="506">
        <f t="shared" si="152"/>
        <v>11650</v>
      </c>
      <c r="BO136" s="506">
        <f t="shared" si="153"/>
        <v>0</v>
      </c>
      <c r="BP136" s="506">
        <f t="shared" si="154"/>
        <v>4651.5871999999999</v>
      </c>
      <c r="BQ136" s="506">
        <f t="shared" si="155"/>
        <v>1087.8712</v>
      </c>
      <c r="BR136" s="506">
        <f t="shared" si="156"/>
        <v>8958.0566400000007</v>
      </c>
      <c r="BS136" s="506">
        <f t="shared" si="157"/>
        <v>540.93457600000011</v>
      </c>
      <c r="BT136" s="506">
        <f t="shared" si="158"/>
        <v>0</v>
      </c>
      <c r="BU136" s="506">
        <f t="shared" si="159"/>
        <v>415.26669600000002</v>
      </c>
      <c r="BV136" s="506">
        <f t="shared" si="160"/>
        <v>900.30720000000008</v>
      </c>
      <c r="BW136" s="506">
        <f t="shared" si="161"/>
        <v>0</v>
      </c>
      <c r="BX136" s="506">
        <f t="shared" si="176"/>
        <v>16554.023512</v>
      </c>
      <c r="BY136" s="506">
        <f t="shared" si="177"/>
        <v>0</v>
      </c>
      <c r="BZ136" s="506">
        <f t="shared" si="178"/>
        <v>0</v>
      </c>
      <c r="CA136" s="506">
        <f t="shared" si="179"/>
        <v>0</v>
      </c>
      <c r="CB136" s="506">
        <f t="shared" si="180"/>
        <v>0</v>
      </c>
      <c r="CC136" s="506">
        <f t="shared" si="162"/>
        <v>0</v>
      </c>
      <c r="CD136" s="506">
        <f t="shared" si="163"/>
        <v>0</v>
      </c>
      <c r="CE136" s="506">
        <f t="shared" si="164"/>
        <v>0</v>
      </c>
      <c r="CF136" s="506">
        <f t="shared" si="165"/>
        <v>-367.62544000000003</v>
      </c>
      <c r="CG136" s="506">
        <f t="shared" si="166"/>
        <v>0</v>
      </c>
      <c r="CH136" s="506">
        <f t="shared" si="167"/>
        <v>-22.507679999999997</v>
      </c>
      <c r="CI136" s="506">
        <f t="shared" si="168"/>
        <v>0</v>
      </c>
      <c r="CJ136" s="506">
        <f t="shared" si="181"/>
        <v>-390.13312000000002</v>
      </c>
      <c r="CK136" s="506" t="str">
        <f t="shared" si="182"/>
        <v/>
      </c>
      <c r="CL136" s="506" t="str">
        <f t="shared" si="183"/>
        <v/>
      </c>
      <c r="CM136" s="506" t="str">
        <f t="shared" si="184"/>
        <v/>
      </c>
      <c r="CN136" s="506" t="str">
        <f t="shared" si="185"/>
        <v>0290-00</v>
      </c>
    </row>
    <row r="137" spans="1:92" ht="15.75" thickBot="1" x14ac:dyDescent="0.3">
      <c r="A137" s="495" t="s">
        <v>187</v>
      </c>
      <c r="B137" s="495" t="s">
        <v>188</v>
      </c>
      <c r="C137" s="495" t="s">
        <v>739</v>
      </c>
      <c r="D137" s="495" t="s">
        <v>463</v>
      </c>
      <c r="E137" s="495" t="s">
        <v>191</v>
      </c>
      <c r="F137" s="496" t="s">
        <v>192</v>
      </c>
      <c r="G137" s="495" t="s">
        <v>193</v>
      </c>
      <c r="H137" s="497"/>
      <c r="I137" s="497"/>
      <c r="J137" s="495" t="s">
        <v>358</v>
      </c>
      <c r="K137" s="495" t="s">
        <v>464</v>
      </c>
      <c r="L137" s="495" t="s">
        <v>204</v>
      </c>
      <c r="M137" s="495" t="s">
        <v>213</v>
      </c>
      <c r="N137" s="495" t="s">
        <v>198</v>
      </c>
      <c r="O137" s="498">
        <v>0</v>
      </c>
      <c r="P137" s="504">
        <v>1</v>
      </c>
      <c r="Q137" s="504">
        <v>1</v>
      </c>
      <c r="R137" s="499">
        <v>80</v>
      </c>
      <c r="S137" s="504">
        <v>1</v>
      </c>
      <c r="T137" s="499">
        <v>32477.27</v>
      </c>
      <c r="U137" s="499">
        <v>0</v>
      </c>
      <c r="V137" s="499">
        <v>17025.919999999998</v>
      </c>
      <c r="W137" s="499">
        <v>32094.38</v>
      </c>
      <c r="X137" s="499">
        <v>14057.31</v>
      </c>
      <c r="Y137" s="499">
        <v>32094.38</v>
      </c>
      <c r="Z137" s="499">
        <v>13896.84</v>
      </c>
      <c r="AA137" s="497"/>
      <c r="AB137" s="495" t="s">
        <v>23</v>
      </c>
      <c r="AC137" s="495" t="s">
        <v>23</v>
      </c>
      <c r="AD137" s="497"/>
      <c r="AE137" s="497"/>
      <c r="AF137" s="497"/>
      <c r="AG137" s="497"/>
      <c r="AH137" s="498">
        <v>0</v>
      </c>
      <c r="AI137" s="498">
        <v>0</v>
      </c>
      <c r="AJ137" s="497"/>
      <c r="AK137" s="497"/>
      <c r="AL137" s="495" t="s">
        <v>207</v>
      </c>
      <c r="AM137" s="497"/>
      <c r="AN137" s="497"/>
      <c r="AO137" s="498">
        <v>0</v>
      </c>
      <c r="AP137" s="504">
        <v>0</v>
      </c>
      <c r="AQ137" s="504">
        <v>0</v>
      </c>
      <c r="AR137" s="503"/>
      <c r="AS137" s="506">
        <f t="shared" si="169"/>
        <v>0</v>
      </c>
      <c r="AT137">
        <f t="shared" si="170"/>
        <v>0</v>
      </c>
      <c r="AU137" s="506" t="str">
        <f>IF(AT137=0,"",IF(AND(AT137=1,M137="F",SUMIF(C2:C177,C137,AS2:AS177)&lt;=1),SUMIF(C2:C177,C137,AS2:AS177),IF(AND(AT137=1,M137="F",SUMIF(C2:C177,C137,AS2:AS177)&gt;1),1,"")))</f>
        <v/>
      </c>
      <c r="AV137" s="506" t="str">
        <f>IF(AT137=0,"",IF(AND(AT137=3,M137="F",SUMIF(C2:C177,C137,AS2:AS177)&lt;=1),SUMIF(C2:C177,C137,AS2:AS177),IF(AND(AT137=3,M137="F",SUMIF(C2:C177,C137,AS2:AS177)&gt;1),1,"")))</f>
        <v/>
      </c>
      <c r="AW137" s="506">
        <f>SUMIF(C2:C177,C137,O2:O177)</f>
        <v>0</v>
      </c>
      <c r="AX137" s="506">
        <f>IF(AND(M137="F",AS137&lt;&gt;0),SUMIF(C2:C177,C137,W2:W177),0)</f>
        <v>0</v>
      </c>
      <c r="AY137" s="506" t="str">
        <f t="shared" si="171"/>
        <v/>
      </c>
      <c r="AZ137" s="506" t="str">
        <f t="shared" si="172"/>
        <v/>
      </c>
      <c r="BA137" s="506">
        <f t="shared" si="173"/>
        <v>0</v>
      </c>
      <c r="BB137" s="506">
        <f t="shared" si="142"/>
        <v>0</v>
      </c>
      <c r="BC137" s="506">
        <f t="shared" si="143"/>
        <v>0</v>
      </c>
      <c r="BD137" s="506">
        <f t="shared" si="144"/>
        <v>0</v>
      </c>
      <c r="BE137" s="506">
        <f t="shared" si="145"/>
        <v>0</v>
      </c>
      <c r="BF137" s="506">
        <f t="shared" si="146"/>
        <v>0</v>
      </c>
      <c r="BG137" s="506">
        <f t="shared" si="147"/>
        <v>0</v>
      </c>
      <c r="BH137" s="506">
        <f t="shared" si="148"/>
        <v>0</v>
      </c>
      <c r="BI137" s="506">
        <f t="shared" si="149"/>
        <v>0</v>
      </c>
      <c r="BJ137" s="506">
        <f t="shared" si="150"/>
        <v>0</v>
      </c>
      <c r="BK137" s="506">
        <f t="shared" si="151"/>
        <v>0</v>
      </c>
      <c r="BL137" s="506">
        <f t="shared" si="174"/>
        <v>0</v>
      </c>
      <c r="BM137" s="506">
        <f t="shared" si="175"/>
        <v>0</v>
      </c>
      <c r="BN137" s="506">
        <f t="shared" si="152"/>
        <v>0</v>
      </c>
      <c r="BO137" s="506">
        <f t="shared" si="153"/>
        <v>0</v>
      </c>
      <c r="BP137" s="506">
        <f t="shared" si="154"/>
        <v>0</v>
      </c>
      <c r="BQ137" s="506">
        <f t="shared" si="155"/>
        <v>0</v>
      </c>
      <c r="BR137" s="506">
        <f t="shared" si="156"/>
        <v>0</v>
      </c>
      <c r="BS137" s="506">
        <f t="shared" si="157"/>
        <v>0</v>
      </c>
      <c r="BT137" s="506">
        <f t="shared" si="158"/>
        <v>0</v>
      </c>
      <c r="BU137" s="506">
        <f t="shared" si="159"/>
        <v>0</v>
      </c>
      <c r="BV137" s="506">
        <f t="shared" si="160"/>
        <v>0</v>
      </c>
      <c r="BW137" s="506">
        <f t="shared" si="161"/>
        <v>0</v>
      </c>
      <c r="BX137" s="506">
        <f t="shared" si="176"/>
        <v>0</v>
      </c>
      <c r="BY137" s="506">
        <f t="shared" si="177"/>
        <v>0</v>
      </c>
      <c r="BZ137" s="506">
        <f t="shared" si="178"/>
        <v>0</v>
      </c>
      <c r="CA137" s="506">
        <f t="shared" si="179"/>
        <v>0</v>
      </c>
      <c r="CB137" s="506">
        <f t="shared" si="180"/>
        <v>0</v>
      </c>
      <c r="CC137" s="506">
        <f t="shared" si="162"/>
        <v>0</v>
      </c>
      <c r="CD137" s="506">
        <f t="shared" si="163"/>
        <v>0</v>
      </c>
      <c r="CE137" s="506">
        <f t="shared" si="164"/>
        <v>0</v>
      </c>
      <c r="CF137" s="506">
        <f t="shared" si="165"/>
        <v>0</v>
      </c>
      <c r="CG137" s="506">
        <f t="shared" si="166"/>
        <v>0</v>
      </c>
      <c r="CH137" s="506">
        <f t="shared" si="167"/>
        <v>0</v>
      </c>
      <c r="CI137" s="506">
        <f t="shared" si="168"/>
        <v>0</v>
      </c>
      <c r="CJ137" s="506">
        <f t="shared" si="181"/>
        <v>0</v>
      </c>
      <c r="CK137" s="506" t="str">
        <f t="shared" si="182"/>
        <v/>
      </c>
      <c r="CL137" s="506" t="str">
        <f t="shared" si="183"/>
        <v/>
      </c>
      <c r="CM137" s="506" t="str">
        <f t="shared" si="184"/>
        <v/>
      </c>
      <c r="CN137" s="506" t="str">
        <f t="shared" si="185"/>
        <v>0290-00</v>
      </c>
    </row>
    <row r="138" spans="1:92" ht="15.75" thickBot="1" x14ac:dyDescent="0.3">
      <c r="A138" s="495" t="s">
        <v>187</v>
      </c>
      <c r="B138" s="495" t="s">
        <v>188</v>
      </c>
      <c r="C138" s="495" t="s">
        <v>740</v>
      </c>
      <c r="D138" s="495" t="s">
        <v>541</v>
      </c>
      <c r="E138" s="495" t="s">
        <v>191</v>
      </c>
      <c r="F138" s="496" t="s">
        <v>192</v>
      </c>
      <c r="G138" s="495" t="s">
        <v>193</v>
      </c>
      <c r="H138" s="497"/>
      <c r="I138" s="497"/>
      <c r="J138" s="495" t="s">
        <v>216</v>
      </c>
      <c r="K138" s="495" t="s">
        <v>542</v>
      </c>
      <c r="L138" s="495" t="s">
        <v>286</v>
      </c>
      <c r="M138" s="495" t="s">
        <v>197</v>
      </c>
      <c r="N138" s="495" t="s">
        <v>198</v>
      </c>
      <c r="O138" s="498">
        <v>1</v>
      </c>
      <c r="P138" s="504">
        <v>1</v>
      </c>
      <c r="Q138" s="504">
        <v>1</v>
      </c>
      <c r="R138" s="499">
        <v>80</v>
      </c>
      <c r="S138" s="504">
        <v>1</v>
      </c>
      <c r="T138" s="499">
        <v>35994.03</v>
      </c>
      <c r="U138" s="499">
        <v>1369.92</v>
      </c>
      <c r="V138" s="499">
        <v>19443.560000000001</v>
      </c>
      <c r="W138" s="499">
        <v>37273.57</v>
      </c>
      <c r="X138" s="499">
        <v>20068.169999999998</v>
      </c>
      <c r="Y138" s="499">
        <v>37273.57</v>
      </c>
      <c r="Z138" s="499">
        <v>19874.349999999999</v>
      </c>
      <c r="AA138" s="495" t="s">
        <v>741</v>
      </c>
      <c r="AB138" s="495" t="s">
        <v>742</v>
      </c>
      <c r="AC138" s="495" t="s">
        <v>743</v>
      </c>
      <c r="AD138" s="495" t="s">
        <v>196</v>
      </c>
      <c r="AE138" s="495" t="s">
        <v>542</v>
      </c>
      <c r="AF138" s="495" t="s">
        <v>290</v>
      </c>
      <c r="AG138" s="495" t="s">
        <v>204</v>
      </c>
      <c r="AH138" s="500">
        <v>17.920000000000002</v>
      </c>
      <c r="AI138" s="500">
        <v>5931.3</v>
      </c>
      <c r="AJ138" s="495" t="s">
        <v>205</v>
      </c>
      <c r="AK138" s="495" t="s">
        <v>206</v>
      </c>
      <c r="AL138" s="495" t="s">
        <v>207</v>
      </c>
      <c r="AM138" s="495" t="s">
        <v>208</v>
      </c>
      <c r="AN138" s="495" t="s">
        <v>92</v>
      </c>
      <c r="AO138" s="498">
        <v>80</v>
      </c>
      <c r="AP138" s="504">
        <v>1</v>
      </c>
      <c r="AQ138" s="504">
        <v>1</v>
      </c>
      <c r="AR138" s="502" t="s">
        <v>209</v>
      </c>
      <c r="AS138" s="506">
        <f t="shared" si="169"/>
        <v>1</v>
      </c>
      <c r="AT138">
        <f t="shared" si="170"/>
        <v>1</v>
      </c>
      <c r="AU138" s="506">
        <f>IF(AT138=0,"",IF(AND(AT138=1,M138="F",SUMIF(C2:C177,C138,AS2:AS177)&lt;=1),SUMIF(C2:C177,C138,AS2:AS177),IF(AND(AT138=1,M138="F",SUMIF(C2:C177,C138,AS2:AS177)&gt;1),1,"")))</f>
        <v>1</v>
      </c>
      <c r="AV138" s="506" t="str">
        <f>IF(AT138=0,"",IF(AND(AT138=3,M138="F",SUMIF(C2:C177,C138,AS2:AS177)&lt;=1),SUMIF(C2:C177,C138,AS2:AS177),IF(AND(AT138=3,M138="F",SUMIF(C2:C177,C138,AS2:AS177)&gt;1),1,"")))</f>
        <v/>
      </c>
      <c r="AW138" s="506">
        <f>SUMIF(C2:C177,C138,O2:O177)</f>
        <v>1</v>
      </c>
      <c r="AX138" s="506">
        <f>IF(AND(M138="F",AS138&lt;&gt;0),SUMIF(C2:C177,C138,W2:W177),0)</f>
        <v>37273.57</v>
      </c>
      <c r="AY138" s="506">
        <f t="shared" si="171"/>
        <v>37273.57</v>
      </c>
      <c r="AZ138" s="506" t="str">
        <f t="shared" si="172"/>
        <v/>
      </c>
      <c r="BA138" s="506">
        <f t="shared" si="173"/>
        <v>0</v>
      </c>
      <c r="BB138" s="506">
        <f t="shared" si="142"/>
        <v>11650</v>
      </c>
      <c r="BC138" s="506">
        <f t="shared" si="143"/>
        <v>0</v>
      </c>
      <c r="BD138" s="506">
        <f t="shared" si="144"/>
        <v>2310.9613399999998</v>
      </c>
      <c r="BE138" s="506">
        <f t="shared" si="145"/>
        <v>540.46676500000001</v>
      </c>
      <c r="BF138" s="506">
        <f t="shared" si="146"/>
        <v>4450.464258</v>
      </c>
      <c r="BG138" s="506">
        <f t="shared" si="147"/>
        <v>268.74243970000003</v>
      </c>
      <c r="BH138" s="506">
        <f t="shared" si="148"/>
        <v>182.64049299999999</v>
      </c>
      <c r="BI138" s="506">
        <f t="shared" si="149"/>
        <v>206.30920995</v>
      </c>
      <c r="BJ138" s="506">
        <f t="shared" si="150"/>
        <v>458.46491100000003</v>
      </c>
      <c r="BK138" s="506">
        <f t="shared" si="151"/>
        <v>0</v>
      </c>
      <c r="BL138" s="506">
        <f t="shared" si="174"/>
        <v>8418.0494166499993</v>
      </c>
      <c r="BM138" s="506">
        <f t="shared" si="175"/>
        <v>0</v>
      </c>
      <c r="BN138" s="506">
        <f t="shared" si="152"/>
        <v>11650</v>
      </c>
      <c r="BO138" s="506">
        <f t="shared" si="153"/>
        <v>0</v>
      </c>
      <c r="BP138" s="506">
        <f t="shared" si="154"/>
        <v>2310.9613399999998</v>
      </c>
      <c r="BQ138" s="506">
        <f t="shared" si="155"/>
        <v>540.46676500000001</v>
      </c>
      <c r="BR138" s="506">
        <f t="shared" si="156"/>
        <v>4450.464258</v>
      </c>
      <c r="BS138" s="506">
        <f t="shared" si="157"/>
        <v>268.74243970000003</v>
      </c>
      <c r="BT138" s="506">
        <f t="shared" si="158"/>
        <v>0</v>
      </c>
      <c r="BU138" s="506">
        <f t="shared" si="159"/>
        <v>206.30920995</v>
      </c>
      <c r="BV138" s="506">
        <f t="shared" si="160"/>
        <v>447.28284000000002</v>
      </c>
      <c r="BW138" s="506">
        <f t="shared" si="161"/>
        <v>0</v>
      </c>
      <c r="BX138" s="506">
        <f t="shared" si="176"/>
        <v>8224.2268526500011</v>
      </c>
      <c r="BY138" s="506">
        <f t="shared" si="177"/>
        <v>0</v>
      </c>
      <c r="BZ138" s="506">
        <f t="shared" si="178"/>
        <v>0</v>
      </c>
      <c r="CA138" s="506">
        <f t="shared" si="179"/>
        <v>0</v>
      </c>
      <c r="CB138" s="506">
        <f t="shared" si="180"/>
        <v>0</v>
      </c>
      <c r="CC138" s="506">
        <f t="shared" si="162"/>
        <v>0</v>
      </c>
      <c r="CD138" s="506">
        <f t="shared" si="163"/>
        <v>0</v>
      </c>
      <c r="CE138" s="506">
        <f t="shared" si="164"/>
        <v>0</v>
      </c>
      <c r="CF138" s="506">
        <f t="shared" si="165"/>
        <v>-182.64049299999999</v>
      </c>
      <c r="CG138" s="506">
        <f t="shared" si="166"/>
        <v>0</v>
      </c>
      <c r="CH138" s="506">
        <f t="shared" si="167"/>
        <v>-11.182070999999997</v>
      </c>
      <c r="CI138" s="506">
        <f t="shared" si="168"/>
        <v>0</v>
      </c>
      <c r="CJ138" s="506">
        <f t="shared" si="181"/>
        <v>-193.822564</v>
      </c>
      <c r="CK138" s="506" t="str">
        <f t="shared" si="182"/>
        <v/>
      </c>
      <c r="CL138" s="506" t="str">
        <f t="shared" si="183"/>
        <v/>
      </c>
      <c r="CM138" s="506" t="str">
        <f t="shared" si="184"/>
        <v/>
      </c>
      <c r="CN138" s="506" t="str">
        <f t="shared" si="185"/>
        <v>0290-00</v>
      </c>
    </row>
    <row r="139" spans="1:92" ht="15.75" thickBot="1" x14ac:dyDescent="0.3">
      <c r="A139" s="495" t="s">
        <v>187</v>
      </c>
      <c r="B139" s="495" t="s">
        <v>188</v>
      </c>
      <c r="C139" s="495" t="s">
        <v>744</v>
      </c>
      <c r="D139" s="495" t="s">
        <v>265</v>
      </c>
      <c r="E139" s="495" t="s">
        <v>191</v>
      </c>
      <c r="F139" s="496" t="s">
        <v>192</v>
      </c>
      <c r="G139" s="495" t="s">
        <v>193</v>
      </c>
      <c r="H139" s="497"/>
      <c r="I139" s="497"/>
      <c r="J139" s="495" t="s">
        <v>194</v>
      </c>
      <c r="K139" s="495" t="s">
        <v>266</v>
      </c>
      <c r="L139" s="495" t="s">
        <v>232</v>
      </c>
      <c r="M139" s="495" t="s">
        <v>213</v>
      </c>
      <c r="N139" s="495" t="s">
        <v>227</v>
      </c>
      <c r="O139" s="498">
        <v>0</v>
      </c>
      <c r="P139" s="504">
        <v>0.4</v>
      </c>
      <c r="Q139" s="504">
        <v>0</v>
      </c>
      <c r="R139" s="499">
        <v>0</v>
      </c>
      <c r="S139" s="504">
        <v>0</v>
      </c>
      <c r="T139" s="499">
        <v>20344.599999999999</v>
      </c>
      <c r="U139" s="499">
        <v>227.48</v>
      </c>
      <c r="V139" s="499">
        <v>9531.27</v>
      </c>
      <c r="W139" s="499">
        <v>8228.83</v>
      </c>
      <c r="X139" s="499">
        <v>3812.5</v>
      </c>
      <c r="Y139" s="499">
        <v>8228.83</v>
      </c>
      <c r="Z139" s="499">
        <v>3812.5</v>
      </c>
      <c r="AA139" s="497"/>
      <c r="AB139" s="495" t="s">
        <v>23</v>
      </c>
      <c r="AC139" s="495" t="s">
        <v>23</v>
      </c>
      <c r="AD139" s="497"/>
      <c r="AE139" s="497"/>
      <c r="AF139" s="497"/>
      <c r="AG139" s="497"/>
      <c r="AH139" s="498">
        <v>0</v>
      </c>
      <c r="AI139" s="498">
        <v>0</v>
      </c>
      <c r="AJ139" s="497"/>
      <c r="AK139" s="497"/>
      <c r="AL139" s="495" t="s">
        <v>207</v>
      </c>
      <c r="AM139" s="497"/>
      <c r="AN139" s="497"/>
      <c r="AO139" s="498">
        <v>0</v>
      </c>
      <c r="AP139" s="504">
        <v>0</v>
      </c>
      <c r="AQ139" s="504">
        <v>0</v>
      </c>
      <c r="AR139" s="503"/>
      <c r="AS139" s="506">
        <f t="shared" si="169"/>
        <v>0</v>
      </c>
      <c r="AT139">
        <f t="shared" si="170"/>
        <v>0</v>
      </c>
      <c r="AU139" s="506" t="str">
        <f>IF(AT139=0,"",IF(AND(AT139=1,M139="F",SUMIF(C2:C177,C139,AS2:AS177)&lt;=1),SUMIF(C2:C177,C139,AS2:AS177),IF(AND(AT139=1,M139="F",SUMIF(C2:C177,C139,AS2:AS177)&gt;1),1,"")))</f>
        <v/>
      </c>
      <c r="AV139" s="506" t="str">
        <f>IF(AT139=0,"",IF(AND(AT139=3,M139="F",SUMIF(C2:C177,C139,AS2:AS177)&lt;=1),SUMIF(C2:C177,C139,AS2:AS177),IF(AND(AT139=3,M139="F",SUMIF(C2:C177,C139,AS2:AS177)&gt;1),1,"")))</f>
        <v/>
      </c>
      <c r="AW139" s="506">
        <f>SUMIF(C2:C177,C139,O2:O177)</f>
        <v>0</v>
      </c>
      <c r="AX139" s="506">
        <f>IF(AND(M139="F",AS139&lt;&gt;0),SUMIF(C2:C177,C139,W2:W177),0)</f>
        <v>0</v>
      </c>
      <c r="AY139" s="506" t="str">
        <f t="shared" si="171"/>
        <v/>
      </c>
      <c r="AZ139" s="506" t="str">
        <f t="shared" si="172"/>
        <v/>
      </c>
      <c r="BA139" s="506">
        <f t="shared" si="173"/>
        <v>0</v>
      </c>
      <c r="BB139" s="506">
        <f t="shared" si="142"/>
        <v>0</v>
      </c>
      <c r="BC139" s="506">
        <f t="shared" si="143"/>
        <v>0</v>
      </c>
      <c r="BD139" s="506">
        <f t="shared" si="144"/>
        <v>0</v>
      </c>
      <c r="BE139" s="506">
        <f t="shared" si="145"/>
        <v>0</v>
      </c>
      <c r="BF139" s="506">
        <f t="shared" si="146"/>
        <v>0</v>
      </c>
      <c r="BG139" s="506">
        <f t="shared" si="147"/>
        <v>0</v>
      </c>
      <c r="BH139" s="506">
        <f t="shared" si="148"/>
        <v>0</v>
      </c>
      <c r="BI139" s="506">
        <f t="shared" si="149"/>
        <v>0</v>
      </c>
      <c r="BJ139" s="506">
        <f t="shared" si="150"/>
        <v>0</v>
      </c>
      <c r="BK139" s="506">
        <f t="shared" si="151"/>
        <v>0</v>
      </c>
      <c r="BL139" s="506">
        <f t="shared" si="174"/>
        <v>0</v>
      </c>
      <c r="BM139" s="506">
        <f t="shared" si="175"/>
        <v>0</v>
      </c>
      <c r="BN139" s="506">
        <f t="shared" si="152"/>
        <v>0</v>
      </c>
      <c r="BO139" s="506">
        <f t="shared" si="153"/>
        <v>0</v>
      </c>
      <c r="BP139" s="506">
        <f t="shared" si="154"/>
        <v>0</v>
      </c>
      <c r="BQ139" s="506">
        <f t="shared" si="155"/>
        <v>0</v>
      </c>
      <c r="BR139" s="506">
        <f t="shared" si="156"/>
        <v>0</v>
      </c>
      <c r="BS139" s="506">
        <f t="shared" si="157"/>
        <v>0</v>
      </c>
      <c r="BT139" s="506">
        <f t="shared" si="158"/>
        <v>0</v>
      </c>
      <c r="BU139" s="506">
        <f t="shared" si="159"/>
        <v>0</v>
      </c>
      <c r="BV139" s="506">
        <f t="shared" si="160"/>
        <v>0</v>
      </c>
      <c r="BW139" s="506">
        <f t="shared" si="161"/>
        <v>0</v>
      </c>
      <c r="BX139" s="506">
        <f t="shared" si="176"/>
        <v>0</v>
      </c>
      <c r="BY139" s="506">
        <f t="shared" si="177"/>
        <v>0</v>
      </c>
      <c r="BZ139" s="506">
        <f t="shared" si="178"/>
        <v>0</v>
      </c>
      <c r="CA139" s="506">
        <f t="shared" si="179"/>
        <v>0</v>
      </c>
      <c r="CB139" s="506">
        <f t="shared" si="180"/>
        <v>0</v>
      </c>
      <c r="CC139" s="506">
        <f t="shared" si="162"/>
        <v>0</v>
      </c>
      <c r="CD139" s="506">
        <f t="shared" si="163"/>
        <v>0</v>
      </c>
      <c r="CE139" s="506">
        <f t="shared" si="164"/>
        <v>0</v>
      </c>
      <c r="CF139" s="506">
        <f t="shared" si="165"/>
        <v>0</v>
      </c>
      <c r="CG139" s="506">
        <f t="shared" si="166"/>
        <v>0</v>
      </c>
      <c r="CH139" s="506">
        <f t="shared" si="167"/>
        <v>0</v>
      </c>
      <c r="CI139" s="506">
        <f t="shared" si="168"/>
        <v>0</v>
      </c>
      <c r="CJ139" s="506">
        <f t="shared" si="181"/>
        <v>0</v>
      </c>
      <c r="CK139" s="506" t="str">
        <f t="shared" si="182"/>
        <v/>
      </c>
      <c r="CL139" s="506">
        <f t="shared" si="183"/>
        <v>20572.079999999998</v>
      </c>
      <c r="CM139" s="506">
        <f t="shared" si="184"/>
        <v>9531.27</v>
      </c>
      <c r="CN139" s="506" t="str">
        <f t="shared" si="185"/>
        <v>0290-00</v>
      </c>
    </row>
    <row r="140" spans="1:92" ht="15.75" thickBot="1" x14ac:dyDescent="0.3">
      <c r="A140" s="495" t="s">
        <v>187</v>
      </c>
      <c r="B140" s="495" t="s">
        <v>188</v>
      </c>
      <c r="C140" s="495" t="s">
        <v>745</v>
      </c>
      <c r="D140" s="495" t="s">
        <v>300</v>
      </c>
      <c r="E140" s="495" t="s">
        <v>191</v>
      </c>
      <c r="F140" s="496" t="s">
        <v>192</v>
      </c>
      <c r="G140" s="495" t="s">
        <v>193</v>
      </c>
      <c r="H140" s="497"/>
      <c r="I140" s="497"/>
      <c r="J140" s="495" t="s">
        <v>277</v>
      </c>
      <c r="K140" s="495" t="s">
        <v>258</v>
      </c>
      <c r="L140" s="495" t="s">
        <v>301</v>
      </c>
      <c r="M140" s="495" t="s">
        <v>197</v>
      </c>
      <c r="N140" s="495" t="s">
        <v>198</v>
      </c>
      <c r="O140" s="498">
        <v>1</v>
      </c>
      <c r="P140" s="504">
        <v>1</v>
      </c>
      <c r="Q140" s="504">
        <v>1</v>
      </c>
      <c r="R140" s="499">
        <v>80</v>
      </c>
      <c r="S140" s="504">
        <v>1</v>
      </c>
      <c r="T140" s="499">
        <v>42262</v>
      </c>
      <c r="U140" s="499">
        <v>510</v>
      </c>
      <c r="V140" s="499">
        <v>21130.58</v>
      </c>
      <c r="W140" s="499">
        <v>44137.58</v>
      </c>
      <c r="X140" s="499">
        <v>21618.42</v>
      </c>
      <c r="Y140" s="499">
        <v>44137.58</v>
      </c>
      <c r="Z140" s="499">
        <v>21388.9</v>
      </c>
      <c r="AA140" s="495" t="s">
        <v>746</v>
      </c>
      <c r="AB140" s="495" t="s">
        <v>522</v>
      </c>
      <c r="AC140" s="495" t="s">
        <v>747</v>
      </c>
      <c r="AD140" s="495" t="s">
        <v>206</v>
      </c>
      <c r="AE140" s="495" t="s">
        <v>258</v>
      </c>
      <c r="AF140" s="495" t="s">
        <v>259</v>
      </c>
      <c r="AG140" s="495" t="s">
        <v>204</v>
      </c>
      <c r="AH140" s="500">
        <v>21.22</v>
      </c>
      <c r="AI140" s="500">
        <v>9808.2999999999993</v>
      </c>
      <c r="AJ140" s="495" t="s">
        <v>205</v>
      </c>
      <c r="AK140" s="495" t="s">
        <v>206</v>
      </c>
      <c r="AL140" s="495" t="s">
        <v>207</v>
      </c>
      <c r="AM140" s="495" t="s">
        <v>208</v>
      </c>
      <c r="AN140" s="495" t="s">
        <v>92</v>
      </c>
      <c r="AO140" s="498">
        <v>80</v>
      </c>
      <c r="AP140" s="504">
        <v>1</v>
      </c>
      <c r="AQ140" s="504">
        <v>1</v>
      </c>
      <c r="AR140" s="502">
        <v>3</v>
      </c>
      <c r="AS140" s="506">
        <f t="shared" si="169"/>
        <v>1</v>
      </c>
      <c r="AT140">
        <f t="shared" si="170"/>
        <v>1</v>
      </c>
      <c r="AU140" s="506">
        <f>IF(AT140=0,"",IF(AND(AT140=1,M140="F",SUMIF(C2:C177,C140,AS2:AS177)&lt;=1),SUMIF(C2:C177,C140,AS2:AS177),IF(AND(AT140=1,M140="F",SUMIF(C2:C177,C140,AS2:AS177)&gt;1),1,"")))</f>
        <v>1</v>
      </c>
      <c r="AV140" s="506" t="str">
        <f>IF(AT140=0,"",IF(AND(AT140=3,M140="F",SUMIF(C2:C177,C140,AS2:AS177)&lt;=1),SUMIF(C2:C177,C140,AS2:AS177),IF(AND(AT140=3,M140="F",SUMIF(C2:C177,C140,AS2:AS177)&gt;1),1,"")))</f>
        <v/>
      </c>
      <c r="AW140" s="506">
        <f>SUMIF(C2:C177,C140,O2:O177)</f>
        <v>1</v>
      </c>
      <c r="AX140" s="506">
        <f>IF(AND(M140="F",AS140&lt;&gt;0),SUMIF(C2:C177,C140,W2:W177),0)</f>
        <v>44137.58</v>
      </c>
      <c r="AY140" s="506">
        <f t="shared" si="171"/>
        <v>44137.58</v>
      </c>
      <c r="AZ140" s="506" t="str">
        <f t="shared" si="172"/>
        <v/>
      </c>
      <c r="BA140" s="506">
        <f t="shared" si="173"/>
        <v>0</v>
      </c>
      <c r="BB140" s="506">
        <f t="shared" si="142"/>
        <v>11650</v>
      </c>
      <c r="BC140" s="506">
        <f t="shared" si="143"/>
        <v>0</v>
      </c>
      <c r="BD140" s="506">
        <f t="shared" si="144"/>
        <v>2736.5299600000003</v>
      </c>
      <c r="BE140" s="506">
        <f t="shared" si="145"/>
        <v>639.99491</v>
      </c>
      <c r="BF140" s="506">
        <f t="shared" si="146"/>
        <v>5270.0270520000004</v>
      </c>
      <c r="BG140" s="506">
        <f t="shared" si="147"/>
        <v>318.23195180000005</v>
      </c>
      <c r="BH140" s="506">
        <f t="shared" si="148"/>
        <v>216.27414200000001</v>
      </c>
      <c r="BI140" s="506">
        <f t="shared" si="149"/>
        <v>244.3015053</v>
      </c>
      <c r="BJ140" s="506">
        <f t="shared" si="150"/>
        <v>542.89223400000003</v>
      </c>
      <c r="BK140" s="506">
        <f t="shared" si="151"/>
        <v>0</v>
      </c>
      <c r="BL140" s="506">
        <f t="shared" si="174"/>
        <v>9968.2517551000019</v>
      </c>
      <c r="BM140" s="506">
        <f t="shared" si="175"/>
        <v>0</v>
      </c>
      <c r="BN140" s="506">
        <f t="shared" si="152"/>
        <v>11650</v>
      </c>
      <c r="BO140" s="506">
        <f t="shared" si="153"/>
        <v>0</v>
      </c>
      <c r="BP140" s="506">
        <f t="shared" si="154"/>
        <v>2736.5299600000003</v>
      </c>
      <c r="BQ140" s="506">
        <f t="shared" si="155"/>
        <v>639.99491</v>
      </c>
      <c r="BR140" s="506">
        <f t="shared" si="156"/>
        <v>5270.0270520000004</v>
      </c>
      <c r="BS140" s="506">
        <f t="shared" si="157"/>
        <v>318.23195180000005</v>
      </c>
      <c r="BT140" s="506">
        <f t="shared" si="158"/>
        <v>0</v>
      </c>
      <c r="BU140" s="506">
        <f t="shared" si="159"/>
        <v>244.3015053</v>
      </c>
      <c r="BV140" s="506">
        <f t="shared" si="160"/>
        <v>529.65096000000005</v>
      </c>
      <c r="BW140" s="506">
        <f t="shared" si="161"/>
        <v>0</v>
      </c>
      <c r="BX140" s="506">
        <f t="shared" si="176"/>
        <v>9738.7363391000017</v>
      </c>
      <c r="BY140" s="506">
        <f t="shared" si="177"/>
        <v>0</v>
      </c>
      <c r="BZ140" s="506">
        <f t="shared" si="178"/>
        <v>0</v>
      </c>
      <c r="CA140" s="506">
        <f t="shared" si="179"/>
        <v>0</v>
      </c>
      <c r="CB140" s="506">
        <f t="shared" si="180"/>
        <v>0</v>
      </c>
      <c r="CC140" s="506">
        <f t="shared" si="162"/>
        <v>0</v>
      </c>
      <c r="CD140" s="506">
        <f t="shared" si="163"/>
        <v>0</v>
      </c>
      <c r="CE140" s="506">
        <f t="shared" si="164"/>
        <v>0</v>
      </c>
      <c r="CF140" s="506">
        <f t="shared" si="165"/>
        <v>-216.27414200000001</v>
      </c>
      <c r="CG140" s="506">
        <f t="shared" si="166"/>
        <v>0</v>
      </c>
      <c r="CH140" s="506">
        <f t="shared" si="167"/>
        <v>-13.241273999999997</v>
      </c>
      <c r="CI140" s="506">
        <f t="shared" si="168"/>
        <v>0</v>
      </c>
      <c r="CJ140" s="506">
        <f t="shared" si="181"/>
        <v>-229.51541600000002</v>
      </c>
      <c r="CK140" s="506" t="str">
        <f t="shared" si="182"/>
        <v/>
      </c>
      <c r="CL140" s="506" t="str">
        <f t="shared" si="183"/>
        <v/>
      </c>
      <c r="CM140" s="506" t="str">
        <f t="shared" si="184"/>
        <v/>
      </c>
      <c r="CN140" s="506" t="str">
        <f t="shared" si="185"/>
        <v>0290-00</v>
      </c>
    </row>
    <row r="141" spans="1:92" ht="15.75" thickBot="1" x14ac:dyDescent="0.3">
      <c r="A141" s="495" t="s">
        <v>187</v>
      </c>
      <c r="B141" s="495" t="s">
        <v>188</v>
      </c>
      <c r="C141" s="495" t="s">
        <v>748</v>
      </c>
      <c r="D141" s="495" t="s">
        <v>749</v>
      </c>
      <c r="E141" s="495" t="s">
        <v>191</v>
      </c>
      <c r="F141" s="496" t="s">
        <v>192</v>
      </c>
      <c r="G141" s="495" t="s">
        <v>193</v>
      </c>
      <c r="H141" s="497"/>
      <c r="I141" s="497"/>
      <c r="J141" s="495" t="s">
        <v>277</v>
      </c>
      <c r="K141" s="495" t="s">
        <v>750</v>
      </c>
      <c r="L141" s="495" t="s">
        <v>218</v>
      </c>
      <c r="M141" s="495" t="s">
        <v>197</v>
      </c>
      <c r="N141" s="495" t="s">
        <v>198</v>
      </c>
      <c r="O141" s="498">
        <v>1</v>
      </c>
      <c r="P141" s="504">
        <v>1</v>
      </c>
      <c r="Q141" s="504">
        <v>1</v>
      </c>
      <c r="R141" s="499">
        <v>80</v>
      </c>
      <c r="S141" s="504">
        <v>1</v>
      </c>
      <c r="T141" s="499">
        <v>24267.45</v>
      </c>
      <c r="U141" s="499">
        <v>0</v>
      </c>
      <c r="V141" s="499">
        <v>13913.33</v>
      </c>
      <c r="W141" s="499">
        <v>32843.199999999997</v>
      </c>
      <c r="X141" s="499">
        <v>19067.599999999999</v>
      </c>
      <c r="Y141" s="499">
        <v>32843.199999999997</v>
      </c>
      <c r="Z141" s="499">
        <v>18896.8</v>
      </c>
      <c r="AA141" s="495" t="s">
        <v>751</v>
      </c>
      <c r="AB141" s="495" t="s">
        <v>752</v>
      </c>
      <c r="AC141" s="495" t="s">
        <v>753</v>
      </c>
      <c r="AD141" s="495" t="s">
        <v>242</v>
      </c>
      <c r="AE141" s="495" t="s">
        <v>750</v>
      </c>
      <c r="AF141" s="495" t="s">
        <v>222</v>
      </c>
      <c r="AG141" s="495" t="s">
        <v>204</v>
      </c>
      <c r="AH141" s="500">
        <v>15.79</v>
      </c>
      <c r="AI141" s="500">
        <v>1662.3</v>
      </c>
      <c r="AJ141" s="495" t="s">
        <v>205</v>
      </c>
      <c r="AK141" s="495" t="s">
        <v>206</v>
      </c>
      <c r="AL141" s="495" t="s">
        <v>207</v>
      </c>
      <c r="AM141" s="495" t="s">
        <v>208</v>
      </c>
      <c r="AN141" s="495" t="s">
        <v>92</v>
      </c>
      <c r="AO141" s="498">
        <v>80</v>
      </c>
      <c r="AP141" s="504">
        <v>1</v>
      </c>
      <c r="AQ141" s="504">
        <v>1</v>
      </c>
      <c r="AR141" s="502" t="s">
        <v>209</v>
      </c>
      <c r="AS141" s="506">
        <f t="shared" si="169"/>
        <v>1</v>
      </c>
      <c r="AT141">
        <f t="shared" si="170"/>
        <v>1</v>
      </c>
      <c r="AU141" s="506">
        <f>IF(AT141=0,"",IF(AND(AT141=1,M141="F",SUMIF(C2:C177,C141,AS2:AS177)&lt;=1),SUMIF(C2:C177,C141,AS2:AS177),IF(AND(AT141=1,M141="F",SUMIF(C2:C177,C141,AS2:AS177)&gt;1),1,"")))</f>
        <v>1</v>
      </c>
      <c r="AV141" s="506" t="str">
        <f>IF(AT141=0,"",IF(AND(AT141=3,M141="F",SUMIF(C2:C177,C141,AS2:AS177)&lt;=1),SUMIF(C2:C177,C141,AS2:AS177),IF(AND(AT141=3,M141="F",SUMIF(C2:C177,C141,AS2:AS177)&gt;1),1,"")))</f>
        <v/>
      </c>
      <c r="AW141" s="506">
        <f>SUMIF(C2:C177,C141,O2:O177)</f>
        <v>1</v>
      </c>
      <c r="AX141" s="506">
        <f>IF(AND(M141="F",AS141&lt;&gt;0),SUMIF(C2:C177,C141,W2:W177),0)</f>
        <v>32843.199999999997</v>
      </c>
      <c r="AY141" s="506">
        <f t="shared" si="171"/>
        <v>32843.199999999997</v>
      </c>
      <c r="AZ141" s="506" t="str">
        <f t="shared" si="172"/>
        <v/>
      </c>
      <c r="BA141" s="506">
        <f t="shared" si="173"/>
        <v>0</v>
      </c>
      <c r="BB141" s="506">
        <f t="shared" si="142"/>
        <v>11650</v>
      </c>
      <c r="BC141" s="506">
        <f t="shared" si="143"/>
        <v>0</v>
      </c>
      <c r="BD141" s="506">
        <f t="shared" si="144"/>
        <v>2036.2783999999997</v>
      </c>
      <c r="BE141" s="506">
        <f t="shared" si="145"/>
        <v>476.22639999999996</v>
      </c>
      <c r="BF141" s="506">
        <f t="shared" si="146"/>
        <v>3921.4780799999999</v>
      </c>
      <c r="BG141" s="506">
        <f t="shared" si="147"/>
        <v>236.79947199999998</v>
      </c>
      <c r="BH141" s="506">
        <f t="shared" si="148"/>
        <v>160.93167999999997</v>
      </c>
      <c r="BI141" s="506">
        <f t="shared" si="149"/>
        <v>181.78711199999998</v>
      </c>
      <c r="BJ141" s="506">
        <f t="shared" si="150"/>
        <v>403.97135999999995</v>
      </c>
      <c r="BK141" s="506">
        <f t="shared" si="151"/>
        <v>0</v>
      </c>
      <c r="BL141" s="506">
        <f t="shared" si="174"/>
        <v>7417.4725039999985</v>
      </c>
      <c r="BM141" s="506">
        <f t="shared" si="175"/>
        <v>0</v>
      </c>
      <c r="BN141" s="506">
        <f t="shared" si="152"/>
        <v>11650</v>
      </c>
      <c r="BO141" s="506">
        <f t="shared" si="153"/>
        <v>0</v>
      </c>
      <c r="BP141" s="506">
        <f t="shared" si="154"/>
        <v>2036.2783999999997</v>
      </c>
      <c r="BQ141" s="506">
        <f t="shared" si="155"/>
        <v>476.22639999999996</v>
      </c>
      <c r="BR141" s="506">
        <f t="shared" si="156"/>
        <v>3921.4780799999999</v>
      </c>
      <c r="BS141" s="506">
        <f t="shared" si="157"/>
        <v>236.79947199999998</v>
      </c>
      <c r="BT141" s="506">
        <f t="shared" si="158"/>
        <v>0</v>
      </c>
      <c r="BU141" s="506">
        <f t="shared" si="159"/>
        <v>181.78711199999998</v>
      </c>
      <c r="BV141" s="506">
        <f t="shared" si="160"/>
        <v>394.11839999999995</v>
      </c>
      <c r="BW141" s="506">
        <f t="shared" si="161"/>
        <v>0</v>
      </c>
      <c r="BX141" s="506">
        <f t="shared" si="176"/>
        <v>7246.6878639999995</v>
      </c>
      <c r="BY141" s="506">
        <f t="shared" si="177"/>
        <v>0</v>
      </c>
      <c r="BZ141" s="506">
        <f t="shared" si="178"/>
        <v>0</v>
      </c>
      <c r="CA141" s="506">
        <f t="shared" si="179"/>
        <v>0</v>
      </c>
      <c r="CB141" s="506">
        <f t="shared" si="180"/>
        <v>0</v>
      </c>
      <c r="CC141" s="506">
        <f t="shared" si="162"/>
        <v>0</v>
      </c>
      <c r="CD141" s="506">
        <f t="shared" si="163"/>
        <v>0</v>
      </c>
      <c r="CE141" s="506">
        <f t="shared" si="164"/>
        <v>0</v>
      </c>
      <c r="CF141" s="506">
        <f t="shared" si="165"/>
        <v>-160.93167999999997</v>
      </c>
      <c r="CG141" s="506">
        <f t="shared" si="166"/>
        <v>0</v>
      </c>
      <c r="CH141" s="506">
        <f t="shared" si="167"/>
        <v>-9.8529599999999959</v>
      </c>
      <c r="CI141" s="506">
        <f t="shared" si="168"/>
        <v>0</v>
      </c>
      <c r="CJ141" s="506">
        <f t="shared" si="181"/>
        <v>-170.78463999999997</v>
      </c>
      <c r="CK141" s="506" t="str">
        <f t="shared" si="182"/>
        <v/>
      </c>
      <c r="CL141" s="506" t="str">
        <f t="shared" si="183"/>
        <v/>
      </c>
      <c r="CM141" s="506" t="str">
        <f t="shared" si="184"/>
        <v/>
      </c>
      <c r="CN141" s="506" t="str">
        <f t="shared" si="185"/>
        <v>0290-00</v>
      </c>
    </row>
    <row r="142" spans="1:92" ht="15.75" thickBot="1" x14ac:dyDescent="0.3">
      <c r="A142" s="495" t="s">
        <v>187</v>
      </c>
      <c r="B142" s="495" t="s">
        <v>188</v>
      </c>
      <c r="C142" s="495" t="s">
        <v>754</v>
      </c>
      <c r="D142" s="495" t="s">
        <v>755</v>
      </c>
      <c r="E142" s="495" t="s">
        <v>191</v>
      </c>
      <c r="F142" s="496" t="s">
        <v>192</v>
      </c>
      <c r="G142" s="495" t="s">
        <v>193</v>
      </c>
      <c r="H142" s="497"/>
      <c r="I142" s="497"/>
      <c r="J142" s="495" t="s">
        <v>225</v>
      </c>
      <c r="K142" s="495" t="s">
        <v>756</v>
      </c>
      <c r="L142" s="495" t="s">
        <v>232</v>
      </c>
      <c r="M142" s="495" t="s">
        <v>292</v>
      </c>
      <c r="N142" s="495" t="s">
        <v>198</v>
      </c>
      <c r="O142" s="498">
        <v>0</v>
      </c>
      <c r="P142" s="504">
        <v>0</v>
      </c>
      <c r="Q142" s="504">
        <v>0</v>
      </c>
      <c r="R142" s="499">
        <v>80</v>
      </c>
      <c r="S142" s="504">
        <v>0</v>
      </c>
      <c r="T142" s="499">
        <v>0</v>
      </c>
      <c r="U142" s="499">
        <v>0</v>
      </c>
      <c r="V142" s="499">
        <v>-485.42</v>
      </c>
      <c r="W142" s="499">
        <v>0</v>
      </c>
      <c r="X142" s="499">
        <v>0</v>
      </c>
      <c r="Y142" s="499">
        <v>0</v>
      </c>
      <c r="Z142" s="499">
        <v>0</v>
      </c>
      <c r="AA142" s="497"/>
      <c r="AB142" s="495" t="s">
        <v>23</v>
      </c>
      <c r="AC142" s="495" t="s">
        <v>23</v>
      </c>
      <c r="AD142" s="497"/>
      <c r="AE142" s="497"/>
      <c r="AF142" s="497"/>
      <c r="AG142" s="497"/>
      <c r="AH142" s="498">
        <v>0</v>
      </c>
      <c r="AI142" s="498">
        <v>0</v>
      </c>
      <c r="AJ142" s="497"/>
      <c r="AK142" s="497"/>
      <c r="AL142" s="495" t="s">
        <v>207</v>
      </c>
      <c r="AM142" s="497"/>
      <c r="AN142" s="497"/>
      <c r="AO142" s="498">
        <v>0</v>
      </c>
      <c r="AP142" s="504">
        <v>0</v>
      </c>
      <c r="AQ142" s="504">
        <v>0</v>
      </c>
      <c r="AR142" s="503"/>
      <c r="AS142" s="506">
        <f t="shared" si="169"/>
        <v>0</v>
      </c>
      <c r="AT142">
        <f t="shared" si="170"/>
        <v>0</v>
      </c>
      <c r="AU142" s="506" t="str">
        <f>IF(AT142=0,"",IF(AND(AT142=1,M142="F",SUMIF(C2:C177,C142,AS2:AS177)&lt;=1),SUMIF(C2:C177,C142,AS2:AS177),IF(AND(AT142=1,M142="F",SUMIF(C2:C177,C142,AS2:AS177)&gt;1),1,"")))</f>
        <v/>
      </c>
      <c r="AV142" s="506" t="str">
        <f>IF(AT142=0,"",IF(AND(AT142=3,M142="F",SUMIF(C2:C177,C142,AS2:AS177)&lt;=1),SUMIF(C2:C177,C142,AS2:AS177),IF(AND(AT142=3,M142="F",SUMIF(C2:C177,C142,AS2:AS177)&gt;1),1,"")))</f>
        <v/>
      </c>
      <c r="AW142" s="506">
        <f>SUMIF(C2:C177,C142,O2:O177)</f>
        <v>0</v>
      </c>
      <c r="AX142" s="506">
        <f>IF(AND(M142="F",AS142&lt;&gt;0),SUMIF(C2:C177,C142,W2:W177),0)</f>
        <v>0</v>
      </c>
      <c r="AY142" s="506" t="str">
        <f t="shared" si="171"/>
        <v/>
      </c>
      <c r="AZ142" s="506" t="str">
        <f t="shared" si="172"/>
        <v/>
      </c>
      <c r="BA142" s="506">
        <f t="shared" si="173"/>
        <v>0</v>
      </c>
      <c r="BB142" s="506">
        <f t="shared" si="142"/>
        <v>0</v>
      </c>
      <c r="BC142" s="506">
        <f t="shared" si="143"/>
        <v>0</v>
      </c>
      <c r="BD142" s="506">
        <f t="shared" si="144"/>
        <v>0</v>
      </c>
      <c r="BE142" s="506">
        <f t="shared" si="145"/>
        <v>0</v>
      </c>
      <c r="BF142" s="506">
        <f t="shared" si="146"/>
        <v>0</v>
      </c>
      <c r="BG142" s="506">
        <f t="shared" si="147"/>
        <v>0</v>
      </c>
      <c r="BH142" s="506">
        <f t="shared" si="148"/>
        <v>0</v>
      </c>
      <c r="BI142" s="506">
        <f t="shared" si="149"/>
        <v>0</v>
      </c>
      <c r="BJ142" s="506">
        <f t="shared" si="150"/>
        <v>0</v>
      </c>
      <c r="BK142" s="506">
        <f t="shared" si="151"/>
        <v>0</v>
      </c>
      <c r="BL142" s="506">
        <f t="shared" si="174"/>
        <v>0</v>
      </c>
      <c r="BM142" s="506">
        <f t="shared" si="175"/>
        <v>0</v>
      </c>
      <c r="BN142" s="506">
        <f t="shared" si="152"/>
        <v>0</v>
      </c>
      <c r="BO142" s="506">
        <f t="shared" si="153"/>
        <v>0</v>
      </c>
      <c r="BP142" s="506">
        <f t="shared" si="154"/>
        <v>0</v>
      </c>
      <c r="BQ142" s="506">
        <f t="shared" si="155"/>
        <v>0</v>
      </c>
      <c r="BR142" s="506">
        <f t="shared" si="156"/>
        <v>0</v>
      </c>
      <c r="BS142" s="506">
        <f t="shared" si="157"/>
        <v>0</v>
      </c>
      <c r="BT142" s="506">
        <f t="shared" si="158"/>
        <v>0</v>
      </c>
      <c r="BU142" s="506">
        <f t="shared" si="159"/>
        <v>0</v>
      </c>
      <c r="BV142" s="506">
        <f t="shared" si="160"/>
        <v>0</v>
      </c>
      <c r="BW142" s="506">
        <f t="shared" si="161"/>
        <v>0</v>
      </c>
      <c r="BX142" s="506">
        <f t="shared" si="176"/>
        <v>0</v>
      </c>
      <c r="BY142" s="506">
        <f t="shared" si="177"/>
        <v>0</v>
      </c>
      <c r="BZ142" s="506">
        <f t="shared" si="178"/>
        <v>0</v>
      </c>
      <c r="CA142" s="506">
        <f t="shared" si="179"/>
        <v>0</v>
      </c>
      <c r="CB142" s="506">
        <f t="shared" si="180"/>
        <v>0</v>
      </c>
      <c r="CC142" s="506">
        <f t="shared" si="162"/>
        <v>0</v>
      </c>
      <c r="CD142" s="506">
        <f t="shared" si="163"/>
        <v>0</v>
      </c>
      <c r="CE142" s="506">
        <f t="shared" si="164"/>
        <v>0</v>
      </c>
      <c r="CF142" s="506">
        <f t="shared" si="165"/>
        <v>0</v>
      </c>
      <c r="CG142" s="506">
        <f t="shared" si="166"/>
        <v>0</v>
      </c>
      <c r="CH142" s="506">
        <f t="shared" si="167"/>
        <v>0</v>
      </c>
      <c r="CI142" s="506">
        <f t="shared" si="168"/>
        <v>0</v>
      </c>
      <c r="CJ142" s="506">
        <f t="shared" si="181"/>
        <v>0</v>
      </c>
      <c r="CK142" s="506" t="str">
        <f t="shared" si="182"/>
        <v/>
      </c>
      <c r="CL142" s="506" t="str">
        <f t="shared" si="183"/>
        <v/>
      </c>
      <c r="CM142" s="506" t="str">
        <f t="shared" si="184"/>
        <v/>
      </c>
      <c r="CN142" s="506" t="str">
        <f t="shared" si="185"/>
        <v>0290-00</v>
      </c>
    </row>
    <row r="143" spans="1:92" ht="15.75" thickBot="1" x14ac:dyDescent="0.3">
      <c r="A143" s="495" t="s">
        <v>187</v>
      </c>
      <c r="B143" s="495" t="s">
        <v>188</v>
      </c>
      <c r="C143" s="495" t="s">
        <v>757</v>
      </c>
      <c r="D143" s="495" t="s">
        <v>268</v>
      </c>
      <c r="E143" s="495" t="s">
        <v>191</v>
      </c>
      <c r="F143" s="496" t="s">
        <v>192</v>
      </c>
      <c r="G143" s="495" t="s">
        <v>193</v>
      </c>
      <c r="H143" s="497"/>
      <c r="I143" s="497"/>
      <c r="J143" s="495" t="s">
        <v>216</v>
      </c>
      <c r="K143" s="495" t="s">
        <v>269</v>
      </c>
      <c r="L143" s="495" t="s">
        <v>204</v>
      </c>
      <c r="M143" s="495" t="s">
        <v>197</v>
      </c>
      <c r="N143" s="495" t="s">
        <v>198</v>
      </c>
      <c r="O143" s="498">
        <v>1</v>
      </c>
      <c r="P143" s="504">
        <v>1</v>
      </c>
      <c r="Q143" s="504">
        <v>1</v>
      </c>
      <c r="R143" s="499">
        <v>80</v>
      </c>
      <c r="S143" s="504">
        <v>1</v>
      </c>
      <c r="T143" s="499">
        <v>30656.06</v>
      </c>
      <c r="U143" s="499">
        <v>0</v>
      </c>
      <c r="V143" s="499">
        <v>17577.490000000002</v>
      </c>
      <c r="W143" s="499">
        <v>32073.57</v>
      </c>
      <c r="X143" s="499">
        <v>18893.75</v>
      </c>
      <c r="Y143" s="499">
        <v>32073.57</v>
      </c>
      <c r="Z143" s="499">
        <v>18727</v>
      </c>
      <c r="AA143" s="495" t="s">
        <v>758</v>
      </c>
      <c r="AB143" s="495" t="s">
        <v>759</v>
      </c>
      <c r="AC143" s="495" t="s">
        <v>323</v>
      </c>
      <c r="AD143" s="495" t="s">
        <v>760</v>
      </c>
      <c r="AE143" s="495" t="s">
        <v>269</v>
      </c>
      <c r="AF143" s="495" t="s">
        <v>274</v>
      </c>
      <c r="AG143" s="495" t="s">
        <v>204</v>
      </c>
      <c r="AH143" s="500">
        <v>15.42</v>
      </c>
      <c r="AI143" s="500">
        <v>19388.8</v>
      </c>
      <c r="AJ143" s="495" t="s">
        <v>205</v>
      </c>
      <c r="AK143" s="495" t="s">
        <v>206</v>
      </c>
      <c r="AL143" s="495" t="s">
        <v>207</v>
      </c>
      <c r="AM143" s="495" t="s">
        <v>208</v>
      </c>
      <c r="AN143" s="495" t="s">
        <v>92</v>
      </c>
      <c r="AO143" s="498">
        <v>80</v>
      </c>
      <c r="AP143" s="504">
        <v>1</v>
      </c>
      <c r="AQ143" s="504">
        <v>1</v>
      </c>
      <c r="AR143" s="502" t="s">
        <v>209</v>
      </c>
      <c r="AS143" s="506">
        <f t="shared" si="169"/>
        <v>1</v>
      </c>
      <c r="AT143">
        <f t="shared" si="170"/>
        <v>1</v>
      </c>
      <c r="AU143" s="506">
        <f>IF(AT143=0,"",IF(AND(AT143=1,M143="F",SUMIF(C2:C177,C143,AS2:AS177)&lt;=1),SUMIF(C2:C177,C143,AS2:AS177),IF(AND(AT143=1,M143="F",SUMIF(C2:C177,C143,AS2:AS177)&gt;1),1,"")))</f>
        <v>1</v>
      </c>
      <c r="AV143" s="506" t="str">
        <f>IF(AT143=0,"",IF(AND(AT143=3,M143="F",SUMIF(C2:C177,C143,AS2:AS177)&lt;=1),SUMIF(C2:C177,C143,AS2:AS177),IF(AND(AT143=3,M143="F",SUMIF(C2:C177,C143,AS2:AS177)&gt;1),1,"")))</f>
        <v/>
      </c>
      <c r="AW143" s="506">
        <f>SUMIF(C2:C177,C143,O2:O177)</f>
        <v>1</v>
      </c>
      <c r="AX143" s="506">
        <f>IF(AND(M143="F",AS143&lt;&gt;0),SUMIF(C2:C177,C143,W2:W177),0)</f>
        <v>32073.57</v>
      </c>
      <c r="AY143" s="506">
        <f t="shared" si="171"/>
        <v>32073.57</v>
      </c>
      <c r="AZ143" s="506" t="str">
        <f t="shared" si="172"/>
        <v/>
      </c>
      <c r="BA143" s="506">
        <f t="shared" si="173"/>
        <v>0</v>
      </c>
      <c r="BB143" s="506">
        <f t="shared" si="142"/>
        <v>11650</v>
      </c>
      <c r="BC143" s="506">
        <f t="shared" si="143"/>
        <v>0</v>
      </c>
      <c r="BD143" s="506">
        <f t="shared" si="144"/>
        <v>1988.56134</v>
      </c>
      <c r="BE143" s="506">
        <f t="shared" si="145"/>
        <v>465.06676500000003</v>
      </c>
      <c r="BF143" s="506">
        <f t="shared" si="146"/>
        <v>3829.5842580000003</v>
      </c>
      <c r="BG143" s="506">
        <f t="shared" si="147"/>
        <v>231.25043970000002</v>
      </c>
      <c r="BH143" s="506">
        <f t="shared" si="148"/>
        <v>157.160493</v>
      </c>
      <c r="BI143" s="506">
        <f t="shared" si="149"/>
        <v>177.52720994999999</v>
      </c>
      <c r="BJ143" s="506">
        <f t="shared" si="150"/>
        <v>394.50491099999999</v>
      </c>
      <c r="BK143" s="506">
        <f t="shared" si="151"/>
        <v>0</v>
      </c>
      <c r="BL143" s="506">
        <f t="shared" si="174"/>
        <v>7243.6554166500009</v>
      </c>
      <c r="BM143" s="506">
        <f t="shared" si="175"/>
        <v>0</v>
      </c>
      <c r="BN143" s="506">
        <f t="shared" si="152"/>
        <v>11650</v>
      </c>
      <c r="BO143" s="506">
        <f t="shared" si="153"/>
        <v>0</v>
      </c>
      <c r="BP143" s="506">
        <f t="shared" si="154"/>
        <v>1988.56134</v>
      </c>
      <c r="BQ143" s="506">
        <f t="shared" si="155"/>
        <v>465.06676500000003</v>
      </c>
      <c r="BR143" s="506">
        <f t="shared" si="156"/>
        <v>3829.5842580000003</v>
      </c>
      <c r="BS143" s="506">
        <f t="shared" si="157"/>
        <v>231.25043970000002</v>
      </c>
      <c r="BT143" s="506">
        <f t="shared" si="158"/>
        <v>0</v>
      </c>
      <c r="BU143" s="506">
        <f t="shared" si="159"/>
        <v>177.52720994999999</v>
      </c>
      <c r="BV143" s="506">
        <f t="shared" si="160"/>
        <v>384.88283999999999</v>
      </c>
      <c r="BW143" s="506">
        <f t="shared" si="161"/>
        <v>0</v>
      </c>
      <c r="BX143" s="506">
        <f t="shared" si="176"/>
        <v>7076.8728526500008</v>
      </c>
      <c r="BY143" s="506">
        <f t="shared" si="177"/>
        <v>0</v>
      </c>
      <c r="BZ143" s="506">
        <f t="shared" si="178"/>
        <v>0</v>
      </c>
      <c r="CA143" s="506">
        <f t="shared" si="179"/>
        <v>0</v>
      </c>
      <c r="CB143" s="506">
        <f t="shared" si="180"/>
        <v>0</v>
      </c>
      <c r="CC143" s="506">
        <f t="shared" si="162"/>
        <v>0</v>
      </c>
      <c r="CD143" s="506">
        <f t="shared" si="163"/>
        <v>0</v>
      </c>
      <c r="CE143" s="506">
        <f t="shared" si="164"/>
        <v>0</v>
      </c>
      <c r="CF143" s="506">
        <f t="shared" si="165"/>
        <v>-157.160493</v>
      </c>
      <c r="CG143" s="506">
        <f t="shared" si="166"/>
        <v>0</v>
      </c>
      <c r="CH143" s="506">
        <f t="shared" si="167"/>
        <v>-9.6220709999999965</v>
      </c>
      <c r="CI143" s="506">
        <f t="shared" si="168"/>
        <v>0</v>
      </c>
      <c r="CJ143" s="506">
        <f t="shared" si="181"/>
        <v>-166.78256400000001</v>
      </c>
      <c r="CK143" s="506" t="str">
        <f t="shared" si="182"/>
        <v/>
      </c>
      <c r="CL143" s="506" t="str">
        <f t="shared" si="183"/>
        <v/>
      </c>
      <c r="CM143" s="506" t="str">
        <f t="shared" si="184"/>
        <v/>
      </c>
      <c r="CN143" s="506" t="str">
        <f t="shared" si="185"/>
        <v>0290-00</v>
      </c>
    </row>
    <row r="144" spans="1:92" ht="15.75" thickBot="1" x14ac:dyDescent="0.3">
      <c r="A144" s="495" t="s">
        <v>187</v>
      </c>
      <c r="B144" s="495" t="s">
        <v>188</v>
      </c>
      <c r="C144" s="495" t="s">
        <v>761</v>
      </c>
      <c r="D144" s="495" t="s">
        <v>224</v>
      </c>
      <c r="E144" s="495" t="s">
        <v>191</v>
      </c>
      <c r="F144" s="496" t="s">
        <v>192</v>
      </c>
      <c r="G144" s="495" t="s">
        <v>193</v>
      </c>
      <c r="H144" s="497"/>
      <c r="I144" s="497"/>
      <c r="J144" s="495" t="s">
        <v>225</v>
      </c>
      <c r="K144" s="495" t="s">
        <v>226</v>
      </c>
      <c r="L144" s="495" t="s">
        <v>192</v>
      </c>
      <c r="M144" s="495" t="s">
        <v>197</v>
      </c>
      <c r="N144" s="495" t="s">
        <v>227</v>
      </c>
      <c r="O144" s="498">
        <v>0</v>
      </c>
      <c r="P144" s="504">
        <v>1</v>
      </c>
      <c r="Q144" s="504">
        <v>0</v>
      </c>
      <c r="R144" s="499">
        <v>0</v>
      </c>
      <c r="S144" s="504">
        <v>0</v>
      </c>
      <c r="T144" s="499">
        <v>17080.689999999999</v>
      </c>
      <c r="U144" s="499">
        <v>0</v>
      </c>
      <c r="V144" s="499">
        <v>1765.37</v>
      </c>
      <c r="W144" s="499">
        <v>17080.689999999999</v>
      </c>
      <c r="X144" s="499">
        <v>1765.37</v>
      </c>
      <c r="Y144" s="499">
        <v>17080.689999999999</v>
      </c>
      <c r="Z144" s="499">
        <v>1765.37</v>
      </c>
      <c r="AA144" s="497"/>
      <c r="AB144" s="495" t="s">
        <v>23</v>
      </c>
      <c r="AC144" s="495" t="s">
        <v>23</v>
      </c>
      <c r="AD144" s="497"/>
      <c r="AE144" s="497"/>
      <c r="AF144" s="497"/>
      <c r="AG144" s="497"/>
      <c r="AH144" s="498">
        <v>0</v>
      </c>
      <c r="AI144" s="498">
        <v>0</v>
      </c>
      <c r="AJ144" s="497"/>
      <c r="AK144" s="497"/>
      <c r="AL144" s="495" t="s">
        <v>207</v>
      </c>
      <c r="AM144" s="497"/>
      <c r="AN144" s="497"/>
      <c r="AO144" s="498">
        <v>0</v>
      </c>
      <c r="AP144" s="504">
        <v>0</v>
      </c>
      <c r="AQ144" s="504">
        <v>0</v>
      </c>
      <c r="AR144" s="503"/>
      <c r="AS144" s="506">
        <f t="shared" si="169"/>
        <v>0</v>
      </c>
      <c r="AT144">
        <f t="shared" si="170"/>
        <v>0</v>
      </c>
      <c r="AU144" s="506" t="str">
        <f>IF(AT144=0,"",IF(AND(AT144=1,M144="F",SUMIF(C2:C177,C144,AS2:AS177)&lt;=1),SUMIF(C2:C177,C144,AS2:AS177),IF(AND(AT144=1,M144="F",SUMIF(C2:C177,C144,AS2:AS177)&gt;1),1,"")))</f>
        <v/>
      </c>
      <c r="AV144" s="506" t="str">
        <f>IF(AT144=0,"",IF(AND(AT144=3,M144="F",SUMIF(C2:C177,C144,AS2:AS177)&lt;=1),SUMIF(C2:C177,C144,AS2:AS177),IF(AND(AT144=3,M144="F",SUMIF(C2:C177,C144,AS2:AS177)&gt;1),1,"")))</f>
        <v/>
      </c>
      <c r="AW144" s="506">
        <f>SUMIF(C2:C177,C144,O2:O177)</f>
        <v>0</v>
      </c>
      <c r="AX144" s="506">
        <f>IF(AND(M144="F",AS144&lt;&gt;0),SUMIF(C2:C177,C144,W2:W177),0)</f>
        <v>0</v>
      </c>
      <c r="AY144" s="506" t="str">
        <f t="shared" si="171"/>
        <v/>
      </c>
      <c r="AZ144" s="506" t="str">
        <f t="shared" si="172"/>
        <v/>
      </c>
      <c r="BA144" s="506">
        <f t="shared" si="173"/>
        <v>0</v>
      </c>
      <c r="BB144" s="506">
        <f t="shared" si="142"/>
        <v>0</v>
      </c>
      <c r="BC144" s="506">
        <f t="shared" si="143"/>
        <v>0</v>
      </c>
      <c r="BD144" s="506">
        <f t="shared" si="144"/>
        <v>0</v>
      </c>
      <c r="BE144" s="506">
        <f t="shared" si="145"/>
        <v>0</v>
      </c>
      <c r="BF144" s="506">
        <f t="shared" si="146"/>
        <v>0</v>
      </c>
      <c r="BG144" s="506">
        <f t="shared" si="147"/>
        <v>0</v>
      </c>
      <c r="BH144" s="506">
        <f t="shared" si="148"/>
        <v>0</v>
      </c>
      <c r="BI144" s="506">
        <f t="shared" si="149"/>
        <v>0</v>
      </c>
      <c r="BJ144" s="506">
        <f t="shared" si="150"/>
        <v>0</v>
      </c>
      <c r="BK144" s="506">
        <f t="shared" si="151"/>
        <v>0</v>
      </c>
      <c r="BL144" s="506">
        <f t="shared" si="174"/>
        <v>0</v>
      </c>
      <c r="BM144" s="506">
        <f t="shared" si="175"/>
        <v>0</v>
      </c>
      <c r="BN144" s="506">
        <f t="shared" si="152"/>
        <v>0</v>
      </c>
      <c r="BO144" s="506">
        <f t="shared" si="153"/>
        <v>0</v>
      </c>
      <c r="BP144" s="506">
        <f t="shared" si="154"/>
        <v>0</v>
      </c>
      <c r="BQ144" s="506">
        <f t="shared" si="155"/>
        <v>0</v>
      </c>
      <c r="BR144" s="506">
        <f t="shared" si="156"/>
        <v>0</v>
      </c>
      <c r="BS144" s="506">
        <f t="shared" si="157"/>
        <v>0</v>
      </c>
      <c r="BT144" s="506">
        <f t="shared" si="158"/>
        <v>0</v>
      </c>
      <c r="BU144" s="506">
        <f t="shared" si="159"/>
        <v>0</v>
      </c>
      <c r="BV144" s="506">
        <f t="shared" si="160"/>
        <v>0</v>
      </c>
      <c r="BW144" s="506">
        <f t="shared" si="161"/>
        <v>0</v>
      </c>
      <c r="BX144" s="506">
        <f t="shared" si="176"/>
        <v>0</v>
      </c>
      <c r="BY144" s="506">
        <f t="shared" si="177"/>
        <v>0</v>
      </c>
      <c r="BZ144" s="506">
        <f t="shared" si="178"/>
        <v>0</v>
      </c>
      <c r="CA144" s="506">
        <f t="shared" si="179"/>
        <v>0</v>
      </c>
      <c r="CB144" s="506">
        <f t="shared" si="180"/>
        <v>0</v>
      </c>
      <c r="CC144" s="506">
        <f t="shared" si="162"/>
        <v>0</v>
      </c>
      <c r="CD144" s="506">
        <f t="shared" si="163"/>
        <v>0</v>
      </c>
      <c r="CE144" s="506">
        <f t="shared" si="164"/>
        <v>0</v>
      </c>
      <c r="CF144" s="506">
        <f t="shared" si="165"/>
        <v>0</v>
      </c>
      <c r="CG144" s="506">
        <f t="shared" si="166"/>
        <v>0</v>
      </c>
      <c r="CH144" s="506">
        <f t="shared" si="167"/>
        <v>0</v>
      </c>
      <c r="CI144" s="506">
        <f t="shared" si="168"/>
        <v>0</v>
      </c>
      <c r="CJ144" s="506">
        <f t="shared" si="181"/>
        <v>0</v>
      </c>
      <c r="CK144" s="506" t="str">
        <f t="shared" si="182"/>
        <v/>
      </c>
      <c r="CL144" s="506">
        <f t="shared" si="183"/>
        <v>17080.689999999999</v>
      </c>
      <c r="CM144" s="506">
        <f t="shared" si="184"/>
        <v>1765.37</v>
      </c>
      <c r="CN144" s="506" t="str">
        <f t="shared" si="185"/>
        <v>0290-00</v>
      </c>
    </row>
    <row r="145" spans="1:92" ht="15.75" thickBot="1" x14ac:dyDescent="0.3">
      <c r="A145" s="495" t="s">
        <v>187</v>
      </c>
      <c r="B145" s="495" t="s">
        <v>188</v>
      </c>
      <c r="C145" s="495" t="s">
        <v>762</v>
      </c>
      <c r="D145" s="495" t="s">
        <v>229</v>
      </c>
      <c r="E145" s="495" t="s">
        <v>191</v>
      </c>
      <c r="F145" s="496" t="s">
        <v>192</v>
      </c>
      <c r="G145" s="495" t="s">
        <v>193</v>
      </c>
      <c r="H145" s="497"/>
      <c r="I145" s="497"/>
      <c r="J145" s="495" t="s">
        <v>358</v>
      </c>
      <c r="K145" s="495" t="s">
        <v>231</v>
      </c>
      <c r="L145" s="495" t="s">
        <v>232</v>
      </c>
      <c r="M145" s="495" t="s">
        <v>197</v>
      </c>
      <c r="N145" s="495" t="s">
        <v>198</v>
      </c>
      <c r="O145" s="498">
        <v>1</v>
      </c>
      <c r="P145" s="504">
        <v>1</v>
      </c>
      <c r="Q145" s="504">
        <v>1</v>
      </c>
      <c r="R145" s="499">
        <v>80</v>
      </c>
      <c r="S145" s="504">
        <v>1</v>
      </c>
      <c r="T145" s="499">
        <v>55429.02</v>
      </c>
      <c r="U145" s="499">
        <v>0</v>
      </c>
      <c r="V145" s="499">
        <v>23943.64</v>
      </c>
      <c r="W145" s="499">
        <v>58385.59</v>
      </c>
      <c r="X145" s="499">
        <v>24836.33</v>
      </c>
      <c r="Y145" s="499">
        <v>58385.59</v>
      </c>
      <c r="Z145" s="499">
        <v>24532.73</v>
      </c>
      <c r="AA145" s="495" t="s">
        <v>763</v>
      </c>
      <c r="AB145" s="495" t="s">
        <v>764</v>
      </c>
      <c r="AC145" s="495" t="s">
        <v>765</v>
      </c>
      <c r="AD145" s="495" t="s">
        <v>202</v>
      </c>
      <c r="AE145" s="495" t="s">
        <v>231</v>
      </c>
      <c r="AF145" s="495" t="s">
        <v>237</v>
      </c>
      <c r="AG145" s="495" t="s">
        <v>204</v>
      </c>
      <c r="AH145" s="500">
        <v>28.07</v>
      </c>
      <c r="AI145" s="500">
        <v>24265.3</v>
      </c>
      <c r="AJ145" s="495" t="s">
        <v>205</v>
      </c>
      <c r="AK145" s="495" t="s">
        <v>206</v>
      </c>
      <c r="AL145" s="495" t="s">
        <v>207</v>
      </c>
      <c r="AM145" s="495" t="s">
        <v>208</v>
      </c>
      <c r="AN145" s="495" t="s">
        <v>92</v>
      </c>
      <c r="AO145" s="498">
        <v>80</v>
      </c>
      <c r="AP145" s="504">
        <v>1</v>
      </c>
      <c r="AQ145" s="504">
        <v>1</v>
      </c>
      <c r="AR145" s="502" t="s">
        <v>209</v>
      </c>
      <c r="AS145" s="506">
        <f t="shared" si="169"/>
        <v>1</v>
      </c>
      <c r="AT145">
        <f t="shared" si="170"/>
        <v>1</v>
      </c>
      <c r="AU145" s="506">
        <f>IF(AT145=0,"",IF(AND(AT145=1,M145="F",SUMIF(C2:C177,C145,AS2:AS177)&lt;=1),SUMIF(C2:C177,C145,AS2:AS177),IF(AND(AT145=1,M145="F",SUMIF(C2:C177,C145,AS2:AS177)&gt;1),1,"")))</f>
        <v>1</v>
      </c>
      <c r="AV145" s="506" t="str">
        <f>IF(AT145=0,"",IF(AND(AT145=3,M145="F",SUMIF(C2:C177,C145,AS2:AS177)&lt;=1),SUMIF(C2:C177,C145,AS2:AS177),IF(AND(AT145=3,M145="F",SUMIF(C2:C177,C145,AS2:AS177)&gt;1),1,"")))</f>
        <v/>
      </c>
      <c r="AW145" s="506">
        <f>SUMIF(C2:C177,C145,O2:O177)</f>
        <v>1</v>
      </c>
      <c r="AX145" s="506">
        <f>IF(AND(M145="F",AS145&lt;&gt;0),SUMIF(C2:C177,C145,W2:W177),0)</f>
        <v>58385.59</v>
      </c>
      <c r="AY145" s="506">
        <f t="shared" si="171"/>
        <v>58385.59</v>
      </c>
      <c r="AZ145" s="506" t="str">
        <f t="shared" si="172"/>
        <v/>
      </c>
      <c r="BA145" s="506">
        <f t="shared" si="173"/>
        <v>0</v>
      </c>
      <c r="BB145" s="506">
        <f t="shared" si="142"/>
        <v>11650</v>
      </c>
      <c r="BC145" s="506">
        <f t="shared" si="143"/>
        <v>0</v>
      </c>
      <c r="BD145" s="506">
        <f t="shared" si="144"/>
        <v>3619.9065799999998</v>
      </c>
      <c r="BE145" s="506">
        <f t="shared" si="145"/>
        <v>846.59105499999998</v>
      </c>
      <c r="BF145" s="506">
        <f t="shared" si="146"/>
        <v>6971.2394459999996</v>
      </c>
      <c r="BG145" s="506">
        <f t="shared" si="147"/>
        <v>420.96010389999998</v>
      </c>
      <c r="BH145" s="506">
        <f t="shared" si="148"/>
        <v>286.08939099999998</v>
      </c>
      <c r="BI145" s="506">
        <f t="shared" si="149"/>
        <v>323.16424064999995</v>
      </c>
      <c r="BJ145" s="506">
        <f t="shared" si="150"/>
        <v>718.14275699999996</v>
      </c>
      <c r="BK145" s="506">
        <f t="shared" si="151"/>
        <v>0</v>
      </c>
      <c r="BL145" s="506">
        <f t="shared" si="174"/>
        <v>13186.093573549999</v>
      </c>
      <c r="BM145" s="506">
        <f t="shared" si="175"/>
        <v>0</v>
      </c>
      <c r="BN145" s="506">
        <f t="shared" si="152"/>
        <v>11650</v>
      </c>
      <c r="BO145" s="506">
        <f t="shared" si="153"/>
        <v>0</v>
      </c>
      <c r="BP145" s="506">
        <f t="shared" si="154"/>
        <v>3619.9065799999998</v>
      </c>
      <c r="BQ145" s="506">
        <f t="shared" si="155"/>
        <v>846.59105499999998</v>
      </c>
      <c r="BR145" s="506">
        <f t="shared" si="156"/>
        <v>6971.2394459999996</v>
      </c>
      <c r="BS145" s="506">
        <f t="shared" si="157"/>
        <v>420.96010389999998</v>
      </c>
      <c r="BT145" s="506">
        <f t="shared" si="158"/>
        <v>0</v>
      </c>
      <c r="BU145" s="506">
        <f t="shared" si="159"/>
        <v>323.16424064999995</v>
      </c>
      <c r="BV145" s="506">
        <f t="shared" si="160"/>
        <v>700.62707999999998</v>
      </c>
      <c r="BW145" s="506">
        <f t="shared" si="161"/>
        <v>0</v>
      </c>
      <c r="BX145" s="506">
        <f t="shared" si="176"/>
        <v>12882.48850555</v>
      </c>
      <c r="BY145" s="506">
        <f t="shared" si="177"/>
        <v>0</v>
      </c>
      <c r="BZ145" s="506">
        <f t="shared" si="178"/>
        <v>0</v>
      </c>
      <c r="CA145" s="506">
        <f t="shared" si="179"/>
        <v>0</v>
      </c>
      <c r="CB145" s="506">
        <f t="shared" si="180"/>
        <v>0</v>
      </c>
      <c r="CC145" s="506">
        <f t="shared" si="162"/>
        <v>0</v>
      </c>
      <c r="CD145" s="506">
        <f t="shared" si="163"/>
        <v>0</v>
      </c>
      <c r="CE145" s="506">
        <f t="shared" si="164"/>
        <v>0</v>
      </c>
      <c r="CF145" s="506">
        <f t="shared" si="165"/>
        <v>-286.08939099999998</v>
      </c>
      <c r="CG145" s="506">
        <f t="shared" si="166"/>
        <v>0</v>
      </c>
      <c r="CH145" s="506">
        <f t="shared" si="167"/>
        <v>-17.515676999999993</v>
      </c>
      <c r="CI145" s="506">
        <f t="shared" si="168"/>
        <v>0</v>
      </c>
      <c r="CJ145" s="506">
        <f t="shared" si="181"/>
        <v>-303.60506799999996</v>
      </c>
      <c r="CK145" s="506" t="str">
        <f t="shared" si="182"/>
        <v/>
      </c>
      <c r="CL145" s="506" t="str">
        <f t="shared" si="183"/>
        <v/>
      </c>
      <c r="CM145" s="506" t="str">
        <f t="shared" si="184"/>
        <v/>
      </c>
      <c r="CN145" s="506" t="str">
        <f t="shared" si="185"/>
        <v>0290-00</v>
      </c>
    </row>
    <row r="146" spans="1:92" ht="15.75" thickBot="1" x14ac:dyDescent="0.3">
      <c r="A146" s="495" t="s">
        <v>187</v>
      </c>
      <c r="B146" s="495" t="s">
        <v>188</v>
      </c>
      <c r="C146" s="495" t="s">
        <v>766</v>
      </c>
      <c r="D146" s="495" t="s">
        <v>767</v>
      </c>
      <c r="E146" s="495" t="s">
        <v>191</v>
      </c>
      <c r="F146" s="496" t="s">
        <v>192</v>
      </c>
      <c r="G146" s="495" t="s">
        <v>193</v>
      </c>
      <c r="H146" s="497"/>
      <c r="I146" s="497"/>
      <c r="J146" s="495" t="s">
        <v>277</v>
      </c>
      <c r="K146" s="495" t="s">
        <v>768</v>
      </c>
      <c r="L146" s="495" t="s">
        <v>204</v>
      </c>
      <c r="M146" s="495" t="s">
        <v>197</v>
      </c>
      <c r="N146" s="495" t="s">
        <v>198</v>
      </c>
      <c r="O146" s="498">
        <v>1</v>
      </c>
      <c r="P146" s="504">
        <v>1</v>
      </c>
      <c r="Q146" s="504">
        <v>1</v>
      </c>
      <c r="R146" s="499">
        <v>32</v>
      </c>
      <c r="S146" s="504">
        <v>0.4</v>
      </c>
      <c r="T146" s="499">
        <v>28335.22</v>
      </c>
      <c r="U146" s="499">
        <v>68.989999999999995</v>
      </c>
      <c r="V146" s="499">
        <v>18867.87</v>
      </c>
      <c r="W146" s="499">
        <v>28837.08</v>
      </c>
      <c r="X146" s="499">
        <v>18162.8</v>
      </c>
      <c r="Y146" s="499">
        <v>28837.08</v>
      </c>
      <c r="Z146" s="499">
        <v>18012.849999999999</v>
      </c>
      <c r="AA146" s="495" t="s">
        <v>769</v>
      </c>
      <c r="AB146" s="495" t="s">
        <v>770</v>
      </c>
      <c r="AC146" s="495" t="s">
        <v>574</v>
      </c>
      <c r="AD146" s="495" t="s">
        <v>196</v>
      </c>
      <c r="AE146" s="495" t="s">
        <v>768</v>
      </c>
      <c r="AF146" s="495" t="s">
        <v>274</v>
      </c>
      <c r="AG146" s="495" t="s">
        <v>204</v>
      </c>
      <c r="AH146" s="500">
        <v>17.329999999999998</v>
      </c>
      <c r="AI146" s="500">
        <v>9237.7000000000007</v>
      </c>
      <c r="AJ146" s="495" t="s">
        <v>243</v>
      </c>
      <c r="AK146" s="495" t="s">
        <v>206</v>
      </c>
      <c r="AL146" s="495" t="s">
        <v>207</v>
      </c>
      <c r="AM146" s="495" t="s">
        <v>208</v>
      </c>
      <c r="AN146" s="495" t="s">
        <v>92</v>
      </c>
      <c r="AO146" s="498">
        <v>64</v>
      </c>
      <c r="AP146" s="504">
        <v>1</v>
      </c>
      <c r="AQ146" s="504">
        <v>0.8</v>
      </c>
      <c r="AR146" s="502" t="s">
        <v>209</v>
      </c>
      <c r="AS146" s="506">
        <f t="shared" si="169"/>
        <v>0.8</v>
      </c>
      <c r="AT146">
        <f t="shared" si="170"/>
        <v>1</v>
      </c>
      <c r="AU146" s="506">
        <f>IF(AT146=0,"",IF(AND(AT146=1,M146="F",SUMIF(C2:C177,C146,AS2:AS177)&lt;=1),SUMIF(C2:C177,C146,AS2:AS177),IF(AND(AT146=1,M146="F",SUMIF(C2:C177,C146,AS2:AS177)&gt;1),1,"")))</f>
        <v>0.8</v>
      </c>
      <c r="AV146" s="506" t="str">
        <f>IF(AT146=0,"",IF(AND(AT146=3,M146="F",SUMIF(C2:C177,C146,AS2:AS177)&lt;=1),SUMIF(C2:C177,C146,AS2:AS177),IF(AND(AT146=3,M146="F",SUMIF(C2:C177,C146,AS2:AS177)&gt;1),1,"")))</f>
        <v/>
      </c>
      <c r="AW146" s="506">
        <f>SUMIF(C2:C177,C146,O2:O177)</f>
        <v>1</v>
      </c>
      <c r="AX146" s="506">
        <f>IF(AND(M146="F",AS146&lt;&gt;0),SUMIF(C2:C177,C146,W2:W177),0)</f>
        <v>28837.08</v>
      </c>
      <c r="AY146" s="506">
        <f t="shared" si="171"/>
        <v>28837.08</v>
      </c>
      <c r="AZ146" s="506" t="str">
        <f t="shared" si="172"/>
        <v/>
      </c>
      <c r="BA146" s="506">
        <f t="shared" si="173"/>
        <v>0</v>
      </c>
      <c r="BB146" s="506">
        <f t="shared" si="142"/>
        <v>11650</v>
      </c>
      <c r="BC146" s="506">
        <f t="shared" si="143"/>
        <v>0</v>
      </c>
      <c r="BD146" s="506">
        <f t="shared" si="144"/>
        <v>1787.89896</v>
      </c>
      <c r="BE146" s="506">
        <f t="shared" si="145"/>
        <v>418.13766000000004</v>
      </c>
      <c r="BF146" s="506">
        <f t="shared" si="146"/>
        <v>3443.1473520000004</v>
      </c>
      <c r="BG146" s="506">
        <f t="shared" si="147"/>
        <v>207.91534680000001</v>
      </c>
      <c r="BH146" s="506">
        <f t="shared" si="148"/>
        <v>141.301692</v>
      </c>
      <c r="BI146" s="506">
        <f t="shared" si="149"/>
        <v>159.61323780000001</v>
      </c>
      <c r="BJ146" s="506">
        <f t="shared" si="150"/>
        <v>354.69608400000004</v>
      </c>
      <c r="BK146" s="506">
        <f t="shared" si="151"/>
        <v>0</v>
      </c>
      <c r="BL146" s="506">
        <f t="shared" si="174"/>
        <v>6512.7103326000015</v>
      </c>
      <c r="BM146" s="506">
        <f t="shared" si="175"/>
        <v>0</v>
      </c>
      <c r="BN146" s="506">
        <f t="shared" si="152"/>
        <v>11650</v>
      </c>
      <c r="BO146" s="506">
        <f t="shared" si="153"/>
        <v>0</v>
      </c>
      <c r="BP146" s="506">
        <f t="shared" si="154"/>
        <v>1787.89896</v>
      </c>
      <c r="BQ146" s="506">
        <f t="shared" si="155"/>
        <v>418.13766000000004</v>
      </c>
      <c r="BR146" s="506">
        <f t="shared" si="156"/>
        <v>3443.1473520000004</v>
      </c>
      <c r="BS146" s="506">
        <f t="shared" si="157"/>
        <v>207.91534680000001</v>
      </c>
      <c r="BT146" s="506">
        <f t="shared" si="158"/>
        <v>0</v>
      </c>
      <c r="BU146" s="506">
        <f t="shared" si="159"/>
        <v>159.61323780000001</v>
      </c>
      <c r="BV146" s="506">
        <f t="shared" si="160"/>
        <v>346.04496</v>
      </c>
      <c r="BW146" s="506">
        <f t="shared" si="161"/>
        <v>0</v>
      </c>
      <c r="BX146" s="506">
        <f t="shared" si="176"/>
        <v>6362.7575166000015</v>
      </c>
      <c r="BY146" s="506">
        <f t="shared" si="177"/>
        <v>0</v>
      </c>
      <c r="BZ146" s="506">
        <f t="shared" si="178"/>
        <v>0</v>
      </c>
      <c r="CA146" s="506">
        <f t="shared" si="179"/>
        <v>0</v>
      </c>
      <c r="CB146" s="506">
        <f t="shared" si="180"/>
        <v>0</v>
      </c>
      <c r="CC146" s="506">
        <f t="shared" si="162"/>
        <v>0</v>
      </c>
      <c r="CD146" s="506">
        <f t="shared" si="163"/>
        <v>0</v>
      </c>
      <c r="CE146" s="506">
        <f t="shared" si="164"/>
        <v>0</v>
      </c>
      <c r="CF146" s="506">
        <f t="shared" si="165"/>
        <v>-141.301692</v>
      </c>
      <c r="CG146" s="506">
        <f t="shared" si="166"/>
        <v>0</v>
      </c>
      <c r="CH146" s="506">
        <f t="shared" si="167"/>
        <v>-8.6511239999999976</v>
      </c>
      <c r="CI146" s="506">
        <f t="shared" si="168"/>
        <v>0</v>
      </c>
      <c r="CJ146" s="506">
        <f t="shared" si="181"/>
        <v>-149.95281600000001</v>
      </c>
      <c r="CK146" s="506" t="str">
        <f t="shared" si="182"/>
        <v/>
      </c>
      <c r="CL146" s="506" t="str">
        <f t="shared" si="183"/>
        <v/>
      </c>
      <c r="CM146" s="506" t="str">
        <f t="shared" si="184"/>
        <v/>
      </c>
      <c r="CN146" s="506" t="str">
        <f t="shared" si="185"/>
        <v>0290-00</v>
      </c>
    </row>
    <row r="147" spans="1:92" ht="15.75" thickBot="1" x14ac:dyDescent="0.3">
      <c r="A147" s="495" t="s">
        <v>187</v>
      </c>
      <c r="B147" s="495" t="s">
        <v>188</v>
      </c>
      <c r="C147" s="495" t="s">
        <v>771</v>
      </c>
      <c r="D147" s="495" t="s">
        <v>624</v>
      </c>
      <c r="E147" s="495" t="s">
        <v>191</v>
      </c>
      <c r="F147" s="496" t="s">
        <v>192</v>
      </c>
      <c r="G147" s="495" t="s">
        <v>193</v>
      </c>
      <c r="H147" s="497"/>
      <c r="I147" s="497"/>
      <c r="J147" s="495" t="s">
        <v>254</v>
      </c>
      <c r="K147" s="495" t="s">
        <v>772</v>
      </c>
      <c r="L147" s="495" t="s">
        <v>305</v>
      </c>
      <c r="M147" s="495" t="s">
        <v>213</v>
      </c>
      <c r="N147" s="495" t="s">
        <v>198</v>
      </c>
      <c r="O147" s="498">
        <v>0</v>
      </c>
      <c r="P147" s="504">
        <v>1</v>
      </c>
      <c r="Q147" s="504">
        <v>1</v>
      </c>
      <c r="R147" s="499">
        <v>80</v>
      </c>
      <c r="S147" s="504">
        <v>1</v>
      </c>
      <c r="T147" s="499">
        <v>27092.09</v>
      </c>
      <c r="U147" s="499">
        <v>0</v>
      </c>
      <c r="V147" s="499">
        <v>14642.39</v>
      </c>
      <c r="W147" s="499">
        <v>60465.599999999999</v>
      </c>
      <c r="X147" s="499">
        <v>26483.91</v>
      </c>
      <c r="Y147" s="499">
        <v>60465.599999999999</v>
      </c>
      <c r="Z147" s="499">
        <v>26181.599999999999</v>
      </c>
      <c r="AA147" s="497"/>
      <c r="AB147" s="495" t="s">
        <v>23</v>
      </c>
      <c r="AC147" s="495" t="s">
        <v>23</v>
      </c>
      <c r="AD147" s="497"/>
      <c r="AE147" s="497"/>
      <c r="AF147" s="497"/>
      <c r="AG147" s="497"/>
      <c r="AH147" s="498">
        <v>0</v>
      </c>
      <c r="AI147" s="498">
        <v>0</v>
      </c>
      <c r="AJ147" s="497"/>
      <c r="AK147" s="497"/>
      <c r="AL147" s="495" t="s">
        <v>207</v>
      </c>
      <c r="AM147" s="497"/>
      <c r="AN147" s="497"/>
      <c r="AO147" s="498">
        <v>0</v>
      </c>
      <c r="AP147" s="504">
        <v>0</v>
      </c>
      <c r="AQ147" s="504">
        <v>0</v>
      </c>
      <c r="AR147" s="503"/>
      <c r="AS147" s="506">
        <f t="shared" si="169"/>
        <v>0</v>
      </c>
      <c r="AT147">
        <f t="shared" si="170"/>
        <v>0</v>
      </c>
      <c r="AU147" s="506" t="str">
        <f>IF(AT147=0,"",IF(AND(AT147=1,M147="F",SUMIF(C2:C177,C147,AS2:AS177)&lt;=1),SUMIF(C2:C177,C147,AS2:AS177),IF(AND(AT147=1,M147="F",SUMIF(C2:C177,C147,AS2:AS177)&gt;1),1,"")))</f>
        <v/>
      </c>
      <c r="AV147" s="506" t="str">
        <f>IF(AT147=0,"",IF(AND(AT147=3,M147="F",SUMIF(C2:C177,C147,AS2:AS177)&lt;=1),SUMIF(C2:C177,C147,AS2:AS177),IF(AND(AT147=3,M147="F",SUMIF(C2:C177,C147,AS2:AS177)&gt;1),1,"")))</f>
        <v/>
      </c>
      <c r="AW147" s="506">
        <f>SUMIF(C2:C177,C147,O2:O177)</f>
        <v>0</v>
      </c>
      <c r="AX147" s="506">
        <f>IF(AND(M147="F",AS147&lt;&gt;0),SUMIF(C2:C177,C147,W2:W177),0)</f>
        <v>0</v>
      </c>
      <c r="AY147" s="506" t="str">
        <f t="shared" si="171"/>
        <v/>
      </c>
      <c r="AZ147" s="506" t="str">
        <f t="shared" si="172"/>
        <v/>
      </c>
      <c r="BA147" s="506">
        <f t="shared" si="173"/>
        <v>0</v>
      </c>
      <c r="BB147" s="506">
        <f t="shared" si="142"/>
        <v>0</v>
      </c>
      <c r="BC147" s="506">
        <f t="shared" si="143"/>
        <v>0</v>
      </c>
      <c r="BD147" s="506">
        <f t="shared" si="144"/>
        <v>0</v>
      </c>
      <c r="BE147" s="506">
        <f t="shared" si="145"/>
        <v>0</v>
      </c>
      <c r="BF147" s="506">
        <f t="shared" si="146"/>
        <v>0</v>
      </c>
      <c r="BG147" s="506">
        <f t="shared" si="147"/>
        <v>0</v>
      </c>
      <c r="BH147" s="506">
        <f t="shared" si="148"/>
        <v>0</v>
      </c>
      <c r="BI147" s="506">
        <f t="shared" si="149"/>
        <v>0</v>
      </c>
      <c r="BJ147" s="506">
        <f t="shared" si="150"/>
        <v>0</v>
      </c>
      <c r="BK147" s="506">
        <f t="shared" si="151"/>
        <v>0</v>
      </c>
      <c r="BL147" s="506">
        <f t="shared" si="174"/>
        <v>0</v>
      </c>
      <c r="BM147" s="506">
        <f t="shared" si="175"/>
        <v>0</v>
      </c>
      <c r="BN147" s="506">
        <f t="shared" si="152"/>
        <v>0</v>
      </c>
      <c r="BO147" s="506">
        <f t="shared" si="153"/>
        <v>0</v>
      </c>
      <c r="BP147" s="506">
        <f t="shared" si="154"/>
        <v>0</v>
      </c>
      <c r="BQ147" s="506">
        <f t="shared" si="155"/>
        <v>0</v>
      </c>
      <c r="BR147" s="506">
        <f t="shared" si="156"/>
        <v>0</v>
      </c>
      <c r="BS147" s="506">
        <f t="shared" si="157"/>
        <v>0</v>
      </c>
      <c r="BT147" s="506">
        <f t="shared" si="158"/>
        <v>0</v>
      </c>
      <c r="BU147" s="506">
        <f t="shared" si="159"/>
        <v>0</v>
      </c>
      <c r="BV147" s="506">
        <f t="shared" si="160"/>
        <v>0</v>
      </c>
      <c r="BW147" s="506">
        <f t="shared" si="161"/>
        <v>0</v>
      </c>
      <c r="BX147" s="506">
        <f t="shared" si="176"/>
        <v>0</v>
      </c>
      <c r="BY147" s="506">
        <f t="shared" si="177"/>
        <v>0</v>
      </c>
      <c r="BZ147" s="506">
        <f t="shared" si="178"/>
        <v>0</v>
      </c>
      <c r="CA147" s="506">
        <f t="shared" si="179"/>
        <v>0</v>
      </c>
      <c r="CB147" s="506">
        <f t="shared" si="180"/>
        <v>0</v>
      </c>
      <c r="CC147" s="506">
        <f t="shared" si="162"/>
        <v>0</v>
      </c>
      <c r="CD147" s="506">
        <f t="shared" si="163"/>
        <v>0</v>
      </c>
      <c r="CE147" s="506">
        <f t="shared" si="164"/>
        <v>0</v>
      </c>
      <c r="CF147" s="506">
        <f t="shared" si="165"/>
        <v>0</v>
      </c>
      <c r="CG147" s="506">
        <f t="shared" si="166"/>
        <v>0</v>
      </c>
      <c r="CH147" s="506">
        <f t="shared" si="167"/>
        <v>0</v>
      </c>
      <c r="CI147" s="506">
        <f t="shared" si="168"/>
        <v>0</v>
      </c>
      <c r="CJ147" s="506">
        <f t="shared" si="181"/>
        <v>0</v>
      </c>
      <c r="CK147" s="506" t="str">
        <f t="shared" si="182"/>
        <v/>
      </c>
      <c r="CL147" s="506" t="str">
        <f t="shared" si="183"/>
        <v/>
      </c>
      <c r="CM147" s="506" t="str">
        <f t="shared" si="184"/>
        <v/>
      </c>
      <c r="CN147" s="506" t="str">
        <f t="shared" si="185"/>
        <v>0290-00</v>
      </c>
    </row>
    <row r="148" spans="1:92" ht="15.75" thickBot="1" x14ac:dyDescent="0.3">
      <c r="A148" s="495" t="s">
        <v>187</v>
      </c>
      <c r="B148" s="495" t="s">
        <v>188</v>
      </c>
      <c r="C148" s="495" t="s">
        <v>773</v>
      </c>
      <c r="D148" s="495" t="s">
        <v>268</v>
      </c>
      <c r="E148" s="495" t="s">
        <v>191</v>
      </c>
      <c r="F148" s="496" t="s">
        <v>192</v>
      </c>
      <c r="G148" s="495" t="s">
        <v>193</v>
      </c>
      <c r="H148" s="497"/>
      <c r="I148" s="497"/>
      <c r="J148" s="495" t="s">
        <v>230</v>
      </c>
      <c r="K148" s="495" t="s">
        <v>269</v>
      </c>
      <c r="L148" s="495" t="s">
        <v>204</v>
      </c>
      <c r="M148" s="495" t="s">
        <v>197</v>
      </c>
      <c r="N148" s="495" t="s">
        <v>198</v>
      </c>
      <c r="O148" s="498">
        <v>1</v>
      </c>
      <c r="P148" s="504">
        <v>1</v>
      </c>
      <c r="Q148" s="504">
        <v>1</v>
      </c>
      <c r="R148" s="499">
        <v>80</v>
      </c>
      <c r="S148" s="504">
        <v>1</v>
      </c>
      <c r="T148" s="499">
        <v>31015.65</v>
      </c>
      <c r="U148" s="499">
        <v>140.26</v>
      </c>
      <c r="V148" s="499">
        <v>17993.87</v>
      </c>
      <c r="W148" s="499">
        <v>32115.19</v>
      </c>
      <c r="X148" s="499">
        <v>18903.16</v>
      </c>
      <c r="Y148" s="499">
        <v>32115.19</v>
      </c>
      <c r="Z148" s="499">
        <v>18736.189999999999</v>
      </c>
      <c r="AA148" s="495" t="s">
        <v>774</v>
      </c>
      <c r="AB148" s="495" t="s">
        <v>775</v>
      </c>
      <c r="AC148" s="495" t="s">
        <v>776</v>
      </c>
      <c r="AD148" s="495" t="s">
        <v>305</v>
      </c>
      <c r="AE148" s="495" t="s">
        <v>269</v>
      </c>
      <c r="AF148" s="495" t="s">
        <v>274</v>
      </c>
      <c r="AG148" s="495" t="s">
        <v>204</v>
      </c>
      <c r="AH148" s="500">
        <v>15.44</v>
      </c>
      <c r="AI148" s="500">
        <v>5559.7</v>
      </c>
      <c r="AJ148" s="495" t="s">
        <v>205</v>
      </c>
      <c r="AK148" s="495" t="s">
        <v>206</v>
      </c>
      <c r="AL148" s="495" t="s">
        <v>207</v>
      </c>
      <c r="AM148" s="495" t="s">
        <v>208</v>
      </c>
      <c r="AN148" s="495" t="s">
        <v>92</v>
      </c>
      <c r="AO148" s="498">
        <v>80</v>
      </c>
      <c r="AP148" s="504">
        <v>1</v>
      </c>
      <c r="AQ148" s="504">
        <v>1</v>
      </c>
      <c r="AR148" s="502" t="s">
        <v>209</v>
      </c>
      <c r="AS148" s="506">
        <f t="shared" si="169"/>
        <v>1</v>
      </c>
      <c r="AT148">
        <f t="shared" si="170"/>
        <v>1</v>
      </c>
      <c r="AU148" s="506">
        <f>IF(AT148=0,"",IF(AND(AT148=1,M148="F",SUMIF(C2:C177,C148,AS2:AS177)&lt;=1),SUMIF(C2:C177,C148,AS2:AS177),IF(AND(AT148=1,M148="F",SUMIF(C2:C177,C148,AS2:AS177)&gt;1),1,"")))</f>
        <v>1</v>
      </c>
      <c r="AV148" s="506" t="str">
        <f>IF(AT148=0,"",IF(AND(AT148=3,M148="F",SUMIF(C2:C177,C148,AS2:AS177)&lt;=1),SUMIF(C2:C177,C148,AS2:AS177),IF(AND(AT148=3,M148="F",SUMIF(C2:C177,C148,AS2:AS177)&gt;1),1,"")))</f>
        <v/>
      </c>
      <c r="AW148" s="506">
        <f>SUMIF(C2:C177,C148,O2:O177)</f>
        <v>1</v>
      </c>
      <c r="AX148" s="506">
        <f>IF(AND(M148="F",AS148&lt;&gt;0),SUMIF(C2:C177,C148,W2:W177),0)</f>
        <v>32115.19</v>
      </c>
      <c r="AY148" s="506">
        <f t="shared" si="171"/>
        <v>32115.19</v>
      </c>
      <c r="AZ148" s="506" t="str">
        <f t="shared" si="172"/>
        <v/>
      </c>
      <c r="BA148" s="506">
        <f t="shared" si="173"/>
        <v>0</v>
      </c>
      <c r="BB148" s="506">
        <f t="shared" si="142"/>
        <v>11650</v>
      </c>
      <c r="BC148" s="506">
        <f t="shared" si="143"/>
        <v>0</v>
      </c>
      <c r="BD148" s="506">
        <f t="shared" si="144"/>
        <v>1991.1417799999999</v>
      </c>
      <c r="BE148" s="506">
        <f t="shared" si="145"/>
        <v>465.670255</v>
      </c>
      <c r="BF148" s="506">
        <f t="shared" si="146"/>
        <v>3834.5536860000002</v>
      </c>
      <c r="BG148" s="506">
        <f t="shared" si="147"/>
        <v>231.55051990000001</v>
      </c>
      <c r="BH148" s="506">
        <f t="shared" si="148"/>
        <v>157.364431</v>
      </c>
      <c r="BI148" s="506">
        <f t="shared" si="149"/>
        <v>177.75757665</v>
      </c>
      <c r="BJ148" s="506">
        <f t="shared" si="150"/>
        <v>395.01683700000001</v>
      </c>
      <c r="BK148" s="506">
        <f t="shared" si="151"/>
        <v>0</v>
      </c>
      <c r="BL148" s="506">
        <f t="shared" si="174"/>
        <v>7253.0550855500005</v>
      </c>
      <c r="BM148" s="506">
        <f t="shared" si="175"/>
        <v>0</v>
      </c>
      <c r="BN148" s="506">
        <f t="shared" si="152"/>
        <v>11650</v>
      </c>
      <c r="BO148" s="506">
        <f t="shared" si="153"/>
        <v>0</v>
      </c>
      <c r="BP148" s="506">
        <f t="shared" si="154"/>
        <v>1991.1417799999999</v>
      </c>
      <c r="BQ148" s="506">
        <f t="shared" si="155"/>
        <v>465.670255</v>
      </c>
      <c r="BR148" s="506">
        <f t="shared" si="156"/>
        <v>3834.5536860000002</v>
      </c>
      <c r="BS148" s="506">
        <f t="shared" si="157"/>
        <v>231.55051990000001</v>
      </c>
      <c r="BT148" s="506">
        <f t="shared" si="158"/>
        <v>0</v>
      </c>
      <c r="BU148" s="506">
        <f t="shared" si="159"/>
        <v>177.75757665</v>
      </c>
      <c r="BV148" s="506">
        <f t="shared" si="160"/>
        <v>385.38227999999998</v>
      </c>
      <c r="BW148" s="506">
        <f t="shared" si="161"/>
        <v>0</v>
      </c>
      <c r="BX148" s="506">
        <f t="shared" si="176"/>
        <v>7086.0560975500002</v>
      </c>
      <c r="BY148" s="506">
        <f t="shared" si="177"/>
        <v>0</v>
      </c>
      <c r="BZ148" s="506">
        <f t="shared" si="178"/>
        <v>0</v>
      </c>
      <c r="CA148" s="506">
        <f t="shared" si="179"/>
        <v>0</v>
      </c>
      <c r="CB148" s="506">
        <f t="shared" si="180"/>
        <v>0</v>
      </c>
      <c r="CC148" s="506">
        <f t="shared" si="162"/>
        <v>0</v>
      </c>
      <c r="CD148" s="506">
        <f t="shared" si="163"/>
        <v>0</v>
      </c>
      <c r="CE148" s="506">
        <f t="shared" si="164"/>
        <v>0</v>
      </c>
      <c r="CF148" s="506">
        <f t="shared" si="165"/>
        <v>-157.364431</v>
      </c>
      <c r="CG148" s="506">
        <f t="shared" si="166"/>
        <v>0</v>
      </c>
      <c r="CH148" s="506">
        <f t="shared" si="167"/>
        <v>-9.6345569999999974</v>
      </c>
      <c r="CI148" s="506">
        <f t="shared" si="168"/>
        <v>0</v>
      </c>
      <c r="CJ148" s="506">
        <f t="shared" si="181"/>
        <v>-166.998988</v>
      </c>
      <c r="CK148" s="506" t="str">
        <f t="shared" si="182"/>
        <v/>
      </c>
      <c r="CL148" s="506" t="str">
        <f t="shared" si="183"/>
        <v/>
      </c>
      <c r="CM148" s="506" t="str">
        <f t="shared" si="184"/>
        <v/>
      </c>
      <c r="CN148" s="506" t="str">
        <f t="shared" si="185"/>
        <v>0290-00</v>
      </c>
    </row>
    <row r="149" spans="1:92" ht="15.75" thickBot="1" x14ac:dyDescent="0.3">
      <c r="A149" s="495" t="s">
        <v>187</v>
      </c>
      <c r="B149" s="495" t="s">
        <v>188</v>
      </c>
      <c r="C149" s="495" t="s">
        <v>777</v>
      </c>
      <c r="D149" s="495" t="s">
        <v>190</v>
      </c>
      <c r="E149" s="495" t="s">
        <v>191</v>
      </c>
      <c r="F149" s="496" t="s">
        <v>192</v>
      </c>
      <c r="G149" s="495" t="s">
        <v>193</v>
      </c>
      <c r="H149" s="497"/>
      <c r="I149" s="497"/>
      <c r="J149" s="495" t="s">
        <v>225</v>
      </c>
      <c r="K149" s="495" t="s">
        <v>195</v>
      </c>
      <c r="L149" s="495" t="s">
        <v>196</v>
      </c>
      <c r="M149" s="495" t="s">
        <v>197</v>
      </c>
      <c r="N149" s="495" t="s">
        <v>227</v>
      </c>
      <c r="O149" s="498">
        <v>0</v>
      </c>
      <c r="P149" s="504">
        <v>1</v>
      </c>
      <c r="Q149" s="504">
        <v>0</v>
      </c>
      <c r="R149" s="499">
        <v>0</v>
      </c>
      <c r="S149" s="504">
        <v>0</v>
      </c>
      <c r="T149" s="499">
        <v>27870</v>
      </c>
      <c r="U149" s="499">
        <v>7407</v>
      </c>
      <c r="V149" s="499">
        <v>13165.75</v>
      </c>
      <c r="W149" s="499">
        <v>35277</v>
      </c>
      <c r="X149" s="499">
        <v>13165.75</v>
      </c>
      <c r="Y149" s="499">
        <v>35277</v>
      </c>
      <c r="Z149" s="499">
        <v>13165.75</v>
      </c>
      <c r="AA149" s="497"/>
      <c r="AB149" s="495" t="s">
        <v>23</v>
      </c>
      <c r="AC149" s="495" t="s">
        <v>23</v>
      </c>
      <c r="AD149" s="497"/>
      <c r="AE149" s="497"/>
      <c r="AF149" s="497"/>
      <c r="AG149" s="497"/>
      <c r="AH149" s="498">
        <v>0</v>
      </c>
      <c r="AI149" s="498">
        <v>0</v>
      </c>
      <c r="AJ149" s="497"/>
      <c r="AK149" s="497"/>
      <c r="AL149" s="495" t="s">
        <v>207</v>
      </c>
      <c r="AM149" s="497"/>
      <c r="AN149" s="497"/>
      <c r="AO149" s="498">
        <v>0</v>
      </c>
      <c r="AP149" s="504">
        <v>0</v>
      </c>
      <c r="AQ149" s="504">
        <v>0</v>
      </c>
      <c r="AR149" s="503"/>
      <c r="AS149" s="506">
        <f t="shared" si="169"/>
        <v>0</v>
      </c>
      <c r="AT149">
        <f t="shared" si="170"/>
        <v>0</v>
      </c>
      <c r="AU149" s="506" t="str">
        <f>IF(AT149=0,"",IF(AND(AT149=1,M149="F",SUMIF(C2:C177,C149,AS2:AS177)&lt;=1),SUMIF(C2:C177,C149,AS2:AS177),IF(AND(AT149=1,M149="F",SUMIF(C2:C177,C149,AS2:AS177)&gt;1),1,"")))</f>
        <v/>
      </c>
      <c r="AV149" s="506" t="str">
        <f>IF(AT149=0,"",IF(AND(AT149=3,M149="F",SUMIF(C2:C177,C149,AS2:AS177)&lt;=1),SUMIF(C2:C177,C149,AS2:AS177),IF(AND(AT149=3,M149="F",SUMIF(C2:C177,C149,AS2:AS177)&gt;1),1,"")))</f>
        <v/>
      </c>
      <c r="AW149" s="506">
        <f>SUMIF(C2:C177,C149,O2:O177)</f>
        <v>0</v>
      </c>
      <c r="AX149" s="506">
        <f>IF(AND(M149="F",AS149&lt;&gt;0),SUMIF(C2:C177,C149,W2:W177),0)</f>
        <v>0</v>
      </c>
      <c r="AY149" s="506" t="str">
        <f t="shared" si="171"/>
        <v/>
      </c>
      <c r="AZ149" s="506" t="str">
        <f t="shared" si="172"/>
        <v/>
      </c>
      <c r="BA149" s="506">
        <f t="shared" si="173"/>
        <v>0</v>
      </c>
      <c r="BB149" s="506">
        <f t="shared" si="142"/>
        <v>0</v>
      </c>
      <c r="BC149" s="506">
        <f t="shared" si="143"/>
        <v>0</v>
      </c>
      <c r="BD149" s="506">
        <f t="shared" si="144"/>
        <v>0</v>
      </c>
      <c r="BE149" s="506">
        <f t="shared" si="145"/>
        <v>0</v>
      </c>
      <c r="BF149" s="506">
        <f t="shared" si="146"/>
        <v>0</v>
      </c>
      <c r="BG149" s="506">
        <f t="shared" si="147"/>
        <v>0</v>
      </c>
      <c r="BH149" s="506">
        <f t="shared" si="148"/>
        <v>0</v>
      </c>
      <c r="BI149" s="506">
        <f t="shared" si="149"/>
        <v>0</v>
      </c>
      <c r="BJ149" s="506">
        <f t="shared" si="150"/>
        <v>0</v>
      </c>
      <c r="BK149" s="506">
        <f t="shared" si="151"/>
        <v>0</v>
      </c>
      <c r="BL149" s="506">
        <f t="shared" si="174"/>
        <v>0</v>
      </c>
      <c r="BM149" s="506">
        <f t="shared" si="175"/>
        <v>0</v>
      </c>
      <c r="BN149" s="506">
        <f t="shared" si="152"/>
        <v>0</v>
      </c>
      <c r="BO149" s="506">
        <f t="shared" si="153"/>
        <v>0</v>
      </c>
      <c r="BP149" s="506">
        <f t="shared" si="154"/>
        <v>0</v>
      </c>
      <c r="BQ149" s="506">
        <f t="shared" si="155"/>
        <v>0</v>
      </c>
      <c r="BR149" s="506">
        <f t="shared" si="156"/>
        <v>0</v>
      </c>
      <c r="BS149" s="506">
        <f t="shared" si="157"/>
        <v>0</v>
      </c>
      <c r="BT149" s="506">
        <f t="shared" si="158"/>
        <v>0</v>
      </c>
      <c r="BU149" s="506">
        <f t="shared" si="159"/>
        <v>0</v>
      </c>
      <c r="BV149" s="506">
        <f t="shared" si="160"/>
        <v>0</v>
      </c>
      <c r="BW149" s="506">
        <f t="shared" si="161"/>
        <v>0</v>
      </c>
      <c r="BX149" s="506">
        <f t="shared" si="176"/>
        <v>0</v>
      </c>
      <c r="BY149" s="506">
        <f t="shared" si="177"/>
        <v>0</v>
      </c>
      <c r="BZ149" s="506">
        <f t="shared" si="178"/>
        <v>0</v>
      </c>
      <c r="CA149" s="506">
        <f t="shared" si="179"/>
        <v>0</v>
      </c>
      <c r="CB149" s="506">
        <f t="shared" si="180"/>
        <v>0</v>
      </c>
      <c r="CC149" s="506">
        <f t="shared" si="162"/>
        <v>0</v>
      </c>
      <c r="CD149" s="506">
        <f t="shared" si="163"/>
        <v>0</v>
      </c>
      <c r="CE149" s="506">
        <f t="shared" si="164"/>
        <v>0</v>
      </c>
      <c r="CF149" s="506">
        <f t="shared" si="165"/>
        <v>0</v>
      </c>
      <c r="CG149" s="506">
        <f t="shared" si="166"/>
        <v>0</v>
      </c>
      <c r="CH149" s="506">
        <f t="shared" si="167"/>
        <v>0</v>
      </c>
      <c r="CI149" s="506">
        <f t="shared" si="168"/>
        <v>0</v>
      </c>
      <c r="CJ149" s="506">
        <f t="shared" si="181"/>
        <v>0</v>
      </c>
      <c r="CK149" s="506" t="str">
        <f t="shared" si="182"/>
        <v/>
      </c>
      <c r="CL149" s="506">
        <f t="shared" si="183"/>
        <v>35277</v>
      </c>
      <c r="CM149" s="506">
        <f t="shared" si="184"/>
        <v>13165.75</v>
      </c>
      <c r="CN149" s="506" t="str">
        <f t="shared" si="185"/>
        <v>0290-00</v>
      </c>
    </row>
    <row r="150" spans="1:92" ht="15.75" thickBot="1" x14ac:dyDescent="0.3">
      <c r="A150" s="495" t="s">
        <v>187</v>
      </c>
      <c r="B150" s="495" t="s">
        <v>188</v>
      </c>
      <c r="C150" s="495" t="s">
        <v>778</v>
      </c>
      <c r="D150" s="495" t="s">
        <v>229</v>
      </c>
      <c r="E150" s="495" t="s">
        <v>191</v>
      </c>
      <c r="F150" s="496" t="s">
        <v>192</v>
      </c>
      <c r="G150" s="495" t="s">
        <v>193</v>
      </c>
      <c r="H150" s="497"/>
      <c r="I150" s="497"/>
      <c r="J150" s="495" t="s">
        <v>194</v>
      </c>
      <c r="K150" s="495" t="s">
        <v>231</v>
      </c>
      <c r="L150" s="495" t="s">
        <v>232</v>
      </c>
      <c r="M150" s="495" t="s">
        <v>197</v>
      </c>
      <c r="N150" s="495" t="s">
        <v>198</v>
      </c>
      <c r="O150" s="498">
        <v>1</v>
      </c>
      <c r="P150" s="504">
        <v>1</v>
      </c>
      <c r="Q150" s="504">
        <v>1</v>
      </c>
      <c r="R150" s="499">
        <v>80</v>
      </c>
      <c r="S150" s="504">
        <v>1</v>
      </c>
      <c r="T150" s="499">
        <v>27200</v>
      </c>
      <c r="U150" s="499">
        <v>0</v>
      </c>
      <c r="V150" s="499">
        <v>13852.62</v>
      </c>
      <c r="W150" s="499">
        <v>42848</v>
      </c>
      <c r="X150" s="499">
        <v>21327.18</v>
      </c>
      <c r="Y150" s="499">
        <v>42848</v>
      </c>
      <c r="Z150" s="499">
        <v>21104.37</v>
      </c>
      <c r="AA150" s="495" t="s">
        <v>779</v>
      </c>
      <c r="AB150" s="495" t="s">
        <v>780</v>
      </c>
      <c r="AC150" s="495" t="s">
        <v>781</v>
      </c>
      <c r="AD150" s="495" t="s">
        <v>242</v>
      </c>
      <c r="AE150" s="495" t="s">
        <v>258</v>
      </c>
      <c r="AF150" s="495" t="s">
        <v>259</v>
      </c>
      <c r="AG150" s="495" t="s">
        <v>204</v>
      </c>
      <c r="AH150" s="500">
        <v>20.6</v>
      </c>
      <c r="AI150" s="498">
        <v>1922</v>
      </c>
      <c r="AJ150" s="495" t="s">
        <v>205</v>
      </c>
      <c r="AK150" s="495" t="s">
        <v>206</v>
      </c>
      <c r="AL150" s="495" t="s">
        <v>207</v>
      </c>
      <c r="AM150" s="495" t="s">
        <v>208</v>
      </c>
      <c r="AN150" s="495" t="s">
        <v>92</v>
      </c>
      <c r="AO150" s="498">
        <v>80</v>
      </c>
      <c r="AP150" s="504">
        <v>1</v>
      </c>
      <c r="AQ150" s="504">
        <v>1</v>
      </c>
      <c r="AR150" s="502">
        <v>3</v>
      </c>
      <c r="AS150" s="506">
        <f t="shared" si="169"/>
        <v>1</v>
      </c>
      <c r="AT150">
        <f t="shared" si="170"/>
        <v>1</v>
      </c>
      <c r="AU150" s="506">
        <f>IF(AT150=0,"",IF(AND(AT150=1,M150="F",SUMIF(C2:C177,C150,AS2:AS177)&lt;=1),SUMIF(C2:C177,C150,AS2:AS177),IF(AND(AT150=1,M150="F",SUMIF(C2:C177,C150,AS2:AS177)&gt;1),1,"")))</f>
        <v>1</v>
      </c>
      <c r="AV150" s="506" t="str">
        <f>IF(AT150=0,"",IF(AND(AT150=3,M150="F",SUMIF(C2:C177,C150,AS2:AS177)&lt;=1),SUMIF(C2:C177,C150,AS2:AS177),IF(AND(AT150=3,M150="F",SUMIF(C2:C177,C150,AS2:AS177)&gt;1),1,"")))</f>
        <v/>
      </c>
      <c r="AW150" s="506">
        <f>SUMIF(C2:C177,C150,O2:O177)</f>
        <v>1</v>
      </c>
      <c r="AX150" s="506">
        <f>IF(AND(M150="F",AS150&lt;&gt;0),SUMIF(C2:C177,C150,W2:W177),0)</f>
        <v>42848</v>
      </c>
      <c r="AY150" s="506">
        <f t="shared" si="171"/>
        <v>42848</v>
      </c>
      <c r="AZ150" s="506" t="str">
        <f t="shared" si="172"/>
        <v/>
      </c>
      <c r="BA150" s="506">
        <f t="shared" si="173"/>
        <v>0</v>
      </c>
      <c r="BB150" s="506">
        <f t="shared" si="142"/>
        <v>11650</v>
      </c>
      <c r="BC150" s="506">
        <f t="shared" si="143"/>
        <v>0</v>
      </c>
      <c r="BD150" s="506">
        <f t="shared" si="144"/>
        <v>2656.576</v>
      </c>
      <c r="BE150" s="506">
        <f t="shared" si="145"/>
        <v>621.29600000000005</v>
      </c>
      <c r="BF150" s="506">
        <f t="shared" si="146"/>
        <v>5116.0511999999999</v>
      </c>
      <c r="BG150" s="506">
        <f t="shared" si="147"/>
        <v>308.93407999999999</v>
      </c>
      <c r="BH150" s="506">
        <f t="shared" si="148"/>
        <v>209.95519999999999</v>
      </c>
      <c r="BI150" s="506">
        <f t="shared" si="149"/>
        <v>237.16368</v>
      </c>
      <c r="BJ150" s="506">
        <f t="shared" si="150"/>
        <v>527.03039999999999</v>
      </c>
      <c r="BK150" s="506">
        <f t="shared" si="151"/>
        <v>0</v>
      </c>
      <c r="BL150" s="506">
        <f t="shared" si="174"/>
        <v>9677.0065599999998</v>
      </c>
      <c r="BM150" s="506">
        <f t="shared" si="175"/>
        <v>0</v>
      </c>
      <c r="BN150" s="506">
        <f t="shared" si="152"/>
        <v>11650</v>
      </c>
      <c r="BO150" s="506">
        <f t="shared" si="153"/>
        <v>0</v>
      </c>
      <c r="BP150" s="506">
        <f t="shared" si="154"/>
        <v>2656.576</v>
      </c>
      <c r="BQ150" s="506">
        <f t="shared" si="155"/>
        <v>621.29600000000005</v>
      </c>
      <c r="BR150" s="506">
        <f t="shared" si="156"/>
        <v>5116.0511999999999</v>
      </c>
      <c r="BS150" s="506">
        <f t="shared" si="157"/>
        <v>308.93407999999999</v>
      </c>
      <c r="BT150" s="506">
        <f t="shared" si="158"/>
        <v>0</v>
      </c>
      <c r="BU150" s="506">
        <f t="shared" si="159"/>
        <v>237.16368</v>
      </c>
      <c r="BV150" s="506">
        <f t="shared" si="160"/>
        <v>514.17600000000004</v>
      </c>
      <c r="BW150" s="506">
        <f t="shared" si="161"/>
        <v>0</v>
      </c>
      <c r="BX150" s="506">
        <f t="shared" si="176"/>
        <v>9454.1969599999993</v>
      </c>
      <c r="BY150" s="506">
        <f t="shared" si="177"/>
        <v>0</v>
      </c>
      <c r="BZ150" s="506">
        <f t="shared" si="178"/>
        <v>0</v>
      </c>
      <c r="CA150" s="506">
        <f t="shared" si="179"/>
        <v>0</v>
      </c>
      <c r="CB150" s="506">
        <f t="shared" si="180"/>
        <v>0</v>
      </c>
      <c r="CC150" s="506">
        <f t="shared" si="162"/>
        <v>0</v>
      </c>
      <c r="CD150" s="506">
        <f t="shared" si="163"/>
        <v>0</v>
      </c>
      <c r="CE150" s="506">
        <f t="shared" si="164"/>
        <v>0</v>
      </c>
      <c r="CF150" s="506">
        <f t="shared" si="165"/>
        <v>-209.95519999999999</v>
      </c>
      <c r="CG150" s="506">
        <f t="shared" si="166"/>
        <v>0</v>
      </c>
      <c r="CH150" s="506">
        <f t="shared" si="167"/>
        <v>-12.854399999999996</v>
      </c>
      <c r="CI150" s="506">
        <f t="shared" si="168"/>
        <v>0</v>
      </c>
      <c r="CJ150" s="506">
        <f t="shared" si="181"/>
        <v>-222.80959999999999</v>
      </c>
      <c r="CK150" s="506" t="str">
        <f t="shared" si="182"/>
        <v/>
      </c>
      <c r="CL150" s="506" t="str">
        <f t="shared" si="183"/>
        <v/>
      </c>
      <c r="CM150" s="506" t="str">
        <f t="shared" si="184"/>
        <v/>
      </c>
      <c r="CN150" s="506" t="str">
        <f t="shared" si="185"/>
        <v>0290-00</v>
      </c>
    </row>
    <row r="151" spans="1:92" ht="15.75" thickBot="1" x14ac:dyDescent="0.3">
      <c r="A151" s="495" t="s">
        <v>187</v>
      </c>
      <c r="B151" s="495" t="s">
        <v>188</v>
      </c>
      <c r="C151" s="495" t="s">
        <v>782</v>
      </c>
      <c r="D151" s="495" t="s">
        <v>190</v>
      </c>
      <c r="E151" s="495" t="s">
        <v>191</v>
      </c>
      <c r="F151" s="496" t="s">
        <v>192</v>
      </c>
      <c r="G151" s="495" t="s">
        <v>193</v>
      </c>
      <c r="H151" s="497"/>
      <c r="I151" s="497"/>
      <c r="J151" s="495" t="s">
        <v>194</v>
      </c>
      <c r="K151" s="495" t="s">
        <v>195</v>
      </c>
      <c r="L151" s="495" t="s">
        <v>196</v>
      </c>
      <c r="M151" s="495" t="s">
        <v>197</v>
      </c>
      <c r="N151" s="495" t="s">
        <v>198</v>
      </c>
      <c r="O151" s="498">
        <v>1</v>
      </c>
      <c r="P151" s="504">
        <v>1</v>
      </c>
      <c r="Q151" s="504">
        <v>1</v>
      </c>
      <c r="R151" s="499">
        <v>80</v>
      </c>
      <c r="S151" s="504">
        <v>1</v>
      </c>
      <c r="T151" s="499">
        <v>57753.45</v>
      </c>
      <c r="U151" s="499">
        <v>463.75</v>
      </c>
      <c r="V151" s="499">
        <v>25090.95</v>
      </c>
      <c r="W151" s="499">
        <v>59592</v>
      </c>
      <c r="X151" s="499">
        <v>25108.81</v>
      </c>
      <c r="Y151" s="499">
        <v>59592</v>
      </c>
      <c r="Z151" s="499">
        <v>24798.93</v>
      </c>
      <c r="AA151" s="495" t="s">
        <v>783</v>
      </c>
      <c r="AB151" s="495" t="s">
        <v>784</v>
      </c>
      <c r="AC151" s="495" t="s">
        <v>495</v>
      </c>
      <c r="AD151" s="495" t="s">
        <v>242</v>
      </c>
      <c r="AE151" s="495" t="s">
        <v>195</v>
      </c>
      <c r="AF151" s="495" t="s">
        <v>203</v>
      </c>
      <c r="AG151" s="495" t="s">
        <v>204</v>
      </c>
      <c r="AH151" s="500">
        <v>28.65</v>
      </c>
      <c r="AI151" s="498">
        <v>3272</v>
      </c>
      <c r="AJ151" s="495" t="s">
        <v>205</v>
      </c>
      <c r="AK151" s="495" t="s">
        <v>206</v>
      </c>
      <c r="AL151" s="495" t="s">
        <v>207</v>
      </c>
      <c r="AM151" s="495" t="s">
        <v>208</v>
      </c>
      <c r="AN151" s="495" t="s">
        <v>92</v>
      </c>
      <c r="AO151" s="498">
        <v>80</v>
      </c>
      <c r="AP151" s="504">
        <v>1</v>
      </c>
      <c r="AQ151" s="504">
        <v>1</v>
      </c>
      <c r="AR151" s="502" t="s">
        <v>209</v>
      </c>
      <c r="AS151" s="506">
        <f t="shared" si="169"/>
        <v>1</v>
      </c>
      <c r="AT151">
        <f t="shared" si="170"/>
        <v>1</v>
      </c>
      <c r="AU151" s="506">
        <f>IF(AT151=0,"",IF(AND(AT151=1,M151="F",SUMIF(C2:C177,C151,AS2:AS177)&lt;=1),SUMIF(C2:C177,C151,AS2:AS177),IF(AND(AT151=1,M151="F",SUMIF(C2:C177,C151,AS2:AS177)&gt;1),1,"")))</f>
        <v>1</v>
      </c>
      <c r="AV151" s="506" t="str">
        <f>IF(AT151=0,"",IF(AND(AT151=3,M151="F",SUMIF(C2:C177,C151,AS2:AS177)&lt;=1),SUMIF(C2:C177,C151,AS2:AS177),IF(AND(AT151=3,M151="F",SUMIF(C2:C177,C151,AS2:AS177)&gt;1),1,"")))</f>
        <v/>
      </c>
      <c r="AW151" s="506">
        <f>SUMIF(C2:C177,C151,O2:O177)</f>
        <v>1</v>
      </c>
      <c r="AX151" s="506">
        <f>IF(AND(M151="F",AS151&lt;&gt;0),SUMIF(C2:C177,C151,W2:W177),0)</f>
        <v>59592</v>
      </c>
      <c r="AY151" s="506">
        <f t="shared" si="171"/>
        <v>59592</v>
      </c>
      <c r="AZ151" s="506" t="str">
        <f t="shared" si="172"/>
        <v/>
      </c>
      <c r="BA151" s="506">
        <f t="shared" si="173"/>
        <v>0</v>
      </c>
      <c r="BB151" s="506">
        <f t="shared" si="142"/>
        <v>11650</v>
      </c>
      <c r="BC151" s="506">
        <f t="shared" si="143"/>
        <v>0</v>
      </c>
      <c r="BD151" s="506">
        <f t="shared" si="144"/>
        <v>3694.7040000000002</v>
      </c>
      <c r="BE151" s="506">
        <f t="shared" si="145"/>
        <v>864.08400000000006</v>
      </c>
      <c r="BF151" s="506">
        <f t="shared" si="146"/>
        <v>7115.2848000000004</v>
      </c>
      <c r="BG151" s="506">
        <f t="shared" si="147"/>
        <v>429.65832</v>
      </c>
      <c r="BH151" s="506">
        <f t="shared" si="148"/>
        <v>292.00079999999997</v>
      </c>
      <c r="BI151" s="506">
        <f t="shared" si="149"/>
        <v>329.84172000000001</v>
      </c>
      <c r="BJ151" s="506">
        <f t="shared" si="150"/>
        <v>732.98159999999996</v>
      </c>
      <c r="BK151" s="506">
        <f t="shared" si="151"/>
        <v>0</v>
      </c>
      <c r="BL151" s="506">
        <f t="shared" si="174"/>
        <v>13458.555240000002</v>
      </c>
      <c r="BM151" s="506">
        <f t="shared" si="175"/>
        <v>0</v>
      </c>
      <c r="BN151" s="506">
        <f t="shared" si="152"/>
        <v>11650</v>
      </c>
      <c r="BO151" s="506">
        <f t="shared" si="153"/>
        <v>0</v>
      </c>
      <c r="BP151" s="506">
        <f t="shared" si="154"/>
        <v>3694.7040000000002</v>
      </c>
      <c r="BQ151" s="506">
        <f t="shared" si="155"/>
        <v>864.08400000000006</v>
      </c>
      <c r="BR151" s="506">
        <f t="shared" si="156"/>
        <v>7115.2848000000004</v>
      </c>
      <c r="BS151" s="506">
        <f t="shared" si="157"/>
        <v>429.65832</v>
      </c>
      <c r="BT151" s="506">
        <f t="shared" si="158"/>
        <v>0</v>
      </c>
      <c r="BU151" s="506">
        <f t="shared" si="159"/>
        <v>329.84172000000001</v>
      </c>
      <c r="BV151" s="506">
        <f t="shared" si="160"/>
        <v>715.10400000000004</v>
      </c>
      <c r="BW151" s="506">
        <f t="shared" si="161"/>
        <v>0</v>
      </c>
      <c r="BX151" s="506">
        <f t="shared" si="176"/>
        <v>13148.676840000002</v>
      </c>
      <c r="BY151" s="506">
        <f t="shared" si="177"/>
        <v>0</v>
      </c>
      <c r="BZ151" s="506">
        <f t="shared" si="178"/>
        <v>0</v>
      </c>
      <c r="CA151" s="506">
        <f t="shared" si="179"/>
        <v>0</v>
      </c>
      <c r="CB151" s="506">
        <f t="shared" si="180"/>
        <v>0</v>
      </c>
      <c r="CC151" s="506">
        <f t="shared" si="162"/>
        <v>0</v>
      </c>
      <c r="CD151" s="506">
        <f t="shared" si="163"/>
        <v>0</v>
      </c>
      <c r="CE151" s="506">
        <f t="shared" si="164"/>
        <v>0</v>
      </c>
      <c r="CF151" s="506">
        <f t="shared" si="165"/>
        <v>-292.00079999999997</v>
      </c>
      <c r="CG151" s="506">
        <f t="shared" si="166"/>
        <v>0</v>
      </c>
      <c r="CH151" s="506">
        <f t="shared" si="167"/>
        <v>-17.877599999999994</v>
      </c>
      <c r="CI151" s="506">
        <f t="shared" si="168"/>
        <v>0</v>
      </c>
      <c r="CJ151" s="506">
        <f t="shared" si="181"/>
        <v>-309.87839999999994</v>
      </c>
      <c r="CK151" s="506" t="str">
        <f t="shared" si="182"/>
        <v/>
      </c>
      <c r="CL151" s="506" t="str">
        <f t="shared" si="183"/>
        <v/>
      </c>
      <c r="CM151" s="506" t="str">
        <f t="shared" si="184"/>
        <v/>
      </c>
      <c r="CN151" s="506" t="str">
        <f t="shared" si="185"/>
        <v>0290-00</v>
      </c>
    </row>
    <row r="152" spans="1:92" ht="15.75" thickBot="1" x14ac:dyDescent="0.3">
      <c r="A152" s="495" t="s">
        <v>187</v>
      </c>
      <c r="B152" s="495" t="s">
        <v>188</v>
      </c>
      <c r="C152" s="495" t="s">
        <v>785</v>
      </c>
      <c r="D152" s="495" t="s">
        <v>749</v>
      </c>
      <c r="E152" s="495" t="s">
        <v>191</v>
      </c>
      <c r="F152" s="496" t="s">
        <v>192</v>
      </c>
      <c r="G152" s="495" t="s">
        <v>193</v>
      </c>
      <c r="H152" s="497"/>
      <c r="I152" s="497"/>
      <c r="J152" s="495" t="s">
        <v>225</v>
      </c>
      <c r="K152" s="495" t="s">
        <v>750</v>
      </c>
      <c r="L152" s="495" t="s">
        <v>218</v>
      </c>
      <c r="M152" s="495" t="s">
        <v>292</v>
      </c>
      <c r="N152" s="495" t="s">
        <v>270</v>
      </c>
      <c r="O152" s="498">
        <v>0</v>
      </c>
      <c r="P152" s="504">
        <v>0</v>
      </c>
      <c r="Q152" s="504">
        <v>0</v>
      </c>
      <c r="R152" s="499">
        <v>80</v>
      </c>
      <c r="S152" s="504">
        <v>0</v>
      </c>
      <c r="T152" s="499">
        <v>10156.14</v>
      </c>
      <c r="U152" s="499">
        <v>1158.94</v>
      </c>
      <c r="V152" s="499">
        <v>6737.03</v>
      </c>
      <c r="W152" s="499">
        <v>0</v>
      </c>
      <c r="X152" s="499">
        <v>0</v>
      </c>
      <c r="Y152" s="499">
        <v>0</v>
      </c>
      <c r="Z152" s="499">
        <v>0</v>
      </c>
      <c r="AA152" s="497"/>
      <c r="AB152" s="495" t="s">
        <v>23</v>
      </c>
      <c r="AC152" s="495" t="s">
        <v>23</v>
      </c>
      <c r="AD152" s="497"/>
      <c r="AE152" s="497"/>
      <c r="AF152" s="497"/>
      <c r="AG152" s="497"/>
      <c r="AH152" s="498">
        <v>0</v>
      </c>
      <c r="AI152" s="498">
        <v>0</v>
      </c>
      <c r="AJ152" s="497"/>
      <c r="AK152" s="497"/>
      <c r="AL152" s="495" t="s">
        <v>207</v>
      </c>
      <c r="AM152" s="497"/>
      <c r="AN152" s="497"/>
      <c r="AO152" s="498">
        <v>0</v>
      </c>
      <c r="AP152" s="504">
        <v>0</v>
      </c>
      <c r="AQ152" s="504">
        <v>0</v>
      </c>
      <c r="AR152" s="503"/>
      <c r="AS152" s="506">
        <f t="shared" si="169"/>
        <v>0</v>
      </c>
      <c r="AT152">
        <f t="shared" si="170"/>
        <v>0</v>
      </c>
      <c r="AU152" s="506" t="str">
        <f>IF(AT152=0,"",IF(AND(AT152=1,M152="F",SUMIF(C2:C177,C152,AS2:AS177)&lt;=1),SUMIF(C2:C177,C152,AS2:AS177),IF(AND(AT152=1,M152="F",SUMIF(C2:C177,C152,AS2:AS177)&gt;1),1,"")))</f>
        <v/>
      </c>
      <c r="AV152" s="506" t="str">
        <f>IF(AT152=0,"",IF(AND(AT152=3,M152="F",SUMIF(C2:C177,C152,AS2:AS177)&lt;=1),SUMIF(C2:C177,C152,AS2:AS177),IF(AND(AT152=3,M152="F",SUMIF(C2:C177,C152,AS2:AS177)&gt;1),1,"")))</f>
        <v/>
      </c>
      <c r="AW152" s="506">
        <f>SUMIF(C2:C177,C152,O2:O177)</f>
        <v>0</v>
      </c>
      <c r="AX152" s="506">
        <f>IF(AND(M152="F",AS152&lt;&gt;0),SUMIF(C2:C177,C152,W2:W177),0)</f>
        <v>0</v>
      </c>
      <c r="AY152" s="506" t="str">
        <f t="shared" si="171"/>
        <v/>
      </c>
      <c r="AZ152" s="506" t="str">
        <f t="shared" si="172"/>
        <v/>
      </c>
      <c r="BA152" s="506">
        <f t="shared" si="173"/>
        <v>0</v>
      </c>
      <c r="BB152" s="506">
        <f t="shared" si="142"/>
        <v>0</v>
      </c>
      <c r="BC152" s="506">
        <f t="shared" si="143"/>
        <v>0</v>
      </c>
      <c r="BD152" s="506">
        <f t="shared" si="144"/>
        <v>0</v>
      </c>
      <c r="BE152" s="506">
        <f t="shared" si="145"/>
        <v>0</v>
      </c>
      <c r="BF152" s="506">
        <f t="shared" si="146"/>
        <v>0</v>
      </c>
      <c r="BG152" s="506">
        <f t="shared" si="147"/>
        <v>0</v>
      </c>
      <c r="BH152" s="506">
        <f t="shared" si="148"/>
        <v>0</v>
      </c>
      <c r="BI152" s="506">
        <f t="shared" si="149"/>
        <v>0</v>
      </c>
      <c r="BJ152" s="506">
        <f t="shared" si="150"/>
        <v>0</v>
      </c>
      <c r="BK152" s="506">
        <f t="shared" si="151"/>
        <v>0</v>
      </c>
      <c r="BL152" s="506">
        <f t="shared" si="174"/>
        <v>0</v>
      </c>
      <c r="BM152" s="506">
        <f t="shared" si="175"/>
        <v>0</v>
      </c>
      <c r="BN152" s="506">
        <f t="shared" si="152"/>
        <v>0</v>
      </c>
      <c r="BO152" s="506">
        <f t="shared" si="153"/>
        <v>0</v>
      </c>
      <c r="BP152" s="506">
        <f t="shared" si="154"/>
        <v>0</v>
      </c>
      <c r="BQ152" s="506">
        <f t="shared" si="155"/>
        <v>0</v>
      </c>
      <c r="BR152" s="506">
        <f t="shared" si="156"/>
        <v>0</v>
      </c>
      <c r="BS152" s="506">
        <f t="shared" si="157"/>
        <v>0</v>
      </c>
      <c r="BT152" s="506">
        <f t="shared" si="158"/>
        <v>0</v>
      </c>
      <c r="BU152" s="506">
        <f t="shared" si="159"/>
        <v>0</v>
      </c>
      <c r="BV152" s="506">
        <f t="shared" si="160"/>
        <v>0</v>
      </c>
      <c r="BW152" s="506">
        <f t="shared" si="161"/>
        <v>0</v>
      </c>
      <c r="BX152" s="506">
        <f t="shared" si="176"/>
        <v>0</v>
      </c>
      <c r="BY152" s="506">
        <f t="shared" si="177"/>
        <v>0</v>
      </c>
      <c r="BZ152" s="506">
        <f t="shared" si="178"/>
        <v>0</v>
      </c>
      <c r="CA152" s="506">
        <f t="shared" si="179"/>
        <v>0</v>
      </c>
      <c r="CB152" s="506">
        <f t="shared" si="180"/>
        <v>0</v>
      </c>
      <c r="CC152" s="506">
        <f t="shared" si="162"/>
        <v>0</v>
      </c>
      <c r="CD152" s="506">
        <f t="shared" si="163"/>
        <v>0</v>
      </c>
      <c r="CE152" s="506">
        <f t="shared" si="164"/>
        <v>0</v>
      </c>
      <c r="CF152" s="506">
        <f t="shared" si="165"/>
        <v>0</v>
      </c>
      <c r="CG152" s="506">
        <f t="shared" si="166"/>
        <v>0</v>
      </c>
      <c r="CH152" s="506">
        <f t="shared" si="167"/>
        <v>0</v>
      </c>
      <c r="CI152" s="506">
        <f t="shared" si="168"/>
        <v>0</v>
      </c>
      <c r="CJ152" s="506">
        <f t="shared" si="181"/>
        <v>0</v>
      </c>
      <c r="CK152" s="506" t="str">
        <f t="shared" si="182"/>
        <v/>
      </c>
      <c r="CL152" s="506" t="str">
        <f t="shared" si="183"/>
        <v/>
      </c>
      <c r="CM152" s="506" t="str">
        <f t="shared" si="184"/>
        <v/>
      </c>
      <c r="CN152" s="506" t="str">
        <f t="shared" si="185"/>
        <v>0290-00</v>
      </c>
    </row>
    <row r="153" spans="1:92" ht="15.75" thickBot="1" x14ac:dyDescent="0.3">
      <c r="A153" s="495" t="s">
        <v>187</v>
      </c>
      <c r="B153" s="495" t="s">
        <v>188</v>
      </c>
      <c r="C153" s="495" t="s">
        <v>786</v>
      </c>
      <c r="D153" s="495" t="s">
        <v>268</v>
      </c>
      <c r="E153" s="495" t="s">
        <v>191</v>
      </c>
      <c r="F153" s="496" t="s">
        <v>192</v>
      </c>
      <c r="G153" s="495" t="s">
        <v>193</v>
      </c>
      <c r="H153" s="497"/>
      <c r="I153" s="497"/>
      <c r="J153" s="495" t="s">
        <v>277</v>
      </c>
      <c r="K153" s="495" t="s">
        <v>269</v>
      </c>
      <c r="L153" s="495" t="s">
        <v>204</v>
      </c>
      <c r="M153" s="495" t="s">
        <v>197</v>
      </c>
      <c r="N153" s="495" t="s">
        <v>198</v>
      </c>
      <c r="O153" s="498">
        <v>1</v>
      </c>
      <c r="P153" s="504">
        <v>1</v>
      </c>
      <c r="Q153" s="504">
        <v>1</v>
      </c>
      <c r="R153" s="499">
        <v>80</v>
      </c>
      <c r="S153" s="504">
        <v>1</v>
      </c>
      <c r="T153" s="499">
        <v>32377.599999999999</v>
      </c>
      <c r="U153" s="499">
        <v>0</v>
      </c>
      <c r="V153" s="499">
        <v>18419.919999999998</v>
      </c>
      <c r="W153" s="499">
        <v>33467.18</v>
      </c>
      <c r="X153" s="499">
        <v>19208.48</v>
      </c>
      <c r="Y153" s="499">
        <v>33467.18</v>
      </c>
      <c r="Z153" s="499">
        <v>19034.47</v>
      </c>
      <c r="AA153" s="495" t="s">
        <v>787</v>
      </c>
      <c r="AB153" s="495" t="s">
        <v>788</v>
      </c>
      <c r="AC153" s="495" t="s">
        <v>789</v>
      </c>
      <c r="AD153" s="495" t="s">
        <v>196</v>
      </c>
      <c r="AE153" s="495" t="s">
        <v>269</v>
      </c>
      <c r="AF153" s="495" t="s">
        <v>274</v>
      </c>
      <c r="AG153" s="495" t="s">
        <v>204</v>
      </c>
      <c r="AH153" s="500">
        <v>16.09</v>
      </c>
      <c r="AI153" s="500">
        <v>9984.1</v>
      </c>
      <c r="AJ153" s="495" t="s">
        <v>205</v>
      </c>
      <c r="AK153" s="495" t="s">
        <v>206</v>
      </c>
      <c r="AL153" s="495" t="s">
        <v>207</v>
      </c>
      <c r="AM153" s="495" t="s">
        <v>208</v>
      </c>
      <c r="AN153" s="495" t="s">
        <v>92</v>
      </c>
      <c r="AO153" s="498">
        <v>80</v>
      </c>
      <c r="AP153" s="504">
        <v>1</v>
      </c>
      <c r="AQ153" s="504">
        <v>1</v>
      </c>
      <c r="AR153" s="502" t="s">
        <v>209</v>
      </c>
      <c r="AS153" s="506">
        <f t="shared" si="169"/>
        <v>1</v>
      </c>
      <c r="AT153">
        <f t="shared" si="170"/>
        <v>1</v>
      </c>
      <c r="AU153" s="506">
        <f>IF(AT153=0,"",IF(AND(AT153=1,M153="F",SUMIF(C2:C177,C153,AS2:AS177)&lt;=1),SUMIF(C2:C177,C153,AS2:AS177),IF(AND(AT153=1,M153="F",SUMIF(C2:C177,C153,AS2:AS177)&gt;1),1,"")))</f>
        <v>1</v>
      </c>
      <c r="AV153" s="506" t="str">
        <f>IF(AT153=0,"",IF(AND(AT153=3,M153="F",SUMIF(C2:C177,C153,AS2:AS177)&lt;=1),SUMIF(C2:C177,C153,AS2:AS177),IF(AND(AT153=3,M153="F",SUMIF(C2:C177,C153,AS2:AS177)&gt;1),1,"")))</f>
        <v/>
      </c>
      <c r="AW153" s="506">
        <f>SUMIF(C2:C177,C153,O2:O177)</f>
        <v>1</v>
      </c>
      <c r="AX153" s="506">
        <f>IF(AND(M153="F",AS153&lt;&gt;0),SUMIF(C2:C177,C153,W2:W177),0)</f>
        <v>33467.18</v>
      </c>
      <c r="AY153" s="506">
        <f t="shared" si="171"/>
        <v>33467.18</v>
      </c>
      <c r="AZ153" s="506" t="str">
        <f t="shared" si="172"/>
        <v/>
      </c>
      <c r="BA153" s="506">
        <f t="shared" si="173"/>
        <v>0</v>
      </c>
      <c r="BB153" s="506">
        <f t="shared" si="142"/>
        <v>11650</v>
      </c>
      <c r="BC153" s="506">
        <f t="shared" si="143"/>
        <v>0</v>
      </c>
      <c r="BD153" s="506">
        <f t="shared" si="144"/>
        <v>2074.9651600000002</v>
      </c>
      <c r="BE153" s="506">
        <f t="shared" si="145"/>
        <v>485.27411000000001</v>
      </c>
      <c r="BF153" s="506">
        <f t="shared" si="146"/>
        <v>3995.9812920000004</v>
      </c>
      <c r="BG153" s="506">
        <f t="shared" si="147"/>
        <v>241.29836780000002</v>
      </c>
      <c r="BH153" s="506">
        <f t="shared" si="148"/>
        <v>163.989182</v>
      </c>
      <c r="BI153" s="506">
        <f t="shared" si="149"/>
        <v>185.2408413</v>
      </c>
      <c r="BJ153" s="506">
        <f t="shared" si="150"/>
        <v>411.64631400000002</v>
      </c>
      <c r="BK153" s="506">
        <f t="shared" si="151"/>
        <v>0</v>
      </c>
      <c r="BL153" s="506">
        <f t="shared" si="174"/>
        <v>7558.3952671000006</v>
      </c>
      <c r="BM153" s="506">
        <f t="shared" si="175"/>
        <v>0</v>
      </c>
      <c r="BN153" s="506">
        <f t="shared" si="152"/>
        <v>11650</v>
      </c>
      <c r="BO153" s="506">
        <f t="shared" si="153"/>
        <v>0</v>
      </c>
      <c r="BP153" s="506">
        <f t="shared" si="154"/>
        <v>2074.9651600000002</v>
      </c>
      <c r="BQ153" s="506">
        <f t="shared" si="155"/>
        <v>485.27411000000001</v>
      </c>
      <c r="BR153" s="506">
        <f t="shared" si="156"/>
        <v>3995.9812920000004</v>
      </c>
      <c r="BS153" s="506">
        <f t="shared" si="157"/>
        <v>241.29836780000002</v>
      </c>
      <c r="BT153" s="506">
        <f t="shared" si="158"/>
        <v>0</v>
      </c>
      <c r="BU153" s="506">
        <f t="shared" si="159"/>
        <v>185.2408413</v>
      </c>
      <c r="BV153" s="506">
        <f t="shared" si="160"/>
        <v>401.60615999999999</v>
      </c>
      <c r="BW153" s="506">
        <f t="shared" si="161"/>
        <v>0</v>
      </c>
      <c r="BX153" s="506">
        <f t="shared" si="176"/>
        <v>7384.365931100001</v>
      </c>
      <c r="BY153" s="506">
        <f t="shared" si="177"/>
        <v>0</v>
      </c>
      <c r="BZ153" s="506">
        <f t="shared" si="178"/>
        <v>0</v>
      </c>
      <c r="CA153" s="506">
        <f t="shared" si="179"/>
        <v>0</v>
      </c>
      <c r="CB153" s="506">
        <f t="shared" si="180"/>
        <v>0</v>
      </c>
      <c r="CC153" s="506">
        <f t="shared" si="162"/>
        <v>0</v>
      </c>
      <c r="CD153" s="506">
        <f t="shared" si="163"/>
        <v>0</v>
      </c>
      <c r="CE153" s="506">
        <f t="shared" si="164"/>
        <v>0</v>
      </c>
      <c r="CF153" s="506">
        <f t="shared" si="165"/>
        <v>-163.989182</v>
      </c>
      <c r="CG153" s="506">
        <f t="shared" si="166"/>
        <v>0</v>
      </c>
      <c r="CH153" s="506">
        <f t="shared" si="167"/>
        <v>-10.040153999999998</v>
      </c>
      <c r="CI153" s="506">
        <f t="shared" si="168"/>
        <v>0</v>
      </c>
      <c r="CJ153" s="506">
        <f t="shared" si="181"/>
        <v>-174.029336</v>
      </c>
      <c r="CK153" s="506" t="str">
        <f t="shared" si="182"/>
        <v/>
      </c>
      <c r="CL153" s="506" t="str">
        <f t="shared" si="183"/>
        <v/>
      </c>
      <c r="CM153" s="506" t="str">
        <f t="shared" si="184"/>
        <v/>
      </c>
      <c r="CN153" s="506" t="str">
        <f t="shared" si="185"/>
        <v>0290-00</v>
      </c>
    </row>
    <row r="154" spans="1:92" ht="15.75" thickBot="1" x14ac:dyDescent="0.3">
      <c r="A154" s="495" t="s">
        <v>187</v>
      </c>
      <c r="B154" s="495" t="s">
        <v>188</v>
      </c>
      <c r="C154" s="495" t="s">
        <v>790</v>
      </c>
      <c r="D154" s="495" t="s">
        <v>791</v>
      </c>
      <c r="E154" s="495" t="s">
        <v>191</v>
      </c>
      <c r="F154" s="496" t="s">
        <v>192</v>
      </c>
      <c r="G154" s="495" t="s">
        <v>193</v>
      </c>
      <c r="H154" s="497"/>
      <c r="I154" s="497"/>
      <c r="J154" s="495" t="s">
        <v>248</v>
      </c>
      <c r="K154" s="495" t="s">
        <v>792</v>
      </c>
      <c r="L154" s="495" t="s">
        <v>192</v>
      </c>
      <c r="M154" s="495" t="s">
        <v>213</v>
      </c>
      <c r="N154" s="495" t="s">
        <v>227</v>
      </c>
      <c r="O154" s="498">
        <v>0</v>
      </c>
      <c r="P154" s="504">
        <v>1</v>
      </c>
      <c r="Q154" s="504">
        <v>0</v>
      </c>
      <c r="R154" s="499">
        <v>0</v>
      </c>
      <c r="S154" s="504">
        <v>0</v>
      </c>
      <c r="T154" s="499">
        <v>9600</v>
      </c>
      <c r="U154" s="499">
        <v>0</v>
      </c>
      <c r="V154" s="499">
        <v>4547.3</v>
      </c>
      <c r="W154" s="499">
        <v>9600</v>
      </c>
      <c r="X154" s="499">
        <v>4547.29</v>
      </c>
      <c r="Y154" s="499">
        <v>9600</v>
      </c>
      <c r="Z154" s="499">
        <v>4547.29</v>
      </c>
      <c r="AA154" s="497"/>
      <c r="AB154" s="495" t="s">
        <v>23</v>
      </c>
      <c r="AC154" s="495" t="s">
        <v>23</v>
      </c>
      <c r="AD154" s="497"/>
      <c r="AE154" s="497"/>
      <c r="AF154" s="497"/>
      <c r="AG154" s="497"/>
      <c r="AH154" s="498">
        <v>0</v>
      </c>
      <c r="AI154" s="498">
        <v>0</v>
      </c>
      <c r="AJ154" s="497"/>
      <c r="AK154" s="497"/>
      <c r="AL154" s="495" t="s">
        <v>207</v>
      </c>
      <c r="AM154" s="497"/>
      <c r="AN154" s="497"/>
      <c r="AO154" s="498">
        <v>0</v>
      </c>
      <c r="AP154" s="504">
        <v>0</v>
      </c>
      <c r="AQ154" s="504">
        <v>0</v>
      </c>
      <c r="AR154" s="503"/>
      <c r="AS154" s="506">
        <f t="shared" si="169"/>
        <v>0</v>
      </c>
      <c r="AT154">
        <f t="shared" si="170"/>
        <v>0</v>
      </c>
      <c r="AU154" s="506" t="str">
        <f>IF(AT154=0,"",IF(AND(AT154=1,M154="F",SUMIF(C2:C177,C154,AS2:AS177)&lt;=1),SUMIF(C2:C177,C154,AS2:AS177),IF(AND(AT154=1,M154="F",SUMIF(C2:C177,C154,AS2:AS177)&gt;1),1,"")))</f>
        <v/>
      </c>
      <c r="AV154" s="506" t="str">
        <f>IF(AT154=0,"",IF(AND(AT154=3,M154="F",SUMIF(C2:C177,C154,AS2:AS177)&lt;=1),SUMIF(C2:C177,C154,AS2:AS177),IF(AND(AT154=3,M154="F",SUMIF(C2:C177,C154,AS2:AS177)&gt;1),1,"")))</f>
        <v/>
      </c>
      <c r="AW154" s="506">
        <f>SUMIF(C2:C177,C154,O2:O177)</f>
        <v>0</v>
      </c>
      <c r="AX154" s="506">
        <f>IF(AND(M154="F",AS154&lt;&gt;0),SUMIF(C2:C177,C154,W2:W177),0)</f>
        <v>0</v>
      </c>
      <c r="AY154" s="506" t="str">
        <f t="shared" si="171"/>
        <v/>
      </c>
      <c r="AZ154" s="506" t="str">
        <f t="shared" si="172"/>
        <v/>
      </c>
      <c r="BA154" s="506">
        <f t="shared" si="173"/>
        <v>0</v>
      </c>
      <c r="BB154" s="506">
        <f t="shared" si="142"/>
        <v>0</v>
      </c>
      <c r="BC154" s="506">
        <f t="shared" si="143"/>
        <v>0</v>
      </c>
      <c r="BD154" s="506">
        <f t="shared" si="144"/>
        <v>0</v>
      </c>
      <c r="BE154" s="506">
        <f t="shared" si="145"/>
        <v>0</v>
      </c>
      <c r="BF154" s="506">
        <f t="shared" si="146"/>
        <v>0</v>
      </c>
      <c r="BG154" s="506">
        <f t="shared" si="147"/>
        <v>0</v>
      </c>
      <c r="BH154" s="506">
        <f t="shared" si="148"/>
        <v>0</v>
      </c>
      <c r="BI154" s="506">
        <f t="shared" si="149"/>
        <v>0</v>
      </c>
      <c r="BJ154" s="506">
        <f t="shared" si="150"/>
        <v>0</v>
      </c>
      <c r="BK154" s="506">
        <f t="shared" si="151"/>
        <v>0</v>
      </c>
      <c r="BL154" s="506">
        <f t="shared" si="174"/>
        <v>0</v>
      </c>
      <c r="BM154" s="506">
        <f t="shared" si="175"/>
        <v>0</v>
      </c>
      <c r="BN154" s="506">
        <f t="shared" si="152"/>
        <v>0</v>
      </c>
      <c r="BO154" s="506">
        <f t="shared" si="153"/>
        <v>0</v>
      </c>
      <c r="BP154" s="506">
        <f t="shared" si="154"/>
        <v>0</v>
      </c>
      <c r="BQ154" s="506">
        <f t="shared" si="155"/>
        <v>0</v>
      </c>
      <c r="BR154" s="506">
        <f t="shared" si="156"/>
        <v>0</v>
      </c>
      <c r="BS154" s="506">
        <f t="shared" si="157"/>
        <v>0</v>
      </c>
      <c r="BT154" s="506">
        <f t="shared" si="158"/>
        <v>0</v>
      </c>
      <c r="BU154" s="506">
        <f t="shared" si="159"/>
        <v>0</v>
      </c>
      <c r="BV154" s="506">
        <f t="shared" si="160"/>
        <v>0</v>
      </c>
      <c r="BW154" s="506">
        <f t="shared" si="161"/>
        <v>0</v>
      </c>
      <c r="BX154" s="506">
        <f t="shared" si="176"/>
        <v>0</v>
      </c>
      <c r="BY154" s="506">
        <f t="shared" si="177"/>
        <v>0</v>
      </c>
      <c r="BZ154" s="506">
        <f t="shared" si="178"/>
        <v>0</v>
      </c>
      <c r="CA154" s="506">
        <f t="shared" si="179"/>
        <v>0</v>
      </c>
      <c r="CB154" s="506">
        <f t="shared" si="180"/>
        <v>0</v>
      </c>
      <c r="CC154" s="506">
        <f t="shared" si="162"/>
        <v>0</v>
      </c>
      <c r="CD154" s="506">
        <f t="shared" si="163"/>
        <v>0</v>
      </c>
      <c r="CE154" s="506">
        <f t="shared" si="164"/>
        <v>0</v>
      </c>
      <c r="CF154" s="506">
        <f t="shared" si="165"/>
        <v>0</v>
      </c>
      <c r="CG154" s="506">
        <f t="shared" si="166"/>
        <v>0</v>
      </c>
      <c r="CH154" s="506">
        <f t="shared" si="167"/>
        <v>0</v>
      </c>
      <c r="CI154" s="506">
        <f t="shared" si="168"/>
        <v>0</v>
      </c>
      <c r="CJ154" s="506">
        <f t="shared" si="181"/>
        <v>0</v>
      </c>
      <c r="CK154" s="506" t="str">
        <f t="shared" si="182"/>
        <v/>
      </c>
      <c r="CL154" s="506">
        <f t="shared" si="183"/>
        <v>9600</v>
      </c>
      <c r="CM154" s="506">
        <f t="shared" si="184"/>
        <v>4547.3</v>
      </c>
      <c r="CN154" s="506" t="str">
        <f t="shared" si="185"/>
        <v>0290-00</v>
      </c>
    </row>
    <row r="155" spans="1:92" ht="15.75" thickBot="1" x14ac:dyDescent="0.3">
      <c r="A155" s="495" t="s">
        <v>187</v>
      </c>
      <c r="B155" s="495" t="s">
        <v>188</v>
      </c>
      <c r="C155" s="495" t="s">
        <v>793</v>
      </c>
      <c r="D155" s="495" t="s">
        <v>245</v>
      </c>
      <c r="E155" s="495" t="s">
        <v>191</v>
      </c>
      <c r="F155" s="496" t="s">
        <v>192</v>
      </c>
      <c r="G155" s="495" t="s">
        <v>193</v>
      </c>
      <c r="H155" s="497"/>
      <c r="I155" s="497"/>
      <c r="J155" s="495" t="s">
        <v>358</v>
      </c>
      <c r="K155" s="495" t="s">
        <v>437</v>
      </c>
      <c r="L155" s="495" t="s">
        <v>305</v>
      </c>
      <c r="M155" s="495" t="s">
        <v>197</v>
      </c>
      <c r="N155" s="495" t="s">
        <v>198</v>
      </c>
      <c r="O155" s="498">
        <v>1</v>
      </c>
      <c r="P155" s="504">
        <v>1</v>
      </c>
      <c r="Q155" s="504">
        <v>1</v>
      </c>
      <c r="R155" s="499">
        <v>80</v>
      </c>
      <c r="S155" s="504">
        <v>1</v>
      </c>
      <c r="T155" s="499">
        <v>66296.240000000005</v>
      </c>
      <c r="U155" s="499">
        <v>6003.6</v>
      </c>
      <c r="V155" s="499">
        <v>27258.65</v>
      </c>
      <c r="W155" s="499">
        <v>69971.199999999997</v>
      </c>
      <c r="X155" s="499">
        <v>27452.93</v>
      </c>
      <c r="Y155" s="499">
        <v>69971.199999999997</v>
      </c>
      <c r="Z155" s="499">
        <v>27089.1</v>
      </c>
      <c r="AA155" s="495" t="s">
        <v>794</v>
      </c>
      <c r="AB155" s="495" t="s">
        <v>795</v>
      </c>
      <c r="AC155" s="495" t="s">
        <v>796</v>
      </c>
      <c r="AD155" s="495" t="s">
        <v>301</v>
      </c>
      <c r="AE155" s="495" t="s">
        <v>437</v>
      </c>
      <c r="AF155" s="495" t="s">
        <v>440</v>
      </c>
      <c r="AG155" s="495" t="s">
        <v>204</v>
      </c>
      <c r="AH155" s="500">
        <v>33.64</v>
      </c>
      <c r="AI155" s="500">
        <v>22154.3</v>
      </c>
      <c r="AJ155" s="495" t="s">
        <v>205</v>
      </c>
      <c r="AK155" s="495" t="s">
        <v>206</v>
      </c>
      <c r="AL155" s="495" t="s">
        <v>207</v>
      </c>
      <c r="AM155" s="495" t="s">
        <v>208</v>
      </c>
      <c r="AN155" s="495" t="s">
        <v>92</v>
      </c>
      <c r="AO155" s="498">
        <v>80</v>
      </c>
      <c r="AP155" s="504">
        <v>1</v>
      </c>
      <c r="AQ155" s="504">
        <v>1</v>
      </c>
      <c r="AR155" s="502" t="s">
        <v>209</v>
      </c>
      <c r="AS155" s="506">
        <f t="shared" si="169"/>
        <v>1</v>
      </c>
      <c r="AT155">
        <f t="shared" si="170"/>
        <v>1</v>
      </c>
      <c r="AU155" s="506">
        <f>IF(AT155=0,"",IF(AND(AT155=1,M155="F",SUMIF(C2:C177,C155,AS2:AS177)&lt;=1),SUMIF(C2:C177,C155,AS2:AS177),IF(AND(AT155=1,M155="F",SUMIF(C2:C177,C155,AS2:AS177)&gt;1),1,"")))</f>
        <v>1</v>
      </c>
      <c r="AV155" s="506" t="str">
        <f>IF(AT155=0,"",IF(AND(AT155=3,M155="F",SUMIF(C2:C177,C155,AS2:AS177)&lt;=1),SUMIF(C2:C177,C155,AS2:AS177),IF(AND(AT155=3,M155="F",SUMIF(C2:C177,C155,AS2:AS177)&gt;1),1,"")))</f>
        <v/>
      </c>
      <c r="AW155" s="506">
        <f>SUMIF(C2:C177,C155,O2:O177)</f>
        <v>1</v>
      </c>
      <c r="AX155" s="506">
        <f>IF(AND(M155="F",AS155&lt;&gt;0),SUMIF(C2:C177,C155,W2:W177),0)</f>
        <v>69971.199999999997</v>
      </c>
      <c r="AY155" s="506">
        <f t="shared" si="171"/>
        <v>69971.199999999997</v>
      </c>
      <c r="AZ155" s="506" t="str">
        <f t="shared" si="172"/>
        <v/>
      </c>
      <c r="BA155" s="506">
        <f t="shared" si="173"/>
        <v>0</v>
      </c>
      <c r="BB155" s="506">
        <f t="shared" si="142"/>
        <v>11650</v>
      </c>
      <c r="BC155" s="506">
        <f t="shared" si="143"/>
        <v>0</v>
      </c>
      <c r="BD155" s="506">
        <f t="shared" si="144"/>
        <v>4338.2143999999998</v>
      </c>
      <c r="BE155" s="506">
        <f t="shared" si="145"/>
        <v>1014.5824</v>
      </c>
      <c r="BF155" s="506">
        <f t="shared" si="146"/>
        <v>8354.5612799999999</v>
      </c>
      <c r="BG155" s="506">
        <f t="shared" si="147"/>
        <v>504.49235199999998</v>
      </c>
      <c r="BH155" s="506">
        <f t="shared" si="148"/>
        <v>342.85888</v>
      </c>
      <c r="BI155" s="506">
        <f t="shared" si="149"/>
        <v>387.290592</v>
      </c>
      <c r="BJ155" s="506">
        <f t="shared" si="150"/>
        <v>860.64576</v>
      </c>
      <c r="BK155" s="506">
        <f t="shared" si="151"/>
        <v>0</v>
      </c>
      <c r="BL155" s="506">
        <f t="shared" si="174"/>
        <v>15802.645663999998</v>
      </c>
      <c r="BM155" s="506">
        <f t="shared" si="175"/>
        <v>0</v>
      </c>
      <c r="BN155" s="506">
        <f t="shared" si="152"/>
        <v>11650</v>
      </c>
      <c r="BO155" s="506">
        <f t="shared" si="153"/>
        <v>0</v>
      </c>
      <c r="BP155" s="506">
        <f t="shared" si="154"/>
        <v>4338.2143999999998</v>
      </c>
      <c r="BQ155" s="506">
        <f t="shared" si="155"/>
        <v>1014.5824</v>
      </c>
      <c r="BR155" s="506">
        <f t="shared" si="156"/>
        <v>8354.5612799999999</v>
      </c>
      <c r="BS155" s="506">
        <f t="shared" si="157"/>
        <v>504.49235199999998</v>
      </c>
      <c r="BT155" s="506">
        <f t="shared" si="158"/>
        <v>0</v>
      </c>
      <c r="BU155" s="506">
        <f t="shared" si="159"/>
        <v>387.290592</v>
      </c>
      <c r="BV155" s="506">
        <f t="shared" si="160"/>
        <v>839.65440000000001</v>
      </c>
      <c r="BW155" s="506">
        <f t="shared" si="161"/>
        <v>0</v>
      </c>
      <c r="BX155" s="506">
        <f t="shared" si="176"/>
        <v>15438.795423999998</v>
      </c>
      <c r="BY155" s="506">
        <f t="shared" si="177"/>
        <v>0</v>
      </c>
      <c r="BZ155" s="506">
        <f t="shared" si="178"/>
        <v>0</v>
      </c>
      <c r="CA155" s="506">
        <f t="shared" si="179"/>
        <v>0</v>
      </c>
      <c r="CB155" s="506">
        <f t="shared" si="180"/>
        <v>0</v>
      </c>
      <c r="CC155" s="506">
        <f t="shared" si="162"/>
        <v>0</v>
      </c>
      <c r="CD155" s="506">
        <f t="shared" si="163"/>
        <v>0</v>
      </c>
      <c r="CE155" s="506">
        <f t="shared" si="164"/>
        <v>0</v>
      </c>
      <c r="CF155" s="506">
        <f t="shared" si="165"/>
        <v>-342.85888</v>
      </c>
      <c r="CG155" s="506">
        <f t="shared" si="166"/>
        <v>0</v>
      </c>
      <c r="CH155" s="506">
        <f t="shared" si="167"/>
        <v>-20.991359999999993</v>
      </c>
      <c r="CI155" s="506">
        <f t="shared" si="168"/>
        <v>0</v>
      </c>
      <c r="CJ155" s="506">
        <f t="shared" si="181"/>
        <v>-363.85023999999999</v>
      </c>
      <c r="CK155" s="506" t="str">
        <f t="shared" si="182"/>
        <v/>
      </c>
      <c r="CL155" s="506" t="str">
        <f t="shared" si="183"/>
        <v/>
      </c>
      <c r="CM155" s="506" t="str">
        <f t="shared" si="184"/>
        <v/>
      </c>
      <c r="CN155" s="506" t="str">
        <f t="shared" si="185"/>
        <v>0290-00</v>
      </c>
    </row>
    <row r="156" spans="1:92" ht="15.75" thickBot="1" x14ac:dyDescent="0.3">
      <c r="A156" s="495" t="s">
        <v>187</v>
      </c>
      <c r="B156" s="495" t="s">
        <v>188</v>
      </c>
      <c r="C156" s="495" t="s">
        <v>797</v>
      </c>
      <c r="D156" s="495" t="s">
        <v>190</v>
      </c>
      <c r="E156" s="495" t="s">
        <v>191</v>
      </c>
      <c r="F156" s="496" t="s">
        <v>192</v>
      </c>
      <c r="G156" s="495" t="s">
        <v>193</v>
      </c>
      <c r="H156" s="497"/>
      <c r="I156" s="497"/>
      <c r="J156" s="495" t="s">
        <v>277</v>
      </c>
      <c r="K156" s="495" t="s">
        <v>195</v>
      </c>
      <c r="L156" s="495" t="s">
        <v>196</v>
      </c>
      <c r="M156" s="495" t="s">
        <v>197</v>
      </c>
      <c r="N156" s="495" t="s">
        <v>198</v>
      </c>
      <c r="O156" s="498">
        <v>1</v>
      </c>
      <c r="P156" s="504">
        <v>1</v>
      </c>
      <c r="Q156" s="504">
        <v>1</v>
      </c>
      <c r="R156" s="499">
        <v>80</v>
      </c>
      <c r="S156" s="504">
        <v>1</v>
      </c>
      <c r="T156" s="499">
        <v>53011.68</v>
      </c>
      <c r="U156" s="499">
        <v>1557.46</v>
      </c>
      <c r="V156" s="499">
        <v>23895.02</v>
      </c>
      <c r="W156" s="499">
        <v>49354.22</v>
      </c>
      <c r="X156" s="499">
        <v>22796.6</v>
      </c>
      <c r="Y156" s="499">
        <v>49354.22</v>
      </c>
      <c r="Z156" s="499">
        <v>22539.93</v>
      </c>
      <c r="AA156" s="495" t="s">
        <v>798</v>
      </c>
      <c r="AB156" s="495" t="s">
        <v>799</v>
      </c>
      <c r="AC156" s="495" t="s">
        <v>800</v>
      </c>
      <c r="AD156" s="495" t="s">
        <v>242</v>
      </c>
      <c r="AE156" s="495" t="s">
        <v>195</v>
      </c>
      <c r="AF156" s="495" t="s">
        <v>203</v>
      </c>
      <c r="AG156" s="495" t="s">
        <v>204</v>
      </c>
      <c r="AH156" s="500">
        <v>29.66</v>
      </c>
      <c r="AI156" s="500">
        <v>4296.8</v>
      </c>
      <c r="AJ156" s="495" t="s">
        <v>243</v>
      </c>
      <c r="AK156" s="495" t="s">
        <v>206</v>
      </c>
      <c r="AL156" s="495" t="s">
        <v>207</v>
      </c>
      <c r="AM156" s="495" t="s">
        <v>208</v>
      </c>
      <c r="AN156" s="495" t="s">
        <v>92</v>
      </c>
      <c r="AO156" s="498">
        <v>64</v>
      </c>
      <c r="AP156" s="504">
        <v>1</v>
      </c>
      <c r="AQ156" s="504">
        <v>0.8</v>
      </c>
      <c r="AR156" s="502" t="s">
        <v>209</v>
      </c>
      <c r="AS156" s="506">
        <f t="shared" si="169"/>
        <v>0.8</v>
      </c>
      <c r="AT156">
        <f t="shared" si="170"/>
        <v>1</v>
      </c>
      <c r="AU156" s="506">
        <f>IF(AT156=0,"",IF(AND(AT156=1,M156="F",SUMIF(C2:C177,C156,AS2:AS177)&lt;=1),SUMIF(C2:C177,C156,AS2:AS177),IF(AND(AT156=1,M156="F",SUMIF(C2:C177,C156,AS2:AS177)&gt;1),1,"")))</f>
        <v>0.8</v>
      </c>
      <c r="AV156" s="506" t="str">
        <f>IF(AT156=0,"",IF(AND(AT156=3,M156="F",SUMIF(C2:C177,C156,AS2:AS177)&lt;=1),SUMIF(C2:C177,C156,AS2:AS177),IF(AND(AT156=3,M156="F",SUMIF(C2:C177,C156,AS2:AS177)&gt;1),1,"")))</f>
        <v/>
      </c>
      <c r="AW156" s="506">
        <f>SUMIF(C2:C177,C156,O2:O177)</f>
        <v>2</v>
      </c>
      <c r="AX156" s="506">
        <f>IF(AND(M156="F",AS156&lt;&gt;0),SUMIF(C2:C177,C156,W2:W177),0)</f>
        <v>49354.22</v>
      </c>
      <c r="AY156" s="506">
        <f t="shared" si="171"/>
        <v>49354.22</v>
      </c>
      <c r="AZ156" s="506" t="str">
        <f t="shared" si="172"/>
        <v/>
      </c>
      <c r="BA156" s="506">
        <f t="shared" si="173"/>
        <v>0</v>
      </c>
      <c r="BB156" s="506">
        <f t="shared" si="142"/>
        <v>11650</v>
      </c>
      <c r="BC156" s="506">
        <f t="shared" si="143"/>
        <v>0</v>
      </c>
      <c r="BD156" s="506">
        <f t="shared" si="144"/>
        <v>3059.96164</v>
      </c>
      <c r="BE156" s="506">
        <f t="shared" si="145"/>
        <v>715.63619000000006</v>
      </c>
      <c r="BF156" s="506">
        <f t="shared" si="146"/>
        <v>5892.8938680000001</v>
      </c>
      <c r="BG156" s="506">
        <f t="shared" si="147"/>
        <v>355.8439262</v>
      </c>
      <c r="BH156" s="506">
        <f t="shared" si="148"/>
        <v>241.835678</v>
      </c>
      <c r="BI156" s="506">
        <f t="shared" si="149"/>
        <v>273.1756077</v>
      </c>
      <c r="BJ156" s="506">
        <f t="shared" si="150"/>
        <v>607.05690600000003</v>
      </c>
      <c r="BK156" s="506">
        <f t="shared" si="151"/>
        <v>0</v>
      </c>
      <c r="BL156" s="506">
        <f t="shared" si="174"/>
        <v>11146.403815899999</v>
      </c>
      <c r="BM156" s="506">
        <f t="shared" si="175"/>
        <v>0</v>
      </c>
      <c r="BN156" s="506">
        <f t="shared" si="152"/>
        <v>11650</v>
      </c>
      <c r="BO156" s="506">
        <f t="shared" si="153"/>
        <v>0</v>
      </c>
      <c r="BP156" s="506">
        <f t="shared" si="154"/>
        <v>3059.96164</v>
      </c>
      <c r="BQ156" s="506">
        <f t="shared" si="155"/>
        <v>715.63619000000006</v>
      </c>
      <c r="BR156" s="506">
        <f t="shared" si="156"/>
        <v>5892.8938680000001</v>
      </c>
      <c r="BS156" s="506">
        <f t="shared" si="157"/>
        <v>355.8439262</v>
      </c>
      <c r="BT156" s="506">
        <f t="shared" si="158"/>
        <v>0</v>
      </c>
      <c r="BU156" s="506">
        <f t="shared" si="159"/>
        <v>273.1756077</v>
      </c>
      <c r="BV156" s="506">
        <f t="shared" si="160"/>
        <v>592.25063999999998</v>
      </c>
      <c r="BW156" s="506">
        <f t="shared" si="161"/>
        <v>0</v>
      </c>
      <c r="BX156" s="506">
        <f t="shared" si="176"/>
        <v>10889.7618719</v>
      </c>
      <c r="BY156" s="506">
        <f t="shared" si="177"/>
        <v>0</v>
      </c>
      <c r="BZ156" s="506">
        <f t="shared" si="178"/>
        <v>0</v>
      </c>
      <c r="CA156" s="506">
        <f t="shared" si="179"/>
        <v>0</v>
      </c>
      <c r="CB156" s="506">
        <f t="shared" si="180"/>
        <v>0</v>
      </c>
      <c r="CC156" s="506">
        <f t="shared" si="162"/>
        <v>0</v>
      </c>
      <c r="CD156" s="506">
        <f t="shared" si="163"/>
        <v>0</v>
      </c>
      <c r="CE156" s="506">
        <f t="shared" si="164"/>
        <v>0</v>
      </c>
      <c r="CF156" s="506">
        <f t="shared" si="165"/>
        <v>-241.835678</v>
      </c>
      <c r="CG156" s="506">
        <f t="shared" si="166"/>
        <v>0</v>
      </c>
      <c r="CH156" s="506">
        <f t="shared" si="167"/>
        <v>-14.806265999999997</v>
      </c>
      <c r="CI156" s="506">
        <f t="shared" si="168"/>
        <v>0</v>
      </c>
      <c r="CJ156" s="506">
        <f t="shared" si="181"/>
        <v>-256.64194400000002</v>
      </c>
      <c r="CK156" s="506" t="str">
        <f t="shared" si="182"/>
        <v/>
      </c>
      <c r="CL156" s="506" t="str">
        <f t="shared" si="183"/>
        <v/>
      </c>
      <c r="CM156" s="506" t="str">
        <f t="shared" si="184"/>
        <v/>
      </c>
      <c r="CN156" s="506" t="str">
        <f t="shared" si="185"/>
        <v>0290-00</v>
      </c>
    </row>
    <row r="157" spans="1:92" ht="15.75" thickBot="1" x14ac:dyDescent="0.3">
      <c r="A157" s="495" t="s">
        <v>187</v>
      </c>
      <c r="B157" s="495" t="s">
        <v>188</v>
      </c>
      <c r="C157" s="495" t="s">
        <v>801</v>
      </c>
      <c r="D157" s="495" t="s">
        <v>190</v>
      </c>
      <c r="E157" s="495" t="s">
        <v>191</v>
      </c>
      <c r="F157" s="496" t="s">
        <v>192</v>
      </c>
      <c r="G157" s="495" t="s">
        <v>193</v>
      </c>
      <c r="H157" s="497"/>
      <c r="I157" s="497"/>
      <c r="J157" s="495" t="s">
        <v>225</v>
      </c>
      <c r="K157" s="495" t="s">
        <v>195</v>
      </c>
      <c r="L157" s="495" t="s">
        <v>196</v>
      </c>
      <c r="M157" s="495" t="s">
        <v>213</v>
      </c>
      <c r="N157" s="495" t="s">
        <v>198</v>
      </c>
      <c r="O157" s="498">
        <v>0</v>
      </c>
      <c r="P157" s="504">
        <v>1</v>
      </c>
      <c r="Q157" s="504">
        <v>1</v>
      </c>
      <c r="R157" s="499">
        <v>80</v>
      </c>
      <c r="S157" s="504">
        <v>1</v>
      </c>
      <c r="T157" s="499">
        <v>20206.36</v>
      </c>
      <c r="U157" s="499">
        <v>0</v>
      </c>
      <c r="V157" s="499">
        <v>9421.2099999999991</v>
      </c>
      <c r="W157" s="499">
        <v>53476.800000000003</v>
      </c>
      <c r="X157" s="499">
        <v>23422.83</v>
      </c>
      <c r="Y157" s="499">
        <v>53476.800000000003</v>
      </c>
      <c r="Z157" s="499">
        <v>23155.45</v>
      </c>
      <c r="AA157" s="497"/>
      <c r="AB157" s="495" t="s">
        <v>23</v>
      </c>
      <c r="AC157" s="495" t="s">
        <v>23</v>
      </c>
      <c r="AD157" s="497"/>
      <c r="AE157" s="497"/>
      <c r="AF157" s="497"/>
      <c r="AG157" s="497"/>
      <c r="AH157" s="498">
        <v>0</v>
      </c>
      <c r="AI157" s="498">
        <v>0</v>
      </c>
      <c r="AJ157" s="497"/>
      <c r="AK157" s="497"/>
      <c r="AL157" s="495" t="s">
        <v>207</v>
      </c>
      <c r="AM157" s="497"/>
      <c r="AN157" s="497"/>
      <c r="AO157" s="498">
        <v>0</v>
      </c>
      <c r="AP157" s="504">
        <v>0</v>
      </c>
      <c r="AQ157" s="504">
        <v>0</v>
      </c>
      <c r="AR157" s="503"/>
      <c r="AS157" s="506">
        <f t="shared" si="169"/>
        <v>0</v>
      </c>
      <c r="AT157">
        <f t="shared" si="170"/>
        <v>0</v>
      </c>
      <c r="AU157" s="506" t="str">
        <f>IF(AT157=0,"",IF(AND(AT157=1,M157="F",SUMIF(C2:C177,C157,AS2:AS177)&lt;=1),SUMIF(C2:C177,C157,AS2:AS177),IF(AND(AT157=1,M157="F",SUMIF(C2:C177,C157,AS2:AS177)&gt;1),1,"")))</f>
        <v/>
      </c>
      <c r="AV157" s="506" t="str">
        <f>IF(AT157=0,"",IF(AND(AT157=3,M157="F",SUMIF(C2:C177,C157,AS2:AS177)&lt;=1),SUMIF(C2:C177,C157,AS2:AS177),IF(AND(AT157=3,M157="F",SUMIF(C2:C177,C157,AS2:AS177)&gt;1),1,"")))</f>
        <v/>
      </c>
      <c r="AW157" s="506">
        <f>SUMIF(C2:C177,C157,O2:O177)</f>
        <v>0</v>
      </c>
      <c r="AX157" s="506">
        <f>IF(AND(M157="F",AS157&lt;&gt;0),SUMIF(C2:C177,C157,W2:W177),0)</f>
        <v>0</v>
      </c>
      <c r="AY157" s="506" t="str">
        <f t="shared" si="171"/>
        <v/>
      </c>
      <c r="AZ157" s="506" t="str">
        <f t="shared" si="172"/>
        <v/>
      </c>
      <c r="BA157" s="506">
        <f t="shared" si="173"/>
        <v>0</v>
      </c>
      <c r="BB157" s="506">
        <f t="shared" si="142"/>
        <v>0</v>
      </c>
      <c r="BC157" s="506">
        <f t="shared" si="143"/>
        <v>0</v>
      </c>
      <c r="BD157" s="506">
        <f t="shared" si="144"/>
        <v>0</v>
      </c>
      <c r="BE157" s="506">
        <f t="shared" si="145"/>
        <v>0</v>
      </c>
      <c r="BF157" s="506">
        <f t="shared" si="146"/>
        <v>0</v>
      </c>
      <c r="BG157" s="506">
        <f t="shared" si="147"/>
        <v>0</v>
      </c>
      <c r="BH157" s="506">
        <f t="shared" si="148"/>
        <v>0</v>
      </c>
      <c r="BI157" s="506">
        <f t="shared" si="149"/>
        <v>0</v>
      </c>
      <c r="BJ157" s="506">
        <f t="shared" si="150"/>
        <v>0</v>
      </c>
      <c r="BK157" s="506">
        <f t="shared" si="151"/>
        <v>0</v>
      </c>
      <c r="BL157" s="506">
        <f t="shared" si="174"/>
        <v>0</v>
      </c>
      <c r="BM157" s="506">
        <f t="shared" si="175"/>
        <v>0</v>
      </c>
      <c r="BN157" s="506">
        <f t="shared" si="152"/>
        <v>0</v>
      </c>
      <c r="BO157" s="506">
        <f t="shared" si="153"/>
        <v>0</v>
      </c>
      <c r="BP157" s="506">
        <f t="shared" si="154"/>
        <v>0</v>
      </c>
      <c r="BQ157" s="506">
        <f t="shared" si="155"/>
        <v>0</v>
      </c>
      <c r="BR157" s="506">
        <f t="shared" si="156"/>
        <v>0</v>
      </c>
      <c r="BS157" s="506">
        <f t="shared" si="157"/>
        <v>0</v>
      </c>
      <c r="BT157" s="506">
        <f t="shared" si="158"/>
        <v>0</v>
      </c>
      <c r="BU157" s="506">
        <f t="shared" si="159"/>
        <v>0</v>
      </c>
      <c r="BV157" s="506">
        <f t="shared" si="160"/>
        <v>0</v>
      </c>
      <c r="BW157" s="506">
        <f t="shared" si="161"/>
        <v>0</v>
      </c>
      <c r="BX157" s="506">
        <f t="shared" si="176"/>
        <v>0</v>
      </c>
      <c r="BY157" s="506">
        <f t="shared" si="177"/>
        <v>0</v>
      </c>
      <c r="BZ157" s="506">
        <f t="shared" si="178"/>
        <v>0</v>
      </c>
      <c r="CA157" s="506">
        <f t="shared" si="179"/>
        <v>0</v>
      </c>
      <c r="CB157" s="506">
        <f t="shared" si="180"/>
        <v>0</v>
      </c>
      <c r="CC157" s="506">
        <f t="shared" si="162"/>
        <v>0</v>
      </c>
      <c r="CD157" s="506">
        <f t="shared" si="163"/>
        <v>0</v>
      </c>
      <c r="CE157" s="506">
        <f t="shared" si="164"/>
        <v>0</v>
      </c>
      <c r="CF157" s="506">
        <f t="shared" si="165"/>
        <v>0</v>
      </c>
      <c r="CG157" s="506">
        <f t="shared" si="166"/>
        <v>0</v>
      </c>
      <c r="CH157" s="506">
        <f t="shared" si="167"/>
        <v>0</v>
      </c>
      <c r="CI157" s="506">
        <f t="shared" si="168"/>
        <v>0</v>
      </c>
      <c r="CJ157" s="506">
        <f t="shared" si="181"/>
        <v>0</v>
      </c>
      <c r="CK157" s="506" t="str">
        <f t="shared" si="182"/>
        <v/>
      </c>
      <c r="CL157" s="506" t="str">
        <f t="shared" si="183"/>
        <v/>
      </c>
      <c r="CM157" s="506" t="str">
        <f t="shared" si="184"/>
        <v/>
      </c>
      <c r="CN157" s="506" t="str">
        <f t="shared" si="185"/>
        <v>0290-00</v>
      </c>
    </row>
    <row r="158" spans="1:92" ht="15.75" thickBot="1" x14ac:dyDescent="0.3">
      <c r="A158" s="495" t="s">
        <v>187</v>
      </c>
      <c r="B158" s="495" t="s">
        <v>188</v>
      </c>
      <c r="C158" s="495" t="s">
        <v>802</v>
      </c>
      <c r="D158" s="495" t="s">
        <v>326</v>
      </c>
      <c r="E158" s="495" t="s">
        <v>191</v>
      </c>
      <c r="F158" s="496" t="s">
        <v>192</v>
      </c>
      <c r="G158" s="495" t="s">
        <v>193</v>
      </c>
      <c r="H158" s="497"/>
      <c r="I158" s="497"/>
      <c r="J158" s="495" t="s">
        <v>277</v>
      </c>
      <c r="K158" s="495" t="s">
        <v>327</v>
      </c>
      <c r="L158" s="495" t="s">
        <v>218</v>
      </c>
      <c r="M158" s="495" t="s">
        <v>197</v>
      </c>
      <c r="N158" s="495" t="s">
        <v>198</v>
      </c>
      <c r="O158" s="498">
        <v>1</v>
      </c>
      <c r="P158" s="504">
        <v>1</v>
      </c>
      <c r="Q158" s="504">
        <v>1</v>
      </c>
      <c r="R158" s="499">
        <v>80</v>
      </c>
      <c r="S158" s="504">
        <v>1</v>
      </c>
      <c r="T158" s="499">
        <v>12342.9</v>
      </c>
      <c r="U158" s="499">
        <v>122.41</v>
      </c>
      <c r="V158" s="499">
        <v>12025.13</v>
      </c>
      <c r="W158" s="499">
        <v>15837.1</v>
      </c>
      <c r="X158" s="499">
        <v>15226.76</v>
      </c>
      <c r="Y158" s="499">
        <v>15837.1</v>
      </c>
      <c r="Z158" s="499">
        <v>15144.4</v>
      </c>
      <c r="AA158" s="495" t="s">
        <v>803</v>
      </c>
      <c r="AB158" s="495" t="s">
        <v>804</v>
      </c>
      <c r="AC158" s="495" t="s">
        <v>805</v>
      </c>
      <c r="AD158" s="495" t="s">
        <v>242</v>
      </c>
      <c r="AE158" s="495" t="s">
        <v>327</v>
      </c>
      <c r="AF158" s="495" t="s">
        <v>222</v>
      </c>
      <c r="AG158" s="495" t="s">
        <v>204</v>
      </c>
      <c r="AH158" s="500">
        <v>12.69</v>
      </c>
      <c r="AI158" s="498">
        <v>439</v>
      </c>
      <c r="AJ158" s="495" t="s">
        <v>243</v>
      </c>
      <c r="AK158" s="495" t="s">
        <v>206</v>
      </c>
      <c r="AL158" s="495" t="s">
        <v>207</v>
      </c>
      <c r="AM158" s="495" t="s">
        <v>208</v>
      </c>
      <c r="AN158" s="495" t="s">
        <v>92</v>
      </c>
      <c r="AO158" s="498">
        <v>48</v>
      </c>
      <c r="AP158" s="504">
        <v>1</v>
      </c>
      <c r="AQ158" s="504">
        <v>0.6</v>
      </c>
      <c r="AR158" s="502" t="s">
        <v>209</v>
      </c>
      <c r="AS158" s="506">
        <f t="shared" si="169"/>
        <v>0.6</v>
      </c>
      <c r="AT158">
        <f t="shared" si="170"/>
        <v>1</v>
      </c>
      <c r="AU158" s="506">
        <f>IF(AT158=0,"",IF(AND(AT158=1,M158="F",SUMIF(C2:C177,C158,AS2:AS177)&lt;=1),SUMIF(C2:C177,C158,AS2:AS177),IF(AND(AT158=1,M158="F",SUMIF(C2:C177,C158,AS2:AS177)&gt;1),1,"")))</f>
        <v>0.6</v>
      </c>
      <c r="AV158" s="506" t="str">
        <f>IF(AT158=0,"",IF(AND(AT158=3,M158="F",SUMIF(C2:C177,C158,AS2:AS177)&lt;=1),SUMIF(C2:C177,C158,AS2:AS177),IF(AND(AT158=3,M158="F",SUMIF(C2:C177,C158,AS2:AS177)&gt;1),1,"")))</f>
        <v/>
      </c>
      <c r="AW158" s="506">
        <f>SUMIF(C2:C177,C158,O2:O177)</f>
        <v>1</v>
      </c>
      <c r="AX158" s="506">
        <f>IF(AND(M158="F",AS158&lt;&gt;0),SUMIF(C2:C177,C158,W2:W177),0)</f>
        <v>15837.1</v>
      </c>
      <c r="AY158" s="506">
        <f t="shared" si="171"/>
        <v>15837.1</v>
      </c>
      <c r="AZ158" s="506" t="str">
        <f t="shared" si="172"/>
        <v/>
      </c>
      <c r="BA158" s="506">
        <f t="shared" si="173"/>
        <v>0</v>
      </c>
      <c r="BB158" s="506">
        <f t="shared" si="142"/>
        <v>9320</v>
      </c>
      <c r="BC158" s="506">
        <f t="shared" si="143"/>
        <v>0</v>
      </c>
      <c r="BD158" s="506">
        <f t="shared" si="144"/>
        <v>981.90020000000004</v>
      </c>
      <c r="BE158" s="506">
        <f t="shared" si="145"/>
        <v>229.63795000000002</v>
      </c>
      <c r="BF158" s="506">
        <f t="shared" si="146"/>
        <v>1890.9497400000002</v>
      </c>
      <c r="BG158" s="506">
        <f t="shared" si="147"/>
        <v>114.18549100000001</v>
      </c>
      <c r="BH158" s="506">
        <f t="shared" si="148"/>
        <v>77.601789999999994</v>
      </c>
      <c r="BI158" s="506">
        <f t="shared" si="149"/>
        <v>87.658348500000002</v>
      </c>
      <c r="BJ158" s="506">
        <f t="shared" si="150"/>
        <v>194.79633000000001</v>
      </c>
      <c r="BK158" s="506">
        <f t="shared" si="151"/>
        <v>0</v>
      </c>
      <c r="BL158" s="506">
        <f t="shared" si="174"/>
        <v>3576.7298495000009</v>
      </c>
      <c r="BM158" s="506">
        <f t="shared" si="175"/>
        <v>0</v>
      </c>
      <c r="BN158" s="506">
        <f t="shared" si="152"/>
        <v>9320</v>
      </c>
      <c r="BO158" s="506">
        <f t="shared" si="153"/>
        <v>0</v>
      </c>
      <c r="BP158" s="506">
        <f t="shared" si="154"/>
        <v>981.90020000000004</v>
      </c>
      <c r="BQ158" s="506">
        <f t="shared" si="155"/>
        <v>229.63795000000002</v>
      </c>
      <c r="BR158" s="506">
        <f t="shared" si="156"/>
        <v>1890.9497400000002</v>
      </c>
      <c r="BS158" s="506">
        <f t="shared" si="157"/>
        <v>114.18549100000001</v>
      </c>
      <c r="BT158" s="506">
        <f t="shared" si="158"/>
        <v>0</v>
      </c>
      <c r="BU158" s="506">
        <f t="shared" si="159"/>
        <v>87.658348500000002</v>
      </c>
      <c r="BV158" s="506">
        <f t="shared" si="160"/>
        <v>190.04519999999999</v>
      </c>
      <c r="BW158" s="506">
        <f t="shared" si="161"/>
        <v>0</v>
      </c>
      <c r="BX158" s="506">
        <f t="shared" si="176"/>
        <v>3494.3769295000006</v>
      </c>
      <c r="BY158" s="506">
        <f t="shared" si="177"/>
        <v>0</v>
      </c>
      <c r="BZ158" s="506">
        <f t="shared" si="178"/>
        <v>0</v>
      </c>
      <c r="CA158" s="506">
        <f t="shared" si="179"/>
        <v>0</v>
      </c>
      <c r="CB158" s="506">
        <f t="shared" si="180"/>
        <v>0</v>
      </c>
      <c r="CC158" s="506">
        <f t="shared" si="162"/>
        <v>0</v>
      </c>
      <c r="CD158" s="506">
        <f t="shared" si="163"/>
        <v>0</v>
      </c>
      <c r="CE158" s="506">
        <f t="shared" si="164"/>
        <v>0</v>
      </c>
      <c r="CF158" s="506">
        <f t="shared" si="165"/>
        <v>-77.601789999999994</v>
      </c>
      <c r="CG158" s="506">
        <f t="shared" si="166"/>
        <v>0</v>
      </c>
      <c r="CH158" s="506">
        <f t="shared" si="167"/>
        <v>-4.751129999999999</v>
      </c>
      <c r="CI158" s="506">
        <f t="shared" si="168"/>
        <v>0</v>
      </c>
      <c r="CJ158" s="506">
        <f t="shared" si="181"/>
        <v>-82.352919999999997</v>
      </c>
      <c r="CK158" s="506" t="str">
        <f t="shared" si="182"/>
        <v/>
      </c>
      <c r="CL158" s="506" t="str">
        <f t="shared" si="183"/>
        <v/>
      </c>
      <c r="CM158" s="506" t="str">
        <f t="shared" si="184"/>
        <v/>
      </c>
      <c r="CN158" s="506" t="str">
        <f t="shared" si="185"/>
        <v>0290-00</v>
      </c>
    </row>
    <row r="159" spans="1:92" ht="15.75" thickBot="1" x14ac:dyDescent="0.3">
      <c r="A159" s="495" t="s">
        <v>187</v>
      </c>
      <c r="B159" s="495" t="s">
        <v>188</v>
      </c>
      <c r="C159" s="495" t="s">
        <v>806</v>
      </c>
      <c r="D159" s="495" t="s">
        <v>380</v>
      </c>
      <c r="E159" s="495" t="s">
        <v>191</v>
      </c>
      <c r="F159" s="496" t="s">
        <v>192</v>
      </c>
      <c r="G159" s="495" t="s">
        <v>193</v>
      </c>
      <c r="H159" s="497"/>
      <c r="I159" s="497"/>
      <c r="J159" s="495" t="s">
        <v>358</v>
      </c>
      <c r="K159" s="495" t="s">
        <v>381</v>
      </c>
      <c r="L159" s="495" t="s">
        <v>196</v>
      </c>
      <c r="M159" s="495" t="s">
        <v>197</v>
      </c>
      <c r="N159" s="495" t="s">
        <v>227</v>
      </c>
      <c r="O159" s="498">
        <v>0</v>
      </c>
      <c r="P159" s="504">
        <v>1</v>
      </c>
      <c r="Q159" s="504">
        <v>0</v>
      </c>
      <c r="R159" s="499">
        <v>0</v>
      </c>
      <c r="S159" s="504">
        <v>0</v>
      </c>
      <c r="T159" s="499">
        <v>37088.910000000003</v>
      </c>
      <c r="U159" s="499">
        <v>0</v>
      </c>
      <c r="V159" s="499">
        <v>17317.939999999999</v>
      </c>
      <c r="W159" s="499">
        <v>37088.879999999997</v>
      </c>
      <c r="X159" s="499">
        <v>17317.91</v>
      </c>
      <c r="Y159" s="499">
        <v>37088.879999999997</v>
      </c>
      <c r="Z159" s="499">
        <v>17317.91</v>
      </c>
      <c r="AA159" s="497"/>
      <c r="AB159" s="495" t="s">
        <v>23</v>
      </c>
      <c r="AC159" s="495" t="s">
        <v>23</v>
      </c>
      <c r="AD159" s="497"/>
      <c r="AE159" s="497"/>
      <c r="AF159" s="497"/>
      <c r="AG159" s="497"/>
      <c r="AH159" s="498">
        <v>0</v>
      </c>
      <c r="AI159" s="498">
        <v>0</v>
      </c>
      <c r="AJ159" s="497"/>
      <c r="AK159" s="497"/>
      <c r="AL159" s="495" t="s">
        <v>207</v>
      </c>
      <c r="AM159" s="497"/>
      <c r="AN159" s="497"/>
      <c r="AO159" s="498">
        <v>0</v>
      </c>
      <c r="AP159" s="504">
        <v>0</v>
      </c>
      <c r="AQ159" s="504">
        <v>0</v>
      </c>
      <c r="AR159" s="503"/>
      <c r="AS159" s="506">
        <f t="shared" si="169"/>
        <v>0</v>
      </c>
      <c r="AT159">
        <f t="shared" si="170"/>
        <v>0</v>
      </c>
      <c r="AU159" s="506" t="str">
        <f>IF(AT159=0,"",IF(AND(AT159=1,M159="F",SUMIF(C2:C177,C159,AS2:AS177)&lt;=1),SUMIF(C2:C177,C159,AS2:AS177),IF(AND(AT159=1,M159="F",SUMIF(C2:C177,C159,AS2:AS177)&gt;1),1,"")))</f>
        <v/>
      </c>
      <c r="AV159" s="506" t="str">
        <f>IF(AT159=0,"",IF(AND(AT159=3,M159="F",SUMIF(C2:C177,C159,AS2:AS177)&lt;=1),SUMIF(C2:C177,C159,AS2:AS177),IF(AND(AT159=3,M159="F",SUMIF(C2:C177,C159,AS2:AS177)&gt;1),1,"")))</f>
        <v/>
      </c>
      <c r="AW159" s="506">
        <f>SUMIF(C2:C177,C159,O2:O177)</f>
        <v>0</v>
      </c>
      <c r="AX159" s="506">
        <f>IF(AND(M159="F",AS159&lt;&gt;0),SUMIF(C2:C177,C159,W2:W177),0)</f>
        <v>0</v>
      </c>
      <c r="AY159" s="506" t="str">
        <f t="shared" si="171"/>
        <v/>
      </c>
      <c r="AZ159" s="506" t="str">
        <f t="shared" si="172"/>
        <v/>
      </c>
      <c r="BA159" s="506">
        <f t="shared" si="173"/>
        <v>0</v>
      </c>
      <c r="BB159" s="506">
        <f t="shared" si="142"/>
        <v>0</v>
      </c>
      <c r="BC159" s="506">
        <f t="shared" si="143"/>
        <v>0</v>
      </c>
      <c r="BD159" s="506">
        <f t="shared" si="144"/>
        <v>0</v>
      </c>
      <c r="BE159" s="506">
        <f t="shared" si="145"/>
        <v>0</v>
      </c>
      <c r="BF159" s="506">
        <f t="shared" si="146"/>
        <v>0</v>
      </c>
      <c r="BG159" s="506">
        <f t="shared" si="147"/>
        <v>0</v>
      </c>
      <c r="BH159" s="506">
        <f t="shared" si="148"/>
        <v>0</v>
      </c>
      <c r="BI159" s="506">
        <f t="shared" si="149"/>
        <v>0</v>
      </c>
      <c r="BJ159" s="506">
        <f t="shared" si="150"/>
        <v>0</v>
      </c>
      <c r="BK159" s="506">
        <f t="shared" si="151"/>
        <v>0</v>
      </c>
      <c r="BL159" s="506">
        <f t="shared" si="174"/>
        <v>0</v>
      </c>
      <c r="BM159" s="506">
        <f t="shared" si="175"/>
        <v>0</v>
      </c>
      <c r="BN159" s="506">
        <f t="shared" si="152"/>
        <v>0</v>
      </c>
      <c r="BO159" s="506">
        <f t="shared" si="153"/>
        <v>0</v>
      </c>
      <c r="BP159" s="506">
        <f t="shared" si="154"/>
        <v>0</v>
      </c>
      <c r="BQ159" s="506">
        <f t="shared" si="155"/>
        <v>0</v>
      </c>
      <c r="BR159" s="506">
        <f t="shared" si="156"/>
        <v>0</v>
      </c>
      <c r="BS159" s="506">
        <f t="shared" si="157"/>
        <v>0</v>
      </c>
      <c r="BT159" s="506">
        <f t="shared" si="158"/>
        <v>0</v>
      </c>
      <c r="BU159" s="506">
        <f t="shared" si="159"/>
        <v>0</v>
      </c>
      <c r="BV159" s="506">
        <f t="shared" si="160"/>
        <v>0</v>
      </c>
      <c r="BW159" s="506">
        <f t="shared" si="161"/>
        <v>0</v>
      </c>
      <c r="BX159" s="506">
        <f t="shared" si="176"/>
        <v>0</v>
      </c>
      <c r="BY159" s="506">
        <f t="shared" si="177"/>
        <v>0</v>
      </c>
      <c r="BZ159" s="506">
        <f t="shared" si="178"/>
        <v>0</v>
      </c>
      <c r="CA159" s="506">
        <f t="shared" si="179"/>
        <v>0</v>
      </c>
      <c r="CB159" s="506">
        <f t="shared" si="180"/>
        <v>0</v>
      </c>
      <c r="CC159" s="506">
        <f t="shared" si="162"/>
        <v>0</v>
      </c>
      <c r="CD159" s="506">
        <f t="shared" si="163"/>
        <v>0</v>
      </c>
      <c r="CE159" s="506">
        <f t="shared" si="164"/>
        <v>0</v>
      </c>
      <c r="CF159" s="506">
        <f t="shared" si="165"/>
        <v>0</v>
      </c>
      <c r="CG159" s="506">
        <f t="shared" si="166"/>
        <v>0</v>
      </c>
      <c r="CH159" s="506">
        <f t="shared" si="167"/>
        <v>0</v>
      </c>
      <c r="CI159" s="506">
        <f t="shared" si="168"/>
        <v>0</v>
      </c>
      <c r="CJ159" s="506">
        <f t="shared" si="181"/>
        <v>0</v>
      </c>
      <c r="CK159" s="506" t="str">
        <f t="shared" si="182"/>
        <v/>
      </c>
      <c r="CL159" s="506">
        <f t="shared" si="183"/>
        <v>37088.910000000003</v>
      </c>
      <c r="CM159" s="506">
        <f t="shared" si="184"/>
        <v>17317.939999999999</v>
      </c>
      <c r="CN159" s="506" t="str">
        <f t="shared" si="185"/>
        <v>0290-00</v>
      </c>
    </row>
    <row r="160" spans="1:92" ht="15.75" thickBot="1" x14ac:dyDescent="0.3">
      <c r="A160" s="495" t="s">
        <v>187</v>
      </c>
      <c r="B160" s="495" t="s">
        <v>188</v>
      </c>
      <c r="C160" s="495" t="s">
        <v>807</v>
      </c>
      <c r="D160" s="495" t="s">
        <v>229</v>
      </c>
      <c r="E160" s="495" t="s">
        <v>191</v>
      </c>
      <c r="F160" s="496" t="s">
        <v>192</v>
      </c>
      <c r="G160" s="495" t="s">
        <v>193</v>
      </c>
      <c r="H160" s="497"/>
      <c r="I160" s="497"/>
      <c r="J160" s="495" t="s">
        <v>194</v>
      </c>
      <c r="K160" s="495" t="s">
        <v>231</v>
      </c>
      <c r="L160" s="495" t="s">
        <v>232</v>
      </c>
      <c r="M160" s="495" t="s">
        <v>197</v>
      </c>
      <c r="N160" s="495" t="s">
        <v>198</v>
      </c>
      <c r="O160" s="498">
        <v>1</v>
      </c>
      <c r="P160" s="504">
        <v>1</v>
      </c>
      <c r="Q160" s="504">
        <v>1</v>
      </c>
      <c r="R160" s="499">
        <v>80</v>
      </c>
      <c r="S160" s="504">
        <v>1</v>
      </c>
      <c r="T160" s="499">
        <v>39258.18</v>
      </c>
      <c r="U160" s="499">
        <v>375.36</v>
      </c>
      <c r="V160" s="499">
        <v>20507.419999999998</v>
      </c>
      <c r="W160" s="499">
        <v>51521.599999999999</v>
      </c>
      <c r="X160" s="499">
        <v>23286.1</v>
      </c>
      <c r="Y160" s="499">
        <v>51521.599999999999</v>
      </c>
      <c r="Z160" s="499">
        <v>23018.2</v>
      </c>
      <c r="AA160" s="495" t="s">
        <v>808</v>
      </c>
      <c r="AB160" s="495" t="s">
        <v>809</v>
      </c>
      <c r="AC160" s="495" t="s">
        <v>810</v>
      </c>
      <c r="AD160" s="495" t="s">
        <v>811</v>
      </c>
      <c r="AE160" s="495" t="s">
        <v>231</v>
      </c>
      <c r="AF160" s="495" t="s">
        <v>237</v>
      </c>
      <c r="AG160" s="495" t="s">
        <v>204</v>
      </c>
      <c r="AH160" s="500">
        <v>24.77</v>
      </c>
      <c r="AI160" s="498">
        <v>10690</v>
      </c>
      <c r="AJ160" s="495" t="s">
        <v>205</v>
      </c>
      <c r="AK160" s="495" t="s">
        <v>206</v>
      </c>
      <c r="AL160" s="495" t="s">
        <v>207</v>
      </c>
      <c r="AM160" s="495" t="s">
        <v>208</v>
      </c>
      <c r="AN160" s="495" t="s">
        <v>92</v>
      </c>
      <c r="AO160" s="498">
        <v>80</v>
      </c>
      <c r="AP160" s="504">
        <v>1</v>
      </c>
      <c r="AQ160" s="504">
        <v>1</v>
      </c>
      <c r="AR160" s="502" t="s">
        <v>209</v>
      </c>
      <c r="AS160" s="506">
        <f t="shared" si="169"/>
        <v>1</v>
      </c>
      <c r="AT160">
        <f t="shared" si="170"/>
        <v>1</v>
      </c>
      <c r="AU160" s="506">
        <f>IF(AT160=0,"",IF(AND(AT160=1,M160="F",SUMIF(C2:C177,C160,AS2:AS177)&lt;=1),SUMIF(C2:C177,C160,AS2:AS177),IF(AND(AT160=1,M160="F",SUMIF(C2:C177,C160,AS2:AS177)&gt;1),1,"")))</f>
        <v>1</v>
      </c>
      <c r="AV160" s="506" t="str">
        <f>IF(AT160=0,"",IF(AND(AT160=3,M160="F",SUMIF(C2:C177,C160,AS2:AS177)&lt;=1),SUMIF(C2:C177,C160,AS2:AS177),IF(AND(AT160=3,M160="F",SUMIF(C2:C177,C160,AS2:AS177)&gt;1),1,"")))</f>
        <v/>
      </c>
      <c r="AW160" s="506">
        <f>SUMIF(C2:C177,C160,O2:O177)</f>
        <v>1</v>
      </c>
      <c r="AX160" s="506">
        <f>IF(AND(M160="F",AS160&lt;&gt;0),SUMIF(C2:C177,C160,W2:W177),0)</f>
        <v>51521.599999999999</v>
      </c>
      <c r="AY160" s="506">
        <f t="shared" si="171"/>
        <v>51521.599999999999</v>
      </c>
      <c r="AZ160" s="506" t="str">
        <f t="shared" si="172"/>
        <v/>
      </c>
      <c r="BA160" s="506">
        <f t="shared" si="173"/>
        <v>0</v>
      </c>
      <c r="BB160" s="506">
        <f t="shared" si="142"/>
        <v>11650</v>
      </c>
      <c r="BC160" s="506">
        <f t="shared" si="143"/>
        <v>0</v>
      </c>
      <c r="BD160" s="506">
        <f t="shared" si="144"/>
        <v>3194.3391999999999</v>
      </c>
      <c r="BE160" s="506">
        <f t="shared" si="145"/>
        <v>747.06320000000005</v>
      </c>
      <c r="BF160" s="506">
        <f t="shared" si="146"/>
        <v>6151.67904</v>
      </c>
      <c r="BG160" s="506">
        <f t="shared" si="147"/>
        <v>371.47073599999999</v>
      </c>
      <c r="BH160" s="506">
        <f t="shared" si="148"/>
        <v>252.45583999999999</v>
      </c>
      <c r="BI160" s="506">
        <f t="shared" si="149"/>
        <v>285.172056</v>
      </c>
      <c r="BJ160" s="506">
        <f t="shared" si="150"/>
        <v>633.71568000000002</v>
      </c>
      <c r="BK160" s="506">
        <f t="shared" si="151"/>
        <v>0</v>
      </c>
      <c r="BL160" s="506">
        <f t="shared" si="174"/>
        <v>11635.895751999999</v>
      </c>
      <c r="BM160" s="506">
        <f t="shared" si="175"/>
        <v>0</v>
      </c>
      <c r="BN160" s="506">
        <f t="shared" si="152"/>
        <v>11650</v>
      </c>
      <c r="BO160" s="506">
        <f t="shared" si="153"/>
        <v>0</v>
      </c>
      <c r="BP160" s="506">
        <f t="shared" si="154"/>
        <v>3194.3391999999999</v>
      </c>
      <c r="BQ160" s="506">
        <f t="shared" si="155"/>
        <v>747.06320000000005</v>
      </c>
      <c r="BR160" s="506">
        <f t="shared" si="156"/>
        <v>6151.67904</v>
      </c>
      <c r="BS160" s="506">
        <f t="shared" si="157"/>
        <v>371.47073599999999</v>
      </c>
      <c r="BT160" s="506">
        <f t="shared" si="158"/>
        <v>0</v>
      </c>
      <c r="BU160" s="506">
        <f t="shared" si="159"/>
        <v>285.172056</v>
      </c>
      <c r="BV160" s="506">
        <f t="shared" si="160"/>
        <v>618.25919999999996</v>
      </c>
      <c r="BW160" s="506">
        <f t="shared" si="161"/>
        <v>0</v>
      </c>
      <c r="BX160" s="506">
        <f t="shared" si="176"/>
        <v>11367.983431999999</v>
      </c>
      <c r="BY160" s="506">
        <f t="shared" si="177"/>
        <v>0</v>
      </c>
      <c r="BZ160" s="506">
        <f t="shared" si="178"/>
        <v>0</v>
      </c>
      <c r="CA160" s="506">
        <f t="shared" si="179"/>
        <v>0</v>
      </c>
      <c r="CB160" s="506">
        <f t="shared" si="180"/>
        <v>0</v>
      </c>
      <c r="CC160" s="506">
        <f t="shared" si="162"/>
        <v>0</v>
      </c>
      <c r="CD160" s="506">
        <f t="shared" si="163"/>
        <v>0</v>
      </c>
      <c r="CE160" s="506">
        <f t="shared" si="164"/>
        <v>0</v>
      </c>
      <c r="CF160" s="506">
        <f t="shared" si="165"/>
        <v>-252.45583999999999</v>
      </c>
      <c r="CG160" s="506">
        <f t="shared" si="166"/>
        <v>0</v>
      </c>
      <c r="CH160" s="506">
        <f t="shared" si="167"/>
        <v>-15.456479999999996</v>
      </c>
      <c r="CI160" s="506">
        <f t="shared" si="168"/>
        <v>0</v>
      </c>
      <c r="CJ160" s="506">
        <f t="shared" si="181"/>
        <v>-267.91231999999997</v>
      </c>
      <c r="CK160" s="506" t="str">
        <f t="shared" si="182"/>
        <v/>
      </c>
      <c r="CL160" s="506" t="str">
        <f t="shared" si="183"/>
        <v/>
      </c>
      <c r="CM160" s="506" t="str">
        <f t="shared" si="184"/>
        <v/>
      </c>
      <c r="CN160" s="506" t="str">
        <f t="shared" si="185"/>
        <v>0290-00</v>
      </c>
    </row>
    <row r="161" spans="1:92" ht="15.75" thickBot="1" x14ac:dyDescent="0.3">
      <c r="A161" s="495" t="s">
        <v>187</v>
      </c>
      <c r="B161" s="495" t="s">
        <v>188</v>
      </c>
      <c r="C161" s="495" t="s">
        <v>486</v>
      </c>
      <c r="D161" s="495" t="s">
        <v>265</v>
      </c>
      <c r="E161" s="495" t="s">
        <v>812</v>
      </c>
      <c r="F161" s="496" t="s">
        <v>192</v>
      </c>
      <c r="G161" s="495" t="s">
        <v>193</v>
      </c>
      <c r="H161" s="497"/>
      <c r="I161" s="497"/>
      <c r="J161" s="495" t="s">
        <v>248</v>
      </c>
      <c r="K161" s="495" t="s">
        <v>266</v>
      </c>
      <c r="L161" s="495" t="s">
        <v>232</v>
      </c>
      <c r="M161" s="495" t="s">
        <v>197</v>
      </c>
      <c r="N161" s="495" t="s">
        <v>198</v>
      </c>
      <c r="O161" s="498">
        <v>1</v>
      </c>
      <c r="P161" s="504">
        <v>0</v>
      </c>
      <c r="Q161" s="504">
        <v>0</v>
      </c>
      <c r="R161" s="499">
        <v>80</v>
      </c>
      <c r="S161" s="504">
        <v>0</v>
      </c>
      <c r="T161" s="499">
        <v>10.16</v>
      </c>
      <c r="U161" s="499">
        <v>0</v>
      </c>
      <c r="V161" s="499">
        <v>5.15</v>
      </c>
      <c r="W161" s="499">
        <v>0</v>
      </c>
      <c r="X161" s="499">
        <v>0</v>
      </c>
      <c r="Y161" s="499">
        <v>0</v>
      </c>
      <c r="Z161" s="499">
        <v>0</v>
      </c>
      <c r="AA161" s="495" t="s">
        <v>487</v>
      </c>
      <c r="AB161" s="495" t="s">
        <v>488</v>
      </c>
      <c r="AC161" s="495" t="s">
        <v>489</v>
      </c>
      <c r="AD161" s="495" t="s">
        <v>242</v>
      </c>
      <c r="AE161" s="495" t="s">
        <v>266</v>
      </c>
      <c r="AF161" s="495" t="s">
        <v>237</v>
      </c>
      <c r="AG161" s="495" t="s">
        <v>204</v>
      </c>
      <c r="AH161" s="500">
        <v>21.02</v>
      </c>
      <c r="AI161" s="500">
        <v>1442.5</v>
      </c>
      <c r="AJ161" s="495" t="s">
        <v>205</v>
      </c>
      <c r="AK161" s="495" t="s">
        <v>206</v>
      </c>
      <c r="AL161" s="495" t="s">
        <v>207</v>
      </c>
      <c r="AM161" s="495" t="s">
        <v>208</v>
      </c>
      <c r="AN161" s="495" t="s">
        <v>92</v>
      </c>
      <c r="AO161" s="498">
        <v>80</v>
      </c>
      <c r="AP161" s="504">
        <v>1</v>
      </c>
      <c r="AQ161" s="504">
        <v>0</v>
      </c>
      <c r="AR161" s="502" t="s">
        <v>209</v>
      </c>
      <c r="AS161" s="506">
        <f t="shared" si="169"/>
        <v>0</v>
      </c>
      <c r="AT161">
        <f t="shared" si="170"/>
        <v>0</v>
      </c>
      <c r="AU161" s="506" t="str">
        <f>IF(AT161=0,"",IF(AND(AT161=1,M161="F",SUMIF(C2:C177,C161,AS2:AS177)&lt;=1),SUMIF(C2:C177,C161,AS2:AS177),IF(AND(AT161=1,M161="F",SUMIF(C2:C177,C161,AS2:AS177)&gt;1),1,"")))</f>
        <v/>
      </c>
      <c r="AV161" s="506" t="str">
        <f>IF(AT161=0,"",IF(AND(AT161=3,M161="F",SUMIF(C2:C177,C161,AS2:AS177)&lt;=1),SUMIF(C2:C177,C161,AS2:AS177),IF(AND(AT161=3,M161="F",SUMIF(C2:C177,C161,AS2:AS177)&gt;1),1,"")))</f>
        <v/>
      </c>
      <c r="AW161" s="506">
        <f>SUMIF(C2:C177,C161,O2:O177)</f>
        <v>2</v>
      </c>
      <c r="AX161" s="506">
        <f>IF(AND(M161="F",AS161&lt;&gt;0),SUMIF(C2:C177,C161,W2:W177),0)</f>
        <v>0</v>
      </c>
      <c r="AY161" s="506" t="str">
        <f t="shared" si="171"/>
        <v/>
      </c>
      <c r="AZ161" s="506" t="str">
        <f t="shared" si="172"/>
        <v/>
      </c>
      <c r="BA161" s="506">
        <f t="shared" si="173"/>
        <v>0</v>
      </c>
      <c r="BB161" s="506">
        <f t="shared" si="142"/>
        <v>0</v>
      </c>
      <c r="BC161" s="506">
        <f t="shared" si="143"/>
        <v>0</v>
      </c>
      <c r="BD161" s="506">
        <f t="shared" si="144"/>
        <v>0</v>
      </c>
      <c r="BE161" s="506">
        <f t="shared" si="145"/>
        <v>0</v>
      </c>
      <c r="BF161" s="506">
        <f t="shared" si="146"/>
        <v>0</v>
      </c>
      <c r="BG161" s="506">
        <f t="shared" si="147"/>
        <v>0</v>
      </c>
      <c r="BH161" s="506">
        <f t="shared" si="148"/>
        <v>0</v>
      </c>
      <c r="BI161" s="506">
        <f t="shared" si="149"/>
        <v>0</v>
      </c>
      <c r="BJ161" s="506">
        <f t="shared" si="150"/>
        <v>0</v>
      </c>
      <c r="BK161" s="506">
        <f t="shared" si="151"/>
        <v>0</v>
      </c>
      <c r="BL161" s="506">
        <f t="shared" si="174"/>
        <v>0</v>
      </c>
      <c r="BM161" s="506">
        <f t="shared" si="175"/>
        <v>0</v>
      </c>
      <c r="BN161" s="506">
        <f t="shared" si="152"/>
        <v>0</v>
      </c>
      <c r="BO161" s="506">
        <f t="shared" si="153"/>
        <v>0</v>
      </c>
      <c r="BP161" s="506">
        <f t="shared" si="154"/>
        <v>0</v>
      </c>
      <c r="BQ161" s="506">
        <f t="shared" si="155"/>
        <v>0</v>
      </c>
      <c r="BR161" s="506">
        <f t="shared" si="156"/>
        <v>0</v>
      </c>
      <c r="BS161" s="506">
        <f t="shared" si="157"/>
        <v>0</v>
      </c>
      <c r="BT161" s="506">
        <f t="shared" si="158"/>
        <v>0</v>
      </c>
      <c r="BU161" s="506">
        <f t="shared" si="159"/>
        <v>0</v>
      </c>
      <c r="BV161" s="506">
        <f t="shared" si="160"/>
        <v>0</v>
      </c>
      <c r="BW161" s="506">
        <f t="shared" si="161"/>
        <v>0</v>
      </c>
      <c r="BX161" s="506">
        <f t="shared" si="176"/>
        <v>0</v>
      </c>
      <c r="BY161" s="506">
        <f t="shared" si="177"/>
        <v>0</v>
      </c>
      <c r="BZ161" s="506">
        <f t="shared" si="178"/>
        <v>0</v>
      </c>
      <c r="CA161" s="506">
        <f t="shared" si="179"/>
        <v>0</v>
      </c>
      <c r="CB161" s="506">
        <f t="shared" si="180"/>
        <v>0</v>
      </c>
      <c r="CC161" s="506">
        <f t="shared" si="162"/>
        <v>0</v>
      </c>
      <c r="CD161" s="506">
        <f t="shared" si="163"/>
        <v>0</v>
      </c>
      <c r="CE161" s="506">
        <f t="shared" si="164"/>
        <v>0</v>
      </c>
      <c r="CF161" s="506">
        <f t="shared" si="165"/>
        <v>0</v>
      </c>
      <c r="CG161" s="506">
        <f t="shared" si="166"/>
        <v>0</v>
      </c>
      <c r="CH161" s="506">
        <f t="shared" si="167"/>
        <v>0</v>
      </c>
      <c r="CI161" s="506">
        <f t="shared" si="168"/>
        <v>0</v>
      </c>
      <c r="CJ161" s="506">
        <f t="shared" si="181"/>
        <v>0</v>
      </c>
      <c r="CK161" s="506" t="str">
        <f t="shared" si="182"/>
        <v/>
      </c>
      <c r="CL161" s="506" t="str">
        <f t="shared" si="183"/>
        <v/>
      </c>
      <c r="CM161" s="506" t="str">
        <f t="shared" si="184"/>
        <v/>
      </c>
      <c r="CN161" s="506" t="str">
        <f t="shared" si="185"/>
        <v>0499-00</v>
      </c>
    </row>
    <row r="162" spans="1:92" ht="15.75" thickBot="1" x14ac:dyDescent="0.3">
      <c r="A162" s="495" t="s">
        <v>187</v>
      </c>
      <c r="B162" s="495" t="s">
        <v>188</v>
      </c>
      <c r="C162" s="495" t="s">
        <v>565</v>
      </c>
      <c r="D162" s="495" t="s">
        <v>326</v>
      </c>
      <c r="E162" s="495" t="s">
        <v>812</v>
      </c>
      <c r="F162" s="496" t="s">
        <v>192</v>
      </c>
      <c r="G162" s="495" t="s">
        <v>193</v>
      </c>
      <c r="H162" s="497"/>
      <c r="I162" s="497"/>
      <c r="J162" s="495" t="s">
        <v>248</v>
      </c>
      <c r="K162" s="495" t="s">
        <v>327</v>
      </c>
      <c r="L162" s="495" t="s">
        <v>218</v>
      </c>
      <c r="M162" s="495" t="s">
        <v>197</v>
      </c>
      <c r="N162" s="495" t="s">
        <v>198</v>
      </c>
      <c r="O162" s="498">
        <v>1</v>
      </c>
      <c r="P162" s="504">
        <v>0</v>
      </c>
      <c r="Q162" s="504">
        <v>0</v>
      </c>
      <c r="R162" s="499">
        <v>80</v>
      </c>
      <c r="S162" s="504">
        <v>0</v>
      </c>
      <c r="T162" s="499">
        <v>14.44</v>
      </c>
      <c r="U162" s="499">
        <v>0</v>
      </c>
      <c r="V162" s="499">
        <v>9.7799999999999994</v>
      </c>
      <c r="W162" s="499">
        <v>0</v>
      </c>
      <c r="X162" s="499">
        <v>0</v>
      </c>
      <c r="Y162" s="499">
        <v>0</v>
      </c>
      <c r="Z162" s="499">
        <v>0</v>
      </c>
      <c r="AA162" s="495" t="s">
        <v>566</v>
      </c>
      <c r="AB162" s="495" t="s">
        <v>567</v>
      </c>
      <c r="AC162" s="495" t="s">
        <v>568</v>
      </c>
      <c r="AD162" s="495" t="s">
        <v>196</v>
      </c>
      <c r="AE162" s="495" t="s">
        <v>327</v>
      </c>
      <c r="AF162" s="495" t="s">
        <v>222</v>
      </c>
      <c r="AG162" s="495" t="s">
        <v>204</v>
      </c>
      <c r="AH162" s="500">
        <v>13.8</v>
      </c>
      <c r="AI162" s="500">
        <v>10232.700000000001</v>
      </c>
      <c r="AJ162" s="495" t="s">
        <v>205</v>
      </c>
      <c r="AK162" s="495" t="s">
        <v>206</v>
      </c>
      <c r="AL162" s="495" t="s">
        <v>207</v>
      </c>
      <c r="AM162" s="495" t="s">
        <v>208</v>
      </c>
      <c r="AN162" s="495" t="s">
        <v>92</v>
      </c>
      <c r="AO162" s="498">
        <v>80</v>
      </c>
      <c r="AP162" s="504">
        <v>1</v>
      </c>
      <c r="AQ162" s="504">
        <v>0</v>
      </c>
      <c r="AR162" s="502" t="s">
        <v>209</v>
      </c>
      <c r="AS162" s="506">
        <f t="shared" si="169"/>
        <v>0</v>
      </c>
      <c r="AT162">
        <f t="shared" si="170"/>
        <v>0</v>
      </c>
      <c r="AU162" s="506" t="str">
        <f>IF(AT162=0,"",IF(AND(AT162=1,M162="F",SUMIF(C2:C177,C162,AS2:AS177)&lt;=1),SUMIF(C2:C177,C162,AS2:AS177),IF(AND(AT162=1,M162="F",SUMIF(C2:C177,C162,AS2:AS177)&gt;1),1,"")))</f>
        <v/>
      </c>
      <c r="AV162" s="506" t="str">
        <f>IF(AT162=0,"",IF(AND(AT162=3,M162="F",SUMIF(C2:C177,C162,AS2:AS177)&lt;=1),SUMIF(C2:C177,C162,AS2:AS177),IF(AND(AT162=3,M162="F",SUMIF(C2:C177,C162,AS2:AS177)&gt;1),1,"")))</f>
        <v/>
      </c>
      <c r="AW162" s="506">
        <f>SUMIF(C2:C177,C162,O2:O177)</f>
        <v>2</v>
      </c>
      <c r="AX162" s="506">
        <f>IF(AND(M162="F",AS162&lt;&gt;0),SUMIF(C2:C177,C162,W2:W177),0)</f>
        <v>0</v>
      </c>
      <c r="AY162" s="506" t="str">
        <f t="shared" si="171"/>
        <v/>
      </c>
      <c r="AZ162" s="506" t="str">
        <f t="shared" si="172"/>
        <v/>
      </c>
      <c r="BA162" s="506">
        <f t="shared" si="173"/>
        <v>0</v>
      </c>
      <c r="BB162" s="506">
        <f t="shared" ref="BB162:BB177" si="186">IF(AND(AT162=1,AK162="E",AU162&gt;=0.75,AW162=1),Health,IF(AND(AT162=1,AK162="E",AU162&gt;=0.75),Health*P162,IF(AND(AT162=1,AK162="E",AU162&gt;=0.5,AW162=1),PTHealth,IF(AND(AT162=1,AK162="E",AU162&gt;=0.5),PTHealth*P162,0))))</f>
        <v>0</v>
      </c>
      <c r="BC162" s="506">
        <f t="shared" ref="BC162:BC177" si="187">IF(AND(AT162=3,AK162="E",AV162&gt;=0.75,AW162=1),Health,IF(AND(AT162=3,AK162="E",AV162&gt;=0.75),Health*P162,IF(AND(AT162=3,AK162="E",AV162&gt;=0.5,AW162=1),PTHealth,IF(AND(AT162=3,AK162="E",AV162&gt;=0.5),PTHealth*P162,0))))</f>
        <v>0</v>
      </c>
      <c r="BD162" s="506">
        <f t="shared" ref="BD162:BD177" si="188">IF(AND(AT162&lt;&gt;0,AX162&gt;=MAXSSDI),SSDI*MAXSSDI*P162,IF(AT162&lt;&gt;0,SSDI*W162,0))</f>
        <v>0</v>
      </c>
      <c r="BE162" s="506">
        <f t="shared" ref="BE162:BE177" si="189">IF(AT162&lt;&gt;0,SSHI*W162,0)</f>
        <v>0</v>
      </c>
      <c r="BF162" s="506">
        <f t="shared" ref="BF162:BF177" si="190">IF(AND(AT162&lt;&gt;0,AN162&lt;&gt;"NE"),VLOOKUP(AN162,Retirement_Rates,3,FALSE)*W162,0)</f>
        <v>0</v>
      </c>
      <c r="BG162" s="506">
        <f t="shared" ref="BG162:BG177" si="191">IF(AND(AT162&lt;&gt;0,AJ162&lt;&gt;"PF"),Life*W162,0)</f>
        <v>0</v>
      </c>
      <c r="BH162" s="506">
        <f t="shared" ref="BH162:BH177" si="192">IF(AND(AT162&lt;&gt;0,AM162="Y"),UI*W162,0)</f>
        <v>0</v>
      </c>
      <c r="BI162" s="506">
        <f t="shared" ref="BI162:BI177" si="193">IF(AND(AT162&lt;&gt;0,N162&lt;&gt;"NR"),DHR*W162,0)</f>
        <v>0</v>
      </c>
      <c r="BJ162" s="506">
        <f t="shared" ref="BJ162:BJ177" si="194">IF(AT162&lt;&gt;0,WC*W162,0)</f>
        <v>0</v>
      </c>
      <c r="BK162" s="506">
        <f t="shared" ref="BK162:BK177" si="195">IF(OR(AND(AT162&lt;&gt;0,AJ162&lt;&gt;"PF",AN162&lt;&gt;"NE",AG162&lt;&gt;"A"),AND(AL162="E",OR(AT162=1,AT162=3))),Sick*W162,0)</f>
        <v>0</v>
      </c>
      <c r="BL162" s="506">
        <f t="shared" si="174"/>
        <v>0</v>
      </c>
      <c r="BM162" s="506">
        <f t="shared" si="175"/>
        <v>0</v>
      </c>
      <c r="BN162" s="506">
        <f t="shared" ref="BN162:BN177" si="196">IF(AND(AT162=1,AK162="E",AU162&gt;=0.75,AW162=1),HealthBY,IF(AND(AT162=1,AK162="E",AU162&gt;=0.75),HealthBY*P162,IF(AND(AT162=1,AK162="E",AU162&gt;=0.5,AW162=1),PTHealthBY,IF(AND(AT162=1,AK162="E",AU162&gt;=0.5),PTHealthBY*P162,0))))</f>
        <v>0</v>
      </c>
      <c r="BO162" s="506">
        <f t="shared" ref="BO162:BO177" si="197">IF(AND(AT162=3,AK162="E",AV162&gt;=0.75,AW162=1),HealthBY,IF(AND(AT162=3,AK162="E",AV162&gt;=0.75),HealthBY*P162,IF(AND(AT162=3,AK162="E",AV162&gt;=0.5,AW162=1),PTHealthBY,IF(AND(AT162=3,AK162="E",AV162&gt;=0.5),PTHealthBY*P162,0))))</f>
        <v>0</v>
      </c>
      <c r="BP162" s="506">
        <f t="shared" ref="BP162:BP177" si="198">IF(AND(AT162&lt;&gt;0,(AX162+BA162)&gt;=MAXSSDIBY),SSDIBY*MAXSSDIBY*P162,IF(AT162&lt;&gt;0,SSDIBY*W162,0))</f>
        <v>0</v>
      </c>
      <c r="BQ162" s="506">
        <f t="shared" ref="BQ162:BQ177" si="199">IF(AT162&lt;&gt;0,SSHIBY*W162,0)</f>
        <v>0</v>
      </c>
      <c r="BR162" s="506">
        <f t="shared" ref="BR162:BR177" si="200">IF(AND(AT162&lt;&gt;0,AN162&lt;&gt;"NE"),VLOOKUP(AN162,Retirement_Rates,4,FALSE)*W162,0)</f>
        <v>0</v>
      </c>
      <c r="BS162" s="506">
        <f t="shared" ref="BS162:BS177" si="201">IF(AND(AT162&lt;&gt;0,AJ162&lt;&gt;"PF"),LifeBY*W162,0)</f>
        <v>0</v>
      </c>
      <c r="BT162" s="506">
        <f t="shared" ref="BT162:BT177" si="202">IF(AND(AT162&lt;&gt;0,AM162="Y"),UIBY*W162,0)</f>
        <v>0</v>
      </c>
      <c r="BU162" s="506">
        <f t="shared" ref="BU162:BU177" si="203">IF(AND(AT162&lt;&gt;0,N162&lt;&gt;"NR"),DHRBY*W162,0)</f>
        <v>0</v>
      </c>
      <c r="BV162" s="506">
        <f t="shared" ref="BV162:BV177" si="204">IF(AT162&lt;&gt;0,WCBY*W162,0)</f>
        <v>0</v>
      </c>
      <c r="BW162" s="506">
        <f t="shared" ref="BW162:BW177" si="205">IF(OR(AND(AT162&lt;&gt;0,AJ162&lt;&gt;"PF",AN162&lt;&gt;"NE",AG162&lt;&gt;"A"),AND(AL162="E",OR(AT162=1,AT162=3))),SickBY*W162,0)</f>
        <v>0</v>
      </c>
      <c r="BX162" s="506">
        <f t="shared" si="176"/>
        <v>0</v>
      </c>
      <c r="BY162" s="506">
        <f t="shared" si="177"/>
        <v>0</v>
      </c>
      <c r="BZ162" s="506">
        <f t="shared" si="178"/>
        <v>0</v>
      </c>
      <c r="CA162" s="506">
        <f t="shared" si="179"/>
        <v>0</v>
      </c>
      <c r="CB162" s="506">
        <f t="shared" si="180"/>
        <v>0</v>
      </c>
      <c r="CC162" s="506">
        <f t="shared" ref="CC162:CC177" si="206">IF(AT162&lt;&gt;0,SSHICHG*Y162,0)</f>
        <v>0</v>
      </c>
      <c r="CD162" s="506">
        <f t="shared" ref="CD162:CD177" si="207">IF(AND(AT162&lt;&gt;0,AN162&lt;&gt;"NE"),VLOOKUP(AN162,Retirement_Rates,5,FALSE)*Y162,0)</f>
        <v>0</v>
      </c>
      <c r="CE162" s="506">
        <f t="shared" ref="CE162:CE177" si="208">IF(AND(AT162&lt;&gt;0,AJ162&lt;&gt;"PF"),LifeCHG*Y162,0)</f>
        <v>0</v>
      </c>
      <c r="CF162" s="506">
        <f t="shared" ref="CF162:CF177" si="209">IF(AND(AT162&lt;&gt;0,AM162="Y"),UICHG*Y162,0)</f>
        <v>0</v>
      </c>
      <c r="CG162" s="506">
        <f t="shared" ref="CG162:CG177" si="210">IF(AND(AT162&lt;&gt;0,N162&lt;&gt;"NR"),DHRCHG*Y162,0)</f>
        <v>0</v>
      </c>
      <c r="CH162" s="506">
        <f t="shared" ref="CH162:CH177" si="211">IF(AT162&lt;&gt;0,WCCHG*Y162,0)</f>
        <v>0</v>
      </c>
      <c r="CI162" s="506">
        <f t="shared" ref="CI162:CI177" si="212">IF(OR(AND(AT162&lt;&gt;0,AJ162&lt;&gt;"PF",AN162&lt;&gt;"NE",AG162&lt;&gt;"A"),AND(AL162="E",OR(AT162=1,AT162=3))),SickCHG*Y162,0)</f>
        <v>0</v>
      </c>
      <c r="CJ162" s="506">
        <f t="shared" si="181"/>
        <v>0</v>
      </c>
      <c r="CK162" s="506" t="str">
        <f t="shared" si="182"/>
        <v/>
      </c>
      <c r="CL162" s="506" t="str">
        <f t="shared" si="183"/>
        <v/>
      </c>
      <c r="CM162" s="506" t="str">
        <f t="shared" si="184"/>
        <v/>
      </c>
      <c r="CN162" s="506" t="str">
        <f t="shared" si="185"/>
        <v>0499-00</v>
      </c>
    </row>
    <row r="163" spans="1:92" ht="15.75" thickBot="1" x14ac:dyDescent="0.3">
      <c r="A163" s="495" t="s">
        <v>187</v>
      </c>
      <c r="B163" s="495" t="s">
        <v>188</v>
      </c>
      <c r="C163" s="495" t="s">
        <v>325</v>
      </c>
      <c r="D163" s="495" t="s">
        <v>326</v>
      </c>
      <c r="E163" s="495" t="s">
        <v>812</v>
      </c>
      <c r="F163" s="496" t="s">
        <v>192</v>
      </c>
      <c r="G163" s="495" t="s">
        <v>193</v>
      </c>
      <c r="H163" s="497"/>
      <c r="I163" s="497"/>
      <c r="J163" s="495" t="s">
        <v>248</v>
      </c>
      <c r="K163" s="495" t="s">
        <v>327</v>
      </c>
      <c r="L163" s="495" t="s">
        <v>218</v>
      </c>
      <c r="M163" s="495" t="s">
        <v>197</v>
      </c>
      <c r="N163" s="495" t="s">
        <v>198</v>
      </c>
      <c r="O163" s="498">
        <v>1</v>
      </c>
      <c r="P163" s="504">
        <v>0</v>
      </c>
      <c r="Q163" s="504">
        <v>0</v>
      </c>
      <c r="R163" s="499">
        <v>80</v>
      </c>
      <c r="S163" s="504">
        <v>0</v>
      </c>
      <c r="T163" s="499">
        <v>13.25</v>
      </c>
      <c r="U163" s="499">
        <v>0</v>
      </c>
      <c r="V163" s="499">
        <v>8.1999999999999993</v>
      </c>
      <c r="W163" s="499">
        <v>0</v>
      </c>
      <c r="X163" s="499">
        <v>0</v>
      </c>
      <c r="Y163" s="499">
        <v>0</v>
      </c>
      <c r="Z163" s="499">
        <v>0</v>
      </c>
      <c r="AA163" s="495" t="s">
        <v>328</v>
      </c>
      <c r="AB163" s="495" t="s">
        <v>329</v>
      </c>
      <c r="AC163" s="495" t="s">
        <v>330</v>
      </c>
      <c r="AD163" s="495" t="s">
        <v>242</v>
      </c>
      <c r="AE163" s="495" t="s">
        <v>327</v>
      </c>
      <c r="AF163" s="495" t="s">
        <v>222</v>
      </c>
      <c r="AG163" s="495" t="s">
        <v>204</v>
      </c>
      <c r="AH163" s="500">
        <v>13.94</v>
      </c>
      <c r="AI163" s="500">
        <v>9962.7000000000007</v>
      </c>
      <c r="AJ163" s="495" t="s">
        <v>205</v>
      </c>
      <c r="AK163" s="495" t="s">
        <v>206</v>
      </c>
      <c r="AL163" s="495" t="s">
        <v>207</v>
      </c>
      <c r="AM163" s="495" t="s">
        <v>208</v>
      </c>
      <c r="AN163" s="495" t="s">
        <v>92</v>
      </c>
      <c r="AO163" s="498">
        <v>80</v>
      </c>
      <c r="AP163" s="504">
        <v>1</v>
      </c>
      <c r="AQ163" s="504">
        <v>0</v>
      </c>
      <c r="AR163" s="502" t="s">
        <v>209</v>
      </c>
      <c r="AS163" s="506">
        <f t="shared" si="169"/>
        <v>0</v>
      </c>
      <c r="AT163">
        <f t="shared" si="170"/>
        <v>0</v>
      </c>
      <c r="AU163" s="506" t="str">
        <f>IF(AT163=0,"",IF(AND(AT163=1,M163="F",SUMIF(C2:C177,C163,AS2:AS177)&lt;=1),SUMIF(C2:C177,C163,AS2:AS177),IF(AND(AT163=1,M163="F",SUMIF(C2:C177,C163,AS2:AS177)&gt;1),1,"")))</f>
        <v/>
      </c>
      <c r="AV163" s="506" t="str">
        <f>IF(AT163=0,"",IF(AND(AT163=3,M163="F",SUMIF(C2:C177,C163,AS2:AS177)&lt;=1),SUMIF(C2:C177,C163,AS2:AS177),IF(AND(AT163=3,M163="F",SUMIF(C2:C177,C163,AS2:AS177)&gt;1),1,"")))</f>
        <v/>
      </c>
      <c r="AW163" s="506">
        <f>SUMIF(C2:C177,C163,O2:O177)</f>
        <v>2</v>
      </c>
      <c r="AX163" s="506">
        <f>IF(AND(M163="F",AS163&lt;&gt;0),SUMIF(C2:C177,C163,W2:W177),0)</f>
        <v>0</v>
      </c>
      <c r="AY163" s="506" t="str">
        <f t="shared" si="171"/>
        <v/>
      </c>
      <c r="AZ163" s="506" t="str">
        <f t="shared" si="172"/>
        <v/>
      </c>
      <c r="BA163" s="506">
        <f t="shared" si="173"/>
        <v>0</v>
      </c>
      <c r="BB163" s="506">
        <f t="shared" si="186"/>
        <v>0</v>
      </c>
      <c r="BC163" s="506">
        <f t="shared" si="187"/>
        <v>0</v>
      </c>
      <c r="BD163" s="506">
        <f t="shared" si="188"/>
        <v>0</v>
      </c>
      <c r="BE163" s="506">
        <f t="shared" si="189"/>
        <v>0</v>
      </c>
      <c r="BF163" s="506">
        <f t="shared" si="190"/>
        <v>0</v>
      </c>
      <c r="BG163" s="506">
        <f t="shared" si="191"/>
        <v>0</v>
      </c>
      <c r="BH163" s="506">
        <f t="shared" si="192"/>
        <v>0</v>
      </c>
      <c r="BI163" s="506">
        <f t="shared" si="193"/>
        <v>0</v>
      </c>
      <c r="BJ163" s="506">
        <f t="shared" si="194"/>
        <v>0</v>
      </c>
      <c r="BK163" s="506">
        <f t="shared" si="195"/>
        <v>0</v>
      </c>
      <c r="BL163" s="506">
        <f t="shared" si="174"/>
        <v>0</v>
      </c>
      <c r="BM163" s="506">
        <f t="shared" si="175"/>
        <v>0</v>
      </c>
      <c r="BN163" s="506">
        <f t="shared" si="196"/>
        <v>0</v>
      </c>
      <c r="BO163" s="506">
        <f t="shared" si="197"/>
        <v>0</v>
      </c>
      <c r="BP163" s="506">
        <f t="shared" si="198"/>
        <v>0</v>
      </c>
      <c r="BQ163" s="506">
        <f t="shared" si="199"/>
        <v>0</v>
      </c>
      <c r="BR163" s="506">
        <f t="shared" si="200"/>
        <v>0</v>
      </c>
      <c r="BS163" s="506">
        <f t="shared" si="201"/>
        <v>0</v>
      </c>
      <c r="BT163" s="506">
        <f t="shared" si="202"/>
        <v>0</v>
      </c>
      <c r="BU163" s="506">
        <f t="shared" si="203"/>
        <v>0</v>
      </c>
      <c r="BV163" s="506">
        <f t="shared" si="204"/>
        <v>0</v>
      </c>
      <c r="BW163" s="506">
        <f t="shared" si="205"/>
        <v>0</v>
      </c>
      <c r="BX163" s="506">
        <f t="shared" si="176"/>
        <v>0</v>
      </c>
      <c r="BY163" s="506">
        <f t="shared" si="177"/>
        <v>0</v>
      </c>
      <c r="BZ163" s="506">
        <f t="shared" si="178"/>
        <v>0</v>
      </c>
      <c r="CA163" s="506">
        <f t="shared" si="179"/>
        <v>0</v>
      </c>
      <c r="CB163" s="506">
        <f t="shared" si="180"/>
        <v>0</v>
      </c>
      <c r="CC163" s="506">
        <f t="shared" si="206"/>
        <v>0</v>
      </c>
      <c r="CD163" s="506">
        <f t="shared" si="207"/>
        <v>0</v>
      </c>
      <c r="CE163" s="506">
        <f t="shared" si="208"/>
        <v>0</v>
      </c>
      <c r="CF163" s="506">
        <f t="shared" si="209"/>
        <v>0</v>
      </c>
      <c r="CG163" s="506">
        <f t="shared" si="210"/>
        <v>0</v>
      </c>
      <c r="CH163" s="506">
        <f t="shared" si="211"/>
        <v>0</v>
      </c>
      <c r="CI163" s="506">
        <f t="shared" si="212"/>
        <v>0</v>
      </c>
      <c r="CJ163" s="506">
        <f t="shared" si="181"/>
        <v>0</v>
      </c>
      <c r="CK163" s="506" t="str">
        <f t="shared" si="182"/>
        <v/>
      </c>
      <c r="CL163" s="506" t="str">
        <f t="shared" si="183"/>
        <v/>
      </c>
      <c r="CM163" s="506" t="str">
        <f t="shared" si="184"/>
        <v/>
      </c>
      <c r="CN163" s="506" t="str">
        <f t="shared" si="185"/>
        <v>0499-00</v>
      </c>
    </row>
    <row r="164" spans="1:92" ht="15.75" thickBot="1" x14ac:dyDescent="0.3">
      <c r="A164" s="495" t="s">
        <v>187</v>
      </c>
      <c r="B164" s="495" t="s">
        <v>188</v>
      </c>
      <c r="C164" s="495" t="s">
        <v>315</v>
      </c>
      <c r="D164" s="495" t="s">
        <v>224</v>
      </c>
      <c r="E164" s="495" t="s">
        <v>812</v>
      </c>
      <c r="F164" s="496" t="s">
        <v>192</v>
      </c>
      <c r="G164" s="495" t="s">
        <v>193</v>
      </c>
      <c r="H164" s="497"/>
      <c r="I164" s="497"/>
      <c r="J164" s="495" t="s">
        <v>248</v>
      </c>
      <c r="K164" s="495" t="s">
        <v>226</v>
      </c>
      <c r="L164" s="495" t="s">
        <v>192</v>
      </c>
      <c r="M164" s="495" t="s">
        <v>213</v>
      </c>
      <c r="N164" s="495" t="s">
        <v>227</v>
      </c>
      <c r="O164" s="498">
        <v>0</v>
      </c>
      <c r="P164" s="504">
        <v>0</v>
      </c>
      <c r="Q164" s="504">
        <v>0</v>
      </c>
      <c r="R164" s="499">
        <v>0</v>
      </c>
      <c r="S164" s="504">
        <v>0</v>
      </c>
      <c r="T164" s="499">
        <v>6.5</v>
      </c>
      <c r="U164" s="499">
        <v>0</v>
      </c>
      <c r="V164" s="499">
        <v>0.56999999999999995</v>
      </c>
      <c r="W164" s="499">
        <v>0</v>
      </c>
      <c r="X164" s="499">
        <v>0</v>
      </c>
      <c r="Y164" s="499">
        <v>0</v>
      </c>
      <c r="Z164" s="499">
        <v>0</v>
      </c>
      <c r="AA164" s="497"/>
      <c r="AB164" s="495" t="s">
        <v>23</v>
      </c>
      <c r="AC164" s="495" t="s">
        <v>23</v>
      </c>
      <c r="AD164" s="497"/>
      <c r="AE164" s="497"/>
      <c r="AF164" s="497"/>
      <c r="AG164" s="497"/>
      <c r="AH164" s="498">
        <v>0</v>
      </c>
      <c r="AI164" s="498">
        <v>0</v>
      </c>
      <c r="AJ164" s="497"/>
      <c r="AK164" s="497"/>
      <c r="AL164" s="495" t="s">
        <v>207</v>
      </c>
      <c r="AM164" s="497"/>
      <c r="AN164" s="497"/>
      <c r="AO164" s="498">
        <v>0</v>
      </c>
      <c r="AP164" s="504">
        <v>0</v>
      </c>
      <c r="AQ164" s="504">
        <v>0</v>
      </c>
      <c r="AR164" s="503"/>
      <c r="AS164" s="506">
        <f t="shared" si="169"/>
        <v>0</v>
      </c>
      <c r="AT164">
        <f t="shared" si="170"/>
        <v>0</v>
      </c>
      <c r="AU164" s="506" t="str">
        <f>IF(AT164=0,"",IF(AND(AT164=1,M164="F",SUMIF(C2:C177,C164,AS2:AS177)&lt;=1),SUMIF(C2:C177,C164,AS2:AS177),IF(AND(AT164=1,M164="F",SUMIF(C2:C177,C164,AS2:AS177)&gt;1),1,"")))</f>
        <v/>
      </c>
      <c r="AV164" s="506" t="str">
        <f>IF(AT164=0,"",IF(AND(AT164=3,M164="F",SUMIF(C2:C177,C164,AS2:AS177)&lt;=1),SUMIF(C2:C177,C164,AS2:AS177),IF(AND(AT164=3,M164="F",SUMIF(C2:C177,C164,AS2:AS177)&gt;1),1,"")))</f>
        <v/>
      </c>
      <c r="AW164" s="506">
        <f>SUMIF(C2:C177,C164,O2:O177)</f>
        <v>0</v>
      </c>
      <c r="AX164" s="506">
        <f>IF(AND(M164="F",AS164&lt;&gt;0),SUMIF(C2:C177,C164,W2:W177),0)</f>
        <v>0</v>
      </c>
      <c r="AY164" s="506" t="str">
        <f t="shared" si="171"/>
        <v/>
      </c>
      <c r="AZ164" s="506" t="str">
        <f t="shared" si="172"/>
        <v/>
      </c>
      <c r="BA164" s="506">
        <f t="shared" si="173"/>
        <v>0</v>
      </c>
      <c r="BB164" s="506">
        <f t="shared" si="186"/>
        <v>0</v>
      </c>
      <c r="BC164" s="506">
        <f t="shared" si="187"/>
        <v>0</v>
      </c>
      <c r="BD164" s="506">
        <f t="shared" si="188"/>
        <v>0</v>
      </c>
      <c r="BE164" s="506">
        <f t="shared" si="189"/>
        <v>0</v>
      </c>
      <c r="BF164" s="506">
        <f t="shared" si="190"/>
        <v>0</v>
      </c>
      <c r="BG164" s="506">
        <f t="shared" si="191"/>
        <v>0</v>
      </c>
      <c r="BH164" s="506">
        <f t="shared" si="192"/>
        <v>0</v>
      </c>
      <c r="BI164" s="506">
        <f t="shared" si="193"/>
        <v>0</v>
      </c>
      <c r="BJ164" s="506">
        <f t="shared" si="194"/>
        <v>0</v>
      </c>
      <c r="BK164" s="506">
        <f t="shared" si="195"/>
        <v>0</v>
      </c>
      <c r="BL164" s="506">
        <f t="shared" si="174"/>
        <v>0</v>
      </c>
      <c r="BM164" s="506">
        <f t="shared" si="175"/>
        <v>0</v>
      </c>
      <c r="BN164" s="506">
        <f t="shared" si="196"/>
        <v>0</v>
      </c>
      <c r="BO164" s="506">
        <f t="shared" si="197"/>
        <v>0</v>
      </c>
      <c r="BP164" s="506">
        <f t="shared" si="198"/>
        <v>0</v>
      </c>
      <c r="BQ164" s="506">
        <f t="shared" si="199"/>
        <v>0</v>
      </c>
      <c r="BR164" s="506">
        <f t="shared" si="200"/>
        <v>0</v>
      </c>
      <c r="BS164" s="506">
        <f t="shared" si="201"/>
        <v>0</v>
      </c>
      <c r="BT164" s="506">
        <f t="shared" si="202"/>
        <v>0</v>
      </c>
      <c r="BU164" s="506">
        <f t="shared" si="203"/>
        <v>0</v>
      </c>
      <c r="BV164" s="506">
        <f t="shared" si="204"/>
        <v>0</v>
      </c>
      <c r="BW164" s="506">
        <f t="shared" si="205"/>
        <v>0</v>
      </c>
      <c r="BX164" s="506">
        <f t="shared" si="176"/>
        <v>0</v>
      </c>
      <c r="BY164" s="506">
        <f t="shared" si="177"/>
        <v>0</v>
      </c>
      <c r="BZ164" s="506">
        <f t="shared" si="178"/>
        <v>0</v>
      </c>
      <c r="CA164" s="506">
        <f t="shared" si="179"/>
        <v>0</v>
      </c>
      <c r="CB164" s="506">
        <f t="shared" si="180"/>
        <v>0</v>
      </c>
      <c r="CC164" s="506">
        <f t="shared" si="206"/>
        <v>0</v>
      </c>
      <c r="CD164" s="506">
        <f t="shared" si="207"/>
        <v>0</v>
      </c>
      <c r="CE164" s="506">
        <f t="shared" si="208"/>
        <v>0</v>
      </c>
      <c r="CF164" s="506">
        <f t="shared" si="209"/>
        <v>0</v>
      </c>
      <c r="CG164" s="506">
        <f t="shared" si="210"/>
        <v>0</v>
      </c>
      <c r="CH164" s="506">
        <f t="shared" si="211"/>
        <v>0</v>
      </c>
      <c r="CI164" s="506">
        <f t="shared" si="212"/>
        <v>0</v>
      </c>
      <c r="CJ164" s="506">
        <f t="shared" si="181"/>
        <v>0</v>
      </c>
      <c r="CK164" s="506" t="str">
        <f t="shared" si="182"/>
        <v/>
      </c>
      <c r="CL164" s="506">
        <f t="shared" si="183"/>
        <v>6.5</v>
      </c>
      <c r="CM164" s="506">
        <f t="shared" si="184"/>
        <v>0.56999999999999995</v>
      </c>
      <c r="CN164" s="506" t="str">
        <f t="shared" si="185"/>
        <v>0499-00</v>
      </c>
    </row>
    <row r="165" spans="1:92" ht="15.75" thickBot="1" x14ac:dyDescent="0.3">
      <c r="A165" s="495" t="s">
        <v>187</v>
      </c>
      <c r="B165" s="495" t="s">
        <v>188</v>
      </c>
      <c r="C165" s="495" t="s">
        <v>399</v>
      </c>
      <c r="D165" s="495" t="s">
        <v>360</v>
      </c>
      <c r="E165" s="495" t="s">
        <v>812</v>
      </c>
      <c r="F165" s="496" t="s">
        <v>192</v>
      </c>
      <c r="G165" s="495" t="s">
        <v>193</v>
      </c>
      <c r="H165" s="497"/>
      <c r="I165" s="497"/>
      <c r="J165" s="495" t="s">
        <v>254</v>
      </c>
      <c r="K165" s="495" t="s">
        <v>361</v>
      </c>
      <c r="L165" s="495" t="s">
        <v>286</v>
      </c>
      <c r="M165" s="495" t="s">
        <v>197</v>
      </c>
      <c r="N165" s="495" t="s">
        <v>198</v>
      </c>
      <c r="O165" s="498">
        <v>1</v>
      </c>
      <c r="P165" s="504">
        <v>0</v>
      </c>
      <c r="Q165" s="504">
        <v>0</v>
      </c>
      <c r="R165" s="499">
        <v>80</v>
      </c>
      <c r="S165" s="504">
        <v>0</v>
      </c>
      <c r="T165" s="499">
        <v>8.5299999999999994</v>
      </c>
      <c r="U165" s="499">
        <v>0</v>
      </c>
      <c r="V165" s="499">
        <v>4.7699999999999996</v>
      </c>
      <c r="W165" s="499">
        <v>0</v>
      </c>
      <c r="X165" s="499">
        <v>0</v>
      </c>
      <c r="Y165" s="499">
        <v>0</v>
      </c>
      <c r="Z165" s="499">
        <v>0</v>
      </c>
      <c r="AA165" s="495" t="s">
        <v>400</v>
      </c>
      <c r="AB165" s="495" t="s">
        <v>401</v>
      </c>
      <c r="AC165" s="495" t="s">
        <v>402</v>
      </c>
      <c r="AD165" s="495" t="s">
        <v>202</v>
      </c>
      <c r="AE165" s="495" t="s">
        <v>361</v>
      </c>
      <c r="AF165" s="495" t="s">
        <v>290</v>
      </c>
      <c r="AG165" s="495" t="s">
        <v>204</v>
      </c>
      <c r="AH165" s="500">
        <v>18.190000000000001</v>
      </c>
      <c r="AI165" s="500">
        <v>28953.9</v>
      </c>
      <c r="AJ165" s="495" t="s">
        <v>205</v>
      </c>
      <c r="AK165" s="495" t="s">
        <v>206</v>
      </c>
      <c r="AL165" s="495" t="s">
        <v>207</v>
      </c>
      <c r="AM165" s="495" t="s">
        <v>208</v>
      </c>
      <c r="AN165" s="495" t="s">
        <v>92</v>
      </c>
      <c r="AO165" s="498">
        <v>80</v>
      </c>
      <c r="AP165" s="504">
        <v>1</v>
      </c>
      <c r="AQ165" s="504">
        <v>0</v>
      </c>
      <c r="AR165" s="502" t="s">
        <v>209</v>
      </c>
      <c r="AS165" s="506">
        <f t="shared" si="169"/>
        <v>0</v>
      </c>
      <c r="AT165">
        <f t="shared" si="170"/>
        <v>0</v>
      </c>
      <c r="AU165" s="506" t="str">
        <f>IF(AT165=0,"",IF(AND(AT165=1,M165="F",SUMIF(C2:C177,C165,AS2:AS177)&lt;=1),SUMIF(C2:C177,C165,AS2:AS177),IF(AND(AT165=1,M165="F",SUMIF(C2:C177,C165,AS2:AS177)&gt;1),1,"")))</f>
        <v/>
      </c>
      <c r="AV165" s="506" t="str">
        <f>IF(AT165=0,"",IF(AND(AT165=3,M165="F",SUMIF(C2:C177,C165,AS2:AS177)&lt;=1),SUMIF(C2:C177,C165,AS2:AS177),IF(AND(AT165=3,M165="F",SUMIF(C2:C177,C165,AS2:AS177)&gt;1),1,"")))</f>
        <v/>
      </c>
      <c r="AW165" s="506">
        <f>SUMIF(C2:C177,C165,O2:O177)</f>
        <v>2</v>
      </c>
      <c r="AX165" s="506">
        <f>IF(AND(M165="F",AS165&lt;&gt;0),SUMIF(C2:C177,C165,W2:W177),0)</f>
        <v>0</v>
      </c>
      <c r="AY165" s="506" t="str">
        <f t="shared" si="171"/>
        <v/>
      </c>
      <c r="AZ165" s="506" t="str">
        <f t="shared" si="172"/>
        <v/>
      </c>
      <c r="BA165" s="506">
        <f t="shared" si="173"/>
        <v>0</v>
      </c>
      <c r="BB165" s="506">
        <f t="shared" si="186"/>
        <v>0</v>
      </c>
      <c r="BC165" s="506">
        <f t="shared" si="187"/>
        <v>0</v>
      </c>
      <c r="BD165" s="506">
        <f t="shared" si="188"/>
        <v>0</v>
      </c>
      <c r="BE165" s="506">
        <f t="shared" si="189"/>
        <v>0</v>
      </c>
      <c r="BF165" s="506">
        <f t="shared" si="190"/>
        <v>0</v>
      </c>
      <c r="BG165" s="506">
        <f t="shared" si="191"/>
        <v>0</v>
      </c>
      <c r="BH165" s="506">
        <f t="shared" si="192"/>
        <v>0</v>
      </c>
      <c r="BI165" s="506">
        <f t="shared" si="193"/>
        <v>0</v>
      </c>
      <c r="BJ165" s="506">
        <f t="shared" si="194"/>
        <v>0</v>
      </c>
      <c r="BK165" s="506">
        <f t="shared" si="195"/>
        <v>0</v>
      </c>
      <c r="BL165" s="506">
        <f t="shared" si="174"/>
        <v>0</v>
      </c>
      <c r="BM165" s="506">
        <f t="shared" si="175"/>
        <v>0</v>
      </c>
      <c r="BN165" s="506">
        <f t="shared" si="196"/>
        <v>0</v>
      </c>
      <c r="BO165" s="506">
        <f t="shared" si="197"/>
        <v>0</v>
      </c>
      <c r="BP165" s="506">
        <f t="shared" si="198"/>
        <v>0</v>
      </c>
      <c r="BQ165" s="506">
        <f t="shared" si="199"/>
        <v>0</v>
      </c>
      <c r="BR165" s="506">
        <f t="shared" si="200"/>
        <v>0</v>
      </c>
      <c r="BS165" s="506">
        <f t="shared" si="201"/>
        <v>0</v>
      </c>
      <c r="BT165" s="506">
        <f t="shared" si="202"/>
        <v>0</v>
      </c>
      <c r="BU165" s="506">
        <f t="shared" si="203"/>
        <v>0</v>
      </c>
      <c r="BV165" s="506">
        <f t="shared" si="204"/>
        <v>0</v>
      </c>
      <c r="BW165" s="506">
        <f t="shared" si="205"/>
        <v>0</v>
      </c>
      <c r="BX165" s="506">
        <f t="shared" si="176"/>
        <v>0</v>
      </c>
      <c r="BY165" s="506">
        <f t="shared" si="177"/>
        <v>0</v>
      </c>
      <c r="BZ165" s="506">
        <f t="shared" si="178"/>
        <v>0</v>
      </c>
      <c r="CA165" s="506">
        <f t="shared" si="179"/>
        <v>0</v>
      </c>
      <c r="CB165" s="506">
        <f t="shared" si="180"/>
        <v>0</v>
      </c>
      <c r="CC165" s="506">
        <f t="shared" si="206"/>
        <v>0</v>
      </c>
      <c r="CD165" s="506">
        <f t="shared" si="207"/>
        <v>0</v>
      </c>
      <c r="CE165" s="506">
        <f t="shared" si="208"/>
        <v>0</v>
      </c>
      <c r="CF165" s="506">
        <f t="shared" si="209"/>
        <v>0</v>
      </c>
      <c r="CG165" s="506">
        <f t="shared" si="210"/>
        <v>0</v>
      </c>
      <c r="CH165" s="506">
        <f t="shared" si="211"/>
        <v>0</v>
      </c>
      <c r="CI165" s="506">
        <f t="shared" si="212"/>
        <v>0</v>
      </c>
      <c r="CJ165" s="506">
        <f t="shared" si="181"/>
        <v>0</v>
      </c>
      <c r="CK165" s="506" t="str">
        <f t="shared" si="182"/>
        <v/>
      </c>
      <c r="CL165" s="506" t="str">
        <f t="shared" si="183"/>
        <v/>
      </c>
      <c r="CM165" s="506" t="str">
        <f t="shared" si="184"/>
        <v/>
      </c>
      <c r="CN165" s="506" t="str">
        <f t="shared" si="185"/>
        <v>0499-00</v>
      </c>
    </row>
    <row r="166" spans="1:92" ht="15.75" thickBot="1" x14ac:dyDescent="0.3">
      <c r="A166" s="495" t="s">
        <v>187</v>
      </c>
      <c r="B166" s="495" t="s">
        <v>188</v>
      </c>
      <c r="C166" s="495" t="s">
        <v>666</v>
      </c>
      <c r="D166" s="495" t="s">
        <v>245</v>
      </c>
      <c r="E166" s="495" t="s">
        <v>812</v>
      </c>
      <c r="F166" s="496" t="s">
        <v>192</v>
      </c>
      <c r="G166" s="495" t="s">
        <v>193</v>
      </c>
      <c r="H166" s="497"/>
      <c r="I166" s="497"/>
      <c r="J166" s="495" t="s">
        <v>230</v>
      </c>
      <c r="K166" s="495" t="s">
        <v>246</v>
      </c>
      <c r="L166" s="495" t="s">
        <v>207</v>
      </c>
      <c r="M166" s="495" t="s">
        <v>197</v>
      </c>
      <c r="N166" s="495" t="s">
        <v>198</v>
      </c>
      <c r="O166" s="498">
        <v>1</v>
      </c>
      <c r="P166" s="504">
        <v>0.1</v>
      </c>
      <c r="Q166" s="504">
        <v>0.1</v>
      </c>
      <c r="R166" s="499">
        <v>80</v>
      </c>
      <c r="S166" s="504">
        <v>0.1</v>
      </c>
      <c r="T166" s="499">
        <v>1574.68</v>
      </c>
      <c r="U166" s="499">
        <v>0</v>
      </c>
      <c r="V166" s="499">
        <v>574.85</v>
      </c>
      <c r="W166" s="499">
        <v>7592</v>
      </c>
      <c r="X166" s="499">
        <v>2879.65</v>
      </c>
      <c r="Y166" s="499">
        <v>7592</v>
      </c>
      <c r="Z166" s="499">
        <v>2840.17</v>
      </c>
      <c r="AA166" s="495" t="s">
        <v>667</v>
      </c>
      <c r="AB166" s="495" t="s">
        <v>668</v>
      </c>
      <c r="AC166" s="495" t="s">
        <v>669</v>
      </c>
      <c r="AD166" s="495" t="s">
        <v>301</v>
      </c>
      <c r="AE166" s="495" t="s">
        <v>246</v>
      </c>
      <c r="AF166" s="495" t="s">
        <v>282</v>
      </c>
      <c r="AG166" s="495" t="s">
        <v>204</v>
      </c>
      <c r="AH166" s="500">
        <v>36.5</v>
      </c>
      <c r="AI166" s="498">
        <v>17732</v>
      </c>
      <c r="AJ166" s="495" t="s">
        <v>205</v>
      </c>
      <c r="AK166" s="495" t="s">
        <v>206</v>
      </c>
      <c r="AL166" s="495" t="s">
        <v>207</v>
      </c>
      <c r="AM166" s="495" t="s">
        <v>208</v>
      </c>
      <c r="AN166" s="495" t="s">
        <v>92</v>
      </c>
      <c r="AO166" s="498">
        <v>80</v>
      </c>
      <c r="AP166" s="504">
        <v>1</v>
      </c>
      <c r="AQ166" s="504">
        <v>0.1</v>
      </c>
      <c r="AR166" s="502" t="s">
        <v>209</v>
      </c>
      <c r="AS166" s="506">
        <f t="shared" si="169"/>
        <v>0.1</v>
      </c>
      <c r="AT166">
        <f t="shared" si="170"/>
        <v>1</v>
      </c>
      <c r="AU166" s="506">
        <f>IF(AT166=0,"",IF(AND(AT166=1,M166="F",SUMIF(C2:C177,C166,AS2:AS177)&lt;=1),SUMIF(C2:C177,C166,AS2:AS177),IF(AND(AT166=1,M166="F",SUMIF(C2:C177,C166,AS2:AS177)&gt;1),1,"")))</f>
        <v>1</v>
      </c>
      <c r="AV166" s="506" t="str">
        <f>IF(AT166=0,"",IF(AND(AT166=3,M166="F",SUMIF(C2:C177,C166,AS2:AS177)&lt;=1),SUMIF(C2:C177,C166,AS2:AS177),IF(AND(AT166=3,M166="F",SUMIF(C2:C177,C166,AS2:AS177)&gt;1),1,"")))</f>
        <v/>
      </c>
      <c r="AW166" s="506">
        <f>SUMIF(C2:C177,C166,O2:O177)</f>
        <v>2</v>
      </c>
      <c r="AX166" s="506">
        <f>IF(AND(M166="F",AS166&lt;&gt;0),SUMIF(C2:C177,C166,W2:W177),0)</f>
        <v>75920</v>
      </c>
      <c r="AY166" s="506">
        <f t="shared" si="171"/>
        <v>7592</v>
      </c>
      <c r="AZ166" s="506" t="str">
        <f t="shared" si="172"/>
        <v/>
      </c>
      <c r="BA166" s="506">
        <f t="shared" si="173"/>
        <v>0</v>
      </c>
      <c r="BB166" s="506">
        <f t="shared" si="186"/>
        <v>1165</v>
      </c>
      <c r="BC166" s="506">
        <f t="shared" si="187"/>
        <v>0</v>
      </c>
      <c r="BD166" s="506">
        <f t="shared" si="188"/>
        <v>470.70400000000001</v>
      </c>
      <c r="BE166" s="506">
        <f t="shared" si="189"/>
        <v>110.084</v>
      </c>
      <c r="BF166" s="506">
        <f t="shared" si="190"/>
        <v>906.48480000000006</v>
      </c>
      <c r="BG166" s="506">
        <f t="shared" si="191"/>
        <v>54.738320000000002</v>
      </c>
      <c r="BH166" s="506">
        <f t="shared" si="192"/>
        <v>37.200800000000001</v>
      </c>
      <c r="BI166" s="506">
        <f t="shared" si="193"/>
        <v>42.021720000000002</v>
      </c>
      <c r="BJ166" s="506">
        <f t="shared" si="194"/>
        <v>93.381600000000006</v>
      </c>
      <c r="BK166" s="506">
        <f t="shared" si="195"/>
        <v>0</v>
      </c>
      <c r="BL166" s="506">
        <f t="shared" si="174"/>
        <v>1714.6152400000001</v>
      </c>
      <c r="BM166" s="506">
        <f t="shared" si="175"/>
        <v>0</v>
      </c>
      <c r="BN166" s="506">
        <f t="shared" si="196"/>
        <v>1165</v>
      </c>
      <c r="BO166" s="506">
        <f t="shared" si="197"/>
        <v>0</v>
      </c>
      <c r="BP166" s="506">
        <f t="shared" si="198"/>
        <v>470.70400000000001</v>
      </c>
      <c r="BQ166" s="506">
        <f t="shared" si="199"/>
        <v>110.084</v>
      </c>
      <c r="BR166" s="506">
        <f t="shared" si="200"/>
        <v>906.48480000000006</v>
      </c>
      <c r="BS166" s="506">
        <f t="shared" si="201"/>
        <v>54.738320000000002</v>
      </c>
      <c r="BT166" s="506">
        <f t="shared" si="202"/>
        <v>0</v>
      </c>
      <c r="BU166" s="506">
        <f t="shared" si="203"/>
        <v>42.021720000000002</v>
      </c>
      <c r="BV166" s="506">
        <f t="shared" si="204"/>
        <v>91.103999999999999</v>
      </c>
      <c r="BW166" s="506">
        <f t="shared" si="205"/>
        <v>0</v>
      </c>
      <c r="BX166" s="506">
        <f t="shared" si="176"/>
        <v>1675.1368400000001</v>
      </c>
      <c r="BY166" s="506">
        <f t="shared" si="177"/>
        <v>0</v>
      </c>
      <c r="BZ166" s="506">
        <f t="shared" si="178"/>
        <v>0</v>
      </c>
      <c r="CA166" s="506">
        <f t="shared" si="179"/>
        <v>0</v>
      </c>
      <c r="CB166" s="506">
        <f t="shared" si="180"/>
        <v>0</v>
      </c>
      <c r="CC166" s="506">
        <f t="shared" si="206"/>
        <v>0</v>
      </c>
      <c r="CD166" s="506">
        <f t="shared" si="207"/>
        <v>0</v>
      </c>
      <c r="CE166" s="506">
        <f t="shared" si="208"/>
        <v>0</v>
      </c>
      <c r="CF166" s="506">
        <f t="shared" si="209"/>
        <v>-37.200800000000001</v>
      </c>
      <c r="CG166" s="506">
        <f t="shared" si="210"/>
        <v>0</v>
      </c>
      <c r="CH166" s="506">
        <f t="shared" si="211"/>
        <v>-2.2775999999999992</v>
      </c>
      <c r="CI166" s="506">
        <f t="shared" si="212"/>
        <v>0</v>
      </c>
      <c r="CJ166" s="506">
        <f t="shared" si="181"/>
        <v>-39.478400000000001</v>
      </c>
      <c r="CK166" s="506" t="str">
        <f t="shared" si="182"/>
        <v/>
      </c>
      <c r="CL166" s="506" t="str">
        <f t="shared" si="183"/>
        <v/>
      </c>
      <c r="CM166" s="506" t="str">
        <f t="shared" si="184"/>
        <v/>
      </c>
      <c r="CN166" s="506" t="str">
        <f t="shared" si="185"/>
        <v>0499-00</v>
      </c>
    </row>
    <row r="167" spans="1:92" ht="15.75" thickBot="1" x14ac:dyDescent="0.3">
      <c r="A167" s="495" t="s">
        <v>187</v>
      </c>
      <c r="B167" s="495" t="s">
        <v>188</v>
      </c>
      <c r="C167" s="495" t="s">
        <v>797</v>
      </c>
      <c r="D167" s="495" t="s">
        <v>190</v>
      </c>
      <c r="E167" s="495" t="s">
        <v>812</v>
      </c>
      <c r="F167" s="496" t="s">
        <v>192</v>
      </c>
      <c r="G167" s="495" t="s">
        <v>193</v>
      </c>
      <c r="H167" s="497"/>
      <c r="I167" s="497"/>
      <c r="J167" s="495" t="s">
        <v>277</v>
      </c>
      <c r="K167" s="495" t="s">
        <v>195</v>
      </c>
      <c r="L167" s="495" t="s">
        <v>196</v>
      </c>
      <c r="M167" s="495" t="s">
        <v>197</v>
      </c>
      <c r="N167" s="495" t="s">
        <v>198</v>
      </c>
      <c r="O167" s="498">
        <v>1</v>
      </c>
      <c r="P167" s="504">
        <v>0</v>
      </c>
      <c r="Q167" s="504">
        <v>0</v>
      </c>
      <c r="R167" s="499">
        <v>80</v>
      </c>
      <c r="S167" s="504">
        <v>0</v>
      </c>
      <c r="T167" s="499">
        <v>133.66</v>
      </c>
      <c r="U167" s="499">
        <v>0</v>
      </c>
      <c r="V167" s="499">
        <v>65.569999999999993</v>
      </c>
      <c r="W167" s="499">
        <v>0</v>
      </c>
      <c r="X167" s="499">
        <v>0</v>
      </c>
      <c r="Y167" s="499">
        <v>0</v>
      </c>
      <c r="Z167" s="499">
        <v>0</v>
      </c>
      <c r="AA167" s="495" t="s">
        <v>798</v>
      </c>
      <c r="AB167" s="495" t="s">
        <v>799</v>
      </c>
      <c r="AC167" s="495" t="s">
        <v>800</v>
      </c>
      <c r="AD167" s="495" t="s">
        <v>242</v>
      </c>
      <c r="AE167" s="495" t="s">
        <v>195</v>
      </c>
      <c r="AF167" s="495" t="s">
        <v>203</v>
      </c>
      <c r="AG167" s="495" t="s">
        <v>204</v>
      </c>
      <c r="AH167" s="500">
        <v>29.66</v>
      </c>
      <c r="AI167" s="500">
        <v>4296.8</v>
      </c>
      <c r="AJ167" s="495" t="s">
        <v>243</v>
      </c>
      <c r="AK167" s="495" t="s">
        <v>206</v>
      </c>
      <c r="AL167" s="495" t="s">
        <v>207</v>
      </c>
      <c r="AM167" s="495" t="s">
        <v>208</v>
      </c>
      <c r="AN167" s="495" t="s">
        <v>92</v>
      </c>
      <c r="AO167" s="498">
        <v>64</v>
      </c>
      <c r="AP167" s="504">
        <v>1</v>
      </c>
      <c r="AQ167" s="504">
        <v>0</v>
      </c>
      <c r="AR167" s="502" t="s">
        <v>209</v>
      </c>
      <c r="AS167" s="506">
        <f t="shared" si="169"/>
        <v>0</v>
      </c>
      <c r="AT167">
        <f t="shared" si="170"/>
        <v>0</v>
      </c>
      <c r="AU167" s="506" t="str">
        <f>IF(AT167=0,"",IF(AND(AT167=1,M167="F",SUMIF(C2:C177,C167,AS2:AS177)&lt;=1),SUMIF(C2:C177,C167,AS2:AS177),IF(AND(AT167=1,M167="F",SUMIF(C2:C177,C167,AS2:AS177)&gt;1),1,"")))</f>
        <v/>
      </c>
      <c r="AV167" s="506" t="str">
        <f>IF(AT167=0,"",IF(AND(AT167=3,M167="F",SUMIF(C2:C177,C167,AS2:AS177)&lt;=1),SUMIF(C2:C177,C167,AS2:AS177),IF(AND(AT167=3,M167="F",SUMIF(C2:C177,C167,AS2:AS177)&gt;1),1,"")))</f>
        <v/>
      </c>
      <c r="AW167" s="506">
        <f>SUMIF(C2:C177,C167,O2:O177)</f>
        <v>2</v>
      </c>
      <c r="AX167" s="506">
        <f>IF(AND(M167="F",AS167&lt;&gt;0),SUMIF(C2:C177,C167,W2:W177),0)</f>
        <v>0</v>
      </c>
      <c r="AY167" s="506" t="str">
        <f t="shared" si="171"/>
        <v/>
      </c>
      <c r="AZ167" s="506" t="str">
        <f t="shared" si="172"/>
        <v/>
      </c>
      <c r="BA167" s="506">
        <f t="shared" si="173"/>
        <v>0</v>
      </c>
      <c r="BB167" s="506">
        <f t="shared" si="186"/>
        <v>0</v>
      </c>
      <c r="BC167" s="506">
        <f t="shared" si="187"/>
        <v>0</v>
      </c>
      <c r="BD167" s="506">
        <f t="shared" si="188"/>
        <v>0</v>
      </c>
      <c r="BE167" s="506">
        <f t="shared" si="189"/>
        <v>0</v>
      </c>
      <c r="BF167" s="506">
        <f t="shared" si="190"/>
        <v>0</v>
      </c>
      <c r="BG167" s="506">
        <f t="shared" si="191"/>
        <v>0</v>
      </c>
      <c r="BH167" s="506">
        <f t="shared" si="192"/>
        <v>0</v>
      </c>
      <c r="BI167" s="506">
        <f t="shared" si="193"/>
        <v>0</v>
      </c>
      <c r="BJ167" s="506">
        <f t="shared" si="194"/>
        <v>0</v>
      </c>
      <c r="BK167" s="506">
        <f t="shared" si="195"/>
        <v>0</v>
      </c>
      <c r="BL167" s="506">
        <f t="shared" si="174"/>
        <v>0</v>
      </c>
      <c r="BM167" s="506">
        <f t="shared" si="175"/>
        <v>0</v>
      </c>
      <c r="BN167" s="506">
        <f t="shared" si="196"/>
        <v>0</v>
      </c>
      <c r="BO167" s="506">
        <f t="shared" si="197"/>
        <v>0</v>
      </c>
      <c r="BP167" s="506">
        <f t="shared" si="198"/>
        <v>0</v>
      </c>
      <c r="BQ167" s="506">
        <f t="shared" si="199"/>
        <v>0</v>
      </c>
      <c r="BR167" s="506">
        <f t="shared" si="200"/>
        <v>0</v>
      </c>
      <c r="BS167" s="506">
        <f t="shared" si="201"/>
        <v>0</v>
      </c>
      <c r="BT167" s="506">
        <f t="shared" si="202"/>
        <v>0</v>
      </c>
      <c r="BU167" s="506">
        <f t="shared" si="203"/>
        <v>0</v>
      </c>
      <c r="BV167" s="506">
        <f t="shared" si="204"/>
        <v>0</v>
      </c>
      <c r="BW167" s="506">
        <f t="shared" si="205"/>
        <v>0</v>
      </c>
      <c r="BX167" s="506">
        <f t="shared" si="176"/>
        <v>0</v>
      </c>
      <c r="BY167" s="506">
        <f t="shared" si="177"/>
        <v>0</v>
      </c>
      <c r="BZ167" s="506">
        <f t="shared" si="178"/>
        <v>0</v>
      </c>
      <c r="CA167" s="506">
        <f t="shared" si="179"/>
        <v>0</v>
      </c>
      <c r="CB167" s="506">
        <f t="shared" si="180"/>
        <v>0</v>
      </c>
      <c r="CC167" s="506">
        <f t="shared" si="206"/>
        <v>0</v>
      </c>
      <c r="CD167" s="506">
        <f t="shared" si="207"/>
        <v>0</v>
      </c>
      <c r="CE167" s="506">
        <f t="shared" si="208"/>
        <v>0</v>
      </c>
      <c r="CF167" s="506">
        <f t="shared" si="209"/>
        <v>0</v>
      </c>
      <c r="CG167" s="506">
        <f t="shared" si="210"/>
        <v>0</v>
      </c>
      <c r="CH167" s="506">
        <f t="shared" si="211"/>
        <v>0</v>
      </c>
      <c r="CI167" s="506">
        <f t="shared" si="212"/>
        <v>0</v>
      </c>
      <c r="CJ167" s="506">
        <f t="shared" si="181"/>
        <v>0</v>
      </c>
      <c r="CK167" s="506" t="str">
        <f t="shared" si="182"/>
        <v/>
      </c>
      <c r="CL167" s="506" t="str">
        <f t="shared" si="183"/>
        <v/>
      </c>
      <c r="CM167" s="506" t="str">
        <f t="shared" si="184"/>
        <v/>
      </c>
      <c r="CN167" s="506" t="str">
        <f t="shared" si="185"/>
        <v>0499-00</v>
      </c>
    </row>
    <row r="168" spans="1:92" ht="15.75" thickBot="1" x14ac:dyDescent="0.3">
      <c r="A168" s="495" t="s">
        <v>187</v>
      </c>
      <c r="B168" s="495" t="s">
        <v>188</v>
      </c>
      <c r="C168" s="495" t="s">
        <v>357</v>
      </c>
      <c r="D168" s="495" t="s">
        <v>245</v>
      </c>
      <c r="E168" s="495" t="s">
        <v>812</v>
      </c>
      <c r="F168" s="496" t="s">
        <v>192</v>
      </c>
      <c r="G168" s="495" t="s">
        <v>193</v>
      </c>
      <c r="H168" s="497"/>
      <c r="I168" s="497"/>
      <c r="J168" s="495" t="s">
        <v>358</v>
      </c>
      <c r="K168" s="495" t="s">
        <v>246</v>
      </c>
      <c r="L168" s="495" t="s">
        <v>207</v>
      </c>
      <c r="M168" s="495" t="s">
        <v>292</v>
      </c>
      <c r="N168" s="495" t="s">
        <v>198</v>
      </c>
      <c r="O168" s="498">
        <v>0</v>
      </c>
      <c r="P168" s="504">
        <v>0</v>
      </c>
      <c r="Q168" s="504">
        <v>0</v>
      </c>
      <c r="R168" s="499">
        <v>80</v>
      </c>
      <c r="S168" s="504">
        <v>0</v>
      </c>
      <c r="T168" s="499">
        <v>592.77</v>
      </c>
      <c r="U168" s="499">
        <v>0</v>
      </c>
      <c r="V168" s="499">
        <v>38.46</v>
      </c>
      <c r="W168" s="499">
        <v>0</v>
      </c>
      <c r="X168" s="499">
        <v>0</v>
      </c>
      <c r="Y168" s="499">
        <v>0</v>
      </c>
      <c r="Z168" s="499">
        <v>0</v>
      </c>
      <c r="AA168" s="497"/>
      <c r="AB168" s="495" t="s">
        <v>23</v>
      </c>
      <c r="AC168" s="495" t="s">
        <v>23</v>
      </c>
      <c r="AD168" s="497"/>
      <c r="AE168" s="497"/>
      <c r="AF168" s="497"/>
      <c r="AG168" s="497"/>
      <c r="AH168" s="498">
        <v>0</v>
      </c>
      <c r="AI168" s="498">
        <v>0</v>
      </c>
      <c r="AJ168" s="497"/>
      <c r="AK168" s="497"/>
      <c r="AL168" s="495" t="s">
        <v>207</v>
      </c>
      <c r="AM168" s="497"/>
      <c r="AN168" s="497"/>
      <c r="AO168" s="498">
        <v>0</v>
      </c>
      <c r="AP168" s="504">
        <v>0</v>
      </c>
      <c r="AQ168" s="504">
        <v>0</v>
      </c>
      <c r="AR168" s="503"/>
      <c r="AS168" s="506">
        <f t="shared" si="169"/>
        <v>0</v>
      </c>
      <c r="AT168">
        <f t="shared" si="170"/>
        <v>0</v>
      </c>
      <c r="AU168" s="506" t="str">
        <f>IF(AT168=0,"",IF(AND(AT168=1,M168="F",SUMIF(C2:C177,C168,AS2:AS177)&lt;=1),SUMIF(C2:C177,C168,AS2:AS177),IF(AND(AT168=1,M168="F",SUMIF(C2:C177,C168,AS2:AS177)&gt;1),1,"")))</f>
        <v/>
      </c>
      <c r="AV168" s="506" t="str">
        <f>IF(AT168=0,"",IF(AND(AT168=3,M168="F",SUMIF(C2:C177,C168,AS2:AS177)&lt;=1),SUMIF(C2:C177,C168,AS2:AS177),IF(AND(AT168=3,M168="F",SUMIF(C2:C177,C168,AS2:AS177)&gt;1),1,"")))</f>
        <v/>
      </c>
      <c r="AW168" s="506">
        <f>SUMIF(C2:C177,C168,O2:O177)</f>
        <v>0</v>
      </c>
      <c r="AX168" s="506">
        <f>IF(AND(M168="F",AS168&lt;&gt;0),SUMIF(C2:C177,C168,W2:W177),0)</f>
        <v>0</v>
      </c>
      <c r="AY168" s="506" t="str">
        <f t="shared" si="171"/>
        <v/>
      </c>
      <c r="AZ168" s="506" t="str">
        <f t="shared" si="172"/>
        <v/>
      </c>
      <c r="BA168" s="506">
        <f t="shared" si="173"/>
        <v>0</v>
      </c>
      <c r="BB168" s="506">
        <f t="shared" si="186"/>
        <v>0</v>
      </c>
      <c r="BC168" s="506">
        <f t="shared" si="187"/>
        <v>0</v>
      </c>
      <c r="BD168" s="506">
        <f t="shared" si="188"/>
        <v>0</v>
      </c>
      <c r="BE168" s="506">
        <f t="shared" si="189"/>
        <v>0</v>
      </c>
      <c r="BF168" s="506">
        <f t="shared" si="190"/>
        <v>0</v>
      </c>
      <c r="BG168" s="506">
        <f t="shared" si="191"/>
        <v>0</v>
      </c>
      <c r="BH168" s="506">
        <f t="shared" si="192"/>
        <v>0</v>
      </c>
      <c r="BI168" s="506">
        <f t="shared" si="193"/>
        <v>0</v>
      </c>
      <c r="BJ168" s="506">
        <f t="shared" si="194"/>
        <v>0</v>
      </c>
      <c r="BK168" s="506">
        <f t="shared" si="195"/>
        <v>0</v>
      </c>
      <c r="BL168" s="506">
        <f t="shared" si="174"/>
        <v>0</v>
      </c>
      <c r="BM168" s="506">
        <f t="shared" si="175"/>
        <v>0</v>
      </c>
      <c r="BN168" s="506">
        <f t="shared" si="196"/>
        <v>0</v>
      </c>
      <c r="BO168" s="506">
        <f t="shared" si="197"/>
        <v>0</v>
      </c>
      <c r="BP168" s="506">
        <f t="shared" si="198"/>
        <v>0</v>
      </c>
      <c r="BQ168" s="506">
        <f t="shared" si="199"/>
        <v>0</v>
      </c>
      <c r="BR168" s="506">
        <f t="shared" si="200"/>
        <v>0</v>
      </c>
      <c r="BS168" s="506">
        <f t="shared" si="201"/>
        <v>0</v>
      </c>
      <c r="BT168" s="506">
        <f t="shared" si="202"/>
        <v>0</v>
      </c>
      <c r="BU168" s="506">
        <f t="shared" si="203"/>
        <v>0</v>
      </c>
      <c r="BV168" s="506">
        <f t="shared" si="204"/>
        <v>0</v>
      </c>
      <c r="BW168" s="506">
        <f t="shared" si="205"/>
        <v>0</v>
      </c>
      <c r="BX168" s="506">
        <f t="shared" si="176"/>
        <v>0</v>
      </c>
      <c r="BY168" s="506">
        <f t="shared" si="177"/>
        <v>0</v>
      </c>
      <c r="BZ168" s="506">
        <f t="shared" si="178"/>
        <v>0</v>
      </c>
      <c r="CA168" s="506">
        <f t="shared" si="179"/>
        <v>0</v>
      </c>
      <c r="CB168" s="506">
        <f t="shared" si="180"/>
        <v>0</v>
      </c>
      <c r="CC168" s="506">
        <f t="shared" si="206"/>
        <v>0</v>
      </c>
      <c r="CD168" s="506">
        <f t="shared" si="207"/>
        <v>0</v>
      </c>
      <c r="CE168" s="506">
        <f t="shared" si="208"/>
        <v>0</v>
      </c>
      <c r="CF168" s="506">
        <f t="shared" si="209"/>
        <v>0</v>
      </c>
      <c r="CG168" s="506">
        <f t="shared" si="210"/>
        <v>0</v>
      </c>
      <c r="CH168" s="506">
        <f t="shared" si="211"/>
        <v>0</v>
      </c>
      <c r="CI168" s="506">
        <f t="shared" si="212"/>
        <v>0</v>
      </c>
      <c r="CJ168" s="506">
        <f t="shared" si="181"/>
        <v>0</v>
      </c>
      <c r="CK168" s="506" t="str">
        <f t="shared" si="182"/>
        <v/>
      </c>
      <c r="CL168" s="506" t="str">
        <f t="shared" si="183"/>
        <v/>
      </c>
      <c r="CM168" s="506" t="str">
        <f t="shared" si="184"/>
        <v/>
      </c>
      <c r="CN168" s="506" t="str">
        <f t="shared" si="185"/>
        <v>0499-00</v>
      </c>
    </row>
    <row r="169" spans="1:92" ht="15.75" thickBot="1" x14ac:dyDescent="0.3">
      <c r="A169" s="495" t="s">
        <v>187</v>
      </c>
      <c r="B169" s="495" t="s">
        <v>188</v>
      </c>
      <c r="C169" s="495" t="s">
        <v>353</v>
      </c>
      <c r="D169" s="495" t="s">
        <v>265</v>
      </c>
      <c r="E169" s="495" t="s">
        <v>812</v>
      </c>
      <c r="F169" s="496" t="s">
        <v>192</v>
      </c>
      <c r="G169" s="495" t="s">
        <v>193</v>
      </c>
      <c r="H169" s="497"/>
      <c r="I169" s="497"/>
      <c r="J169" s="495" t="s">
        <v>194</v>
      </c>
      <c r="K169" s="495" t="s">
        <v>266</v>
      </c>
      <c r="L169" s="495" t="s">
        <v>232</v>
      </c>
      <c r="M169" s="495" t="s">
        <v>197</v>
      </c>
      <c r="N169" s="495" t="s">
        <v>198</v>
      </c>
      <c r="O169" s="498">
        <v>1</v>
      </c>
      <c r="P169" s="504">
        <v>0.5</v>
      </c>
      <c r="Q169" s="504">
        <v>0.5</v>
      </c>
      <c r="R169" s="499">
        <v>80</v>
      </c>
      <c r="S169" s="504">
        <v>0.5</v>
      </c>
      <c r="T169" s="499">
        <v>22018.34</v>
      </c>
      <c r="U169" s="499">
        <v>0</v>
      </c>
      <c r="V169" s="499">
        <v>9841.93</v>
      </c>
      <c r="W169" s="499">
        <v>26301.599999999999</v>
      </c>
      <c r="X169" s="499">
        <v>11765.19</v>
      </c>
      <c r="Y169" s="499">
        <v>26301.599999999999</v>
      </c>
      <c r="Z169" s="499">
        <v>11628.43</v>
      </c>
      <c r="AA169" s="495" t="s">
        <v>354</v>
      </c>
      <c r="AB169" s="495" t="s">
        <v>355</v>
      </c>
      <c r="AC169" s="495" t="s">
        <v>356</v>
      </c>
      <c r="AD169" s="495" t="s">
        <v>352</v>
      </c>
      <c r="AE169" s="495" t="s">
        <v>266</v>
      </c>
      <c r="AF169" s="495" t="s">
        <v>237</v>
      </c>
      <c r="AG169" s="495" t="s">
        <v>204</v>
      </c>
      <c r="AH169" s="500">
        <v>25.29</v>
      </c>
      <c r="AI169" s="500">
        <v>30453.7</v>
      </c>
      <c r="AJ169" s="495" t="s">
        <v>205</v>
      </c>
      <c r="AK169" s="495" t="s">
        <v>206</v>
      </c>
      <c r="AL169" s="495" t="s">
        <v>207</v>
      </c>
      <c r="AM169" s="495" t="s">
        <v>208</v>
      </c>
      <c r="AN169" s="495" t="s">
        <v>92</v>
      </c>
      <c r="AO169" s="498">
        <v>80</v>
      </c>
      <c r="AP169" s="504">
        <v>1</v>
      </c>
      <c r="AQ169" s="504">
        <v>0.5</v>
      </c>
      <c r="AR169" s="502" t="s">
        <v>209</v>
      </c>
      <c r="AS169" s="506">
        <f t="shared" si="169"/>
        <v>0.5</v>
      </c>
      <c r="AT169">
        <f t="shared" si="170"/>
        <v>1</v>
      </c>
      <c r="AU169" s="506">
        <f>IF(AT169=0,"",IF(AND(AT169=1,M169="F",SUMIF(C2:C177,C169,AS2:AS177)&lt;=1),SUMIF(C2:C177,C169,AS2:AS177),IF(AND(AT169=1,M169="F",SUMIF(C2:C177,C169,AS2:AS177)&gt;1),1,"")))</f>
        <v>1</v>
      </c>
      <c r="AV169" s="506" t="str">
        <f>IF(AT169=0,"",IF(AND(AT169=3,M169="F",SUMIF(C2:C177,C169,AS2:AS177)&lt;=1),SUMIF(C2:C177,C169,AS2:AS177),IF(AND(AT169=3,M169="F",SUMIF(C2:C177,C169,AS2:AS177)&gt;1),1,"")))</f>
        <v/>
      </c>
      <c r="AW169" s="506">
        <f>SUMIF(C2:C177,C169,O2:O177)</f>
        <v>2</v>
      </c>
      <c r="AX169" s="506">
        <f>IF(AND(M169="F",AS169&lt;&gt;0),SUMIF(C2:C177,C169,W2:W177),0)</f>
        <v>52603.199999999997</v>
      </c>
      <c r="AY169" s="506">
        <f t="shared" si="171"/>
        <v>26301.599999999999</v>
      </c>
      <c r="AZ169" s="506" t="str">
        <f t="shared" si="172"/>
        <v/>
      </c>
      <c r="BA169" s="506">
        <f t="shared" si="173"/>
        <v>0</v>
      </c>
      <c r="BB169" s="506">
        <f t="shared" si="186"/>
        <v>5825</v>
      </c>
      <c r="BC169" s="506">
        <f t="shared" si="187"/>
        <v>0</v>
      </c>
      <c r="BD169" s="506">
        <f t="shared" si="188"/>
        <v>1630.6991999999998</v>
      </c>
      <c r="BE169" s="506">
        <f t="shared" si="189"/>
        <v>381.3732</v>
      </c>
      <c r="BF169" s="506">
        <f t="shared" si="190"/>
        <v>3140.41104</v>
      </c>
      <c r="BG169" s="506">
        <f t="shared" si="191"/>
        <v>189.634536</v>
      </c>
      <c r="BH169" s="506">
        <f t="shared" si="192"/>
        <v>128.87783999999999</v>
      </c>
      <c r="BI169" s="506">
        <f t="shared" si="193"/>
        <v>145.57935599999999</v>
      </c>
      <c r="BJ169" s="506">
        <f t="shared" si="194"/>
        <v>323.50968</v>
      </c>
      <c r="BK169" s="506">
        <f t="shared" si="195"/>
        <v>0</v>
      </c>
      <c r="BL169" s="506">
        <f t="shared" si="174"/>
        <v>5940.084852</v>
      </c>
      <c r="BM169" s="506">
        <f t="shared" si="175"/>
        <v>0</v>
      </c>
      <c r="BN169" s="506">
        <f t="shared" si="196"/>
        <v>5825</v>
      </c>
      <c r="BO169" s="506">
        <f t="shared" si="197"/>
        <v>0</v>
      </c>
      <c r="BP169" s="506">
        <f t="shared" si="198"/>
        <v>1630.6991999999998</v>
      </c>
      <c r="BQ169" s="506">
        <f t="shared" si="199"/>
        <v>381.3732</v>
      </c>
      <c r="BR169" s="506">
        <f t="shared" si="200"/>
        <v>3140.41104</v>
      </c>
      <c r="BS169" s="506">
        <f t="shared" si="201"/>
        <v>189.634536</v>
      </c>
      <c r="BT169" s="506">
        <f t="shared" si="202"/>
        <v>0</v>
      </c>
      <c r="BU169" s="506">
        <f t="shared" si="203"/>
        <v>145.57935599999999</v>
      </c>
      <c r="BV169" s="506">
        <f t="shared" si="204"/>
        <v>315.61919999999998</v>
      </c>
      <c r="BW169" s="506">
        <f t="shared" si="205"/>
        <v>0</v>
      </c>
      <c r="BX169" s="506">
        <f t="shared" si="176"/>
        <v>5803.3165319999998</v>
      </c>
      <c r="BY169" s="506">
        <f t="shared" si="177"/>
        <v>0</v>
      </c>
      <c r="BZ169" s="506">
        <f t="shared" si="178"/>
        <v>0</v>
      </c>
      <c r="CA169" s="506">
        <f t="shared" si="179"/>
        <v>0</v>
      </c>
      <c r="CB169" s="506">
        <f t="shared" si="180"/>
        <v>0</v>
      </c>
      <c r="CC169" s="506">
        <f t="shared" si="206"/>
        <v>0</v>
      </c>
      <c r="CD169" s="506">
        <f t="shared" si="207"/>
        <v>0</v>
      </c>
      <c r="CE169" s="506">
        <f t="shared" si="208"/>
        <v>0</v>
      </c>
      <c r="CF169" s="506">
        <f t="shared" si="209"/>
        <v>-128.87783999999999</v>
      </c>
      <c r="CG169" s="506">
        <f t="shared" si="210"/>
        <v>0</v>
      </c>
      <c r="CH169" s="506">
        <f t="shared" si="211"/>
        <v>-7.8904799999999975</v>
      </c>
      <c r="CI169" s="506">
        <f t="shared" si="212"/>
        <v>0</v>
      </c>
      <c r="CJ169" s="506">
        <f t="shared" si="181"/>
        <v>-136.76831999999999</v>
      </c>
      <c r="CK169" s="506" t="str">
        <f t="shared" si="182"/>
        <v/>
      </c>
      <c r="CL169" s="506" t="str">
        <f t="shared" si="183"/>
        <v/>
      </c>
      <c r="CM169" s="506" t="str">
        <f t="shared" si="184"/>
        <v/>
      </c>
      <c r="CN169" s="506" t="str">
        <f t="shared" si="185"/>
        <v>0499-00</v>
      </c>
    </row>
    <row r="170" spans="1:92" ht="15.75" thickBot="1" x14ac:dyDescent="0.3">
      <c r="A170" s="495" t="s">
        <v>187</v>
      </c>
      <c r="B170" s="495" t="s">
        <v>188</v>
      </c>
      <c r="C170" s="495" t="s">
        <v>475</v>
      </c>
      <c r="D170" s="495" t="s">
        <v>245</v>
      </c>
      <c r="E170" s="495" t="s">
        <v>812</v>
      </c>
      <c r="F170" s="496" t="s">
        <v>192</v>
      </c>
      <c r="G170" s="495" t="s">
        <v>193</v>
      </c>
      <c r="H170" s="497"/>
      <c r="I170" s="497"/>
      <c r="J170" s="495" t="s">
        <v>277</v>
      </c>
      <c r="K170" s="495" t="s">
        <v>437</v>
      </c>
      <c r="L170" s="495" t="s">
        <v>305</v>
      </c>
      <c r="M170" s="495" t="s">
        <v>197</v>
      </c>
      <c r="N170" s="495" t="s">
        <v>198</v>
      </c>
      <c r="O170" s="498">
        <v>1</v>
      </c>
      <c r="P170" s="504">
        <v>0.16</v>
      </c>
      <c r="Q170" s="504">
        <v>0.16</v>
      </c>
      <c r="R170" s="499">
        <v>80</v>
      </c>
      <c r="S170" s="504">
        <v>0.16</v>
      </c>
      <c r="T170" s="499">
        <v>5733.22</v>
      </c>
      <c r="U170" s="499">
        <v>0</v>
      </c>
      <c r="V170" s="499">
        <v>2248.6799999999998</v>
      </c>
      <c r="W170" s="499">
        <v>10539.77</v>
      </c>
      <c r="X170" s="499">
        <v>4244.3999999999996</v>
      </c>
      <c r="Y170" s="499">
        <v>10539.77</v>
      </c>
      <c r="Z170" s="499">
        <v>4189.59</v>
      </c>
      <c r="AA170" s="495" t="s">
        <v>476</v>
      </c>
      <c r="AB170" s="495" t="s">
        <v>477</v>
      </c>
      <c r="AC170" s="495" t="s">
        <v>413</v>
      </c>
      <c r="AD170" s="495" t="s">
        <v>305</v>
      </c>
      <c r="AE170" s="495" t="s">
        <v>437</v>
      </c>
      <c r="AF170" s="495" t="s">
        <v>440</v>
      </c>
      <c r="AG170" s="495" t="s">
        <v>204</v>
      </c>
      <c r="AH170" s="500">
        <v>31.67</v>
      </c>
      <c r="AI170" s="500">
        <v>14970.6</v>
      </c>
      <c r="AJ170" s="495" t="s">
        <v>205</v>
      </c>
      <c r="AK170" s="495" t="s">
        <v>206</v>
      </c>
      <c r="AL170" s="495" t="s">
        <v>207</v>
      </c>
      <c r="AM170" s="495" t="s">
        <v>208</v>
      </c>
      <c r="AN170" s="495" t="s">
        <v>92</v>
      </c>
      <c r="AO170" s="498">
        <v>80</v>
      </c>
      <c r="AP170" s="504">
        <v>1</v>
      </c>
      <c r="AQ170" s="504">
        <v>0.16</v>
      </c>
      <c r="AR170" s="502" t="s">
        <v>209</v>
      </c>
      <c r="AS170" s="506">
        <f t="shared" si="169"/>
        <v>0.16</v>
      </c>
      <c r="AT170">
        <f t="shared" si="170"/>
        <v>1</v>
      </c>
      <c r="AU170" s="506">
        <f>IF(AT170=0,"",IF(AND(AT170=1,M170="F",SUMIF(C2:C177,C170,AS2:AS177)&lt;=1),SUMIF(C2:C177,C170,AS2:AS177),IF(AND(AT170=1,M170="F",SUMIF(C2:C177,C170,AS2:AS177)&gt;1),1,"")))</f>
        <v>1</v>
      </c>
      <c r="AV170" s="506" t="str">
        <f>IF(AT170=0,"",IF(AND(AT170=3,M170="F",SUMIF(C2:C177,C170,AS2:AS177)&lt;=1),SUMIF(C2:C177,C170,AS2:AS177),IF(AND(AT170=3,M170="F",SUMIF(C2:C177,C170,AS2:AS177)&gt;1),1,"")))</f>
        <v/>
      </c>
      <c r="AW170" s="506">
        <f>SUMIF(C2:C177,C170,O2:O177)</f>
        <v>2</v>
      </c>
      <c r="AX170" s="506">
        <f>IF(AND(M170="F",AS170&lt;&gt;0),SUMIF(C2:C177,C170,W2:W177),0)</f>
        <v>65873.56</v>
      </c>
      <c r="AY170" s="506">
        <f t="shared" si="171"/>
        <v>10539.77</v>
      </c>
      <c r="AZ170" s="506" t="str">
        <f t="shared" si="172"/>
        <v/>
      </c>
      <c r="BA170" s="506">
        <f t="shared" si="173"/>
        <v>0</v>
      </c>
      <c r="BB170" s="506">
        <f t="shared" si="186"/>
        <v>1864</v>
      </c>
      <c r="BC170" s="506">
        <f t="shared" si="187"/>
        <v>0</v>
      </c>
      <c r="BD170" s="506">
        <f t="shared" si="188"/>
        <v>653.46573999999998</v>
      </c>
      <c r="BE170" s="506">
        <f t="shared" si="189"/>
        <v>152.82666500000002</v>
      </c>
      <c r="BF170" s="506">
        <f t="shared" si="190"/>
        <v>1258.4485380000001</v>
      </c>
      <c r="BG170" s="506">
        <f t="shared" si="191"/>
        <v>75.991741700000006</v>
      </c>
      <c r="BH170" s="506">
        <f t="shared" si="192"/>
        <v>51.644872999999997</v>
      </c>
      <c r="BI170" s="506">
        <f t="shared" si="193"/>
        <v>58.337626950000001</v>
      </c>
      <c r="BJ170" s="506">
        <f t="shared" si="194"/>
        <v>129.639171</v>
      </c>
      <c r="BK170" s="506">
        <f t="shared" si="195"/>
        <v>0</v>
      </c>
      <c r="BL170" s="506">
        <f t="shared" si="174"/>
        <v>2380.3543556500003</v>
      </c>
      <c r="BM170" s="506">
        <f t="shared" si="175"/>
        <v>0</v>
      </c>
      <c r="BN170" s="506">
        <f t="shared" si="196"/>
        <v>1864</v>
      </c>
      <c r="BO170" s="506">
        <f t="shared" si="197"/>
        <v>0</v>
      </c>
      <c r="BP170" s="506">
        <f t="shared" si="198"/>
        <v>653.46573999999998</v>
      </c>
      <c r="BQ170" s="506">
        <f t="shared" si="199"/>
        <v>152.82666500000002</v>
      </c>
      <c r="BR170" s="506">
        <f t="shared" si="200"/>
        <v>1258.4485380000001</v>
      </c>
      <c r="BS170" s="506">
        <f t="shared" si="201"/>
        <v>75.991741700000006</v>
      </c>
      <c r="BT170" s="506">
        <f t="shared" si="202"/>
        <v>0</v>
      </c>
      <c r="BU170" s="506">
        <f t="shared" si="203"/>
        <v>58.337626950000001</v>
      </c>
      <c r="BV170" s="506">
        <f t="shared" si="204"/>
        <v>126.47724000000001</v>
      </c>
      <c r="BW170" s="506">
        <f t="shared" si="205"/>
        <v>0</v>
      </c>
      <c r="BX170" s="506">
        <f t="shared" si="176"/>
        <v>2325.5475516500005</v>
      </c>
      <c r="BY170" s="506">
        <f t="shared" si="177"/>
        <v>0</v>
      </c>
      <c r="BZ170" s="506">
        <f t="shared" si="178"/>
        <v>0</v>
      </c>
      <c r="CA170" s="506">
        <f t="shared" si="179"/>
        <v>0</v>
      </c>
      <c r="CB170" s="506">
        <f t="shared" si="180"/>
        <v>0</v>
      </c>
      <c r="CC170" s="506">
        <f t="shared" si="206"/>
        <v>0</v>
      </c>
      <c r="CD170" s="506">
        <f t="shared" si="207"/>
        <v>0</v>
      </c>
      <c r="CE170" s="506">
        <f t="shared" si="208"/>
        <v>0</v>
      </c>
      <c r="CF170" s="506">
        <f t="shared" si="209"/>
        <v>-51.644872999999997</v>
      </c>
      <c r="CG170" s="506">
        <f t="shared" si="210"/>
        <v>0</v>
      </c>
      <c r="CH170" s="506">
        <f t="shared" si="211"/>
        <v>-3.1619309999999992</v>
      </c>
      <c r="CI170" s="506">
        <f t="shared" si="212"/>
        <v>0</v>
      </c>
      <c r="CJ170" s="506">
        <f t="shared" si="181"/>
        <v>-54.806804</v>
      </c>
      <c r="CK170" s="506" t="str">
        <f t="shared" si="182"/>
        <v/>
      </c>
      <c r="CL170" s="506" t="str">
        <f t="shared" si="183"/>
        <v/>
      </c>
      <c r="CM170" s="506" t="str">
        <f t="shared" si="184"/>
        <v/>
      </c>
      <c r="CN170" s="506" t="str">
        <f t="shared" si="185"/>
        <v>0499-00</v>
      </c>
    </row>
    <row r="171" spans="1:92" ht="15.75" thickBot="1" x14ac:dyDescent="0.3">
      <c r="A171" s="495" t="s">
        <v>187</v>
      </c>
      <c r="B171" s="495" t="s">
        <v>188</v>
      </c>
      <c r="C171" s="495" t="s">
        <v>575</v>
      </c>
      <c r="D171" s="495" t="s">
        <v>576</v>
      </c>
      <c r="E171" s="495" t="s">
        <v>812</v>
      </c>
      <c r="F171" s="496" t="s">
        <v>192</v>
      </c>
      <c r="G171" s="495" t="s">
        <v>193</v>
      </c>
      <c r="H171" s="497"/>
      <c r="I171" s="497"/>
      <c r="J171" s="495" t="s">
        <v>358</v>
      </c>
      <c r="K171" s="495" t="s">
        <v>577</v>
      </c>
      <c r="L171" s="495" t="s">
        <v>192</v>
      </c>
      <c r="M171" s="495" t="s">
        <v>197</v>
      </c>
      <c r="N171" s="495" t="s">
        <v>578</v>
      </c>
      <c r="O171" s="498">
        <v>1</v>
      </c>
      <c r="P171" s="504">
        <v>0.03</v>
      </c>
      <c r="Q171" s="504">
        <v>0.03</v>
      </c>
      <c r="R171" s="499">
        <v>80</v>
      </c>
      <c r="S171" s="504">
        <v>0.03</v>
      </c>
      <c r="T171" s="499">
        <v>3889.15</v>
      </c>
      <c r="U171" s="499">
        <v>0</v>
      </c>
      <c r="V171" s="499">
        <v>1220.82</v>
      </c>
      <c r="W171" s="499">
        <v>3229.82</v>
      </c>
      <c r="X171" s="499">
        <v>1061.06</v>
      </c>
      <c r="Y171" s="499">
        <v>3229.82</v>
      </c>
      <c r="Z171" s="499">
        <v>1044.26</v>
      </c>
      <c r="AA171" s="495" t="s">
        <v>579</v>
      </c>
      <c r="AB171" s="495" t="s">
        <v>580</v>
      </c>
      <c r="AC171" s="495" t="s">
        <v>581</v>
      </c>
      <c r="AD171" s="495" t="s">
        <v>301</v>
      </c>
      <c r="AE171" s="495" t="s">
        <v>577</v>
      </c>
      <c r="AF171" s="495" t="s">
        <v>582</v>
      </c>
      <c r="AG171" s="495" t="s">
        <v>204</v>
      </c>
      <c r="AH171" s="500">
        <v>51.76</v>
      </c>
      <c r="AI171" s="498">
        <v>14920</v>
      </c>
      <c r="AJ171" s="495" t="s">
        <v>205</v>
      </c>
      <c r="AK171" s="495" t="s">
        <v>206</v>
      </c>
      <c r="AL171" s="495" t="s">
        <v>207</v>
      </c>
      <c r="AM171" s="495" t="s">
        <v>208</v>
      </c>
      <c r="AN171" s="495" t="s">
        <v>92</v>
      </c>
      <c r="AO171" s="498">
        <v>80</v>
      </c>
      <c r="AP171" s="504">
        <v>1</v>
      </c>
      <c r="AQ171" s="504">
        <v>0.03</v>
      </c>
      <c r="AR171" s="502" t="s">
        <v>209</v>
      </c>
      <c r="AS171" s="506">
        <f t="shared" si="169"/>
        <v>0.03</v>
      </c>
      <c r="AT171">
        <f t="shared" si="170"/>
        <v>1</v>
      </c>
      <c r="AU171" s="506">
        <f>IF(AT171=0,"",IF(AND(AT171=1,M171="F",SUMIF(C2:C177,C171,AS2:AS177)&lt;=1),SUMIF(C2:C177,C171,AS2:AS177),IF(AND(AT171=1,M171="F",SUMIF(C2:C177,C171,AS2:AS177)&gt;1),1,"")))</f>
        <v>1</v>
      </c>
      <c r="AV171" s="506" t="str">
        <f>IF(AT171=0,"",IF(AND(AT171=3,M171="F",SUMIF(C2:C177,C171,AS2:AS177)&lt;=1),SUMIF(C2:C177,C171,AS2:AS177),IF(AND(AT171=3,M171="F",SUMIF(C2:C177,C171,AS2:AS177)&gt;1),1,"")))</f>
        <v/>
      </c>
      <c r="AW171" s="506">
        <f>SUMIF(C2:C177,C171,O2:O177)</f>
        <v>2</v>
      </c>
      <c r="AX171" s="506">
        <f>IF(AND(M171="F",AS171&lt;&gt;0),SUMIF(C2:C177,C171,W2:W177),0)</f>
        <v>107660.76000000001</v>
      </c>
      <c r="AY171" s="506">
        <f t="shared" si="171"/>
        <v>3229.82</v>
      </c>
      <c r="AZ171" s="506" t="str">
        <f t="shared" si="172"/>
        <v/>
      </c>
      <c r="BA171" s="506">
        <f t="shared" si="173"/>
        <v>0</v>
      </c>
      <c r="BB171" s="506">
        <f t="shared" si="186"/>
        <v>349.5</v>
      </c>
      <c r="BC171" s="506">
        <f t="shared" si="187"/>
        <v>0</v>
      </c>
      <c r="BD171" s="506">
        <f t="shared" si="188"/>
        <v>200.24884</v>
      </c>
      <c r="BE171" s="506">
        <f t="shared" si="189"/>
        <v>46.832390000000004</v>
      </c>
      <c r="BF171" s="506">
        <f t="shared" si="190"/>
        <v>385.64050800000001</v>
      </c>
      <c r="BG171" s="506">
        <f t="shared" si="191"/>
        <v>23.287002200000003</v>
      </c>
      <c r="BH171" s="506">
        <f t="shared" si="192"/>
        <v>15.826118000000001</v>
      </c>
      <c r="BI171" s="506">
        <f t="shared" si="193"/>
        <v>0</v>
      </c>
      <c r="BJ171" s="506">
        <f t="shared" si="194"/>
        <v>39.726786000000004</v>
      </c>
      <c r="BK171" s="506">
        <f t="shared" si="195"/>
        <v>0</v>
      </c>
      <c r="BL171" s="506">
        <f t="shared" si="174"/>
        <v>711.56164419999982</v>
      </c>
      <c r="BM171" s="506">
        <f t="shared" si="175"/>
        <v>0</v>
      </c>
      <c r="BN171" s="506">
        <f t="shared" si="196"/>
        <v>349.5</v>
      </c>
      <c r="BO171" s="506">
        <f t="shared" si="197"/>
        <v>0</v>
      </c>
      <c r="BP171" s="506">
        <f t="shared" si="198"/>
        <v>200.24884</v>
      </c>
      <c r="BQ171" s="506">
        <f t="shared" si="199"/>
        <v>46.832390000000004</v>
      </c>
      <c r="BR171" s="506">
        <f t="shared" si="200"/>
        <v>385.64050800000001</v>
      </c>
      <c r="BS171" s="506">
        <f t="shared" si="201"/>
        <v>23.287002200000003</v>
      </c>
      <c r="BT171" s="506">
        <f t="shared" si="202"/>
        <v>0</v>
      </c>
      <c r="BU171" s="506">
        <f t="shared" si="203"/>
        <v>0</v>
      </c>
      <c r="BV171" s="506">
        <f t="shared" si="204"/>
        <v>38.757840000000002</v>
      </c>
      <c r="BW171" s="506">
        <f t="shared" si="205"/>
        <v>0</v>
      </c>
      <c r="BX171" s="506">
        <f t="shared" si="176"/>
        <v>694.76658019999991</v>
      </c>
      <c r="BY171" s="506">
        <f t="shared" si="177"/>
        <v>0</v>
      </c>
      <c r="BZ171" s="506">
        <f t="shared" si="178"/>
        <v>0</v>
      </c>
      <c r="CA171" s="506">
        <f t="shared" si="179"/>
        <v>0</v>
      </c>
      <c r="CB171" s="506">
        <f t="shared" si="180"/>
        <v>0</v>
      </c>
      <c r="CC171" s="506">
        <f t="shared" si="206"/>
        <v>0</v>
      </c>
      <c r="CD171" s="506">
        <f t="shared" si="207"/>
        <v>0</v>
      </c>
      <c r="CE171" s="506">
        <f t="shared" si="208"/>
        <v>0</v>
      </c>
      <c r="CF171" s="506">
        <f t="shared" si="209"/>
        <v>-15.826118000000001</v>
      </c>
      <c r="CG171" s="506">
        <f t="shared" si="210"/>
        <v>0</v>
      </c>
      <c r="CH171" s="506">
        <f t="shared" si="211"/>
        <v>-0.96894599999999975</v>
      </c>
      <c r="CI171" s="506">
        <f t="shared" si="212"/>
        <v>0</v>
      </c>
      <c r="CJ171" s="506">
        <f t="shared" si="181"/>
        <v>-16.795064</v>
      </c>
      <c r="CK171" s="506" t="str">
        <f t="shared" si="182"/>
        <v/>
      </c>
      <c r="CL171" s="506" t="str">
        <f t="shared" si="183"/>
        <v/>
      </c>
      <c r="CM171" s="506" t="str">
        <f t="shared" si="184"/>
        <v/>
      </c>
      <c r="CN171" s="506" t="str">
        <f t="shared" si="185"/>
        <v>0499-00</v>
      </c>
    </row>
    <row r="172" spans="1:92" ht="15.75" thickBot="1" x14ac:dyDescent="0.3">
      <c r="A172" s="495" t="s">
        <v>187</v>
      </c>
      <c r="B172" s="495" t="s">
        <v>188</v>
      </c>
      <c r="C172" s="495" t="s">
        <v>599</v>
      </c>
      <c r="D172" s="495" t="s">
        <v>294</v>
      </c>
      <c r="E172" s="495" t="s">
        <v>812</v>
      </c>
      <c r="F172" s="496" t="s">
        <v>192</v>
      </c>
      <c r="G172" s="495" t="s">
        <v>193</v>
      </c>
      <c r="H172" s="497"/>
      <c r="I172" s="497"/>
      <c r="J172" s="495" t="s">
        <v>225</v>
      </c>
      <c r="K172" s="495" t="s">
        <v>295</v>
      </c>
      <c r="L172" s="495" t="s">
        <v>204</v>
      </c>
      <c r="M172" s="495" t="s">
        <v>197</v>
      </c>
      <c r="N172" s="495" t="s">
        <v>198</v>
      </c>
      <c r="O172" s="498">
        <v>1</v>
      </c>
      <c r="P172" s="504">
        <v>0</v>
      </c>
      <c r="Q172" s="504">
        <v>0</v>
      </c>
      <c r="R172" s="499">
        <v>80</v>
      </c>
      <c r="S172" s="504">
        <v>0</v>
      </c>
      <c r="T172" s="499">
        <v>3.35</v>
      </c>
      <c r="U172" s="499">
        <v>0</v>
      </c>
      <c r="V172" s="499">
        <v>1.41</v>
      </c>
      <c r="W172" s="499">
        <v>0</v>
      </c>
      <c r="X172" s="499">
        <v>0</v>
      </c>
      <c r="Y172" s="499">
        <v>0</v>
      </c>
      <c r="Z172" s="499">
        <v>0</v>
      </c>
      <c r="AA172" s="495" t="s">
        <v>600</v>
      </c>
      <c r="AB172" s="495" t="s">
        <v>601</v>
      </c>
      <c r="AC172" s="495" t="s">
        <v>602</v>
      </c>
      <c r="AD172" s="495" t="s">
        <v>352</v>
      </c>
      <c r="AE172" s="495" t="s">
        <v>295</v>
      </c>
      <c r="AF172" s="495" t="s">
        <v>274</v>
      </c>
      <c r="AG172" s="495" t="s">
        <v>204</v>
      </c>
      <c r="AH172" s="500">
        <v>17.91</v>
      </c>
      <c r="AI172" s="500">
        <v>15069.2</v>
      </c>
      <c r="AJ172" s="495" t="s">
        <v>205</v>
      </c>
      <c r="AK172" s="495" t="s">
        <v>206</v>
      </c>
      <c r="AL172" s="495" t="s">
        <v>207</v>
      </c>
      <c r="AM172" s="495" t="s">
        <v>208</v>
      </c>
      <c r="AN172" s="495" t="s">
        <v>92</v>
      </c>
      <c r="AO172" s="498">
        <v>80</v>
      </c>
      <c r="AP172" s="504">
        <v>1</v>
      </c>
      <c r="AQ172" s="504">
        <v>0</v>
      </c>
      <c r="AR172" s="502" t="s">
        <v>209</v>
      </c>
      <c r="AS172" s="506">
        <f t="shared" si="169"/>
        <v>0</v>
      </c>
      <c r="AT172">
        <f t="shared" si="170"/>
        <v>0</v>
      </c>
      <c r="AU172" s="506" t="str">
        <f>IF(AT172=0,"",IF(AND(AT172=1,M172="F",SUMIF(C2:C177,C172,AS2:AS177)&lt;=1),SUMIF(C2:C177,C172,AS2:AS177),IF(AND(AT172=1,M172="F",SUMIF(C2:C177,C172,AS2:AS177)&gt;1),1,"")))</f>
        <v/>
      </c>
      <c r="AV172" s="506" t="str">
        <f>IF(AT172=0,"",IF(AND(AT172=3,M172="F",SUMIF(C2:C177,C172,AS2:AS177)&lt;=1),SUMIF(C2:C177,C172,AS2:AS177),IF(AND(AT172=3,M172="F",SUMIF(C2:C177,C172,AS2:AS177)&gt;1),1,"")))</f>
        <v/>
      </c>
      <c r="AW172" s="506">
        <f>SUMIF(C2:C177,C172,O2:O177)</f>
        <v>2</v>
      </c>
      <c r="AX172" s="506">
        <f>IF(AND(M172="F",AS172&lt;&gt;0),SUMIF(C2:C177,C172,W2:W177),0)</f>
        <v>0</v>
      </c>
      <c r="AY172" s="506" t="str">
        <f t="shared" si="171"/>
        <v/>
      </c>
      <c r="AZ172" s="506" t="str">
        <f t="shared" si="172"/>
        <v/>
      </c>
      <c r="BA172" s="506">
        <f t="shared" si="173"/>
        <v>0</v>
      </c>
      <c r="BB172" s="506">
        <f t="shared" si="186"/>
        <v>0</v>
      </c>
      <c r="BC172" s="506">
        <f t="shared" si="187"/>
        <v>0</v>
      </c>
      <c r="BD172" s="506">
        <f t="shared" si="188"/>
        <v>0</v>
      </c>
      <c r="BE172" s="506">
        <f t="shared" si="189"/>
        <v>0</v>
      </c>
      <c r="BF172" s="506">
        <f t="shared" si="190"/>
        <v>0</v>
      </c>
      <c r="BG172" s="506">
        <f t="shared" si="191"/>
        <v>0</v>
      </c>
      <c r="BH172" s="506">
        <f t="shared" si="192"/>
        <v>0</v>
      </c>
      <c r="BI172" s="506">
        <f t="shared" si="193"/>
        <v>0</v>
      </c>
      <c r="BJ172" s="506">
        <f t="shared" si="194"/>
        <v>0</v>
      </c>
      <c r="BK172" s="506">
        <f t="shared" si="195"/>
        <v>0</v>
      </c>
      <c r="BL172" s="506">
        <f t="shared" si="174"/>
        <v>0</v>
      </c>
      <c r="BM172" s="506">
        <f t="shared" si="175"/>
        <v>0</v>
      </c>
      <c r="BN172" s="506">
        <f t="shared" si="196"/>
        <v>0</v>
      </c>
      <c r="BO172" s="506">
        <f t="shared" si="197"/>
        <v>0</v>
      </c>
      <c r="BP172" s="506">
        <f t="shared" si="198"/>
        <v>0</v>
      </c>
      <c r="BQ172" s="506">
        <f t="shared" si="199"/>
        <v>0</v>
      </c>
      <c r="BR172" s="506">
        <f t="shared" si="200"/>
        <v>0</v>
      </c>
      <c r="BS172" s="506">
        <f t="shared" si="201"/>
        <v>0</v>
      </c>
      <c r="BT172" s="506">
        <f t="shared" si="202"/>
        <v>0</v>
      </c>
      <c r="BU172" s="506">
        <f t="shared" si="203"/>
        <v>0</v>
      </c>
      <c r="BV172" s="506">
        <f t="shared" si="204"/>
        <v>0</v>
      </c>
      <c r="BW172" s="506">
        <f t="shared" si="205"/>
        <v>0</v>
      </c>
      <c r="BX172" s="506">
        <f t="shared" si="176"/>
        <v>0</v>
      </c>
      <c r="BY172" s="506">
        <f t="shared" si="177"/>
        <v>0</v>
      </c>
      <c r="BZ172" s="506">
        <f t="shared" si="178"/>
        <v>0</v>
      </c>
      <c r="CA172" s="506">
        <f t="shared" si="179"/>
        <v>0</v>
      </c>
      <c r="CB172" s="506">
        <f t="shared" si="180"/>
        <v>0</v>
      </c>
      <c r="CC172" s="506">
        <f t="shared" si="206"/>
        <v>0</v>
      </c>
      <c r="CD172" s="506">
        <f t="shared" si="207"/>
        <v>0</v>
      </c>
      <c r="CE172" s="506">
        <f t="shared" si="208"/>
        <v>0</v>
      </c>
      <c r="CF172" s="506">
        <f t="shared" si="209"/>
        <v>0</v>
      </c>
      <c r="CG172" s="506">
        <f t="shared" si="210"/>
        <v>0</v>
      </c>
      <c r="CH172" s="506">
        <f t="shared" si="211"/>
        <v>0</v>
      </c>
      <c r="CI172" s="506">
        <f t="shared" si="212"/>
        <v>0</v>
      </c>
      <c r="CJ172" s="506">
        <f t="shared" si="181"/>
        <v>0</v>
      </c>
      <c r="CK172" s="506" t="str">
        <f t="shared" si="182"/>
        <v/>
      </c>
      <c r="CL172" s="506" t="str">
        <f t="shared" si="183"/>
        <v/>
      </c>
      <c r="CM172" s="506" t="str">
        <f t="shared" si="184"/>
        <v/>
      </c>
      <c r="CN172" s="506" t="str">
        <f t="shared" si="185"/>
        <v>0499-00</v>
      </c>
    </row>
    <row r="173" spans="1:92" ht="15.75" thickBot="1" x14ac:dyDescent="0.3">
      <c r="A173" s="495" t="s">
        <v>187</v>
      </c>
      <c r="B173" s="495" t="s">
        <v>188</v>
      </c>
      <c r="C173" s="495" t="s">
        <v>485</v>
      </c>
      <c r="D173" s="495" t="s">
        <v>265</v>
      </c>
      <c r="E173" s="495" t="s">
        <v>812</v>
      </c>
      <c r="F173" s="496" t="s">
        <v>192</v>
      </c>
      <c r="G173" s="495" t="s">
        <v>193</v>
      </c>
      <c r="H173" s="497"/>
      <c r="I173" s="497"/>
      <c r="J173" s="495" t="s">
        <v>248</v>
      </c>
      <c r="K173" s="495" t="s">
        <v>415</v>
      </c>
      <c r="L173" s="495" t="s">
        <v>196</v>
      </c>
      <c r="M173" s="495" t="s">
        <v>213</v>
      </c>
      <c r="N173" s="495" t="s">
        <v>198</v>
      </c>
      <c r="O173" s="498">
        <v>0</v>
      </c>
      <c r="P173" s="504">
        <v>0</v>
      </c>
      <c r="Q173" s="504">
        <v>0</v>
      </c>
      <c r="R173" s="499">
        <v>80</v>
      </c>
      <c r="S173" s="504">
        <v>0</v>
      </c>
      <c r="T173" s="499">
        <v>21.53</v>
      </c>
      <c r="U173" s="499">
        <v>0</v>
      </c>
      <c r="V173" s="499">
        <v>8.77</v>
      </c>
      <c r="W173" s="499">
        <v>0</v>
      </c>
      <c r="X173" s="499">
        <v>0</v>
      </c>
      <c r="Y173" s="499">
        <v>0</v>
      </c>
      <c r="Z173" s="499">
        <v>0</v>
      </c>
      <c r="AA173" s="497"/>
      <c r="AB173" s="495" t="s">
        <v>23</v>
      </c>
      <c r="AC173" s="495" t="s">
        <v>23</v>
      </c>
      <c r="AD173" s="497"/>
      <c r="AE173" s="497"/>
      <c r="AF173" s="497"/>
      <c r="AG173" s="497"/>
      <c r="AH173" s="498">
        <v>0</v>
      </c>
      <c r="AI173" s="498">
        <v>0</v>
      </c>
      <c r="AJ173" s="497"/>
      <c r="AK173" s="497"/>
      <c r="AL173" s="495" t="s">
        <v>207</v>
      </c>
      <c r="AM173" s="497"/>
      <c r="AN173" s="497"/>
      <c r="AO173" s="498">
        <v>0</v>
      </c>
      <c r="AP173" s="504">
        <v>0</v>
      </c>
      <c r="AQ173" s="504">
        <v>0</v>
      </c>
      <c r="AR173" s="503"/>
      <c r="AS173" s="506">
        <f t="shared" si="169"/>
        <v>0</v>
      </c>
      <c r="AT173">
        <f t="shared" si="170"/>
        <v>0</v>
      </c>
      <c r="AU173" s="506" t="str">
        <f>IF(AT173=0,"",IF(AND(AT173=1,M173="F",SUMIF(C2:C177,C173,AS2:AS177)&lt;=1),SUMIF(C2:C177,C173,AS2:AS177),IF(AND(AT173=1,M173="F",SUMIF(C2:C177,C173,AS2:AS177)&gt;1),1,"")))</f>
        <v/>
      </c>
      <c r="AV173" s="506" t="str">
        <f>IF(AT173=0,"",IF(AND(AT173=3,M173="F",SUMIF(C2:C177,C173,AS2:AS177)&lt;=1),SUMIF(C2:C177,C173,AS2:AS177),IF(AND(AT173=3,M173="F",SUMIF(C2:C177,C173,AS2:AS177)&gt;1),1,"")))</f>
        <v/>
      </c>
      <c r="AW173" s="506">
        <f>SUMIF(C2:C177,C173,O2:O177)</f>
        <v>0</v>
      </c>
      <c r="AX173" s="506">
        <f>IF(AND(M173="F",AS173&lt;&gt;0),SUMIF(C2:C177,C173,W2:W177),0)</f>
        <v>0</v>
      </c>
      <c r="AY173" s="506" t="str">
        <f t="shared" si="171"/>
        <v/>
      </c>
      <c r="AZ173" s="506" t="str">
        <f t="shared" si="172"/>
        <v/>
      </c>
      <c r="BA173" s="506">
        <f t="shared" si="173"/>
        <v>0</v>
      </c>
      <c r="BB173" s="506">
        <f t="shared" si="186"/>
        <v>0</v>
      </c>
      <c r="BC173" s="506">
        <f t="shared" si="187"/>
        <v>0</v>
      </c>
      <c r="BD173" s="506">
        <f t="shared" si="188"/>
        <v>0</v>
      </c>
      <c r="BE173" s="506">
        <f t="shared" si="189"/>
        <v>0</v>
      </c>
      <c r="BF173" s="506">
        <f t="shared" si="190"/>
        <v>0</v>
      </c>
      <c r="BG173" s="506">
        <f t="shared" si="191"/>
        <v>0</v>
      </c>
      <c r="BH173" s="506">
        <f t="shared" si="192"/>
        <v>0</v>
      </c>
      <c r="BI173" s="506">
        <f t="shared" si="193"/>
        <v>0</v>
      </c>
      <c r="BJ173" s="506">
        <f t="shared" si="194"/>
        <v>0</v>
      </c>
      <c r="BK173" s="506">
        <f t="shared" si="195"/>
        <v>0</v>
      </c>
      <c r="BL173" s="506">
        <f t="shared" si="174"/>
        <v>0</v>
      </c>
      <c r="BM173" s="506">
        <f t="shared" si="175"/>
        <v>0</v>
      </c>
      <c r="BN173" s="506">
        <f t="shared" si="196"/>
        <v>0</v>
      </c>
      <c r="BO173" s="506">
        <f t="shared" si="197"/>
        <v>0</v>
      </c>
      <c r="BP173" s="506">
        <f t="shared" si="198"/>
        <v>0</v>
      </c>
      <c r="BQ173" s="506">
        <f t="shared" si="199"/>
        <v>0</v>
      </c>
      <c r="BR173" s="506">
        <f t="shared" si="200"/>
        <v>0</v>
      </c>
      <c r="BS173" s="506">
        <f t="shared" si="201"/>
        <v>0</v>
      </c>
      <c r="BT173" s="506">
        <f t="shared" si="202"/>
        <v>0</v>
      </c>
      <c r="BU173" s="506">
        <f t="shared" si="203"/>
        <v>0</v>
      </c>
      <c r="BV173" s="506">
        <f t="shared" si="204"/>
        <v>0</v>
      </c>
      <c r="BW173" s="506">
        <f t="shared" si="205"/>
        <v>0</v>
      </c>
      <c r="BX173" s="506">
        <f t="shared" si="176"/>
        <v>0</v>
      </c>
      <c r="BY173" s="506">
        <f t="shared" si="177"/>
        <v>0</v>
      </c>
      <c r="BZ173" s="506">
        <f t="shared" si="178"/>
        <v>0</v>
      </c>
      <c r="CA173" s="506">
        <f t="shared" si="179"/>
        <v>0</v>
      </c>
      <c r="CB173" s="506">
        <f t="shared" si="180"/>
        <v>0</v>
      </c>
      <c r="CC173" s="506">
        <f t="shared" si="206"/>
        <v>0</v>
      </c>
      <c r="CD173" s="506">
        <f t="shared" si="207"/>
        <v>0</v>
      </c>
      <c r="CE173" s="506">
        <f t="shared" si="208"/>
        <v>0</v>
      </c>
      <c r="CF173" s="506">
        <f t="shared" si="209"/>
        <v>0</v>
      </c>
      <c r="CG173" s="506">
        <f t="shared" si="210"/>
        <v>0</v>
      </c>
      <c r="CH173" s="506">
        <f t="shared" si="211"/>
        <v>0</v>
      </c>
      <c r="CI173" s="506">
        <f t="shared" si="212"/>
        <v>0</v>
      </c>
      <c r="CJ173" s="506">
        <f t="shared" si="181"/>
        <v>0</v>
      </c>
      <c r="CK173" s="506" t="str">
        <f t="shared" si="182"/>
        <v/>
      </c>
      <c r="CL173" s="506" t="str">
        <f t="shared" si="183"/>
        <v/>
      </c>
      <c r="CM173" s="506" t="str">
        <f t="shared" si="184"/>
        <v/>
      </c>
      <c r="CN173" s="506" t="str">
        <f t="shared" si="185"/>
        <v>0499-00</v>
      </c>
    </row>
    <row r="174" spans="1:92" ht="15.75" thickBot="1" x14ac:dyDescent="0.3">
      <c r="A174" s="495" t="s">
        <v>187</v>
      </c>
      <c r="B174" s="495" t="s">
        <v>188</v>
      </c>
      <c r="C174" s="495" t="s">
        <v>713</v>
      </c>
      <c r="D174" s="495" t="s">
        <v>294</v>
      </c>
      <c r="E174" s="495" t="s">
        <v>812</v>
      </c>
      <c r="F174" s="496" t="s">
        <v>192</v>
      </c>
      <c r="G174" s="495" t="s">
        <v>193</v>
      </c>
      <c r="H174" s="497"/>
      <c r="I174" s="497"/>
      <c r="J174" s="495" t="s">
        <v>254</v>
      </c>
      <c r="K174" s="495" t="s">
        <v>295</v>
      </c>
      <c r="L174" s="495" t="s">
        <v>204</v>
      </c>
      <c r="M174" s="495" t="s">
        <v>213</v>
      </c>
      <c r="N174" s="495" t="s">
        <v>198</v>
      </c>
      <c r="O174" s="498">
        <v>0</v>
      </c>
      <c r="P174" s="504">
        <v>0</v>
      </c>
      <c r="Q174" s="504">
        <v>0</v>
      </c>
      <c r="R174" s="499">
        <v>80</v>
      </c>
      <c r="S174" s="504">
        <v>0</v>
      </c>
      <c r="T174" s="499">
        <v>57.72</v>
      </c>
      <c r="U174" s="499">
        <v>0</v>
      </c>
      <c r="V174" s="499">
        <v>44.26</v>
      </c>
      <c r="W174" s="499">
        <v>0</v>
      </c>
      <c r="X174" s="499">
        <v>0</v>
      </c>
      <c r="Y174" s="499">
        <v>0</v>
      </c>
      <c r="Z174" s="499">
        <v>0</v>
      </c>
      <c r="AA174" s="497"/>
      <c r="AB174" s="495" t="s">
        <v>23</v>
      </c>
      <c r="AC174" s="495" t="s">
        <v>23</v>
      </c>
      <c r="AD174" s="497"/>
      <c r="AE174" s="497"/>
      <c r="AF174" s="497"/>
      <c r="AG174" s="497"/>
      <c r="AH174" s="498">
        <v>0</v>
      </c>
      <c r="AI174" s="498">
        <v>0</v>
      </c>
      <c r="AJ174" s="497"/>
      <c r="AK174" s="497"/>
      <c r="AL174" s="495" t="s">
        <v>207</v>
      </c>
      <c r="AM174" s="497"/>
      <c r="AN174" s="497"/>
      <c r="AO174" s="498">
        <v>0</v>
      </c>
      <c r="AP174" s="504">
        <v>0</v>
      </c>
      <c r="AQ174" s="504">
        <v>0</v>
      </c>
      <c r="AR174" s="503"/>
      <c r="AS174" s="506">
        <f t="shared" si="169"/>
        <v>0</v>
      </c>
      <c r="AT174">
        <f t="shared" si="170"/>
        <v>0</v>
      </c>
      <c r="AU174" s="506" t="str">
        <f>IF(AT174=0,"",IF(AND(AT174=1,M174="F",SUMIF(C2:C177,C174,AS2:AS177)&lt;=1),SUMIF(C2:C177,C174,AS2:AS177),IF(AND(AT174=1,M174="F",SUMIF(C2:C177,C174,AS2:AS177)&gt;1),1,"")))</f>
        <v/>
      </c>
      <c r="AV174" s="506" t="str">
        <f>IF(AT174=0,"",IF(AND(AT174=3,M174="F",SUMIF(C2:C177,C174,AS2:AS177)&lt;=1),SUMIF(C2:C177,C174,AS2:AS177),IF(AND(AT174=3,M174="F",SUMIF(C2:C177,C174,AS2:AS177)&gt;1),1,"")))</f>
        <v/>
      </c>
      <c r="AW174" s="506">
        <f>SUMIF(C2:C177,C174,O2:O177)</f>
        <v>0</v>
      </c>
      <c r="AX174" s="506">
        <f>IF(AND(M174="F",AS174&lt;&gt;0),SUMIF(C2:C177,C174,W2:W177),0)</f>
        <v>0</v>
      </c>
      <c r="AY174" s="506" t="str">
        <f t="shared" si="171"/>
        <v/>
      </c>
      <c r="AZ174" s="506" t="str">
        <f t="shared" si="172"/>
        <v/>
      </c>
      <c r="BA174" s="506">
        <f t="shared" si="173"/>
        <v>0</v>
      </c>
      <c r="BB174" s="506">
        <f t="shared" si="186"/>
        <v>0</v>
      </c>
      <c r="BC174" s="506">
        <f t="shared" si="187"/>
        <v>0</v>
      </c>
      <c r="BD174" s="506">
        <f t="shared" si="188"/>
        <v>0</v>
      </c>
      <c r="BE174" s="506">
        <f t="shared" si="189"/>
        <v>0</v>
      </c>
      <c r="BF174" s="506">
        <f t="shared" si="190"/>
        <v>0</v>
      </c>
      <c r="BG174" s="506">
        <f t="shared" si="191"/>
        <v>0</v>
      </c>
      <c r="BH174" s="506">
        <f t="shared" si="192"/>
        <v>0</v>
      </c>
      <c r="BI174" s="506">
        <f t="shared" si="193"/>
        <v>0</v>
      </c>
      <c r="BJ174" s="506">
        <f t="shared" si="194"/>
        <v>0</v>
      </c>
      <c r="BK174" s="506">
        <f t="shared" si="195"/>
        <v>0</v>
      </c>
      <c r="BL174" s="506">
        <f t="shared" si="174"/>
        <v>0</v>
      </c>
      <c r="BM174" s="506">
        <f t="shared" si="175"/>
        <v>0</v>
      </c>
      <c r="BN174" s="506">
        <f t="shared" si="196"/>
        <v>0</v>
      </c>
      <c r="BO174" s="506">
        <f t="shared" si="197"/>
        <v>0</v>
      </c>
      <c r="BP174" s="506">
        <f t="shared" si="198"/>
        <v>0</v>
      </c>
      <c r="BQ174" s="506">
        <f t="shared" si="199"/>
        <v>0</v>
      </c>
      <c r="BR174" s="506">
        <f t="shared" si="200"/>
        <v>0</v>
      </c>
      <c r="BS174" s="506">
        <f t="shared" si="201"/>
        <v>0</v>
      </c>
      <c r="BT174" s="506">
        <f t="shared" si="202"/>
        <v>0</v>
      </c>
      <c r="BU174" s="506">
        <f t="shared" si="203"/>
        <v>0</v>
      </c>
      <c r="BV174" s="506">
        <f t="shared" si="204"/>
        <v>0</v>
      </c>
      <c r="BW174" s="506">
        <f t="shared" si="205"/>
        <v>0</v>
      </c>
      <c r="BX174" s="506">
        <f t="shared" si="176"/>
        <v>0</v>
      </c>
      <c r="BY174" s="506">
        <f t="shared" si="177"/>
        <v>0</v>
      </c>
      <c r="BZ174" s="506">
        <f t="shared" si="178"/>
        <v>0</v>
      </c>
      <c r="CA174" s="506">
        <f t="shared" si="179"/>
        <v>0</v>
      </c>
      <c r="CB174" s="506">
        <f t="shared" si="180"/>
        <v>0</v>
      </c>
      <c r="CC174" s="506">
        <f t="shared" si="206"/>
        <v>0</v>
      </c>
      <c r="CD174" s="506">
        <f t="shared" si="207"/>
        <v>0</v>
      </c>
      <c r="CE174" s="506">
        <f t="shared" si="208"/>
        <v>0</v>
      </c>
      <c r="CF174" s="506">
        <f t="shared" si="209"/>
        <v>0</v>
      </c>
      <c r="CG174" s="506">
        <f t="shared" si="210"/>
        <v>0</v>
      </c>
      <c r="CH174" s="506">
        <f t="shared" si="211"/>
        <v>0</v>
      </c>
      <c r="CI174" s="506">
        <f t="shared" si="212"/>
        <v>0</v>
      </c>
      <c r="CJ174" s="506">
        <f t="shared" si="181"/>
        <v>0</v>
      </c>
      <c r="CK174" s="506" t="str">
        <f t="shared" si="182"/>
        <v/>
      </c>
      <c r="CL174" s="506" t="str">
        <f t="shared" si="183"/>
        <v/>
      </c>
      <c r="CM174" s="506" t="str">
        <f t="shared" si="184"/>
        <v/>
      </c>
      <c r="CN174" s="506" t="str">
        <f t="shared" si="185"/>
        <v>0499-00</v>
      </c>
    </row>
    <row r="175" spans="1:92" ht="15.75" thickBot="1" x14ac:dyDescent="0.3">
      <c r="A175" s="495" t="s">
        <v>187</v>
      </c>
      <c r="B175" s="495" t="s">
        <v>188</v>
      </c>
      <c r="C175" s="495" t="s">
        <v>432</v>
      </c>
      <c r="D175" s="495" t="s">
        <v>265</v>
      </c>
      <c r="E175" s="495" t="s">
        <v>812</v>
      </c>
      <c r="F175" s="496" t="s">
        <v>192</v>
      </c>
      <c r="G175" s="495" t="s">
        <v>193</v>
      </c>
      <c r="H175" s="497"/>
      <c r="I175" s="497"/>
      <c r="J175" s="495" t="s">
        <v>230</v>
      </c>
      <c r="K175" s="495" t="s">
        <v>266</v>
      </c>
      <c r="L175" s="495" t="s">
        <v>232</v>
      </c>
      <c r="M175" s="495" t="s">
        <v>197</v>
      </c>
      <c r="N175" s="495" t="s">
        <v>198</v>
      </c>
      <c r="O175" s="498">
        <v>1</v>
      </c>
      <c r="P175" s="504">
        <v>0.19</v>
      </c>
      <c r="Q175" s="504">
        <v>0.19</v>
      </c>
      <c r="R175" s="499">
        <v>80</v>
      </c>
      <c r="S175" s="504">
        <v>0.19</v>
      </c>
      <c r="T175" s="499">
        <v>2611.19</v>
      </c>
      <c r="U175" s="499">
        <v>0</v>
      </c>
      <c r="V175" s="499">
        <v>1275.8599999999999</v>
      </c>
      <c r="W175" s="499">
        <v>8307.1</v>
      </c>
      <c r="X175" s="499">
        <v>4089.65</v>
      </c>
      <c r="Y175" s="499">
        <v>8307.1</v>
      </c>
      <c r="Z175" s="499">
        <v>4046.45</v>
      </c>
      <c r="AA175" s="495" t="s">
        <v>433</v>
      </c>
      <c r="AB175" s="495" t="s">
        <v>434</v>
      </c>
      <c r="AC175" s="495" t="s">
        <v>435</v>
      </c>
      <c r="AD175" s="495" t="s">
        <v>242</v>
      </c>
      <c r="AE175" s="495" t="s">
        <v>266</v>
      </c>
      <c r="AF175" s="495" t="s">
        <v>237</v>
      </c>
      <c r="AG175" s="495" t="s">
        <v>204</v>
      </c>
      <c r="AH175" s="500">
        <v>21.02</v>
      </c>
      <c r="AI175" s="500">
        <v>2761.4</v>
      </c>
      <c r="AJ175" s="495" t="s">
        <v>205</v>
      </c>
      <c r="AK175" s="495" t="s">
        <v>206</v>
      </c>
      <c r="AL175" s="495" t="s">
        <v>207</v>
      </c>
      <c r="AM175" s="495" t="s">
        <v>208</v>
      </c>
      <c r="AN175" s="495" t="s">
        <v>92</v>
      </c>
      <c r="AO175" s="498">
        <v>80</v>
      </c>
      <c r="AP175" s="504">
        <v>1</v>
      </c>
      <c r="AQ175" s="504">
        <v>0.19</v>
      </c>
      <c r="AR175" s="502" t="s">
        <v>209</v>
      </c>
      <c r="AS175" s="506">
        <f t="shared" si="169"/>
        <v>0.19</v>
      </c>
      <c r="AT175">
        <f t="shared" si="170"/>
        <v>1</v>
      </c>
      <c r="AU175" s="506">
        <f>IF(AT175=0,"",IF(AND(AT175=1,M175="F",SUMIF(C2:C177,C175,AS2:AS177)&lt;=1),SUMIF(C2:C177,C175,AS2:AS177),IF(AND(AT175=1,M175="F",SUMIF(C2:C177,C175,AS2:AS177)&gt;1),1,"")))</f>
        <v>1</v>
      </c>
      <c r="AV175" s="506" t="str">
        <f>IF(AT175=0,"",IF(AND(AT175=3,M175="F",SUMIF(C2:C177,C175,AS2:AS177)&lt;=1),SUMIF(C2:C177,C175,AS2:AS177),IF(AND(AT175=3,M175="F",SUMIF(C2:C177,C175,AS2:AS177)&gt;1),1,"")))</f>
        <v/>
      </c>
      <c r="AW175" s="506">
        <f>SUMIF(C2:C177,C175,O2:O177)</f>
        <v>2</v>
      </c>
      <c r="AX175" s="506">
        <f>IF(AND(M175="F",AS175&lt;&gt;0),SUMIF(C2:C177,C175,W2:W177),0)</f>
        <v>43721.59</v>
      </c>
      <c r="AY175" s="506">
        <f t="shared" si="171"/>
        <v>8307.1</v>
      </c>
      <c r="AZ175" s="506" t="str">
        <f t="shared" si="172"/>
        <v/>
      </c>
      <c r="BA175" s="506">
        <f t="shared" si="173"/>
        <v>0</v>
      </c>
      <c r="BB175" s="506">
        <f t="shared" si="186"/>
        <v>2213.5</v>
      </c>
      <c r="BC175" s="506">
        <f t="shared" si="187"/>
        <v>0</v>
      </c>
      <c r="BD175" s="506">
        <f t="shared" si="188"/>
        <v>515.04020000000003</v>
      </c>
      <c r="BE175" s="506">
        <f t="shared" si="189"/>
        <v>120.45295000000002</v>
      </c>
      <c r="BF175" s="506">
        <f t="shared" si="190"/>
        <v>991.86774000000014</v>
      </c>
      <c r="BG175" s="506">
        <f t="shared" si="191"/>
        <v>59.894191000000006</v>
      </c>
      <c r="BH175" s="506">
        <f t="shared" si="192"/>
        <v>40.704790000000003</v>
      </c>
      <c r="BI175" s="506">
        <f t="shared" si="193"/>
        <v>45.979798500000001</v>
      </c>
      <c r="BJ175" s="506">
        <f t="shared" si="194"/>
        <v>102.17733000000001</v>
      </c>
      <c r="BK175" s="506">
        <f t="shared" si="195"/>
        <v>0</v>
      </c>
      <c r="BL175" s="506">
        <f t="shared" si="174"/>
        <v>1876.1169995000002</v>
      </c>
      <c r="BM175" s="506">
        <f t="shared" si="175"/>
        <v>0</v>
      </c>
      <c r="BN175" s="506">
        <f t="shared" si="196"/>
        <v>2213.5</v>
      </c>
      <c r="BO175" s="506">
        <f t="shared" si="197"/>
        <v>0</v>
      </c>
      <c r="BP175" s="506">
        <f t="shared" si="198"/>
        <v>515.04020000000003</v>
      </c>
      <c r="BQ175" s="506">
        <f t="shared" si="199"/>
        <v>120.45295000000002</v>
      </c>
      <c r="BR175" s="506">
        <f t="shared" si="200"/>
        <v>991.86774000000014</v>
      </c>
      <c r="BS175" s="506">
        <f t="shared" si="201"/>
        <v>59.894191000000006</v>
      </c>
      <c r="BT175" s="506">
        <f t="shared" si="202"/>
        <v>0</v>
      </c>
      <c r="BU175" s="506">
        <f t="shared" si="203"/>
        <v>45.979798500000001</v>
      </c>
      <c r="BV175" s="506">
        <f t="shared" si="204"/>
        <v>99.685200000000009</v>
      </c>
      <c r="BW175" s="506">
        <f t="shared" si="205"/>
        <v>0</v>
      </c>
      <c r="BX175" s="506">
        <f t="shared" si="176"/>
        <v>1832.9200795000002</v>
      </c>
      <c r="BY175" s="506">
        <f t="shared" si="177"/>
        <v>0</v>
      </c>
      <c r="BZ175" s="506">
        <f t="shared" si="178"/>
        <v>0</v>
      </c>
      <c r="CA175" s="506">
        <f t="shared" si="179"/>
        <v>0</v>
      </c>
      <c r="CB175" s="506">
        <f t="shared" si="180"/>
        <v>0</v>
      </c>
      <c r="CC175" s="506">
        <f t="shared" si="206"/>
        <v>0</v>
      </c>
      <c r="CD175" s="506">
        <f t="shared" si="207"/>
        <v>0</v>
      </c>
      <c r="CE175" s="506">
        <f t="shared" si="208"/>
        <v>0</v>
      </c>
      <c r="CF175" s="506">
        <f t="shared" si="209"/>
        <v>-40.704790000000003</v>
      </c>
      <c r="CG175" s="506">
        <f t="shared" si="210"/>
        <v>0</v>
      </c>
      <c r="CH175" s="506">
        <f t="shared" si="211"/>
        <v>-2.4921299999999995</v>
      </c>
      <c r="CI175" s="506">
        <f t="shared" si="212"/>
        <v>0</v>
      </c>
      <c r="CJ175" s="506">
        <f t="shared" si="181"/>
        <v>-43.196920000000006</v>
      </c>
      <c r="CK175" s="506" t="str">
        <f t="shared" si="182"/>
        <v/>
      </c>
      <c r="CL175" s="506" t="str">
        <f t="shared" si="183"/>
        <v/>
      </c>
      <c r="CM175" s="506" t="str">
        <f t="shared" si="184"/>
        <v/>
      </c>
      <c r="CN175" s="506" t="str">
        <f t="shared" si="185"/>
        <v>0499-00</v>
      </c>
    </row>
    <row r="176" spans="1:92" ht="15.75" thickBot="1" x14ac:dyDescent="0.3">
      <c r="A176" s="495" t="s">
        <v>187</v>
      </c>
      <c r="B176" s="495" t="s">
        <v>188</v>
      </c>
      <c r="C176" s="495" t="s">
        <v>449</v>
      </c>
      <c r="D176" s="495" t="s">
        <v>265</v>
      </c>
      <c r="E176" s="495" t="s">
        <v>813</v>
      </c>
      <c r="F176" s="501" t="s">
        <v>814</v>
      </c>
      <c r="G176" s="495" t="s">
        <v>813</v>
      </c>
      <c r="H176" s="497"/>
      <c r="I176" s="497"/>
      <c r="J176" s="495" t="s">
        <v>225</v>
      </c>
      <c r="K176" s="495" t="s">
        <v>266</v>
      </c>
      <c r="L176" s="495" t="s">
        <v>232</v>
      </c>
      <c r="M176" s="495" t="s">
        <v>213</v>
      </c>
      <c r="N176" s="495" t="s">
        <v>198</v>
      </c>
      <c r="O176" s="498">
        <v>0</v>
      </c>
      <c r="P176" s="504">
        <v>1</v>
      </c>
      <c r="Q176" s="504">
        <v>1</v>
      </c>
      <c r="R176" s="499">
        <v>80</v>
      </c>
      <c r="S176" s="504">
        <v>1</v>
      </c>
      <c r="T176" s="499">
        <v>0</v>
      </c>
      <c r="U176" s="499">
        <v>0</v>
      </c>
      <c r="V176" s="499">
        <v>0</v>
      </c>
      <c r="W176" s="499">
        <v>47403.199999999997</v>
      </c>
      <c r="X176" s="499">
        <v>20762.599999999999</v>
      </c>
      <c r="Y176" s="499">
        <v>47403.199999999997</v>
      </c>
      <c r="Z176" s="499">
        <v>20525.580000000002</v>
      </c>
      <c r="AA176" s="497"/>
      <c r="AB176" s="495" t="s">
        <v>23</v>
      </c>
      <c r="AC176" s="495" t="s">
        <v>23</v>
      </c>
      <c r="AD176" s="497"/>
      <c r="AE176" s="497"/>
      <c r="AF176" s="497"/>
      <c r="AG176" s="497"/>
      <c r="AH176" s="498">
        <v>0</v>
      </c>
      <c r="AI176" s="498">
        <v>0</v>
      </c>
      <c r="AJ176" s="497"/>
      <c r="AK176" s="497"/>
      <c r="AL176" s="495" t="s">
        <v>207</v>
      </c>
      <c r="AM176" s="497"/>
      <c r="AN176" s="497"/>
      <c r="AO176" s="498">
        <v>0</v>
      </c>
      <c r="AP176" s="504">
        <v>0</v>
      </c>
      <c r="AQ176" s="504">
        <v>0</v>
      </c>
      <c r="AR176" s="503"/>
      <c r="AS176" s="506">
        <f t="shared" si="169"/>
        <v>0</v>
      </c>
      <c r="AT176">
        <f t="shared" si="170"/>
        <v>0</v>
      </c>
      <c r="AU176" s="506" t="str">
        <f>IF(AT176=0,"",IF(AND(AT176=1,M176="F",SUMIF(C2:C177,C176,AS2:AS177)&lt;=1),SUMIF(C2:C177,C176,AS2:AS177),IF(AND(AT176=1,M176="F",SUMIF(C2:C177,C176,AS2:AS177)&gt;1),1,"")))</f>
        <v/>
      </c>
      <c r="AV176" s="506" t="str">
        <f>IF(AT176=0,"",IF(AND(AT176=3,M176="F",SUMIF(C2:C177,C176,AS2:AS177)&lt;=1),SUMIF(C2:C177,C176,AS2:AS177),IF(AND(AT176=3,M176="F",SUMIF(C2:C177,C176,AS2:AS177)&gt;1),1,"")))</f>
        <v/>
      </c>
      <c r="AW176" s="506">
        <f>SUMIF(C2:C177,C176,O2:O177)</f>
        <v>0</v>
      </c>
      <c r="AX176" s="506">
        <f>IF(AND(M176="F",AS176&lt;&gt;0),SUMIF(C2:C177,C176,W2:W177),0)</f>
        <v>0</v>
      </c>
      <c r="AY176" s="506" t="str">
        <f t="shared" si="171"/>
        <v/>
      </c>
      <c r="AZ176" s="506" t="str">
        <f t="shared" si="172"/>
        <v/>
      </c>
      <c r="BA176" s="506">
        <f t="shared" si="173"/>
        <v>0</v>
      </c>
      <c r="BB176" s="506">
        <f t="shared" si="186"/>
        <v>0</v>
      </c>
      <c r="BC176" s="506">
        <f t="shared" si="187"/>
        <v>0</v>
      </c>
      <c r="BD176" s="506">
        <f t="shared" si="188"/>
        <v>0</v>
      </c>
      <c r="BE176" s="506">
        <f t="shared" si="189"/>
        <v>0</v>
      </c>
      <c r="BF176" s="506">
        <f t="shared" si="190"/>
        <v>0</v>
      </c>
      <c r="BG176" s="506">
        <f t="shared" si="191"/>
        <v>0</v>
      </c>
      <c r="BH176" s="506">
        <f t="shared" si="192"/>
        <v>0</v>
      </c>
      <c r="BI176" s="506">
        <f t="shared" si="193"/>
        <v>0</v>
      </c>
      <c r="BJ176" s="506">
        <f t="shared" si="194"/>
        <v>0</v>
      </c>
      <c r="BK176" s="506">
        <f t="shared" si="195"/>
        <v>0</v>
      </c>
      <c r="BL176" s="506">
        <f t="shared" si="174"/>
        <v>0</v>
      </c>
      <c r="BM176" s="506">
        <f t="shared" si="175"/>
        <v>0</v>
      </c>
      <c r="BN176" s="506">
        <f t="shared" si="196"/>
        <v>0</v>
      </c>
      <c r="BO176" s="506">
        <f t="shared" si="197"/>
        <v>0</v>
      </c>
      <c r="BP176" s="506">
        <f t="shared" si="198"/>
        <v>0</v>
      </c>
      <c r="BQ176" s="506">
        <f t="shared" si="199"/>
        <v>0</v>
      </c>
      <c r="BR176" s="506">
        <f t="shared" si="200"/>
        <v>0</v>
      </c>
      <c r="BS176" s="506">
        <f t="shared" si="201"/>
        <v>0</v>
      </c>
      <c r="BT176" s="506">
        <f t="shared" si="202"/>
        <v>0</v>
      </c>
      <c r="BU176" s="506">
        <f t="shared" si="203"/>
        <v>0</v>
      </c>
      <c r="BV176" s="506">
        <f t="shared" si="204"/>
        <v>0</v>
      </c>
      <c r="BW176" s="506">
        <f t="shared" si="205"/>
        <v>0</v>
      </c>
      <c r="BX176" s="506">
        <f t="shared" si="176"/>
        <v>0</v>
      </c>
      <c r="BY176" s="506">
        <f t="shared" si="177"/>
        <v>0</v>
      </c>
      <c r="BZ176" s="506">
        <f t="shared" si="178"/>
        <v>0</v>
      </c>
      <c r="CA176" s="506">
        <f t="shared" si="179"/>
        <v>0</v>
      </c>
      <c r="CB176" s="506">
        <f t="shared" si="180"/>
        <v>0</v>
      </c>
      <c r="CC176" s="506">
        <f t="shared" si="206"/>
        <v>0</v>
      </c>
      <c r="CD176" s="506">
        <f t="shared" si="207"/>
        <v>0</v>
      </c>
      <c r="CE176" s="506">
        <f t="shared" si="208"/>
        <v>0</v>
      </c>
      <c r="CF176" s="506">
        <f t="shared" si="209"/>
        <v>0</v>
      </c>
      <c r="CG176" s="506">
        <f t="shared" si="210"/>
        <v>0</v>
      </c>
      <c r="CH176" s="506">
        <f t="shared" si="211"/>
        <v>0</v>
      </c>
      <c r="CI176" s="506">
        <f t="shared" si="212"/>
        <v>0</v>
      </c>
      <c r="CJ176" s="506">
        <f t="shared" si="181"/>
        <v>0</v>
      </c>
      <c r="CK176" s="506" t="str">
        <f t="shared" si="182"/>
        <v/>
      </c>
      <c r="CL176" s="506" t="str">
        <f t="shared" si="183"/>
        <v/>
      </c>
      <c r="CM176" s="506" t="str">
        <f t="shared" si="184"/>
        <v/>
      </c>
      <c r="CN176" s="506" t="str">
        <f t="shared" si="185"/>
        <v>ÿÿÿÿ-ÿÿ</v>
      </c>
    </row>
    <row r="177" spans="1:92" ht="15.75" thickBot="1" x14ac:dyDescent="0.3">
      <c r="A177" s="495" t="s">
        <v>187</v>
      </c>
      <c r="B177" s="495" t="s">
        <v>188</v>
      </c>
      <c r="C177" s="495" t="s">
        <v>744</v>
      </c>
      <c r="D177" s="495" t="s">
        <v>265</v>
      </c>
      <c r="E177" s="495" t="s">
        <v>813</v>
      </c>
      <c r="F177" s="501" t="s">
        <v>814</v>
      </c>
      <c r="G177" s="495" t="s">
        <v>813</v>
      </c>
      <c r="H177" s="497"/>
      <c r="I177" s="497"/>
      <c r="J177" s="495" t="s">
        <v>194</v>
      </c>
      <c r="K177" s="495" t="s">
        <v>266</v>
      </c>
      <c r="L177" s="495" t="s">
        <v>232</v>
      </c>
      <c r="M177" s="495" t="s">
        <v>213</v>
      </c>
      <c r="N177" s="495" t="s">
        <v>227</v>
      </c>
      <c r="O177" s="498">
        <v>0</v>
      </c>
      <c r="P177" s="504">
        <v>0.6</v>
      </c>
      <c r="Q177" s="504">
        <v>0</v>
      </c>
      <c r="R177" s="499">
        <v>0</v>
      </c>
      <c r="S177" s="504">
        <v>0</v>
      </c>
      <c r="T177" s="499">
        <v>0</v>
      </c>
      <c r="U177" s="499">
        <v>0</v>
      </c>
      <c r="V177" s="499">
        <v>0</v>
      </c>
      <c r="W177" s="499">
        <v>12343.24</v>
      </c>
      <c r="X177" s="499">
        <v>5718.76</v>
      </c>
      <c r="Y177" s="499">
        <v>12343.24</v>
      </c>
      <c r="Z177" s="499">
        <v>5718.76</v>
      </c>
      <c r="AA177" s="497"/>
      <c r="AB177" s="495" t="s">
        <v>23</v>
      </c>
      <c r="AC177" s="495" t="s">
        <v>23</v>
      </c>
      <c r="AD177" s="497"/>
      <c r="AE177" s="497"/>
      <c r="AF177" s="497"/>
      <c r="AG177" s="497"/>
      <c r="AH177" s="498">
        <v>0</v>
      </c>
      <c r="AI177" s="498">
        <v>0</v>
      </c>
      <c r="AJ177" s="497"/>
      <c r="AK177" s="497"/>
      <c r="AL177" s="495" t="s">
        <v>207</v>
      </c>
      <c r="AM177" s="497"/>
      <c r="AN177" s="497"/>
      <c r="AO177" s="498">
        <v>0</v>
      </c>
      <c r="AP177" s="504">
        <v>0</v>
      </c>
      <c r="AQ177" s="504">
        <v>0</v>
      </c>
      <c r="AR177" s="503"/>
      <c r="AS177" s="506">
        <f t="shared" si="169"/>
        <v>0</v>
      </c>
      <c r="AT177">
        <f t="shared" si="170"/>
        <v>0</v>
      </c>
      <c r="AU177" s="506" t="str">
        <f>IF(AT177=0,"",IF(AND(AT177=1,M177="F",SUMIF(C2:C177,C177,AS2:AS177)&lt;=1),SUMIF(C2:C177,C177,AS2:AS177),IF(AND(AT177=1,M177="F",SUMIF(C2:C177,C177,AS2:AS177)&gt;1),1,"")))</f>
        <v/>
      </c>
      <c r="AV177" s="506" t="str">
        <f>IF(AT177=0,"",IF(AND(AT177=3,M177="F",SUMIF(C2:C177,C177,AS2:AS177)&lt;=1),SUMIF(C2:C177,C177,AS2:AS177),IF(AND(AT177=3,M177="F",SUMIF(C2:C177,C177,AS2:AS177)&gt;1),1,"")))</f>
        <v/>
      </c>
      <c r="AW177" s="506">
        <f>SUMIF(C2:C177,C177,O2:O177)</f>
        <v>0</v>
      </c>
      <c r="AX177" s="506">
        <f>IF(AND(M177="F",AS177&lt;&gt;0),SUMIF(C2:C177,C177,W2:W177),0)</f>
        <v>0</v>
      </c>
      <c r="AY177" s="506" t="str">
        <f t="shared" si="171"/>
        <v/>
      </c>
      <c r="AZ177" s="506" t="str">
        <f t="shared" si="172"/>
        <v/>
      </c>
      <c r="BA177" s="506">
        <f t="shared" si="173"/>
        <v>0</v>
      </c>
      <c r="BB177" s="506">
        <f t="shared" si="186"/>
        <v>0</v>
      </c>
      <c r="BC177" s="506">
        <f t="shared" si="187"/>
        <v>0</v>
      </c>
      <c r="BD177" s="506">
        <f t="shared" si="188"/>
        <v>0</v>
      </c>
      <c r="BE177" s="506">
        <f t="shared" si="189"/>
        <v>0</v>
      </c>
      <c r="BF177" s="506">
        <f t="shared" si="190"/>
        <v>0</v>
      </c>
      <c r="BG177" s="506">
        <f t="shared" si="191"/>
        <v>0</v>
      </c>
      <c r="BH177" s="506">
        <f t="shared" si="192"/>
        <v>0</v>
      </c>
      <c r="BI177" s="506">
        <f t="shared" si="193"/>
        <v>0</v>
      </c>
      <c r="BJ177" s="506">
        <f t="shared" si="194"/>
        <v>0</v>
      </c>
      <c r="BK177" s="506">
        <f t="shared" si="195"/>
        <v>0</v>
      </c>
      <c r="BL177" s="506">
        <f t="shared" si="174"/>
        <v>0</v>
      </c>
      <c r="BM177" s="506">
        <f t="shared" si="175"/>
        <v>0</v>
      </c>
      <c r="BN177" s="506">
        <f t="shared" si="196"/>
        <v>0</v>
      </c>
      <c r="BO177" s="506">
        <f t="shared" si="197"/>
        <v>0</v>
      </c>
      <c r="BP177" s="506">
        <f t="shared" si="198"/>
        <v>0</v>
      </c>
      <c r="BQ177" s="506">
        <f t="shared" si="199"/>
        <v>0</v>
      </c>
      <c r="BR177" s="506">
        <f t="shared" si="200"/>
        <v>0</v>
      </c>
      <c r="BS177" s="506">
        <f t="shared" si="201"/>
        <v>0</v>
      </c>
      <c r="BT177" s="506">
        <f t="shared" si="202"/>
        <v>0</v>
      </c>
      <c r="BU177" s="506">
        <f t="shared" si="203"/>
        <v>0</v>
      </c>
      <c r="BV177" s="506">
        <f t="shared" si="204"/>
        <v>0</v>
      </c>
      <c r="BW177" s="506">
        <f t="shared" si="205"/>
        <v>0</v>
      </c>
      <c r="BX177" s="506">
        <f t="shared" si="176"/>
        <v>0</v>
      </c>
      <c r="BY177" s="506">
        <f t="shared" si="177"/>
        <v>0</v>
      </c>
      <c r="BZ177" s="506">
        <f t="shared" si="178"/>
        <v>0</v>
      </c>
      <c r="CA177" s="506">
        <f t="shared" si="179"/>
        <v>0</v>
      </c>
      <c r="CB177" s="506">
        <f t="shared" si="180"/>
        <v>0</v>
      </c>
      <c r="CC177" s="506">
        <f t="shared" si="206"/>
        <v>0</v>
      </c>
      <c r="CD177" s="506">
        <f t="shared" si="207"/>
        <v>0</v>
      </c>
      <c r="CE177" s="506">
        <f t="shared" si="208"/>
        <v>0</v>
      </c>
      <c r="CF177" s="506">
        <f t="shared" si="209"/>
        <v>0</v>
      </c>
      <c r="CG177" s="506">
        <f t="shared" si="210"/>
        <v>0</v>
      </c>
      <c r="CH177" s="506">
        <f t="shared" si="211"/>
        <v>0</v>
      </c>
      <c r="CI177" s="506">
        <f t="shared" si="212"/>
        <v>0</v>
      </c>
      <c r="CJ177" s="506">
        <f t="shared" si="181"/>
        <v>0</v>
      </c>
      <c r="CK177" s="506" t="str">
        <f t="shared" si="182"/>
        <v/>
      </c>
      <c r="CL177" s="506">
        <f t="shared" si="183"/>
        <v>0</v>
      </c>
      <c r="CM177" s="506">
        <f t="shared" si="184"/>
        <v>0</v>
      </c>
      <c r="CN177" s="506" t="str">
        <f t="shared" si="185"/>
        <v>ÿÿÿÿ-ÿÿ</v>
      </c>
    </row>
    <row r="179" spans="1:92" ht="21" x14ac:dyDescent="0.35">
      <c r="AQ179" s="280" t="s">
        <v>872</v>
      </c>
    </row>
    <row r="180" spans="1:92" ht="15.75" thickBot="1" x14ac:dyDescent="0.3">
      <c r="AR180" t="s">
        <v>863</v>
      </c>
      <c r="AS180" s="506">
        <f>SUMIFS(AS2:AS177,G2:G177,"HDAA",E2:E177,"0290",AT2:AT177,1)</f>
        <v>105.45599999999999</v>
      </c>
      <c r="AT180" s="506">
        <f>SUMIFS(AS2:AS177,G2:G177,"HDAA",E2:E177,"0290",F2:F177,"",AT2:AT177,3)</f>
        <v>0</v>
      </c>
      <c r="AU180" s="506">
        <f>SUMIFS(AU2:AU177,G2:G177,"HDAA",E2:E177,"0290")</f>
        <v>106.43599999999998</v>
      </c>
      <c r="AV180" s="506">
        <f>SUMIFS(AV2:AV177,G2:G177,"HDAA",E2:E177,"0290")</f>
        <v>0</v>
      </c>
      <c r="AW180" s="506">
        <f>SUMIFS(AW2:AW177,G2:G177,"HDAA",E2:E177,"0290")</f>
        <v>122</v>
      </c>
      <c r="AX180" s="506">
        <f>SUMIFS(AX2:AX177,G2:G177,"HDAA",E2:E177,"0290")</f>
        <v>5506962.9000000004</v>
      </c>
      <c r="AY180" s="506">
        <f>SUMIFS(AY2:AY177,G2:G177,"HDAA",E2:E177,"0290")</f>
        <v>5450992.6099999994</v>
      </c>
      <c r="AZ180" s="506">
        <f>SUMIFS(AZ2:AZ177,G2:G177,"HDAA",E2:E177,"0290")</f>
        <v>0</v>
      </c>
      <c r="BA180" s="506">
        <f>SUMIFS(BA2:BA177,G2:G177,"HDAA",E2:E177,"0290")</f>
        <v>0</v>
      </c>
      <c r="BB180" s="506">
        <f>SUMIFS(BB2:BB177,G2:G177,"HDAA",E2:E177,"0290")</f>
        <v>1270083</v>
      </c>
      <c r="BC180" s="506">
        <f>SUMIFS(BC2:BC177,G2:G177,"HDAA",E2:E177,"0290")</f>
        <v>0</v>
      </c>
      <c r="BD180" s="506">
        <f>SUMIFS(BD2:BD177,G2:G177,"HDAA",E2:E177,"0290")</f>
        <v>337961.5418200001</v>
      </c>
      <c r="BE180" s="506">
        <f>SUMIFS(BE2:BE177,G2:G177,"HDAA",E2:E177,"0290")</f>
        <v>79039.392845000039</v>
      </c>
      <c r="BF180" s="506">
        <f>SUMIFS(BF2:BF177,G2:G177,"HDAA",E2:E177,"0290")</f>
        <v>650848.51763400016</v>
      </c>
      <c r="BG180" s="506">
        <f>SUMIFS(BG2:BG177,G2:G177,"HDAA",E2:E177,"0290")</f>
        <v>39301.656718100014</v>
      </c>
      <c r="BH180" s="506">
        <f>SUMIFS(BH2:BH177,G2:G177,"HDAA",E2:E177,"0290")</f>
        <v>26107.618509000022</v>
      </c>
      <c r="BI180" s="506">
        <f>SUMIFS(BI2:BI177,G2:G177,"HDAA",E2:E177,"0290")</f>
        <v>27864.22653945001</v>
      </c>
      <c r="BJ180" s="506">
        <f>SUMIFS(BJ2:BJ177,G2:G177,"HDAA",E2:E177,"0290")</f>
        <v>67047.209103000001</v>
      </c>
      <c r="BK180" s="506">
        <f>SUMIFS(BK2:BK177,G2:G177,"HDAA",E2:E177,"0290")</f>
        <v>0</v>
      </c>
      <c r="BL180" s="506">
        <f>SUMIFS(BL2:BL177,G2:G177,"HDAA",E2:E177,"0290")</f>
        <v>1228170.1631685498</v>
      </c>
      <c r="BM180" s="506">
        <f>SUMIFS(BM2:BM177,G2:G177,"HDAA",E2:E177,"0290")</f>
        <v>0</v>
      </c>
      <c r="BN180" s="506">
        <f>SUMIFS(BN2:BN177,G2:G177,"HDAA",E2:E177,"0290")</f>
        <v>1270083</v>
      </c>
      <c r="BO180" s="506">
        <f>SUMIFS(BO2:BO177,G2:G177,"HDAA",E2:E177,"0290")</f>
        <v>0</v>
      </c>
      <c r="BP180" s="506">
        <f>SUMIFS(BP2:BP177,G2:G177,"HDAA",E2:E177,"0290")</f>
        <v>337961.5418200001</v>
      </c>
      <c r="BQ180" s="506">
        <f>SUMIFS(BQ2:BQ177,G2:G177,"HDAA",E2:E177,"0290")</f>
        <v>79039.392845000039</v>
      </c>
      <c r="BR180" s="506">
        <f>SUMIFS(BR2:BR177,G2:G177,"HDAA",E2:E177,"0290")</f>
        <v>650848.51763400016</v>
      </c>
      <c r="BS180" s="506">
        <f>SUMIFS(BS2:BS177,G2:G177,"HDAA",E2:E177,"0290")</f>
        <v>39301.656718100014</v>
      </c>
      <c r="BT180" s="506">
        <f>SUMIFS(BT2:BT177,G2:G177,"HDAA",E2:E177,"0290")</f>
        <v>0</v>
      </c>
      <c r="BU180" s="506">
        <f>SUMIFS(BU2:BU177,G2:G177,"HDAA",E2:E177,"0290")</f>
        <v>27864.22653945001</v>
      </c>
      <c r="BV180" s="506">
        <f>SUMIFS(BV2:BV177,G2:G177,"HDAA",E2:E177,"0290")</f>
        <v>65411.911319999999</v>
      </c>
      <c r="BW180" s="506">
        <f>SUMIFS(BW2:BW177,G2:G177,"HDAA",E2:E177,"0290")</f>
        <v>0</v>
      </c>
      <c r="BX180" s="506">
        <f>SUMIFS(BX2:BX177,G2:G177,"HDAA",E2:E177,"0290")</f>
        <v>1200427.2468765504</v>
      </c>
      <c r="BY180" s="506">
        <f>SUMIFS(BY2:BY177,G2:G177,"HDAA",E2:E177,"0290")</f>
        <v>0</v>
      </c>
      <c r="BZ180" s="506">
        <f>SUMIFS(BZ2:BZ177,G2:G177,"HDAA",E2:E177,"0290")</f>
        <v>0</v>
      </c>
      <c r="CA180" s="506">
        <f>SUMIFS(CA2:CA177,G2:G177,"HDAA",E2:E177,"0290")</f>
        <v>0</v>
      </c>
      <c r="CB180" s="506">
        <f>SUMIFS(CB2:CB177,G2:G177,"HDAA",E2:E177,"0290")</f>
        <v>0</v>
      </c>
      <c r="CC180" s="506">
        <f>SUMIFS(CC2:CC177,G2:G177,"HDAA",E2:E177,"0290")</f>
        <v>0</v>
      </c>
      <c r="CD180" s="506">
        <f>SUMIFS(CD2:CD177,G2:G177,"HDAA",E2:E177,"0290")</f>
        <v>0</v>
      </c>
      <c r="CE180" s="506">
        <f>SUMIFS(CE2:CE177,G2:G177,"HDAA",E2:E177,"0290")</f>
        <v>0</v>
      </c>
      <c r="CF180" s="506">
        <f>SUMIFS(CF2:CF177,G2:G177,"HDAA",E2:E177,"0290")</f>
        <v>-26107.618509000022</v>
      </c>
      <c r="CG180" s="506">
        <f>SUMIFS(CG2:CG177,G2:G177,"HDAA",E2:E177,"0290")</f>
        <v>0</v>
      </c>
      <c r="CH180" s="506">
        <f>SUMIFS(CH2:CH177,G2:G177,"HDAA",E2:E177,"0290")</f>
        <v>-1635.2977829999998</v>
      </c>
      <c r="CI180" s="506">
        <f>SUMIFS(CI2:CI177,G2:G177,"HDAA",E2:E177,"0290")</f>
        <v>0</v>
      </c>
      <c r="CJ180" s="506">
        <f>SUMIFS(CJ2:CJ177,G2:G177,"HDAA",E2:E177,"0290")</f>
        <v>-27742.916292000002</v>
      </c>
      <c r="CK180" s="506">
        <f>SUMIFS(CK2:CK177,G2:G177,"HDAA",E2:E177,"0290")</f>
        <v>0</v>
      </c>
      <c r="CL180" s="506">
        <f>SUMIFS(CL2:CL177,G2:G177,"HDAA",E2:E177,"0290")</f>
        <v>879267.16999999993</v>
      </c>
      <c r="CM180" s="506">
        <f>SUMIFS(CM2:CM177,G2:G177,"HDAA",E2:E177,"0290")</f>
        <v>408139.31999999995</v>
      </c>
    </row>
    <row r="181" spans="1:92" ht="18.75" x14ac:dyDescent="0.3">
      <c r="AQ181" s="512" t="s">
        <v>863</v>
      </c>
      <c r="AS181" s="513">
        <f t="shared" ref="AS181:CM181" si="213">SUM(AS180:AS180)</f>
        <v>105.45599999999999</v>
      </c>
      <c r="AT181" s="513">
        <f t="shared" si="213"/>
        <v>0</v>
      </c>
      <c r="AU181" s="513">
        <f t="shared" si="213"/>
        <v>106.43599999999998</v>
      </c>
      <c r="AV181" s="513">
        <f t="shared" si="213"/>
        <v>0</v>
      </c>
      <c r="AW181" s="513">
        <f t="shared" si="213"/>
        <v>122</v>
      </c>
      <c r="AX181" s="513">
        <f t="shared" si="213"/>
        <v>5506962.9000000004</v>
      </c>
      <c r="AY181" s="513">
        <f t="shared" si="213"/>
        <v>5450992.6099999994</v>
      </c>
      <c r="AZ181" s="513">
        <f t="shared" si="213"/>
        <v>0</v>
      </c>
      <c r="BA181" s="513">
        <f t="shared" si="213"/>
        <v>0</v>
      </c>
      <c r="BB181" s="513">
        <f t="shared" si="213"/>
        <v>1270083</v>
      </c>
      <c r="BC181" s="513">
        <f t="shared" si="213"/>
        <v>0</v>
      </c>
      <c r="BD181" s="513">
        <f t="shared" si="213"/>
        <v>337961.5418200001</v>
      </c>
      <c r="BE181" s="513">
        <f t="shared" si="213"/>
        <v>79039.392845000039</v>
      </c>
      <c r="BF181" s="513">
        <f t="shared" si="213"/>
        <v>650848.51763400016</v>
      </c>
      <c r="BG181" s="513">
        <f t="shared" si="213"/>
        <v>39301.656718100014</v>
      </c>
      <c r="BH181" s="513">
        <f t="shared" si="213"/>
        <v>26107.618509000022</v>
      </c>
      <c r="BI181" s="513">
        <f t="shared" si="213"/>
        <v>27864.22653945001</v>
      </c>
      <c r="BJ181" s="513">
        <f t="shared" si="213"/>
        <v>67047.209103000001</v>
      </c>
      <c r="BK181" s="513">
        <f t="shared" si="213"/>
        <v>0</v>
      </c>
      <c r="BL181" s="513">
        <f t="shared" si="213"/>
        <v>1228170.1631685498</v>
      </c>
      <c r="BM181" s="513">
        <f t="shared" si="213"/>
        <v>0</v>
      </c>
      <c r="BN181" s="513">
        <f t="shared" si="213"/>
        <v>1270083</v>
      </c>
      <c r="BO181" s="513">
        <f t="shared" si="213"/>
        <v>0</v>
      </c>
      <c r="BP181" s="513">
        <f t="shared" si="213"/>
        <v>337961.5418200001</v>
      </c>
      <c r="BQ181" s="513">
        <f t="shared" si="213"/>
        <v>79039.392845000039</v>
      </c>
      <c r="BR181" s="513">
        <f t="shared" si="213"/>
        <v>650848.51763400016</v>
      </c>
      <c r="BS181" s="513">
        <f t="shared" si="213"/>
        <v>39301.656718100014</v>
      </c>
      <c r="BT181" s="513">
        <f t="shared" si="213"/>
        <v>0</v>
      </c>
      <c r="BU181" s="513">
        <f t="shared" si="213"/>
        <v>27864.22653945001</v>
      </c>
      <c r="BV181" s="513">
        <f t="shared" si="213"/>
        <v>65411.911319999999</v>
      </c>
      <c r="BW181" s="513">
        <f t="shared" si="213"/>
        <v>0</v>
      </c>
      <c r="BX181" s="513">
        <f t="shared" si="213"/>
        <v>1200427.2468765504</v>
      </c>
      <c r="BY181" s="513">
        <f t="shared" si="213"/>
        <v>0</v>
      </c>
      <c r="BZ181" s="513">
        <f t="shared" si="213"/>
        <v>0</v>
      </c>
      <c r="CA181" s="513">
        <f t="shared" si="213"/>
        <v>0</v>
      </c>
      <c r="CB181" s="513">
        <f t="shared" si="213"/>
        <v>0</v>
      </c>
      <c r="CC181" s="513">
        <f t="shared" si="213"/>
        <v>0</v>
      </c>
      <c r="CD181" s="513">
        <f t="shared" si="213"/>
        <v>0</v>
      </c>
      <c r="CE181" s="513">
        <f t="shared" si="213"/>
        <v>0</v>
      </c>
      <c r="CF181" s="513">
        <f t="shared" si="213"/>
        <v>-26107.618509000022</v>
      </c>
      <c r="CG181" s="513">
        <f t="shared" si="213"/>
        <v>0</v>
      </c>
      <c r="CH181" s="513">
        <f t="shared" si="213"/>
        <v>-1635.2977829999998</v>
      </c>
      <c r="CI181" s="513">
        <f t="shared" si="213"/>
        <v>0</v>
      </c>
      <c r="CJ181" s="513">
        <f t="shared" si="213"/>
        <v>-27742.916292000002</v>
      </c>
      <c r="CK181" s="513">
        <f t="shared" si="213"/>
        <v>0</v>
      </c>
      <c r="CL181" s="513">
        <f t="shared" si="213"/>
        <v>879267.16999999993</v>
      </c>
      <c r="CM181" s="513">
        <f t="shared" si="213"/>
        <v>408139.31999999995</v>
      </c>
    </row>
    <row r="182" spans="1:92" ht="15.75" thickBot="1" x14ac:dyDescent="0.3">
      <c r="AR182" t="s">
        <v>868</v>
      </c>
      <c r="AS182" s="506">
        <f>SUMIFS(AS2:AS177,G2:G177,"HDAA",E2:E177,"0499",AT2:AT177,1)</f>
        <v>0.98</v>
      </c>
      <c r="AT182" s="506">
        <f>SUMIFS(AS2:AS177,G2:G177,"HDAA",E2:E177,"0499",F2:F177,"",AT2:AT177,3)</f>
        <v>0</v>
      </c>
      <c r="AU182" s="506">
        <f>SUMIFS(AU2:AU177,G2:G177,"HDAA",E2:E177,"0499")</f>
        <v>5</v>
      </c>
      <c r="AV182" s="506">
        <f>SUMIFS(AV2:AV177,G2:G177,"HDAA",E2:E177,"0499")</f>
        <v>0</v>
      </c>
      <c r="AW182" s="506">
        <f>SUMIFS(AW2:AW177,G2:G177,"HDAA",E2:E177,"0499")</f>
        <v>22</v>
      </c>
      <c r="AX182" s="506">
        <f>SUMIFS(AX2:AX177,G2:G177,"HDAA",E2:E177,"0499")</f>
        <v>345779.11</v>
      </c>
      <c r="AY182" s="506">
        <f>SUMIFS(AY2:AY177,G2:G177,"HDAA",E2:E177,"0499")</f>
        <v>55970.289999999994</v>
      </c>
      <c r="AZ182" s="506">
        <f>SUMIFS(AZ2:AZ177,G2:G177,"HDAA",E2:E177,"0499")</f>
        <v>0</v>
      </c>
      <c r="BA182" s="506">
        <f>SUMIFS(BA2:BA177,G2:G177,"HDAA",E2:E177,"0499")</f>
        <v>0</v>
      </c>
      <c r="BB182" s="506">
        <f>SUMIFS(BB2:BB177,G2:G177,"HDAA",E2:E177,"0499")</f>
        <v>11417</v>
      </c>
      <c r="BC182" s="506">
        <f>SUMIFS(BC2:BC177,G2:G177,"HDAA",E2:E177,"0499")</f>
        <v>0</v>
      </c>
      <c r="BD182" s="506">
        <f>SUMIFS(BD2:BD177,G2:G177,"HDAA",E2:E177,"0499")</f>
        <v>3470.15798</v>
      </c>
      <c r="BE182" s="506">
        <f>SUMIFS(BE2:BE177,G2:G177,"HDAA",E2:E177,"0499")</f>
        <v>811.56920500000001</v>
      </c>
      <c r="BF182" s="506">
        <f>SUMIFS(BF2:BF177,G2:G177,"HDAA",E2:E177,"0499")</f>
        <v>6682.8526259999999</v>
      </c>
      <c r="BG182" s="506">
        <f>SUMIFS(BG2:BG177,G2:G177,"HDAA",E2:E177,"0499")</f>
        <v>403.54579090000004</v>
      </c>
      <c r="BH182" s="506">
        <f>SUMIFS(BH2:BH177,G2:G177,"HDAA",E2:E177,"0499")</f>
        <v>274.25442099999998</v>
      </c>
      <c r="BI182" s="506">
        <f>SUMIFS(BI2:BI177,G2:G177,"HDAA",E2:E177,"0499")</f>
        <v>291.91850145000001</v>
      </c>
      <c r="BJ182" s="506">
        <f>SUMIFS(BJ2:BJ177,G2:G177,"HDAA",E2:E177,"0499")</f>
        <v>688.43456700000002</v>
      </c>
      <c r="BK182" s="506">
        <f>SUMIFS(BK2:BK177,G2:G177,"HDAA",E2:E177,"0499")</f>
        <v>0</v>
      </c>
      <c r="BL182" s="506">
        <f>SUMIFS(BL2:BL177,G2:G177,"HDAA",E2:E177,"0499")</f>
        <v>12622.733091349999</v>
      </c>
      <c r="BM182" s="506">
        <f>SUMIFS(BM2:BM177,G2:G177,"HDAA",E2:E177,"0499")</f>
        <v>0</v>
      </c>
      <c r="BN182" s="506">
        <f>SUMIFS(BN2:BN177,G2:G177,"HDAA",E2:E177,"0499")</f>
        <v>11417</v>
      </c>
      <c r="BO182" s="506">
        <f>SUMIFS(BO2:BO177,G2:G177,"HDAA",E2:E177,"0499")</f>
        <v>0</v>
      </c>
      <c r="BP182" s="506">
        <f>SUMIFS(BP2:BP177,G2:G177,"HDAA",E2:E177,"0499")</f>
        <v>3470.15798</v>
      </c>
      <c r="BQ182" s="506">
        <f>SUMIFS(BQ2:BQ177,G2:G177,"HDAA",E2:E177,"0499")</f>
        <v>811.56920500000001</v>
      </c>
      <c r="BR182" s="506">
        <f>SUMIFS(BR2:BR177,G2:G177,"HDAA",E2:E177,"0499")</f>
        <v>6682.8526259999999</v>
      </c>
      <c r="BS182" s="506">
        <f>SUMIFS(BS2:BS177,G2:G177,"HDAA",E2:E177,"0499")</f>
        <v>403.54579090000004</v>
      </c>
      <c r="BT182" s="506">
        <f>SUMIFS(BT2:BT177,G2:G177,"HDAA",E2:E177,"0499")</f>
        <v>0</v>
      </c>
      <c r="BU182" s="506">
        <f>SUMIFS(BU2:BU177,G2:G177,"HDAA",E2:E177,"0499")</f>
        <v>291.91850145000001</v>
      </c>
      <c r="BV182" s="506">
        <f>SUMIFS(BV2:BV177,G2:G177,"HDAA",E2:E177,"0499")</f>
        <v>671.64347999999995</v>
      </c>
      <c r="BW182" s="506">
        <f>SUMIFS(BW2:BW177,G2:G177,"HDAA",E2:E177,"0499")</f>
        <v>0</v>
      </c>
      <c r="BX182" s="506">
        <f>SUMIFS(BX2:BX177,G2:G177,"HDAA",E2:E177,"0499")</f>
        <v>12331.68758335</v>
      </c>
      <c r="BY182" s="506">
        <f>SUMIFS(BY2:BY177,G2:G177,"HDAA",E2:E177,"0499")</f>
        <v>0</v>
      </c>
      <c r="BZ182" s="506">
        <f>SUMIFS(BZ2:BZ177,G2:G177,"HDAA",E2:E177,"0499")</f>
        <v>0</v>
      </c>
      <c r="CA182" s="506">
        <f>SUMIFS(CA2:CA177,G2:G177,"HDAA",E2:E177,"0499")</f>
        <v>0</v>
      </c>
      <c r="CB182" s="506">
        <f>SUMIFS(CB2:CB177,G2:G177,"HDAA",E2:E177,"0499")</f>
        <v>0</v>
      </c>
      <c r="CC182" s="506">
        <f>SUMIFS(CC2:CC177,G2:G177,"HDAA",E2:E177,"0499")</f>
        <v>0</v>
      </c>
      <c r="CD182" s="506">
        <f>SUMIFS(CD2:CD177,G2:G177,"HDAA",E2:E177,"0499")</f>
        <v>0</v>
      </c>
      <c r="CE182" s="506">
        <f>SUMIFS(CE2:CE177,G2:G177,"HDAA",E2:E177,"0499")</f>
        <v>0</v>
      </c>
      <c r="CF182" s="506">
        <f>SUMIFS(CF2:CF177,G2:G177,"HDAA",E2:E177,"0499")</f>
        <v>-274.25442099999998</v>
      </c>
      <c r="CG182" s="506">
        <f>SUMIFS(CG2:CG177,G2:G177,"HDAA",E2:E177,"0499")</f>
        <v>0</v>
      </c>
      <c r="CH182" s="506">
        <f>SUMIFS(CH2:CH177,G2:G177,"HDAA",E2:E177,"0499")</f>
        <v>-16.791086999999994</v>
      </c>
      <c r="CI182" s="506">
        <f>SUMIFS(CI2:CI177,G2:G177,"HDAA",E2:E177,"0499")</f>
        <v>0</v>
      </c>
      <c r="CJ182" s="506">
        <f>SUMIFS(CJ2:CJ177,G2:G177,"HDAA",E2:E177,"0499")</f>
        <v>-291.04550799999998</v>
      </c>
      <c r="CK182" s="506">
        <f>SUMIFS(CK2:CK177,G2:G177,"HDAA",E2:E177,"0499")</f>
        <v>0</v>
      </c>
      <c r="CL182" s="506">
        <f>SUMIFS(CL2:CL177,G2:G177,"HDAA",E2:E177,"0499")</f>
        <v>6.5</v>
      </c>
      <c r="CM182" s="506">
        <f>SUMIFS(CM2:CM177,G2:G177,"HDAA",E2:E177,"0499")</f>
        <v>0.56999999999999995</v>
      </c>
    </row>
    <row r="183" spans="1:92" ht="18.75" x14ac:dyDescent="0.3">
      <c r="AQ183" s="512" t="s">
        <v>868</v>
      </c>
      <c r="AS183" s="513">
        <f t="shared" ref="AS183:CM183" si="214">SUM(AS182:AS182)</f>
        <v>0.98</v>
      </c>
      <c r="AT183" s="513">
        <f t="shared" si="214"/>
        <v>0</v>
      </c>
      <c r="AU183" s="513">
        <f t="shared" si="214"/>
        <v>5</v>
      </c>
      <c r="AV183" s="513">
        <f t="shared" si="214"/>
        <v>0</v>
      </c>
      <c r="AW183" s="513">
        <f t="shared" si="214"/>
        <v>22</v>
      </c>
      <c r="AX183" s="513">
        <f t="shared" si="214"/>
        <v>345779.11</v>
      </c>
      <c r="AY183" s="513">
        <f t="shared" si="214"/>
        <v>55970.289999999994</v>
      </c>
      <c r="AZ183" s="513">
        <f t="shared" si="214"/>
        <v>0</v>
      </c>
      <c r="BA183" s="513">
        <f t="shared" si="214"/>
        <v>0</v>
      </c>
      <c r="BB183" s="513">
        <f t="shared" si="214"/>
        <v>11417</v>
      </c>
      <c r="BC183" s="513">
        <f t="shared" si="214"/>
        <v>0</v>
      </c>
      <c r="BD183" s="513">
        <f t="shared" si="214"/>
        <v>3470.15798</v>
      </c>
      <c r="BE183" s="513">
        <f t="shared" si="214"/>
        <v>811.56920500000001</v>
      </c>
      <c r="BF183" s="513">
        <f t="shared" si="214"/>
        <v>6682.8526259999999</v>
      </c>
      <c r="BG183" s="513">
        <f t="shared" si="214"/>
        <v>403.54579090000004</v>
      </c>
      <c r="BH183" s="513">
        <f t="shared" si="214"/>
        <v>274.25442099999998</v>
      </c>
      <c r="BI183" s="513">
        <f t="shared" si="214"/>
        <v>291.91850145000001</v>
      </c>
      <c r="BJ183" s="513">
        <f t="shared" si="214"/>
        <v>688.43456700000002</v>
      </c>
      <c r="BK183" s="513">
        <f t="shared" si="214"/>
        <v>0</v>
      </c>
      <c r="BL183" s="513">
        <f t="shared" si="214"/>
        <v>12622.733091349999</v>
      </c>
      <c r="BM183" s="513">
        <f t="shared" si="214"/>
        <v>0</v>
      </c>
      <c r="BN183" s="513">
        <f t="shared" si="214"/>
        <v>11417</v>
      </c>
      <c r="BO183" s="513">
        <f t="shared" si="214"/>
        <v>0</v>
      </c>
      <c r="BP183" s="513">
        <f t="shared" si="214"/>
        <v>3470.15798</v>
      </c>
      <c r="BQ183" s="513">
        <f t="shared" si="214"/>
        <v>811.56920500000001</v>
      </c>
      <c r="BR183" s="513">
        <f t="shared" si="214"/>
        <v>6682.8526259999999</v>
      </c>
      <c r="BS183" s="513">
        <f t="shared" si="214"/>
        <v>403.54579090000004</v>
      </c>
      <c r="BT183" s="513">
        <f t="shared" si="214"/>
        <v>0</v>
      </c>
      <c r="BU183" s="513">
        <f t="shared" si="214"/>
        <v>291.91850145000001</v>
      </c>
      <c r="BV183" s="513">
        <f t="shared" si="214"/>
        <v>671.64347999999995</v>
      </c>
      <c r="BW183" s="513">
        <f t="shared" si="214"/>
        <v>0</v>
      </c>
      <c r="BX183" s="513">
        <f t="shared" si="214"/>
        <v>12331.68758335</v>
      </c>
      <c r="BY183" s="513">
        <f t="shared" si="214"/>
        <v>0</v>
      </c>
      <c r="BZ183" s="513">
        <f t="shared" si="214"/>
        <v>0</v>
      </c>
      <c r="CA183" s="513">
        <f t="shared" si="214"/>
        <v>0</v>
      </c>
      <c r="CB183" s="513">
        <f t="shared" si="214"/>
        <v>0</v>
      </c>
      <c r="CC183" s="513">
        <f t="shared" si="214"/>
        <v>0</v>
      </c>
      <c r="CD183" s="513">
        <f t="shared" si="214"/>
        <v>0</v>
      </c>
      <c r="CE183" s="513">
        <f t="shared" si="214"/>
        <v>0</v>
      </c>
      <c r="CF183" s="513">
        <f t="shared" si="214"/>
        <v>-274.25442099999998</v>
      </c>
      <c r="CG183" s="513">
        <f t="shared" si="214"/>
        <v>0</v>
      </c>
      <c r="CH183" s="513">
        <f t="shared" si="214"/>
        <v>-16.791086999999994</v>
      </c>
      <c r="CI183" s="513">
        <f t="shared" si="214"/>
        <v>0</v>
      </c>
      <c r="CJ183" s="513">
        <f t="shared" si="214"/>
        <v>-291.04550799999998</v>
      </c>
      <c r="CK183" s="513">
        <f t="shared" si="214"/>
        <v>0</v>
      </c>
      <c r="CL183" s="513">
        <f t="shared" si="214"/>
        <v>6.5</v>
      </c>
      <c r="CM183" s="513">
        <f t="shared" si="214"/>
        <v>0.56999999999999995</v>
      </c>
    </row>
    <row r="185" spans="1:92" ht="21" x14ac:dyDescent="0.35">
      <c r="AO185" s="280" t="s">
        <v>120</v>
      </c>
      <c r="AP185" s="280"/>
      <c r="AQ185" s="280"/>
    </row>
    <row r="187" spans="1:92" ht="21" x14ac:dyDescent="0.35">
      <c r="AO187" s="281"/>
      <c r="AP187" s="281"/>
      <c r="AQ187" s="281"/>
    </row>
    <row r="188" spans="1:92" ht="15.75" x14ac:dyDescent="0.25">
      <c r="AS188" s="492" t="s">
        <v>106</v>
      </c>
      <c r="AT188" s="628" t="s">
        <v>875</v>
      </c>
      <c r="AU188" s="628"/>
      <c r="AV188" s="629" t="s">
        <v>873</v>
      </c>
      <c r="AW188" s="628" t="s">
        <v>876</v>
      </c>
      <c r="AX188" s="628"/>
      <c r="AY188" s="629" t="s">
        <v>874</v>
      </c>
      <c r="AZ188" s="628" t="s">
        <v>877</v>
      </c>
      <c r="BA188" s="628"/>
    </row>
    <row r="189" spans="1:92" ht="15.75" x14ac:dyDescent="0.25">
      <c r="AS189" s="20"/>
      <c r="AT189" s="492" t="s">
        <v>117</v>
      </c>
      <c r="AU189" s="491" t="s">
        <v>118</v>
      </c>
      <c r="AV189" s="630"/>
      <c r="AW189" s="492" t="s">
        <v>121</v>
      </c>
      <c r="AX189" s="491" t="s">
        <v>119</v>
      </c>
      <c r="AY189" s="630"/>
      <c r="AZ189" s="492" t="s">
        <v>121</v>
      </c>
      <c r="BA189" s="491" t="s">
        <v>119</v>
      </c>
    </row>
    <row r="190" spans="1:92" x14ac:dyDescent="0.25">
      <c r="AO190" s="511" t="s">
        <v>878</v>
      </c>
    </row>
    <row r="191" spans="1:92" x14ac:dyDescent="0.25">
      <c r="AQ191" t="s">
        <v>879</v>
      </c>
      <c r="AS191" s="506">
        <f>SUM(SUMIFS(AS2:AS177,CN2:CN177,AQ191,E2:E177,"0290",F2:F177,"00",AT2:AT177,{1,3}))</f>
        <v>105.45599999999999</v>
      </c>
      <c r="AT191" s="506">
        <f>SUMPRODUCT(--(CN2:CN177=AQ191),--(N2:N177&lt;&gt;"NG"),--(AG2:AG177&lt;&gt;"D"),--(AR2:AR177&lt;&gt;6),--(AR2:AR177&lt;&gt;36),--(AR2:AR177&lt;&gt;56),T2:T177)+SUMPRODUCT(--(CN2:CN177=AQ191),--(N2:N177&lt;&gt;"NG"),--(AG2:AG177&lt;&gt;"D"),--(AR2:AR177&lt;&gt;6),--(AR2:AR177&lt;&gt;36),--(AR2:AR177&lt;&gt;56),U2:U177)</f>
        <v>5669640.5399999972</v>
      </c>
      <c r="AU191" s="506">
        <f>SUMPRODUCT(--(CN2:CN177=AQ191),--(N2:N177&lt;&gt;"NG"),--(AG2:AG177&lt;&gt;"D"),--(AR2:AR177&lt;&gt;6),--(AR2:AR177&lt;&gt;36),--(AR2:AR177&lt;&gt;56),V2:V177)</f>
        <v>2546160.1400000011</v>
      </c>
      <c r="AV191" s="506">
        <f>SUMPRODUCT(--(CN2:CN177=AQ191),AY2:AY177)+SUMPRODUCT(--(CN2:CN177=AQ191),AZ2:AZ177)</f>
        <v>5450992.6099999994</v>
      </c>
      <c r="AW191" s="506">
        <f>SUMPRODUCT(--(CN2:CN177=AQ191),BB2:BB177)+SUMPRODUCT(--(CN2:CN177=AQ191),BC2:BC177)</f>
        <v>1270083</v>
      </c>
      <c r="AX191" s="506">
        <f>SUMPRODUCT(--(CN2:CN177=AQ191),BL2:BL177)+SUMPRODUCT(--(CN2:CN177=AQ191),BM2:BM177)</f>
        <v>1228170.1631685498</v>
      </c>
      <c r="AY191" s="506">
        <f>SUMPRODUCT(--(CN2:CN177=AQ191),AY2:AY177)+SUMPRODUCT(--(CN2:CN177=AQ191),AZ2:AZ177)+SUMPRODUCT(--(CN2:CN177=AQ191),BA2:BA177)</f>
        <v>5450992.6099999994</v>
      </c>
      <c r="AZ191" s="506">
        <f>SUMPRODUCT(--(CN2:CN177=AQ191),BN2:BN177)+SUMPRODUCT(--(CN2:CN177=AQ191),BO2:BO177)</f>
        <v>1270083</v>
      </c>
      <c r="BA191" s="506">
        <f>SUMPRODUCT(--(CN2:CN177=AQ191),BX2:BX177)+SUMPRODUCT(--(CN2:CN177=AQ191),BY2:BY177)</f>
        <v>1200427.2468765504</v>
      </c>
    </row>
    <row r="192" spans="1:92" x14ac:dyDescent="0.25">
      <c r="AP192" t="s">
        <v>880</v>
      </c>
      <c r="AS192" s="517">
        <f t="shared" ref="AS192:BA192" si="215">SUM(AS191:AS191)</f>
        <v>105.45599999999999</v>
      </c>
      <c r="AT192" s="517">
        <f t="shared" si="215"/>
        <v>5669640.5399999972</v>
      </c>
      <c r="AU192" s="517">
        <f t="shared" si="215"/>
        <v>2546160.1400000011</v>
      </c>
      <c r="AV192" s="517">
        <f t="shared" si="215"/>
        <v>5450992.6099999994</v>
      </c>
      <c r="AW192" s="517">
        <f t="shared" si="215"/>
        <v>1270083</v>
      </c>
      <c r="AX192" s="517">
        <f t="shared" si="215"/>
        <v>1228170.1631685498</v>
      </c>
      <c r="AY192" s="517">
        <f t="shared" si="215"/>
        <v>5450992.6099999994</v>
      </c>
      <c r="AZ192" s="517">
        <f t="shared" si="215"/>
        <v>1270083</v>
      </c>
      <c r="BA192" s="517">
        <f t="shared" si="215"/>
        <v>1200427.2468765504</v>
      </c>
    </row>
    <row r="193" spans="41:249" x14ac:dyDescent="0.25">
      <c r="AQ193" t="s">
        <v>881</v>
      </c>
      <c r="AS193" s="506">
        <f>SUM(SUMIFS(AS2:AS177,CN2:CN177,AQ193,E2:E177,"0499",F2:F177,"00",AT2:AT177,{1,3}))</f>
        <v>0.98</v>
      </c>
      <c r="AT193" s="506">
        <f>SUMPRODUCT(--(CN2:CN177=AQ193),--(N2:N177&lt;&gt;"NG"),--(AG2:AG177&lt;&gt;"D"),--(AR2:AR177&lt;&gt;6),--(AR2:AR177&lt;&gt;36),--(AR2:AR177&lt;&gt;56),T2:T177)+SUMPRODUCT(--(CN2:CN177=AQ193),--(N2:N177&lt;&gt;"NG"),--(AG2:AG177&lt;&gt;"D"),--(AR2:AR177&lt;&gt;6),--(AR2:AR177&lt;&gt;36),--(AR2:AR177&lt;&gt;56),U2:U177)</f>
        <v>36681.990000000005</v>
      </c>
      <c r="AU193" s="506">
        <f>SUMPRODUCT(--(CN2:CN177=AQ193),--(N2:N177&lt;&gt;"NG"),--(AG2:AG177&lt;&gt;"D"),--(AR2:AR177&lt;&gt;6),--(AR2:AR177&lt;&gt;36),--(AR2:AR177&lt;&gt;56),V2:V177)</f>
        <v>15348.510000000002</v>
      </c>
      <c r="AV193" s="506">
        <f>SUMPRODUCT(--(CN2:CN177=AQ193),AY2:AY177)+SUMPRODUCT(--(CN2:CN177=AQ193),AZ2:AZ177)</f>
        <v>55970.289999999994</v>
      </c>
      <c r="AW193" s="506">
        <f>SUMPRODUCT(--(CN2:CN177=AQ193),BB2:BB177)+SUMPRODUCT(--(CN2:CN177=AQ193),BC2:BC177)</f>
        <v>11417</v>
      </c>
      <c r="AX193" s="506">
        <f>SUMPRODUCT(--(CN2:CN177=AQ193),BL2:BL177)+SUMPRODUCT(--(CN2:CN177=AQ193),BM2:BM177)</f>
        <v>12622.733091349999</v>
      </c>
      <c r="AY193" s="506">
        <f>SUMPRODUCT(--(CN2:CN177=AQ193),AY2:AY177)+SUMPRODUCT(--(CN2:CN177=AQ193),AZ2:AZ177)+SUMPRODUCT(--(CN2:CN177=AQ193),BA2:BA177)</f>
        <v>55970.289999999994</v>
      </c>
      <c r="AZ193" s="506">
        <f>SUMPRODUCT(--(CN2:CN177=AQ193),BN2:BN177)+SUMPRODUCT(--(CN2:CN177=AQ193),BO2:BO177)</f>
        <v>11417</v>
      </c>
      <c r="BA193" s="506">
        <f>SUMPRODUCT(--(CN2:CN177=AQ193),BX2:BX177)+SUMPRODUCT(--(CN2:CN177=AQ193),BY2:BY177)</f>
        <v>12331.68758335</v>
      </c>
    </row>
    <row r="194" spans="41:249" x14ac:dyDescent="0.25">
      <c r="AP194" t="s">
        <v>882</v>
      </c>
      <c r="AS194" s="517">
        <f t="shared" ref="AS194:BA194" si="216">SUM(AS193:AS193)</f>
        <v>0.98</v>
      </c>
      <c r="AT194" s="517">
        <f t="shared" si="216"/>
        <v>36681.990000000005</v>
      </c>
      <c r="AU194" s="517">
        <f t="shared" si="216"/>
        <v>15348.510000000002</v>
      </c>
      <c r="AV194" s="517">
        <f t="shared" si="216"/>
        <v>55970.289999999994</v>
      </c>
      <c r="AW194" s="517">
        <f t="shared" si="216"/>
        <v>11417</v>
      </c>
      <c r="AX194" s="517">
        <f t="shared" si="216"/>
        <v>12622.733091349999</v>
      </c>
      <c r="AY194" s="517">
        <f t="shared" si="216"/>
        <v>55970.289999999994</v>
      </c>
      <c r="AZ194" s="517">
        <f t="shared" si="216"/>
        <v>11417</v>
      </c>
      <c r="BA194" s="517">
        <f t="shared" si="216"/>
        <v>12331.68758335</v>
      </c>
    </row>
    <row r="195" spans="41:249" x14ac:dyDescent="0.25">
      <c r="AS195" s="506"/>
      <c r="AT195" s="506"/>
      <c r="AU195" s="506"/>
      <c r="AV195" s="506"/>
      <c r="AW195" s="506"/>
      <c r="AX195" s="506"/>
      <c r="AY195" s="506"/>
      <c r="AZ195" s="506"/>
      <c r="BA195" s="506"/>
    </row>
    <row r="196" spans="41:249" x14ac:dyDescent="0.25">
      <c r="AO196" s="515" t="s">
        <v>883</v>
      </c>
      <c r="AS196" s="518">
        <f t="shared" ref="AS196:BA196" si="217">SUM(AS192,AS194)</f>
        <v>106.43599999999999</v>
      </c>
      <c r="AT196" s="518">
        <f t="shared" si="217"/>
        <v>5706322.5299999975</v>
      </c>
      <c r="AU196" s="518">
        <f t="shared" si="217"/>
        <v>2561508.6500000008</v>
      </c>
      <c r="AV196" s="518">
        <f t="shared" si="217"/>
        <v>5506962.8999999994</v>
      </c>
      <c r="AW196" s="518">
        <f t="shared" si="217"/>
        <v>1281500</v>
      </c>
      <c r="AX196" s="518">
        <f t="shared" si="217"/>
        <v>1240792.8962598997</v>
      </c>
      <c r="AY196" s="518">
        <f t="shared" si="217"/>
        <v>5506962.8999999994</v>
      </c>
      <c r="AZ196" s="518">
        <f t="shared" si="217"/>
        <v>1281500</v>
      </c>
      <c r="BA196" s="518">
        <f t="shared" si="217"/>
        <v>1212758.9344599005</v>
      </c>
    </row>
    <row r="197" spans="41:249" x14ac:dyDescent="0.25">
      <c r="AS197" s="506"/>
      <c r="AT197" s="506"/>
      <c r="AU197" s="506"/>
      <c r="AV197" s="506"/>
      <c r="AW197" s="506"/>
      <c r="AX197" s="506"/>
      <c r="AY197" s="506"/>
      <c r="AZ197" s="506"/>
      <c r="BA197" s="506"/>
    </row>
    <row r="198" spans="41:249" x14ac:dyDescent="0.25">
      <c r="AO198" s="511" t="s">
        <v>884</v>
      </c>
      <c r="AS198" s="506"/>
      <c r="AT198" s="506"/>
      <c r="AU198" s="506"/>
      <c r="AV198" s="506"/>
      <c r="AW198" s="506"/>
      <c r="AX198" s="506"/>
      <c r="AY198" s="506"/>
      <c r="AZ198" s="506"/>
      <c r="BA198" s="506"/>
    </row>
    <row r="199" spans="41:249" x14ac:dyDescent="0.25">
      <c r="AQ199" t="s">
        <v>879</v>
      </c>
      <c r="AS199" s="506"/>
      <c r="AT199" s="506">
        <f>SUMIF(CN2:CN177,AQ199,CL2:CL177)</f>
        <v>879267.16999999993</v>
      </c>
      <c r="AU199" s="506">
        <f>SUMIF(CN2:CN177,AQ199,CM2:CM177)</f>
        <v>408139.31999999995</v>
      </c>
      <c r="AV199" s="506">
        <f>SUMIF(CN2:CN177,AQ199,CL2:CL177)</f>
        <v>879267.16999999993</v>
      </c>
      <c r="AW199" s="506">
        <v>0</v>
      </c>
      <c r="AX199" s="506">
        <f>SUMIF(CN2:CN177,AQ199,CM2:CM177)</f>
        <v>408139.31999999995</v>
      </c>
      <c r="AY199" s="506">
        <f>SUMIF(CN2:CN177,AQ199,CL2:CL177)</f>
        <v>879267.16999999993</v>
      </c>
      <c r="AZ199" s="506">
        <v>0</v>
      </c>
      <c r="BA199" s="506">
        <f>SUMIF(CN2:CN177,AQ199,CM2:CM177)</f>
        <v>408139.31999999995</v>
      </c>
    </row>
    <row r="200" spans="41:249" x14ac:dyDescent="0.25">
      <c r="AP200" t="s">
        <v>880</v>
      </c>
      <c r="AS200" s="517"/>
      <c r="AT200" s="517">
        <f t="shared" ref="AT200:BA200" si="218">SUM(AT199:AT199)</f>
        <v>879267.16999999993</v>
      </c>
      <c r="AU200" s="517">
        <f t="shared" si="218"/>
        <v>408139.31999999995</v>
      </c>
      <c r="AV200" s="517">
        <f t="shared" si="218"/>
        <v>879267.16999999993</v>
      </c>
      <c r="AW200" s="517">
        <f t="shared" si="218"/>
        <v>0</v>
      </c>
      <c r="AX200" s="517">
        <f t="shared" si="218"/>
        <v>408139.31999999995</v>
      </c>
      <c r="AY200" s="517">
        <f t="shared" si="218"/>
        <v>879267.16999999993</v>
      </c>
      <c r="AZ200" s="517">
        <f t="shared" si="218"/>
        <v>0</v>
      </c>
      <c r="BA200" s="517">
        <f t="shared" si="218"/>
        <v>408139.31999999995</v>
      </c>
    </row>
    <row r="201" spans="41:249" x14ac:dyDescent="0.25">
      <c r="AQ201" t="s">
        <v>881</v>
      </c>
      <c r="AS201" s="506"/>
      <c r="AT201" s="506">
        <f>SUMIF(CN2:CN177,AQ201,CL2:CL177)</f>
        <v>6.5</v>
      </c>
      <c r="AU201" s="506">
        <f>SUMIF(CN2:CN177,AQ201,CM2:CM177)</f>
        <v>0.56999999999999995</v>
      </c>
      <c r="AV201" s="506">
        <f>SUMIF(CN2:CN177,AQ201,CL2:CL177)</f>
        <v>6.5</v>
      </c>
      <c r="AW201" s="506">
        <v>0</v>
      </c>
      <c r="AX201" s="506">
        <f>SUMIF(CN2:CN177,AQ201,CM2:CM177)</f>
        <v>0.56999999999999995</v>
      </c>
      <c r="AY201" s="506">
        <f>SUMIF(CN2:CN177,AQ201,CL2:CL177)</f>
        <v>6.5</v>
      </c>
      <c r="AZ201" s="506">
        <v>0</v>
      </c>
      <c r="BA201" s="506">
        <f>SUMIF(CN2:CN177,AQ201,CM2:CM177)</f>
        <v>0.56999999999999995</v>
      </c>
    </row>
    <row r="202" spans="41:249" x14ac:dyDescent="0.25">
      <c r="AP202" t="s">
        <v>882</v>
      </c>
      <c r="AS202" s="517"/>
      <c r="AT202" s="517">
        <f t="shared" ref="AT202:BA202" si="219">SUM(AT201:AT201)</f>
        <v>6.5</v>
      </c>
      <c r="AU202" s="517">
        <f t="shared" si="219"/>
        <v>0.56999999999999995</v>
      </c>
      <c r="AV202" s="517">
        <f t="shared" si="219"/>
        <v>6.5</v>
      </c>
      <c r="AW202" s="517">
        <f t="shared" si="219"/>
        <v>0</v>
      </c>
      <c r="AX202" s="517">
        <f t="shared" si="219"/>
        <v>0.56999999999999995</v>
      </c>
      <c r="AY202" s="517">
        <f t="shared" si="219"/>
        <v>6.5</v>
      </c>
      <c r="AZ202" s="517">
        <f t="shared" si="219"/>
        <v>0</v>
      </c>
      <c r="BA202" s="517">
        <f t="shared" si="219"/>
        <v>0.56999999999999995</v>
      </c>
    </row>
    <row r="203" spans="41:249" x14ac:dyDescent="0.25">
      <c r="AS203" s="506"/>
      <c r="AT203" s="506"/>
      <c r="AU203" s="506"/>
      <c r="AV203" s="506"/>
      <c r="AW203" s="506"/>
      <c r="AX203" s="506"/>
      <c r="AY203" s="506"/>
      <c r="AZ203" s="506"/>
      <c r="BA203" s="506"/>
    </row>
    <row r="204" spans="41:249" x14ac:dyDescent="0.25">
      <c r="AO204" s="515" t="s">
        <v>885</v>
      </c>
      <c r="AS204" s="518">
        <f t="shared" ref="AS204:BA204" si="220">SUM(AS200,AS202)</f>
        <v>0</v>
      </c>
      <c r="AT204" s="518">
        <f t="shared" si="220"/>
        <v>879273.66999999993</v>
      </c>
      <c r="AU204" s="518">
        <f t="shared" si="220"/>
        <v>408139.88999999996</v>
      </c>
      <c r="AV204" s="518">
        <f t="shared" si="220"/>
        <v>879273.66999999993</v>
      </c>
      <c r="AW204" s="518">
        <f t="shared" si="220"/>
        <v>0</v>
      </c>
      <c r="AX204" s="518">
        <f t="shared" si="220"/>
        <v>408139.88999999996</v>
      </c>
      <c r="AY204" s="518">
        <f t="shared" si="220"/>
        <v>879273.66999999993</v>
      </c>
      <c r="AZ204" s="518">
        <f t="shared" si="220"/>
        <v>0</v>
      </c>
      <c r="BA204" s="518">
        <f t="shared" si="220"/>
        <v>408139.88999999996</v>
      </c>
      <c r="IG204" s="511"/>
      <c r="IO204" s="511"/>
    </row>
    <row r="205" spans="41:249" x14ac:dyDescent="0.25">
      <c r="AS205" s="506"/>
      <c r="AT205" s="506"/>
      <c r="AU205" s="506"/>
      <c r="AV205" s="506"/>
      <c r="AW205" s="506"/>
      <c r="AX205" s="506"/>
      <c r="AY205" s="506"/>
      <c r="AZ205" s="506"/>
      <c r="BA205" s="506"/>
    </row>
    <row r="206" spans="41:249" x14ac:dyDescent="0.25">
      <c r="AO206" s="516" t="s">
        <v>886</v>
      </c>
      <c r="AS206" s="519">
        <f t="shared" ref="AS206:BA206" si="221">SUM(AS196,AS204)</f>
        <v>106.43599999999999</v>
      </c>
      <c r="AT206" s="520">
        <f t="shared" si="221"/>
        <v>6585596.1999999974</v>
      </c>
      <c r="AU206" s="520">
        <f t="shared" si="221"/>
        <v>2969648.540000001</v>
      </c>
      <c r="AV206" s="520">
        <f t="shared" si="221"/>
        <v>6386236.5699999994</v>
      </c>
      <c r="AW206" s="520">
        <f t="shared" si="221"/>
        <v>1281500</v>
      </c>
      <c r="AX206" s="520">
        <f t="shared" si="221"/>
        <v>1648932.7862598996</v>
      </c>
      <c r="AY206" s="520">
        <f t="shared" si="221"/>
        <v>6386236.5699999994</v>
      </c>
      <c r="AZ206" s="520">
        <f t="shared" si="221"/>
        <v>1281500</v>
      </c>
      <c r="BA206" s="520">
        <f t="shared" si="221"/>
        <v>1620898.8244599004</v>
      </c>
    </row>
  </sheetData>
  <mergeCells count="5">
    <mergeCell ref="AT188:AU188"/>
    <mergeCell ref="AV188:AV189"/>
    <mergeCell ref="AW188:AX188"/>
    <mergeCell ref="AY188:AY189"/>
    <mergeCell ref="AZ188:BA188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I16" sqref="I16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7" width="11.5703125" style="1" bestFit="1" customWidth="1"/>
    <col min="8" max="9" width="9.140625" style="1"/>
    <col min="10" max="10" width="11.28515625" style="1" bestFit="1" customWidth="1"/>
    <col min="11" max="16384" width="9.140625" style="1"/>
  </cols>
  <sheetData>
    <row r="1" spans="1:15" x14ac:dyDescent="0.3">
      <c r="A1" s="631"/>
      <c r="B1" s="631"/>
      <c r="C1" s="631"/>
      <c r="D1" s="631"/>
      <c r="E1" s="631"/>
    </row>
    <row r="2" spans="1:15" ht="26.2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44"/>
      <c r="C4" s="245">
        <f>D4-1</f>
        <v>2022</v>
      </c>
      <c r="D4" s="246">
        <f>FiscalYear</f>
        <v>2023</v>
      </c>
      <c r="E4" s="247" t="str">
        <f>"DIFFERENCE "&amp;D4&amp;" - "&amp;C4</f>
        <v>DIFFERENCE 2023 - 2022</v>
      </c>
      <c r="F4" s="278" t="str">
        <f>"MAX "&amp;C4</f>
        <v>MAX 2022</v>
      </c>
      <c r="G4" s="279" t="str">
        <f>"MAX "&amp;D4</f>
        <v>MAX 2023</v>
      </c>
    </row>
    <row r="5" spans="1:15" x14ac:dyDescent="0.3">
      <c r="A5" s="3"/>
      <c r="B5" s="180" t="s">
        <v>2</v>
      </c>
      <c r="C5" s="248">
        <v>6.2E-2</v>
      </c>
      <c r="D5" s="248">
        <v>6.2E-2</v>
      </c>
      <c r="E5" s="371">
        <f>D5-C5</f>
        <v>0</v>
      </c>
      <c r="F5" s="277">
        <v>137700</v>
      </c>
      <c r="G5" s="277">
        <v>142800</v>
      </c>
    </row>
    <row r="6" spans="1:15" x14ac:dyDescent="0.3">
      <c r="A6" s="3"/>
      <c r="B6" s="180" t="s">
        <v>3</v>
      </c>
      <c r="C6" s="248">
        <v>1.4500000000000001E-2</v>
      </c>
      <c r="D6" s="248">
        <v>1.4500000000000001E-2</v>
      </c>
      <c r="E6" s="371">
        <f t="shared" ref="E6:E15" si="0">D6-C6</f>
        <v>0</v>
      </c>
    </row>
    <row r="7" spans="1:15" x14ac:dyDescent="0.3">
      <c r="A7" s="3"/>
      <c r="B7" s="180" t="s">
        <v>4</v>
      </c>
      <c r="C7" s="248">
        <v>4.8999999999999998E-3</v>
      </c>
      <c r="D7" s="248">
        <v>0</v>
      </c>
      <c r="E7" s="371">
        <f t="shared" si="0"/>
        <v>-4.8999999999999998E-3</v>
      </c>
    </row>
    <row r="8" spans="1:15" x14ac:dyDescent="0.3">
      <c r="A8" s="3"/>
      <c r="B8" s="180" t="s">
        <v>5</v>
      </c>
      <c r="C8" s="249">
        <v>1.23E-2</v>
      </c>
      <c r="D8" s="250">
        <v>1.2E-2</v>
      </c>
      <c r="E8" s="372">
        <f t="shared" si="0"/>
        <v>-2.9999999999999992E-4</v>
      </c>
    </row>
    <row r="9" spans="1:15" x14ac:dyDescent="0.3">
      <c r="A9" s="3"/>
      <c r="B9" s="180" t="s">
        <v>6</v>
      </c>
      <c r="C9" s="248">
        <v>7.2100000000000003E-3</v>
      </c>
      <c r="D9" s="248">
        <v>7.2100000000000003E-3</v>
      </c>
      <c r="E9" s="371">
        <f t="shared" si="0"/>
        <v>0</v>
      </c>
    </row>
    <row r="10" spans="1:15" x14ac:dyDescent="0.3">
      <c r="A10" s="3"/>
      <c r="B10" s="180" t="s">
        <v>7</v>
      </c>
      <c r="C10" s="248">
        <v>0</v>
      </c>
      <c r="D10" s="248">
        <v>0</v>
      </c>
      <c r="E10" s="371">
        <f t="shared" si="0"/>
        <v>0</v>
      </c>
    </row>
    <row r="11" spans="1:15" x14ac:dyDescent="0.3">
      <c r="A11" s="3"/>
      <c r="B11" s="180" t="s">
        <v>8</v>
      </c>
      <c r="C11" s="473">
        <v>5.535E-3</v>
      </c>
      <c r="D11" s="473">
        <v>5.535E-3</v>
      </c>
      <c r="E11" s="371">
        <f t="shared" si="0"/>
        <v>0</v>
      </c>
    </row>
    <row r="12" spans="1:15" x14ac:dyDescent="0.3">
      <c r="A12" s="3"/>
      <c r="B12" s="251" t="s">
        <v>11</v>
      </c>
      <c r="C12" s="250">
        <f>SUM(C5:C11)</f>
        <v>0.106445</v>
      </c>
      <c r="D12" s="250">
        <f>SUM(D5:D11)</f>
        <v>0.10124499999999999</v>
      </c>
      <c r="E12" s="373">
        <f>D12-C12</f>
        <v>-5.2000000000000102E-3</v>
      </c>
    </row>
    <row r="13" spans="1:15" x14ac:dyDescent="0.3">
      <c r="A13" s="3"/>
      <c r="B13" s="252" t="s">
        <v>9</v>
      </c>
      <c r="C13" s="248">
        <f>SUM(C5:C8)</f>
        <v>9.3700000000000006E-2</v>
      </c>
      <c r="D13" s="248">
        <f>SUM(D5:D8)</f>
        <v>8.8499999999999995E-2</v>
      </c>
      <c r="E13" s="371">
        <f t="shared" si="0"/>
        <v>-5.2000000000000102E-3</v>
      </c>
      <c r="F13" s="5"/>
    </row>
    <row r="14" spans="1:15" x14ac:dyDescent="0.3">
      <c r="A14" s="253"/>
      <c r="B14" s="254" t="s">
        <v>125</v>
      </c>
      <c r="C14" s="248">
        <f>SUM(C5:C6,C8:C9)</f>
        <v>9.6009999999999998E-2</v>
      </c>
      <c r="D14" s="248">
        <f>SUM(D5:D6,D8:D9)</f>
        <v>9.570999999999999E-2</v>
      </c>
      <c r="E14" s="371">
        <f>D14-C14</f>
        <v>-3.0000000000000859E-4</v>
      </c>
    </row>
    <row r="15" spans="1:15" x14ac:dyDescent="0.3">
      <c r="A15" s="3"/>
      <c r="B15" s="252" t="s">
        <v>12</v>
      </c>
      <c r="C15" s="255">
        <v>11650</v>
      </c>
      <c r="D15" s="255">
        <v>11650</v>
      </c>
      <c r="E15" s="374">
        <f t="shared" si="0"/>
        <v>0</v>
      </c>
      <c r="L15" s="5"/>
      <c r="O15" s="6"/>
    </row>
    <row r="16" spans="1:15" x14ac:dyDescent="0.3">
      <c r="A16" s="3"/>
      <c r="B16" s="252" t="s">
        <v>90</v>
      </c>
      <c r="C16" s="256">
        <v>9320</v>
      </c>
      <c r="D16" s="256">
        <v>9320</v>
      </c>
      <c r="E16" s="375">
        <f>PTHealthBY-PTHealth</f>
        <v>0</v>
      </c>
      <c r="L16" s="5"/>
      <c r="O16" s="6"/>
    </row>
    <row r="17" spans="1:5" x14ac:dyDescent="0.3">
      <c r="B17" s="180"/>
    </row>
    <row r="18" spans="1:5" ht="11.25" customHeight="1" x14ac:dyDescent="0.3"/>
    <row r="19" spans="1:5" ht="39" x14ac:dyDescent="0.3">
      <c r="B19" s="7" t="s">
        <v>91</v>
      </c>
      <c r="C19" s="257">
        <f>C4</f>
        <v>2022</v>
      </c>
      <c r="D19" s="257">
        <f>BudgetYear</f>
        <v>2023</v>
      </c>
      <c r="E19" s="8" t="str">
        <f>E4</f>
        <v>DIFFERENCE 2023 - 2022</v>
      </c>
    </row>
    <row r="20" spans="1:5" x14ac:dyDescent="0.3">
      <c r="A20" s="1" t="s">
        <v>92</v>
      </c>
      <c r="B20" s="258" t="s">
        <v>93</v>
      </c>
      <c r="C20" s="480">
        <v>0.11940000000000001</v>
      </c>
      <c r="D20" s="480">
        <v>0.11940000000000001</v>
      </c>
      <c r="E20" s="481">
        <f>D20-C20</f>
        <v>0</v>
      </c>
    </row>
    <row r="21" spans="1:5" x14ac:dyDescent="0.3">
      <c r="A21" s="1" t="s">
        <v>94</v>
      </c>
      <c r="B21" s="1" t="s">
        <v>95</v>
      </c>
      <c r="C21" s="480">
        <v>0.12280000000000001</v>
      </c>
      <c r="D21" s="480">
        <v>0.12280000000000001</v>
      </c>
      <c r="E21" s="481">
        <f t="shared" ref="E21" si="1">D21-C21</f>
        <v>0</v>
      </c>
    </row>
    <row r="22" spans="1:5" x14ac:dyDescent="0.3">
      <c r="A22" s="1" t="s">
        <v>96</v>
      </c>
      <c r="B22" s="1" t="s">
        <v>97</v>
      </c>
      <c r="C22" s="480">
        <v>0.11940000000000001</v>
      </c>
      <c r="D22" s="480">
        <v>0.11940000000000001</v>
      </c>
      <c r="E22" s="481">
        <f>D22-C22</f>
        <v>0</v>
      </c>
    </row>
    <row r="23" spans="1:5" hidden="1" x14ac:dyDescent="0.3">
      <c r="A23" s="1" t="s">
        <v>98</v>
      </c>
      <c r="B23" s="1" t="s">
        <v>99</v>
      </c>
      <c r="C23" s="480">
        <v>0</v>
      </c>
      <c r="D23" s="480">
        <v>0</v>
      </c>
      <c r="E23" s="481">
        <v>0</v>
      </c>
    </row>
    <row r="24" spans="1:5" x14ac:dyDescent="0.3">
      <c r="A24" s="1" t="s">
        <v>100</v>
      </c>
      <c r="B24" s="1" t="s">
        <v>101</v>
      </c>
      <c r="C24" s="480">
        <v>0.62529999999999997</v>
      </c>
      <c r="D24" s="480">
        <v>0.62529999999999997</v>
      </c>
      <c r="E24" s="481">
        <f>D24-C24</f>
        <v>0</v>
      </c>
    </row>
    <row r="25" spans="1:5" x14ac:dyDescent="0.3">
      <c r="A25" s="1" t="s">
        <v>102</v>
      </c>
      <c r="B25" s="1" t="s">
        <v>103</v>
      </c>
      <c r="C25" s="480">
        <v>0.1084</v>
      </c>
      <c r="D25" s="480">
        <v>0.1084</v>
      </c>
      <c r="E25" s="481">
        <f>D25-C25</f>
        <v>0</v>
      </c>
    </row>
    <row r="26" spans="1:5" x14ac:dyDescent="0.3">
      <c r="A26" s="1" t="s">
        <v>104</v>
      </c>
      <c r="B26" s="1" t="s">
        <v>103</v>
      </c>
      <c r="C26" s="480">
        <v>0.1084</v>
      </c>
      <c r="D26" s="480">
        <v>0.1084</v>
      </c>
      <c r="E26" s="481">
        <f>D26-C26</f>
        <v>0</v>
      </c>
    </row>
    <row r="28" spans="1:5" x14ac:dyDescent="0.3">
      <c r="A28" s="632" t="s">
        <v>135</v>
      </c>
      <c r="B28" s="632"/>
      <c r="C28" s="632"/>
      <c r="D28" s="632"/>
      <c r="E28" s="632"/>
    </row>
    <row r="29" spans="1:5" x14ac:dyDescent="0.3">
      <c r="A29" s="632" t="s">
        <v>134</v>
      </c>
      <c r="B29" s="632"/>
      <c r="C29" s="632"/>
      <c r="D29" s="632"/>
      <c r="E29" s="632"/>
    </row>
    <row r="30" spans="1:5" ht="15" customHeight="1" x14ac:dyDescent="0.3">
      <c r="A30" s="276"/>
      <c r="B30" s="276"/>
      <c r="C30" s="276"/>
      <c r="D30" s="276"/>
      <c r="E30" s="276"/>
    </row>
    <row r="31" spans="1:5" x14ac:dyDescent="0.3">
      <c r="A31" s="376" t="s">
        <v>111</v>
      </c>
      <c r="B31" s="376"/>
      <c r="C31" s="276"/>
      <c r="D31" s="276"/>
      <c r="E31" s="276"/>
    </row>
    <row r="32" spans="1:5" x14ac:dyDescent="0.3">
      <c r="A32" s="376"/>
      <c r="B32" s="376" t="s">
        <v>112</v>
      </c>
      <c r="C32" s="276"/>
      <c r="D32" s="276"/>
      <c r="E32" s="276"/>
    </row>
    <row r="33" spans="1:5" x14ac:dyDescent="0.3">
      <c r="A33" s="376"/>
      <c r="B33" s="376" t="s">
        <v>113</v>
      </c>
      <c r="C33" s="276"/>
      <c r="D33" s="276"/>
      <c r="E33" s="276"/>
    </row>
    <row r="34" spans="1:5" x14ac:dyDescent="0.3">
      <c r="A34" s="376"/>
      <c r="B34" s="376" t="s">
        <v>114</v>
      </c>
      <c r="C34" s="276"/>
      <c r="D34" s="276"/>
      <c r="E34" s="276"/>
    </row>
    <row r="35" spans="1:5" x14ac:dyDescent="0.3">
      <c r="A35" s="376"/>
      <c r="B35" s="376" t="s">
        <v>115</v>
      </c>
      <c r="C35" s="276"/>
      <c r="D35" s="276"/>
      <c r="E35" s="276"/>
    </row>
    <row r="36" spans="1:5" x14ac:dyDescent="0.3">
      <c r="A36" s="376"/>
      <c r="B36" s="376" t="s">
        <v>116</v>
      </c>
      <c r="C36" s="276"/>
      <c r="D36" s="276"/>
      <c r="E36" s="276"/>
    </row>
    <row r="38" spans="1:5" x14ac:dyDescent="0.3">
      <c r="B38" s="384" t="s">
        <v>126</v>
      </c>
      <c r="C38" s="385">
        <v>0.01</v>
      </c>
    </row>
    <row r="39" spans="1:5" x14ac:dyDescent="0.3">
      <c r="B39" s="386" t="s">
        <v>127</v>
      </c>
      <c r="C39" s="450">
        <v>0.01</v>
      </c>
    </row>
    <row r="40" spans="1:5" x14ac:dyDescent="0.3">
      <c r="B40" s="451" t="s">
        <v>133</v>
      </c>
      <c r="C40" s="452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124"/>
  <sheetViews>
    <sheetView showGridLines="0" zoomScaleNormal="100" workbookViewId="0">
      <pane ySplit="6" topLeftCell="A55" activePane="bottomLeft" state="frozen"/>
      <selection pane="bottomLeft" sqref="A1:XFD1048576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14" customWidth="1"/>
    <col min="11" max="11" width="13.7109375" style="305" hidden="1" customWidth="1"/>
    <col min="12" max="12" width="18.42578125" style="14" customWidth="1"/>
    <col min="13" max="13" width="17" style="14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/>
      <c r="E1" s="177"/>
      <c r="F1" s="177"/>
      <c r="G1" s="177"/>
      <c r="H1" s="177"/>
      <c r="I1" s="177"/>
      <c r="J1" s="177"/>
      <c r="K1" s="295"/>
      <c r="L1" s="176" t="s">
        <v>76</v>
      </c>
      <c r="M1" s="620"/>
      <c r="N1" s="621"/>
      <c r="AA1" s="419"/>
      <c r="AB1" s="420"/>
      <c r="AC1" s="420"/>
      <c r="AD1" s="421"/>
    </row>
    <row r="2" spans="1:94" ht="20.25" x14ac:dyDescent="0.25">
      <c r="A2" s="164" t="s">
        <v>142</v>
      </c>
      <c r="B2" s="163"/>
      <c r="C2" s="163"/>
      <c r="D2" s="175"/>
      <c r="E2" s="174"/>
      <c r="F2" s="174"/>
      <c r="G2" s="174"/>
      <c r="H2" s="174"/>
      <c r="I2" s="174"/>
      <c r="J2" s="163"/>
      <c r="K2" s="296"/>
      <c r="L2" s="474" t="s">
        <v>139</v>
      </c>
      <c r="M2" s="622"/>
      <c r="N2" s="623"/>
      <c r="AA2" s="420"/>
      <c r="AB2" s="420"/>
      <c r="AC2" s="420"/>
      <c r="AD2" s="421"/>
    </row>
    <row r="3" spans="1:94" x14ac:dyDescent="0.25">
      <c r="A3" s="164" t="s">
        <v>143</v>
      </c>
      <c r="B3" s="163"/>
      <c r="C3" s="163"/>
      <c r="D3" s="173"/>
      <c r="E3" s="172"/>
      <c r="F3" s="159"/>
      <c r="G3" s="159"/>
      <c r="H3" s="159"/>
      <c r="I3" s="171"/>
      <c r="J3" s="163"/>
      <c r="K3" s="296"/>
      <c r="L3" s="474" t="s">
        <v>140</v>
      </c>
      <c r="M3" s="620"/>
      <c r="N3" s="621"/>
      <c r="AA3" s="419"/>
      <c r="AB3" s="420"/>
      <c r="AC3" s="420"/>
      <c r="AD3" s="421"/>
    </row>
    <row r="4" spans="1:94" x14ac:dyDescent="0.25">
      <c r="A4" s="164"/>
      <c r="B4" s="163"/>
      <c r="C4" s="163"/>
      <c r="D4" s="169"/>
      <c r="E4" s="172"/>
      <c r="F4" s="159"/>
      <c r="G4" s="159"/>
      <c r="H4" s="159"/>
      <c r="I4" s="157"/>
      <c r="J4" s="171"/>
      <c r="K4" s="297"/>
      <c r="L4" s="170" t="s">
        <v>75</v>
      </c>
      <c r="M4" s="620">
        <v>2023</v>
      </c>
      <c r="N4" s="621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163"/>
      <c r="C5" s="163"/>
      <c r="D5" s="482">
        <v>44440</v>
      </c>
      <c r="E5" s="169"/>
      <c r="F5" s="168"/>
      <c r="G5" s="167"/>
      <c r="H5" s="167" t="s">
        <v>73</v>
      </c>
      <c r="I5" s="622"/>
      <c r="J5" s="624"/>
      <c r="K5" s="624"/>
      <c r="L5" s="625"/>
      <c r="M5" s="475" t="s">
        <v>141</v>
      </c>
      <c r="N5" s="476"/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163" t="s">
        <v>72</v>
      </c>
      <c r="C6" s="163"/>
      <c r="D6" s="162"/>
      <c r="E6" s="161" t="s">
        <v>71</v>
      </c>
      <c r="F6" s="160"/>
      <c r="G6" s="159"/>
      <c r="H6" s="159"/>
      <c r="I6" s="158"/>
      <c r="J6" s="167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12"/>
      <c r="K7" s="299"/>
      <c r="L7" s="12"/>
      <c r="M7" s="12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6" t="s">
        <v>68</v>
      </c>
      <c r="D8" s="627"/>
      <c r="E8" s="146" t="s">
        <v>67</v>
      </c>
      <c r="F8" s="145" t="s">
        <v>33</v>
      </c>
      <c r="G8" s="300" t="str">
        <f>"FY "&amp;[0]!FiscalYear-1&amp;" SALARY"</f>
        <v>FY 2022 SALARY</v>
      </c>
      <c r="H8" s="144" t="str">
        <f>"FY "&amp;[0]!FiscalYear-1&amp;" HEALTH BENEFITS"</f>
        <v>FY 2022 HEALTH BENEFITS</v>
      </c>
      <c r="I8" s="144" t="str">
        <f>"FY "&amp;[0]!FiscalYear-1&amp;" VAR BENEFITS"</f>
        <v>FY 2022 VAR BENEFITS</v>
      </c>
      <c r="J8" s="144" t="str">
        <f>"FY "&amp;[0]!FiscalYear-1&amp;" TOTAL"</f>
        <v>FY 2022 TOTAL</v>
      </c>
      <c r="K8" s="300" t="str">
        <f>"FY "&amp;FiscalYear&amp;" SALARY CHG"</f>
        <v>FY 2023 SALARY CHG</v>
      </c>
      <c r="L8" s="300" t="str">
        <f>"FY "&amp;[0]!FiscalYear&amp;" CHG HEALTH BENEFITS"</f>
        <v>FY 2023 CHG HEALTH BENEFITS</v>
      </c>
      <c r="M8" s="300" t="str">
        <f>"FY "&amp;[0]!FiscalYear&amp;"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6" t="s">
        <v>129</v>
      </c>
      <c r="AB8" s="616"/>
      <c r="AC8" s="616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7" t="s">
        <v>65</v>
      </c>
      <c r="D9" s="618"/>
      <c r="E9" s="215"/>
      <c r="F9" s="216"/>
      <c r="G9" s="217"/>
      <c r="H9" s="217"/>
      <c r="I9" s="217"/>
      <c r="J9" s="218"/>
      <c r="K9" s="306"/>
      <c r="L9" s="219"/>
      <c r="M9" s="220"/>
      <c r="N9" s="306"/>
      <c r="Y9" s="457"/>
      <c r="Z9" s="457"/>
      <c r="AA9" s="433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609" t="s">
        <v>64</v>
      </c>
      <c r="D10" s="619"/>
      <c r="E10" s="194">
        <v>1</v>
      </c>
      <c r="F10" s="188">
        <v>0</v>
      </c>
      <c r="G10" s="212">
        <v>0</v>
      </c>
      <c r="H10" s="212">
        <v>0</v>
      </c>
      <c r="I10" s="212">
        <v>0</v>
      </c>
      <c r="J10" s="190">
        <f>SUM(G10:I10)</f>
        <v>0</v>
      </c>
      <c r="K10" s="307">
        <v>0</v>
      </c>
      <c r="L10" s="212">
        <v>0</v>
      </c>
      <c r="M10" s="212">
        <v>0</v>
      </c>
      <c r="N10" s="212">
        <f>SUM(L10:M10)</f>
        <v>0</v>
      </c>
      <c r="Y10" s="457"/>
      <c r="Z10" s="457"/>
      <c r="AA10" s="453">
        <f>ROUND(CECPerm*PermSalary,-2)</f>
        <v>0</v>
      </c>
      <c r="AB10" s="429">
        <f>ROUND(PermVarBen*CECPerm+(CECPerm*PermVarBenChg),-2)</f>
        <v>0</v>
      </c>
      <c r="AC10" s="429">
        <f>SUM(AA10:AB10)</f>
        <v>0</v>
      </c>
      <c r="AD10" s="421"/>
    </row>
    <row r="11" spans="1:94" x14ac:dyDescent="0.25">
      <c r="A11" s="125"/>
      <c r="B11" s="125"/>
      <c r="C11" s="609" t="s">
        <v>63</v>
      </c>
      <c r="D11" s="619"/>
      <c r="E11" s="194">
        <v>2</v>
      </c>
      <c r="F11" s="188"/>
      <c r="G11" s="212">
        <v>0</v>
      </c>
      <c r="H11" s="212">
        <v>0</v>
      </c>
      <c r="I11" s="212">
        <v>0</v>
      </c>
      <c r="J11" s="190">
        <f>SUM(G11:I11)</f>
        <v>0</v>
      </c>
      <c r="K11" s="325"/>
      <c r="L11" s="212"/>
      <c r="M11" s="212"/>
      <c r="N11" s="212"/>
      <c r="Y11" s="457"/>
      <c r="Z11" s="457"/>
      <c r="AA11" s="453">
        <f>ROUND(GroupSalary*CECGroup,-2)</f>
        <v>0</v>
      </c>
      <c r="AB11" s="430">
        <f>ROUND(GroupSalary*GroupVBBY*CECGroup,-2)</f>
        <v>0</v>
      </c>
      <c r="AC11" s="429">
        <f>SUM(AA11:AB11)</f>
        <v>0</v>
      </c>
      <c r="AD11" s="421"/>
    </row>
    <row r="12" spans="1:94" x14ac:dyDescent="0.25">
      <c r="A12" s="125"/>
      <c r="B12" s="125"/>
      <c r="C12" s="609" t="s">
        <v>62</v>
      </c>
      <c r="D12" s="610"/>
      <c r="E12" s="194">
        <v>3</v>
      </c>
      <c r="F12" s="188">
        <v>0</v>
      </c>
      <c r="G12" s="212">
        <v>0</v>
      </c>
      <c r="H12" s="212">
        <v>0</v>
      </c>
      <c r="I12" s="212">
        <v>0</v>
      </c>
      <c r="J12" s="190">
        <f>SUM(G12:I12)</f>
        <v>0</v>
      </c>
      <c r="K12" s="325"/>
      <c r="L12" s="212">
        <v>0</v>
      </c>
      <c r="M12" s="212"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609" t="s">
        <v>61</v>
      </c>
      <c r="D13" s="619"/>
      <c r="E13" s="194"/>
      <c r="F13" s="221">
        <f>SUM(F10:F12)</f>
        <v>0</v>
      </c>
      <c r="G13" s="222">
        <f>SUM(G10:G12)</f>
        <v>0</v>
      </c>
      <c r="H13" s="222">
        <f>SUM(H10:H12)</f>
        <v>0</v>
      </c>
      <c r="I13" s="222">
        <f>SUM(I10:I12)</f>
        <v>0</v>
      </c>
      <c r="J13" s="190">
        <f>SUM(G13:I13)</f>
        <v>0</v>
      </c>
      <c r="K13" s="325"/>
      <c r="L13" s="307">
        <f>SUM(L10:L12)</f>
        <v>0</v>
      </c>
      <c r="M13" s="307">
        <f>SUM(M10:M12)</f>
        <v>0</v>
      </c>
      <c r="N13" s="307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223"/>
      <c r="D14" s="224"/>
      <c r="E14" s="194"/>
      <c r="F14" s="221"/>
      <c r="G14" s="190"/>
      <c r="H14" s="190"/>
      <c r="I14" s="190"/>
      <c r="J14" s="190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"&amp;[0]!FiscalYear-1</f>
        <v>FY 2022</v>
      </c>
      <c r="D15" s="226" t="s">
        <v>47</v>
      </c>
      <c r="E15" s="227">
        <v>0</v>
      </c>
      <c r="F15" s="228">
        <v>0</v>
      </c>
      <c r="G15" s="191">
        <f>IF(OrigApprop=0,0,(G13/$J$13)*OrigApprop)</f>
        <v>0</v>
      </c>
      <c r="H15" s="191">
        <f>IF(OrigApprop=0,0,(H13/$J$13)*OrigApprop)</f>
        <v>0</v>
      </c>
      <c r="I15" s="191">
        <f>IF(G15=0,0,(I13/$J$13)*OrigApprop)</f>
        <v>0</v>
      </c>
      <c r="J15" s="191">
        <f>SUM(G15:I15)</f>
        <v>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1" t="s">
        <v>60</v>
      </c>
      <c r="D16" s="602"/>
      <c r="E16" s="230" t="s">
        <v>59</v>
      </c>
      <c r="F16" s="213">
        <f>F15-F13</f>
        <v>0</v>
      </c>
      <c r="G16" s="205">
        <f>G15-G13</f>
        <v>0</v>
      </c>
      <c r="H16" s="205">
        <f>H15-H13</f>
        <v>0</v>
      </c>
      <c r="I16" s="205">
        <f>I15-I13</f>
        <v>0</v>
      </c>
      <c r="J16" s="205">
        <f>J15-J13</f>
        <v>0</v>
      </c>
      <c r="K16" s="323"/>
      <c r="L16" s="139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3" t="s">
        <v>58</v>
      </c>
      <c r="D17" s="604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5" t="s">
        <v>57</v>
      </c>
      <c r="D18" s="606"/>
      <c r="E18" s="194"/>
      <c r="F18" s="195"/>
      <c r="G18" s="196"/>
      <c r="H18" s="196"/>
      <c r="I18" s="197"/>
      <c r="J18" s="196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196"/>
      <c r="H19" s="266"/>
      <c r="I19" s="267"/>
      <c r="J19" s="196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33"/>
      <c r="AB19" s="433"/>
      <c r="AC19" s="433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91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191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191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191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191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191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191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191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191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191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191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196"/>
      <c r="H31" s="196"/>
      <c r="I31" s="196"/>
      <c r="J31" s="196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33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07" t="s">
        <v>55</v>
      </c>
      <c r="D37" s="608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599" t="s">
        <v>131</v>
      </c>
      <c r="AB37" s="600"/>
      <c r="AC37" s="600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609" t="str">
        <f>perm_name</f>
        <v>Permanent Positions</v>
      </c>
      <c r="D38" s="610"/>
      <c r="E38" s="208">
        <v>1</v>
      </c>
      <c r="F38" s="192">
        <f>SUMIF($E9:$E35,$E38,$F9:$F35)</f>
        <v>0</v>
      </c>
      <c r="G38" s="209">
        <f>SUMIF($E10:$E35,$E38,$G10:$G35)</f>
        <v>0</v>
      </c>
      <c r="H38" s="209">
        <f>SUMIF($E10:$E35,$E38,$H10:$H35)</f>
        <v>0</v>
      </c>
      <c r="I38" s="209">
        <f>SUMIF($E10:$E35,$E38,$I10:$I35)</f>
        <v>0</v>
      </c>
      <c r="J38" s="209">
        <f>SUM(G38:I38)</f>
        <v>0</v>
      </c>
      <c r="K38" s="206"/>
      <c r="L38" s="210">
        <f>SUMIF($E10:$E35,$E38,$L10:$L35)</f>
        <v>0</v>
      </c>
      <c r="M38" s="210">
        <f>SUMIF($E10:$E35,$E38,$M10:$M35)</f>
        <v>0</v>
      </c>
      <c r="N38" s="210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0</v>
      </c>
      <c r="AB38" s="436">
        <f>ROUND((AdjPermVB*CECPerm+AdjPermVBBY*CECPerm),-2)</f>
        <v>0</v>
      </c>
      <c r="AC38" s="436">
        <f>SUM(AA38:AB38)</f>
        <v>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609" t="str">
        <f>Group_name</f>
        <v>Board &amp; Group Positions</v>
      </c>
      <c r="D39" s="610"/>
      <c r="E39" s="208">
        <v>2</v>
      </c>
      <c r="F39" s="188">
        <f>SUMIF($E9:$E35,$E39,$F9:$F35)</f>
        <v>0</v>
      </c>
      <c r="G39" s="211">
        <f>SUMIF($E10:$E35,$E39,$G10:$G35)</f>
        <v>0</v>
      </c>
      <c r="H39" s="212">
        <f>SUMIF($E10:$E35,$E39,$H10:$H35)</f>
        <v>0</v>
      </c>
      <c r="I39" s="211">
        <f>SUMIF($E10:$E35,$E39,$I10:$I35)</f>
        <v>0</v>
      </c>
      <c r="J39" s="211">
        <f>SUM(G39:I39)</f>
        <v>0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0</v>
      </c>
      <c r="AB39" s="436">
        <f>ROUND(AdjGroupVB*CECGroup,-2)</f>
        <v>0</v>
      </c>
      <c r="AC39" s="436">
        <f>SUM(AA39:AB39)</f>
        <v>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223" t="str">
        <f>Elect_name</f>
        <v>Elected Officials &amp; Full Time Commissioners</v>
      </c>
      <c r="D40" s="237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609" t="s">
        <v>54</v>
      </c>
      <c r="D41" s="610"/>
      <c r="E41" s="208"/>
      <c r="F41" s="213">
        <f>SUM(F38:F40)</f>
        <v>0</v>
      </c>
      <c r="G41" s="214">
        <f>SUM($G$38:$G$40)</f>
        <v>0</v>
      </c>
      <c r="H41" s="205">
        <f>SUM($H$38:$H$40)</f>
        <v>0</v>
      </c>
      <c r="I41" s="205">
        <f>SUM($I$38:$I$40)</f>
        <v>0</v>
      </c>
      <c r="J41" s="205">
        <f>SUM($J$38:$J$40)</f>
        <v>0</v>
      </c>
      <c r="K41" s="206"/>
      <c r="L41" s="205">
        <f>SUM($L$38:$L$40)</f>
        <v>0</v>
      </c>
      <c r="M41" s="205">
        <f>SUM($M$38:$M$40)</f>
        <v>0</v>
      </c>
      <c r="N41" s="205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/>
      <c r="AA41" s="433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611"/>
      <c r="D42" s="612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13" t="s">
        <v>53</v>
      </c>
      <c r="D43" s="614"/>
      <c r="E43" s="294" t="s">
        <v>52</v>
      </c>
      <c r="F43" s="338">
        <f>ROUND(F52-F41,2)</f>
        <v>0</v>
      </c>
      <c r="G43" s="339">
        <f>ROUND(G51-G41,-2)</f>
        <v>0</v>
      </c>
      <c r="H43" s="334">
        <f>ROUND(H51-H41,-2)</f>
        <v>0</v>
      </c>
      <c r="I43" s="334">
        <f>ROUND(I51-I41,-2)</f>
        <v>0</v>
      </c>
      <c r="J43" s="191">
        <f>SUM(G43:I43)</f>
        <v>0</v>
      </c>
      <c r="K43" s="578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579"/>
      <c r="M43" s="579"/>
      <c r="N43" s="580"/>
      <c r="O43"/>
      <c r="P43"/>
      <c r="Q43"/>
      <c r="R43"/>
      <c r="S43"/>
      <c r="T43"/>
      <c r="U43"/>
      <c r="V43"/>
      <c r="W43"/>
      <c r="X43"/>
      <c r="Y43"/>
      <c r="Z43"/>
      <c r="AA43" s="599" t="s">
        <v>132</v>
      </c>
      <c r="AB43" s="600"/>
      <c r="AC43" s="600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15"/>
      <c r="D44" s="602"/>
      <c r="E44" s="293" t="s">
        <v>51</v>
      </c>
      <c r="F44" s="192">
        <f>ROUND(F60-F41,2)</f>
        <v>0</v>
      </c>
      <c r="G44" s="193">
        <f>ROUND(G60-G41,-2)</f>
        <v>0</v>
      </c>
      <c r="H44" s="191">
        <f>ROUND(H60-H41,-2)</f>
        <v>0</v>
      </c>
      <c r="I44" s="191">
        <f>ROUND(I60-I41,-2)</f>
        <v>0</v>
      </c>
      <c r="J44" s="191">
        <f>SUM(G44:I44)</f>
        <v>0</v>
      </c>
      <c r="K44" s="578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579"/>
      <c r="M44" s="579"/>
      <c r="N44" s="580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0</v>
      </c>
      <c r="G45" s="193">
        <f>ROUND(G67-G41-G63,-2)</f>
        <v>0</v>
      </c>
      <c r="H45" s="193">
        <f>ROUND(H67-H41-H63,-2)</f>
        <v>0</v>
      </c>
      <c r="I45" s="193">
        <f>ROUND(I67-I41-I63,-2)</f>
        <v>0</v>
      </c>
      <c r="J45" s="334">
        <f>SUM(G45:I45)</f>
        <v>0</v>
      </c>
      <c r="K45" s="578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579"/>
      <c r="M45" s="579"/>
      <c r="N45" s="580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0</v>
      </c>
      <c r="AC45" s="436">
        <f>SUM(AA45:AB45)</f>
        <v>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1" t="s">
        <v>123</v>
      </c>
      <c r="F46" s="582"/>
      <c r="G46" s="582"/>
      <c r="H46" s="582"/>
      <c r="I46" s="582"/>
      <c r="J46" s="583"/>
      <c r="K46" s="587" t="str">
        <f>IF(OR(J45&lt;0,F45&lt;0),"You may not have sufficient funding or authorized FTP, and may need to make additional adjustments to finalize this form.  Please contact both your DFM and LSO analysts.","")</f>
        <v/>
      </c>
      <c r="L46" s="588"/>
      <c r="M46" s="588"/>
      <c r="N46" s="589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4"/>
      <c r="F47" s="585"/>
      <c r="G47" s="585"/>
      <c r="H47" s="585"/>
      <c r="I47" s="585"/>
      <c r="J47" s="586"/>
      <c r="K47" s="590"/>
      <c r="L47" s="591"/>
      <c r="M47" s="591"/>
      <c r="N47" s="592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119"/>
      <c r="C49" s="123"/>
      <c r="D49" s="122"/>
      <c r="E49" s="121"/>
      <c r="F49" s="120"/>
      <c r="G49" s="119"/>
      <c r="H49" s="119"/>
      <c r="I49" s="119"/>
      <c r="J49" s="119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3"/>
      <c r="D50" s="594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0</v>
      </c>
      <c r="F51" s="108">
        <f>AppropFTP</f>
        <v>0</v>
      </c>
      <c r="G51" s="111">
        <f>IF(E51=0,0,(G41/$J$41)*$E$51)</f>
        <v>0</v>
      </c>
      <c r="H51" s="111">
        <f>IF(E51=0,0,(H41/$J$41)*$E$51)</f>
        <v>0</v>
      </c>
      <c r="I51" s="111">
        <f>IF(E51=0,0,(I41/$J$41)*$E$51)</f>
        <v>0</v>
      </c>
      <c r="J51" s="320">
        <f>SUM(G51:I51)</f>
        <v>0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0</v>
      </c>
      <c r="H52" s="107">
        <f>ROUND(H51,-2)</f>
        <v>0</v>
      </c>
      <c r="I52" s="107">
        <f>ROUND(I51,-2)</f>
        <v>0</v>
      </c>
      <c r="J52" s="316">
        <f>ROUND(J51,-2)</f>
        <v>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5" t="s">
        <v>45</v>
      </c>
      <c r="D53" s="596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3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97" t="s">
        <v>43</v>
      </c>
      <c r="D55" s="598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59">
        <f>SUM(G52:G55)</f>
        <v>0</v>
      </c>
      <c r="H56" s="59">
        <f>SUM(H52:H55)</f>
        <v>0</v>
      </c>
      <c r="I56" s="59">
        <f>SUM(I52:I55)</f>
        <v>0</v>
      </c>
      <c r="J56" s="328">
        <f>SUM(J52:J55)</f>
        <v>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1" t="s">
        <v>41</v>
      </c>
      <c r="D57" s="572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3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97" t="s">
        <v>39</v>
      </c>
      <c r="D59" s="598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59">
        <f>SUM(G56:G59)</f>
        <v>0</v>
      </c>
      <c r="H60" s="59">
        <f>SUM(H56:H59)</f>
        <v>0</v>
      </c>
      <c r="I60" s="59">
        <f>SUM(I56:I59)</f>
        <v>0</v>
      </c>
      <c r="J60" s="320">
        <f>SUM(J56:J59)</f>
        <v>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1" t="s">
        <v>37</v>
      </c>
      <c r="D61" s="572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3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3" t="s">
        <v>35</v>
      </c>
      <c r="D63" s="564"/>
      <c r="E63" s="51"/>
      <c r="F63" s="50">
        <v>0</v>
      </c>
      <c r="G63" s="370">
        <f>ROUND((OneTimePC_Total-H63)/(1+(PermVB+Retire1)),-2)</f>
        <v>0</v>
      </c>
      <c r="H63" s="370">
        <f>ROUND(IF(AND(F63&lt;0,OneTimePC_Total&lt;0),F63*Health,0),-2)</f>
        <v>0</v>
      </c>
      <c r="I63" s="370">
        <f>OneTimePC_Total-G63-H63</f>
        <v>0</v>
      </c>
      <c r="J63" s="101"/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5" t="s">
        <v>34</v>
      </c>
      <c r="D64" s="566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7"/>
      <c r="D65" s="568"/>
      <c r="E65" s="90"/>
      <c r="F65" s="89"/>
      <c r="G65" s="88"/>
      <c r="H65" s="88"/>
      <c r="I65" s="88"/>
      <c r="J65" s="88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69"/>
      <c r="D66" s="570"/>
      <c r="E66" s="84"/>
      <c r="F66" s="83" t="s">
        <v>33</v>
      </c>
      <c r="G66" s="82" t="str">
        <f>"FY "&amp;M4-2000&amp;" Salary"</f>
        <v>FY 23 Salary</v>
      </c>
      <c r="H66" s="82" t="str">
        <f>"FY"&amp;M4-2000&amp;" Health Ben"</f>
        <v>FY23 Health Ben</v>
      </c>
      <c r="I66" s="82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0</v>
      </c>
      <c r="H67" s="72">
        <f>SUM(H60:H64)</f>
        <v>0</v>
      </c>
      <c r="I67" s="72">
        <f>SUM(I60:I64)</f>
        <v>0</v>
      </c>
      <c r="J67" s="72">
        <f>SUM(J60:J64)</f>
        <v>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1" t="s">
        <v>31</v>
      </c>
      <c r="D68" s="572"/>
      <c r="E68" s="61"/>
      <c r="F68" s="67"/>
      <c r="G68" s="66"/>
      <c r="H68" s="68">
        <f>IF(DUNine=0,0,ROUND(SUM(L41:L65),-2))</f>
        <v>0</v>
      </c>
      <c r="I68" s="68"/>
      <c r="J68" s="66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1" t="s">
        <v>30</v>
      </c>
      <c r="D69" s="572"/>
      <c r="E69" s="61"/>
      <c r="F69" s="67"/>
      <c r="G69" s="68"/>
      <c r="H69" s="68"/>
      <c r="I69" s="68">
        <f>IF(DUNine=0,0,ROUND(SUM(M41:M64),-2))</f>
        <v>0</v>
      </c>
      <c r="J69" s="66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73"/>
      <c r="D70" s="574"/>
      <c r="E70" s="483" t="s">
        <v>67</v>
      </c>
      <c r="F70" s="67"/>
      <c r="G70" s="68"/>
      <c r="H70" s="68"/>
      <c r="I70" s="68"/>
      <c r="J70" s="66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3" t="s">
        <v>29</v>
      </c>
      <c r="D71" s="575"/>
      <c r="E71" s="261"/>
      <c r="F71" s="260"/>
      <c r="G71" s="71">
        <v>0</v>
      </c>
      <c r="H71" s="71">
        <v>0</v>
      </c>
      <c r="I71" s="66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3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0</v>
      </c>
      <c r="H72" s="66"/>
      <c r="I72" s="66">
        <f>ROUND(($G72*PermVBBY+$G72*Retire1BY),-2)</f>
        <v>0</v>
      </c>
      <c r="J72" s="333">
        <f t="shared" si="11"/>
        <v>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3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66"/>
      <c r="I73" s="66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70" t="s">
        <v>27</v>
      </c>
      <c r="D74" s="69"/>
      <c r="E74" s="61"/>
      <c r="F74" s="67"/>
      <c r="G74" s="71">
        <v>0</v>
      </c>
      <c r="H74" s="66"/>
      <c r="I74" s="66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59">
        <f>SUM(G67:G74)</f>
        <v>0</v>
      </c>
      <c r="H75" s="59">
        <f>SUM(H67:H74)</f>
        <v>0</v>
      </c>
      <c r="I75" s="332">
        <f>SUM(I67:I74)</f>
        <v>0</v>
      </c>
      <c r="J75" s="59">
        <f>SUM(J67:J74)</f>
        <v>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76" t="s">
        <v>25</v>
      </c>
      <c r="D76" s="577"/>
      <c r="E76" s="56" t="s">
        <v>24</v>
      </c>
      <c r="F76" s="55"/>
      <c r="G76" s="54"/>
      <c r="H76" s="54"/>
      <c r="I76" s="54"/>
      <c r="J76" s="54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1"/>
      <c r="D77" s="552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1"/>
      <c r="D78" s="552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1"/>
      <c r="D79" s="552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0</v>
      </c>
      <c r="H80" s="40">
        <f>SUM(H75:H79)</f>
        <v>0</v>
      </c>
      <c r="I80" s="40">
        <f>SUM(I75:I79)</f>
        <v>0</v>
      </c>
      <c r="J80" s="40">
        <f>SUM(J75:J79)</f>
        <v>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14"/>
      <c r="F82" s="14"/>
      <c r="G82" s="14"/>
      <c r="H82" s="14"/>
      <c r="N82" s="17"/>
      <c r="AA82" s="420"/>
      <c r="AB82" s="420"/>
      <c r="AC82" s="420"/>
      <c r="AD82" s="421"/>
    </row>
    <row r="83" spans="1:94" ht="27.75" customHeight="1" thickBot="1" x14ac:dyDescent="0.3">
      <c r="A83" s="553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5" t="str">
        <f>"FY "&amp;FiscalYear-2&amp;" PERSONNEL COST ACTUAL EXPENDITURES"&amp;" (DU 2.0)"</f>
        <v>FY 2021 PERSONNEL COST ACTUAL EXPENDITURES (DU 2.0)</v>
      </c>
      <c r="F84" s="556"/>
      <c r="G84" s="555" t="str">
        <f>"FY "&amp;FiscalYear-1&amp;" PERSONNEL COST ORIGINAL APPROPRIATION"&amp;" (DU 3.0)"</f>
        <v>FY 2022 PERSONNEL COST ORIGINAL APPROPRIATION (DU 3.0)</v>
      </c>
      <c r="H84" s="557"/>
      <c r="I84" s="558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9"/>
      <c r="K84" s="559"/>
      <c r="L84" s="559"/>
      <c r="M84" s="559"/>
      <c r="N84" s="560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9" t="s">
        <v>128</v>
      </c>
      <c r="B85" s="550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61" t="s">
        <v>79</v>
      </c>
      <c r="B86" s="562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61" t="s">
        <v>80</v>
      </c>
      <c r="B87" s="562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idden="1" x14ac:dyDescent="0.25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idden="1" x14ac:dyDescent="0.25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idden="1" x14ac:dyDescent="0.25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idden="1" x14ac:dyDescent="0.25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392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48" t="s">
        <v>136</v>
      </c>
      <c r="B98" s="548"/>
      <c r="C98" s="548"/>
      <c r="D98" s="548"/>
      <c r="E98" s="548"/>
      <c r="F98" s="548"/>
      <c r="G98" s="548"/>
      <c r="H98" s="548"/>
      <c r="I98" s="548"/>
      <c r="J98" s="548"/>
      <c r="K98" s="548"/>
      <c r="L98" s="548"/>
      <c r="M98" s="548"/>
      <c r="N98" s="548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9" t="s">
        <v>128</v>
      </c>
      <c r="B99" s="550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40" t="str">
        <f>A86</f>
        <v>Fund Detail 1</v>
      </c>
      <c r="B100" s="541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40" t="str">
        <f>A87</f>
        <v>Fund Detail 2</v>
      </c>
      <c r="B101" s="541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40" t="str">
        <f t="shared" ref="A102:A110" si="22">A88</f>
        <v>Fund Detail 3</v>
      </c>
      <c r="B102" s="541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40" t="str">
        <f t="shared" si="22"/>
        <v>Fund Detail 4</v>
      </c>
      <c r="B103" s="541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40" t="str">
        <f t="shared" si="22"/>
        <v>Fund Detail 5</v>
      </c>
      <c r="B104" s="541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40" t="str">
        <f t="shared" si="22"/>
        <v>Fund Detail 6</v>
      </c>
      <c r="B105" s="541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40" t="str">
        <f t="shared" si="22"/>
        <v>Fund Detail 7</v>
      </c>
      <c r="B106" s="541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40" t="str">
        <f t="shared" si="22"/>
        <v>Fund Detail 8</v>
      </c>
      <c r="B107" s="541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40" t="str">
        <f t="shared" si="22"/>
        <v>Fund Detail 9</v>
      </c>
      <c r="B108" s="541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40" t="str">
        <f t="shared" si="22"/>
        <v>Fund Detail 10</v>
      </c>
      <c r="B109" s="541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6" t="str">
        <f t="shared" si="22"/>
        <v>TOTAL</v>
      </c>
      <c r="B110" s="527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8" t="s">
        <v>13</v>
      </c>
      <c r="B113" s="529"/>
      <c r="C113" s="529"/>
      <c r="D113" s="529"/>
      <c r="E113" s="529"/>
      <c r="F113" s="529"/>
      <c r="G113" s="529"/>
      <c r="H113" s="529"/>
      <c r="I113" s="529"/>
      <c r="J113" s="529"/>
      <c r="K113" s="529"/>
      <c r="L113" s="529"/>
      <c r="M113" s="529"/>
      <c r="N113" s="530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31"/>
      <c r="B114" s="532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3"/>
    </row>
    <row r="115" spans="1:94" ht="35.25" customHeight="1" x14ac:dyDescent="0.25">
      <c r="A115" s="534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6"/>
    </row>
    <row r="116" spans="1:94" ht="15.75" hidden="1" customHeight="1" x14ac:dyDescent="0.25">
      <c r="A116" s="534"/>
      <c r="B116" s="535"/>
      <c r="C116" s="535"/>
      <c r="D116" s="535"/>
      <c r="E116" s="535"/>
      <c r="F116" s="535"/>
      <c r="G116" s="535"/>
      <c r="H116" s="535"/>
      <c r="I116" s="535"/>
      <c r="J116" s="535"/>
      <c r="K116" s="535"/>
      <c r="L116" s="535"/>
      <c r="M116" s="535"/>
      <c r="N116" s="536"/>
    </row>
    <row r="117" spans="1:94" ht="15.75" hidden="1" customHeight="1" x14ac:dyDescent="0.25">
      <c r="A117" s="534"/>
      <c r="B117" s="535"/>
      <c r="C117" s="535"/>
      <c r="D117" s="535"/>
      <c r="E117" s="535"/>
      <c r="F117" s="535"/>
      <c r="G117" s="535"/>
      <c r="H117" s="535"/>
      <c r="I117" s="535"/>
      <c r="J117" s="535"/>
      <c r="K117" s="535"/>
      <c r="L117" s="535"/>
      <c r="M117" s="535"/>
      <c r="N117" s="536"/>
    </row>
    <row r="118" spans="1:94" ht="15.75" hidden="1" customHeight="1" x14ac:dyDescent="0.25">
      <c r="A118" s="534"/>
      <c r="B118" s="535"/>
      <c r="C118" s="535"/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6"/>
    </row>
    <row r="119" spans="1:94" ht="15.75" hidden="1" customHeight="1" x14ac:dyDescent="0.25">
      <c r="A119" s="534"/>
      <c r="B119" s="535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6"/>
    </row>
    <row r="120" spans="1:94" ht="15.75" hidden="1" customHeight="1" x14ac:dyDescent="0.25">
      <c r="A120" s="534"/>
      <c r="B120" s="535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6"/>
    </row>
    <row r="121" spans="1:94" ht="15.75" hidden="1" customHeight="1" x14ac:dyDescent="0.25">
      <c r="A121" s="534"/>
      <c r="B121" s="535"/>
      <c r="C121" s="535"/>
      <c r="D121" s="535"/>
      <c r="E121" s="535"/>
      <c r="F121" s="535"/>
      <c r="G121" s="535"/>
      <c r="H121" s="535"/>
      <c r="I121" s="535"/>
      <c r="J121" s="535"/>
      <c r="K121" s="535"/>
      <c r="L121" s="535"/>
      <c r="M121" s="535"/>
      <c r="N121" s="536"/>
    </row>
    <row r="122" spans="1:94" ht="15.75" hidden="1" customHeight="1" x14ac:dyDescent="0.25">
      <c r="A122" s="534"/>
      <c r="B122" s="535"/>
      <c r="C122" s="535"/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6"/>
    </row>
    <row r="123" spans="1:94" ht="15.75" hidden="1" customHeight="1" x14ac:dyDescent="0.25">
      <c r="A123" s="534"/>
      <c r="B123" s="535"/>
      <c r="C123" s="535"/>
      <c r="D123" s="535"/>
      <c r="E123" s="535"/>
      <c r="F123" s="535"/>
      <c r="G123" s="535"/>
      <c r="H123" s="535"/>
      <c r="I123" s="535"/>
      <c r="J123" s="535"/>
      <c r="K123" s="535"/>
      <c r="L123" s="535"/>
      <c r="M123" s="535"/>
      <c r="N123" s="536"/>
    </row>
    <row r="124" spans="1:94" ht="16.5" thickBot="1" x14ac:dyDescent="0.3">
      <c r="A124" s="537"/>
      <c r="B124" s="538"/>
      <c r="C124" s="538"/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9"/>
    </row>
  </sheetData>
  <mergeCells count="82">
    <mergeCell ref="AA8:AC8"/>
    <mergeCell ref="AA37:AC37"/>
    <mergeCell ref="AA43:AC43"/>
    <mergeCell ref="A98:N98"/>
    <mergeCell ref="A100:B100"/>
    <mergeCell ref="A99:B99"/>
    <mergeCell ref="C13:D13"/>
    <mergeCell ref="C16:D16"/>
    <mergeCell ref="C17:D17"/>
    <mergeCell ref="C18:D18"/>
    <mergeCell ref="C71:D71"/>
    <mergeCell ref="C65:D65"/>
    <mergeCell ref="C38:D38"/>
    <mergeCell ref="C41:D41"/>
    <mergeCell ref="C42:D42"/>
    <mergeCell ref="C43:D44"/>
    <mergeCell ref="C61:D61"/>
    <mergeCell ref="C62:D62"/>
    <mergeCell ref="C63:D63"/>
    <mergeCell ref="C64:D64"/>
    <mergeCell ref="C57:D57"/>
    <mergeCell ref="C58:D58"/>
    <mergeCell ref="C59:D59"/>
    <mergeCell ref="C8:D8"/>
    <mergeCell ref="C9:D9"/>
    <mergeCell ref="C10:D10"/>
    <mergeCell ref="C11:D11"/>
    <mergeCell ref="C12:D12"/>
    <mergeCell ref="C77:D77"/>
    <mergeCell ref="C79:D79"/>
    <mergeCell ref="C76:D76"/>
    <mergeCell ref="C66:D66"/>
    <mergeCell ref="C68:D68"/>
    <mergeCell ref="C69:D69"/>
    <mergeCell ref="C70:D70"/>
    <mergeCell ref="C72:D72"/>
    <mergeCell ref="C73:D73"/>
    <mergeCell ref="M1:N1"/>
    <mergeCell ref="M2:N2"/>
    <mergeCell ref="M3:N3"/>
    <mergeCell ref="M4:N4"/>
    <mergeCell ref="I5:L5"/>
    <mergeCell ref="K44:N44"/>
    <mergeCell ref="K43:N43"/>
    <mergeCell ref="C37:D37"/>
    <mergeCell ref="C39:D39"/>
    <mergeCell ref="C55:D55"/>
    <mergeCell ref="C53:D53"/>
    <mergeCell ref="K45:N45"/>
    <mergeCell ref="K46:N47"/>
    <mergeCell ref="E46:J47"/>
    <mergeCell ref="C50:D50"/>
    <mergeCell ref="C54:D54"/>
    <mergeCell ref="A114:N124"/>
    <mergeCell ref="A96:C96"/>
    <mergeCell ref="A113:N113"/>
    <mergeCell ref="A95:B95"/>
    <mergeCell ref="A94:B94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G84:H84"/>
    <mergeCell ref="C78:D78"/>
    <mergeCell ref="A93:B93"/>
    <mergeCell ref="A92:B92"/>
    <mergeCell ref="A91:B91"/>
    <mergeCell ref="A90:B90"/>
    <mergeCell ref="A89:B89"/>
    <mergeCell ref="A88:B88"/>
    <mergeCell ref="A85:B85"/>
    <mergeCell ref="A83:N83"/>
    <mergeCell ref="A87:B87"/>
    <mergeCell ref="A86:B86"/>
    <mergeCell ref="E84:F84"/>
    <mergeCell ref="I84:N84"/>
  </mergeCells>
  <conditionalFormatting sqref="K44">
    <cfRule type="expression" dxfId="7" priority="6">
      <formula>$J$44&lt;0</formula>
    </cfRule>
  </conditionalFormatting>
  <conditionalFormatting sqref="K43">
    <cfRule type="expression" dxfId="6" priority="5">
      <formula>$J$43&lt;0</formula>
    </cfRule>
  </conditionalFormatting>
  <conditionalFormatting sqref="L16">
    <cfRule type="expression" dxfId="5" priority="4">
      <formula>$J$16&lt;0</formula>
    </cfRule>
  </conditionalFormatting>
  <conditionalFormatting sqref="I96:I97 I111">
    <cfRule type="containsText" dxfId="4" priority="3" operator="containsText" text="Re-Calculate Percentages">
      <formula>NOT(ISERROR(SEARCH("Re-Calculate Percentages",I96)))</formula>
    </cfRule>
  </conditionalFormatting>
  <conditionalFormatting sqref="K45">
    <cfRule type="expression" dxfId="3" priority="2">
      <formula>$J$44&lt;0</formula>
    </cfRule>
  </conditionalFormatting>
  <conditionalFormatting sqref="K43:N45">
    <cfRule type="containsText" dxfId="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.42578125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8.140625" customWidth="1"/>
    <col min="8" max="8" width="13.7109375" customWidth="1"/>
    <col min="9" max="9" width="0" hidden="1" customWidth="1"/>
    <col min="10" max="10" width="18.42578125" customWidth="1"/>
    <col min="11" max="11" width="17" customWidth="1"/>
    <col min="12" max="12" width="17.5703125" customWidth="1"/>
  </cols>
  <sheetData>
    <row r="1" spans="1:12" x14ac:dyDescent="0.25">
      <c r="A1" s="514" t="s">
        <v>867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ht="39" x14ac:dyDescent="0.25">
      <c r="A2" s="626" t="s">
        <v>68</v>
      </c>
      <c r="B2" s="627"/>
      <c r="C2" s="146" t="s">
        <v>67</v>
      </c>
      <c r="D2" s="145" t="s">
        <v>33</v>
      </c>
      <c r="E2" s="300" t="str">
        <f>"FY "&amp;'HDAA|0290'!FiscalYear-1&amp;" SALARY"</f>
        <v>FY 2022 SALARY</v>
      </c>
      <c r="F2" s="300" t="str">
        <f>"FY "&amp;'HDAA|0290'!FiscalYear-1&amp;" HEALTH BENEFITS"</f>
        <v>FY 2022 HEALTH BENEFITS</v>
      </c>
      <c r="G2" s="300" t="str">
        <f>"FY "&amp;'HDAA|0290'!FiscalYear-1&amp;" VAR BENEFITS"</f>
        <v>FY 2022 VAR BENEFITS</v>
      </c>
      <c r="H2" s="300" t="str">
        <f>"FY "&amp;'HDAA|0290'!FiscalYear-1&amp;" TOTAL"</f>
        <v>FY 2022 TOTAL</v>
      </c>
      <c r="I2" s="300" t="str">
        <f>"FY "&amp;FiscalYear&amp;" SALARY CHG"</f>
        <v>FY 2023 SALARY CHG</v>
      </c>
      <c r="J2" s="300" t="str">
        <f>"FY "&amp;'HDAA|0290'!FiscalYear&amp;" CHG HEALTH BENEFITS"</f>
        <v>FY 2023 CHG HEALTH BENEFITS</v>
      </c>
      <c r="K2" s="300" t="str">
        <f>"FY "&amp;'HDAA|0290'!FiscalYear&amp;" CHG VAR BENEFITS"</f>
        <v>FY 2023 CHG VAR BENEFITS</v>
      </c>
      <c r="L2" s="300" t="s">
        <v>66</v>
      </c>
    </row>
    <row r="3" spans="1:12" x14ac:dyDescent="0.25">
      <c r="A3" s="617" t="s">
        <v>65</v>
      </c>
      <c r="B3" s="618"/>
      <c r="C3" s="215"/>
      <c r="D3" s="216"/>
      <c r="E3" s="217"/>
      <c r="F3" s="217"/>
      <c r="G3" s="217"/>
      <c r="H3" s="306"/>
      <c r="I3" s="306"/>
      <c r="J3" s="219"/>
      <c r="K3" s="220"/>
      <c r="L3" s="306"/>
    </row>
    <row r="4" spans="1:12" x14ac:dyDescent="0.25">
      <c r="A4" s="609" t="s">
        <v>64</v>
      </c>
      <c r="B4" s="619"/>
      <c r="C4" s="194">
        <v>1</v>
      </c>
      <c r="D4" s="188">
        <f>[0]!HDAA0290col_INC_FTI</f>
        <v>105.45599999999999</v>
      </c>
      <c r="E4" s="212">
        <f>[0]!HDAA0290col_FTI_SALARY_PERM</f>
        <v>5450992.6099999994</v>
      </c>
      <c r="F4" s="212">
        <f>[0]!HDAA0290col_HEALTH_PERM</f>
        <v>1270083</v>
      </c>
      <c r="G4" s="212">
        <f>[0]!HDAA0290col_TOT_VB_PERM</f>
        <v>1228170.1631685498</v>
      </c>
      <c r="H4" s="307">
        <f>SUM(E4:G4)</f>
        <v>7949245.7731685489</v>
      </c>
      <c r="I4" s="307">
        <f>[0]!HDAA0290col_1_27TH_PP</f>
        <v>0</v>
      </c>
      <c r="J4" s="212">
        <f>[0]!HDAA0290col_HEALTH_PERM_CHG</f>
        <v>0</v>
      </c>
      <c r="K4" s="212">
        <f>[0]!HDAA0290col_TOT_VB_PERM_CHG</f>
        <v>-27742.916292000002</v>
      </c>
      <c r="L4" s="212">
        <f>SUM(J4:K4)</f>
        <v>-27742.916292000002</v>
      </c>
    </row>
    <row r="5" spans="1:12" x14ac:dyDescent="0.25">
      <c r="A5" s="609" t="s">
        <v>63</v>
      </c>
      <c r="B5" s="619"/>
      <c r="C5" s="194">
        <v>2</v>
      </c>
      <c r="D5" s="188"/>
      <c r="E5" s="212">
        <f>[0]!HDAA0290col_Group_Salary</f>
        <v>879267.16999999993</v>
      </c>
      <c r="F5" s="212">
        <v>0</v>
      </c>
      <c r="G5" s="212">
        <f>[0]!HDAA0290col_Group_Ben</f>
        <v>408139.31999999995</v>
      </c>
      <c r="H5" s="307">
        <f>SUM(E5:G5)</f>
        <v>1287406.4899999998</v>
      </c>
      <c r="I5" s="325"/>
      <c r="J5" s="212"/>
      <c r="K5" s="212"/>
      <c r="L5" s="212"/>
    </row>
    <row r="6" spans="1:12" x14ac:dyDescent="0.25">
      <c r="A6" s="609" t="s">
        <v>62</v>
      </c>
      <c r="B6" s="610"/>
      <c r="C6" s="194">
        <v>3</v>
      </c>
      <c r="D6" s="188">
        <f>[0]!HDAA0290col_TOTAL_ELECT_PCN_FTI</f>
        <v>0</v>
      </c>
      <c r="E6" s="212">
        <f>[0]!HDAA0290col_FTI_SALARY_ELECT</f>
        <v>0</v>
      </c>
      <c r="F6" s="212">
        <f>[0]!HDAA0290col_HEALTH_ELECT</f>
        <v>0</v>
      </c>
      <c r="G6" s="212">
        <f>[0]!HDAA0290col_TOT_VB_ELECT</f>
        <v>0</v>
      </c>
      <c r="H6" s="307">
        <f>SUM(E6:G6)</f>
        <v>0</v>
      </c>
      <c r="I6" s="325"/>
      <c r="J6" s="212">
        <f>[0]!HDAA0290col_HEALTH_ELECT_CHG</f>
        <v>0</v>
      </c>
      <c r="K6" s="212">
        <f>[0]!HDAA0290col_TOT_VB_ELECT_CHG</f>
        <v>0</v>
      </c>
      <c r="L6" s="307">
        <f>SUM(J6:K6)</f>
        <v>0</v>
      </c>
    </row>
    <row r="7" spans="1:12" x14ac:dyDescent="0.25">
      <c r="A7" s="609" t="s">
        <v>61</v>
      </c>
      <c r="B7" s="619"/>
      <c r="C7" s="194"/>
      <c r="D7" s="221">
        <f>SUM(D4:D6)</f>
        <v>105.45599999999999</v>
      </c>
      <c r="E7" s="222">
        <f>SUM(E4:E6)</f>
        <v>6330259.7799999993</v>
      </c>
      <c r="F7" s="222">
        <f>SUM(F4:F6)</f>
        <v>1270083</v>
      </c>
      <c r="G7" s="222">
        <f>SUM(G4:G6)</f>
        <v>1636309.4831685498</v>
      </c>
      <c r="H7" s="307">
        <f>SUM(E7:G7)</f>
        <v>9236652.2631685492</v>
      </c>
      <c r="I7" s="325"/>
      <c r="J7" s="307">
        <f>SUM(J4:J6)</f>
        <v>0</v>
      </c>
      <c r="K7" s="307">
        <f>SUM(K4:K6)</f>
        <v>-27742.916292000002</v>
      </c>
      <c r="L7" s="307">
        <f>SUM(L4:L6)</f>
        <v>-27742.916292000002</v>
      </c>
    </row>
    <row r="8" spans="1:12" x14ac:dyDescent="0.25">
      <c r="A8" s="485"/>
      <c r="B8" s="489"/>
      <c r="C8" s="194"/>
      <c r="D8" s="221"/>
      <c r="E8" s="307"/>
      <c r="F8" s="307"/>
      <c r="G8" s="307"/>
      <c r="H8" s="307"/>
      <c r="I8" s="325"/>
      <c r="J8" s="307"/>
      <c r="K8" s="189"/>
      <c r="L8" s="307"/>
    </row>
    <row r="9" spans="1:12" x14ac:dyDescent="0.25">
      <c r="A9" s="225" t="str">
        <f>"FY "&amp;'HDAA|0290'!FiscalYear-1</f>
        <v>FY 2022</v>
      </c>
      <c r="B9" s="226" t="s">
        <v>47</v>
      </c>
      <c r="C9" s="227">
        <v>5983400</v>
      </c>
      <c r="D9" s="228">
        <v>0</v>
      </c>
      <c r="E9" s="334">
        <f>IF('HDAA|0290'!OrigApprop=0,0,(E7/H7)*'HDAA|0290'!OrigApprop)</f>
        <v>4100671.4649944841</v>
      </c>
      <c r="F9" s="334">
        <f>IF('HDAA|0290'!OrigApprop=0,0,(F7/H7)*'HDAA|0290'!OrigApprop)</f>
        <v>822745.55820434133</v>
      </c>
      <c r="G9" s="334">
        <f>IF(E9=0,0,(G7/H7)*'HDAA|0290'!OrigApprop)</f>
        <v>1059982.9768011742</v>
      </c>
      <c r="H9" s="334">
        <f>SUM(E9:G9)</f>
        <v>5983400</v>
      </c>
      <c r="I9" s="325"/>
      <c r="J9" s="229"/>
      <c r="K9" s="229"/>
      <c r="L9" s="397"/>
    </row>
    <row r="10" spans="1:12" x14ac:dyDescent="0.25">
      <c r="A10" s="601" t="s">
        <v>60</v>
      </c>
      <c r="B10" s="602"/>
      <c r="C10" s="230" t="s">
        <v>59</v>
      </c>
      <c r="D10" s="213">
        <f>D9-D7</f>
        <v>-105.45599999999999</v>
      </c>
      <c r="E10" s="205">
        <f>E9-E7</f>
        <v>-2229588.3150055152</v>
      </c>
      <c r="F10" s="205">
        <f>F9-F7</f>
        <v>-447337.44179565867</v>
      </c>
      <c r="G10" s="205">
        <f>G9-G7</f>
        <v>-576326.50636737561</v>
      </c>
      <c r="H10" s="205">
        <f>H9-H7</f>
        <v>-3253252.2631685492</v>
      </c>
      <c r="I10" s="323"/>
      <c r="J10" s="139" t="str">
        <f>IF('HDAA|0290'!OrigApprop=0,"ERROR! Enter Original Appropriation amount in DU 3.00!","Calculated "&amp;IF('HDAA|0290'!AdjustedTotal&gt;0,"overfunding ","underfunding ")&amp;"is "&amp;TEXT('HDAA|0290'!AdjustedTotal/'HDAA|0290'!AppropTotal,"#.0%;(#.0% );0% ;")&amp;" of Original Appropriation")</f>
        <v>Calculated underfunding is (54.4% ) of Original Appropriation</v>
      </c>
      <c r="K10" s="231"/>
      <c r="L10" s="232"/>
    </row>
    <row r="12" spans="1:12" x14ac:dyDescent="0.25">
      <c r="A12" s="514" t="s">
        <v>871</v>
      </c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</row>
    <row r="13" spans="1:12" ht="39" x14ac:dyDescent="0.25">
      <c r="A13" s="626" t="s">
        <v>68</v>
      </c>
      <c r="B13" s="627"/>
      <c r="C13" s="146" t="s">
        <v>67</v>
      </c>
      <c r="D13" s="145" t="s">
        <v>33</v>
      </c>
      <c r="E13" s="300" t="str">
        <f>"FY "&amp;'HDAA|0499'!FiscalYear-1&amp;" SALARY"</f>
        <v>FY 2022 SALARY</v>
      </c>
      <c r="F13" s="300" t="str">
        <f>"FY "&amp;'HDAA|0499'!FiscalYear-1&amp;" HEALTH BENEFITS"</f>
        <v>FY 2022 HEALTH BENEFITS</v>
      </c>
      <c r="G13" s="300" t="str">
        <f>"FY "&amp;'HDAA|0499'!FiscalYear-1&amp;" VAR BENEFITS"</f>
        <v>FY 2022 VAR BENEFITS</v>
      </c>
      <c r="H13" s="300" t="str">
        <f>"FY "&amp;'HDAA|0499'!FiscalYear-1&amp;" TOTAL"</f>
        <v>FY 2022 TOTAL</v>
      </c>
      <c r="I13" s="300" t="str">
        <f>"FY "&amp;FiscalYear&amp;" SALARY CHG"</f>
        <v>FY 2023 SALARY CHG</v>
      </c>
      <c r="J13" s="300" t="str">
        <f>"FY "&amp;'HDAA|0499'!FiscalYear&amp;" CHG HEALTH BENEFITS"</f>
        <v>FY 2023 CHG HEALTH BENEFITS</v>
      </c>
      <c r="K13" s="300" t="str">
        <f>"FY "&amp;'HDAA|0499'!FiscalYear&amp;" CHG VAR BENEFITS"</f>
        <v>FY 2023 CHG VAR BENEFITS</v>
      </c>
      <c r="L13" s="300" t="s">
        <v>66</v>
      </c>
    </row>
    <row r="14" spans="1:12" x14ac:dyDescent="0.25">
      <c r="A14" s="617" t="s">
        <v>65</v>
      </c>
      <c r="B14" s="618"/>
      <c r="C14" s="215"/>
      <c r="D14" s="216"/>
      <c r="E14" s="217"/>
      <c r="F14" s="217"/>
      <c r="G14" s="217"/>
      <c r="H14" s="306"/>
      <c r="I14" s="306"/>
      <c r="J14" s="219"/>
      <c r="K14" s="220"/>
      <c r="L14" s="306"/>
    </row>
    <row r="15" spans="1:12" x14ac:dyDescent="0.25">
      <c r="A15" s="609" t="s">
        <v>64</v>
      </c>
      <c r="B15" s="619"/>
      <c r="C15" s="194">
        <v>1</v>
      </c>
      <c r="D15" s="188">
        <f>[0]!HDAA0499col_INC_FTI</f>
        <v>0.98</v>
      </c>
      <c r="E15" s="212">
        <f>[0]!HDAA0499col_FTI_SALARY_PERM</f>
        <v>55970.289999999994</v>
      </c>
      <c r="F15" s="212">
        <f>[0]!HDAA0499col_HEALTH_PERM</f>
        <v>11417</v>
      </c>
      <c r="G15" s="212">
        <f>[0]!HDAA0499col_TOT_VB_PERM</f>
        <v>12622.733091349999</v>
      </c>
      <c r="H15" s="307">
        <f>SUM(E15:G15)</f>
        <v>80010.023091349998</v>
      </c>
      <c r="I15" s="307">
        <f>[0]!HDAA0499col_1_27TH_PP</f>
        <v>0</v>
      </c>
      <c r="J15" s="212">
        <f>[0]!HDAA0499col_HEALTH_PERM_CHG</f>
        <v>0</v>
      </c>
      <c r="K15" s="212">
        <f>[0]!HDAA0499col_TOT_VB_PERM_CHG</f>
        <v>-291.04550799999998</v>
      </c>
      <c r="L15" s="212">
        <f>SUM(J15:K15)</f>
        <v>-291.04550799999998</v>
      </c>
    </row>
    <row r="16" spans="1:12" x14ac:dyDescent="0.25">
      <c r="A16" s="609" t="s">
        <v>63</v>
      </c>
      <c r="B16" s="619"/>
      <c r="C16" s="194">
        <v>2</v>
      </c>
      <c r="D16" s="188"/>
      <c r="E16" s="212">
        <f>[0]!HDAA0499col_Group_Salary</f>
        <v>6.5</v>
      </c>
      <c r="F16" s="212">
        <v>0</v>
      </c>
      <c r="G16" s="212">
        <f>[0]!HDAA0499col_Group_Ben</f>
        <v>0.56999999999999995</v>
      </c>
      <c r="H16" s="307">
        <f>SUM(E16:G16)</f>
        <v>7.07</v>
      </c>
      <c r="I16" s="325"/>
      <c r="J16" s="212"/>
      <c r="K16" s="212"/>
      <c r="L16" s="212"/>
    </row>
    <row r="17" spans="1:12" x14ac:dyDescent="0.25">
      <c r="A17" s="609" t="s">
        <v>62</v>
      </c>
      <c r="B17" s="610"/>
      <c r="C17" s="194">
        <v>3</v>
      </c>
      <c r="D17" s="188">
        <f>[0]!HDAA0499col_TOTAL_ELECT_PCN_FTI</f>
        <v>0</v>
      </c>
      <c r="E17" s="212">
        <f>[0]!HDAA0499col_FTI_SALARY_ELECT</f>
        <v>0</v>
      </c>
      <c r="F17" s="212">
        <f>[0]!HDAA0499col_HEALTH_ELECT</f>
        <v>0</v>
      </c>
      <c r="G17" s="212">
        <f>[0]!HDAA0499col_TOT_VB_ELECT</f>
        <v>0</v>
      </c>
      <c r="H17" s="307">
        <f>SUM(E17:G17)</f>
        <v>0</v>
      </c>
      <c r="I17" s="325"/>
      <c r="J17" s="212">
        <f>[0]!HDAA0499col_HEALTH_ELECT_CHG</f>
        <v>0</v>
      </c>
      <c r="K17" s="212">
        <f>[0]!HDAA0499col_TOT_VB_ELECT_CHG</f>
        <v>0</v>
      </c>
      <c r="L17" s="307">
        <f>SUM(J17:K17)</f>
        <v>0</v>
      </c>
    </row>
    <row r="18" spans="1:12" x14ac:dyDescent="0.25">
      <c r="A18" s="609" t="s">
        <v>61</v>
      </c>
      <c r="B18" s="619"/>
      <c r="C18" s="194"/>
      <c r="D18" s="221">
        <f>SUM(D15:D17)</f>
        <v>0.98</v>
      </c>
      <c r="E18" s="222">
        <f>SUM(E15:E17)</f>
        <v>55976.789999999994</v>
      </c>
      <c r="F18" s="222">
        <f>SUM(F15:F17)</f>
        <v>11417</v>
      </c>
      <c r="G18" s="222">
        <f>SUM(G15:G17)</f>
        <v>12623.303091349999</v>
      </c>
      <c r="H18" s="307">
        <f>SUM(E18:G18)</f>
        <v>80017.093091349991</v>
      </c>
      <c r="I18" s="325"/>
      <c r="J18" s="307">
        <f>SUM(J15:J17)</f>
        <v>0</v>
      </c>
      <c r="K18" s="307">
        <f>SUM(K15:K17)</f>
        <v>-291.04550799999998</v>
      </c>
      <c r="L18" s="307">
        <f>SUM(L15:L17)</f>
        <v>-291.04550799999998</v>
      </c>
    </row>
    <row r="19" spans="1:12" x14ac:dyDescent="0.25">
      <c r="A19" s="485"/>
      <c r="B19" s="489"/>
      <c r="C19" s="194"/>
      <c r="D19" s="221"/>
      <c r="E19" s="307"/>
      <c r="F19" s="307"/>
      <c r="G19" s="307"/>
      <c r="H19" s="307"/>
      <c r="I19" s="325"/>
      <c r="J19" s="307"/>
      <c r="K19" s="189"/>
      <c r="L19" s="307"/>
    </row>
    <row r="20" spans="1:12" x14ac:dyDescent="0.25">
      <c r="A20" s="225" t="str">
        <f>"FY "&amp;'HDAA|0499'!FiscalYear-1</f>
        <v>FY 2022</v>
      </c>
      <c r="B20" s="226" t="s">
        <v>47</v>
      </c>
      <c r="C20" s="227">
        <v>307900</v>
      </c>
      <c r="D20" s="228">
        <v>0</v>
      </c>
      <c r="E20" s="334">
        <f>IF('HDAA|0499'!OrigApprop=0,0,(E18/H18)*'HDAA|0499'!OrigApprop)</f>
        <v>215394.6485074595</v>
      </c>
      <c r="F20" s="334">
        <f>IF('HDAA|0499'!OrigApprop=0,0,(F18/H18)*'HDAA|0499'!OrigApprop)</f>
        <v>43931.792123300846</v>
      </c>
      <c r="G20" s="334">
        <f>IF(E20=0,0,(G18/H18)*'HDAA|0499'!OrigApprop)</f>
        <v>48573.559369239651</v>
      </c>
      <c r="H20" s="334">
        <f>SUM(E20:G20)</f>
        <v>307900</v>
      </c>
      <c r="I20" s="325"/>
      <c r="J20" s="229"/>
      <c r="K20" s="229"/>
      <c r="L20" s="397"/>
    </row>
    <row r="21" spans="1:12" x14ac:dyDescent="0.25">
      <c r="A21" s="601" t="s">
        <v>60</v>
      </c>
      <c r="B21" s="602"/>
      <c r="C21" s="230" t="s">
        <v>59</v>
      </c>
      <c r="D21" s="213">
        <f>D20-D18</f>
        <v>-0.98</v>
      </c>
      <c r="E21" s="205">
        <f>E20-E18</f>
        <v>159417.85850745952</v>
      </c>
      <c r="F21" s="205">
        <f>F20-F18</f>
        <v>32514.792123300846</v>
      </c>
      <c r="G21" s="205">
        <f>G20-G18</f>
        <v>35950.256277889654</v>
      </c>
      <c r="H21" s="205">
        <f>H20-H18</f>
        <v>227882.90690865001</v>
      </c>
      <c r="I21" s="323"/>
      <c r="J21" s="139" t="str">
        <f>IF('HDAA|0499'!OrigApprop=0,"ERROR! Enter Original Appropriation amount in DU 3.00!","Calculated "&amp;IF('HDAA|0499'!AdjustedTotal&gt;0,"overfunding ","underfunding ")&amp;"is "&amp;TEXT('HDAA|0499'!AdjustedTotal/'HDAA|0499'!AppropTotal,"#.0%;(#.0% );0% ;")&amp;" of Original Appropriation")</f>
        <v>Calculated overfunding is 74.0% of Original Appropriation</v>
      </c>
      <c r="K21" s="231"/>
      <c r="L21" s="232"/>
    </row>
  </sheetData>
  <mergeCells count="14">
    <mergeCell ref="A7:B7"/>
    <mergeCell ref="A2:B2"/>
    <mergeCell ref="A3:B3"/>
    <mergeCell ref="A4:B4"/>
    <mergeCell ref="A5:B5"/>
    <mergeCell ref="A6:B6"/>
    <mergeCell ref="A18:B18"/>
    <mergeCell ref="A21:B21"/>
    <mergeCell ref="A10:B10"/>
    <mergeCell ref="A13:B13"/>
    <mergeCell ref="A14:B14"/>
    <mergeCell ref="A15:B15"/>
    <mergeCell ref="A16:B16"/>
    <mergeCell ref="A17:B1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5" orientation="landscape" r:id="rId1"/>
  <headerFooter>
    <oddHeader>&amp;L&amp;"Arial"&amp;14 Public Health Districts&amp;R&amp;"Arial"&amp;10 Agency 951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7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80" t="s">
        <v>120</v>
      </c>
      <c r="B2" s="280"/>
      <c r="C2" s="280"/>
    </row>
    <row r="4" spans="1:13" ht="21" x14ac:dyDescent="0.35">
      <c r="A4" s="281"/>
      <c r="B4" s="281"/>
      <c r="C4" s="281"/>
    </row>
    <row r="5" spans="1:13" ht="15.75" customHeight="1" x14ac:dyDescent="0.25">
      <c r="E5" s="282" t="s">
        <v>106</v>
      </c>
      <c r="F5" s="628" t="s">
        <v>875</v>
      </c>
      <c r="G5" s="628"/>
      <c r="H5" s="629" t="s">
        <v>873</v>
      </c>
      <c r="I5" s="628" t="s">
        <v>876</v>
      </c>
      <c r="J5" s="628"/>
      <c r="K5" s="629" t="s">
        <v>874</v>
      </c>
      <c r="L5" s="628" t="s">
        <v>877</v>
      </c>
      <c r="M5" s="628"/>
    </row>
    <row r="6" spans="1:13" ht="15.75" customHeight="1" x14ac:dyDescent="0.25">
      <c r="E6" s="20"/>
      <c r="F6" s="282" t="s">
        <v>117</v>
      </c>
      <c r="G6" s="283" t="s">
        <v>118</v>
      </c>
      <c r="H6" s="630"/>
      <c r="I6" s="285" t="s">
        <v>121</v>
      </c>
      <c r="J6" s="283" t="s">
        <v>119</v>
      </c>
      <c r="K6" s="630"/>
      <c r="L6" s="282" t="s">
        <v>121</v>
      </c>
      <c r="M6" s="283" t="s">
        <v>119</v>
      </c>
    </row>
    <row r="7" spans="1:13" x14ac:dyDescent="0.25">
      <c r="A7" s="511" t="s">
        <v>878</v>
      </c>
    </row>
    <row r="8" spans="1:13" x14ac:dyDescent="0.25">
      <c r="C8" t="s">
        <v>879</v>
      </c>
      <c r="E8" s="521">
        <f>Data!AS191</f>
        <v>105.45599999999999</v>
      </c>
      <c r="F8" s="521">
        <f>Data!AT191</f>
        <v>5669640.5399999972</v>
      </c>
      <c r="G8" s="521">
        <f>Data!AU191</f>
        <v>2546160.1400000011</v>
      </c>
      <c r="H8" s="521">
        <f>Data!AV191</f>
        <v>5450992.6099999994</v>
      </c>
      <c r="I8" s="521">
        <f>Data!AW191</f>
        <v>1270083</v>
      </c>
      <c r="J8" s="521">
        <f>Data!AX191</f>
        <v>1228170.1631685498</v>
      </c>
      <c r="K8" s="521">
        <f>Data!AY191</f>
        <v>5450992.6099999994</v>
      </c>
      <c r="L8" s="521">
        <f>Data!AZ191</f>
        <v>1270083</v>
      </c>
      <c r="M8" s="521">
        <f>Data!BA191</f>
        <v>1200427.2468765504</v>
      </c>
    </row>
    <row r="9" spans="1:13" x14ac:dyDescent="0.25">
      <c r="B9" t="s">
        <v>880</v>
      </c>
      <c r="E9" s="522">
        <f>Data!AS192</f>
        <v>105.45599999999999</v>
      </c>
      <c r="F9" s="522">
        <f>Data!AT192</f>
        <v>5669640.5399999972</v>
      </c>
      <c r="G9" s="522">
        <f>Data!AU192</f>
        <v>2546160.1400000011</v>
      </c>
      <c r="H9" s="522">
        <f>Data!AV192</f>
        <v>5450992.6099999994</v>
      </c>
      <c r="I9" s="522">
        <f>Data!AW192</f>
        <v>1270083</v>
      </c>
      <c r="J9" s="522">
        <f>Data!AX192</f>
        <v>1228170.1631685498</v>
      </c>
      <c r="K9" s="522">
        <f>Data!AY192</f>
        <v>5450992.6099999994</v>
      </c>
      <c r="L9" s="522">
        <f>Data!AZ192</f>
        <v>1270083</v>
      </c>
      <c r="M9" s="522">
        <f>Data!BA192</f>
        <v>1200427.2468765504</v>
      </c>
    </row>
    <row r="10" spans="1:13" x14ac:dyDescent="0.25">
      <c r="C10" t="s">
        <v>881</v>
      </c>
      <c r="E10" s="521">
        <f>Data!AS193</f>
        <v>0.98</v>
      </c>
      <c r="F10" s="521">
        <f>Data!AT193</f>
        <v>36681.990000000005</v>
      </c>
      <c r="G10" s="521">
        <f>Data!AU193</f>
        <v>15348.510000000002</v>
      </c>
      <c r="H10" s="521">
        <f>Data!AV193</f>
        <v>55970.289999999994</v>
      </c>
      <c r="I10" s="521">
        <f>Data!AW193</f>
        <v>11417</v>
      </c>
      <c r="J10" s="521">
        <f>Data!AX193</f>
        <v>12622.733091349999</v>
      </c>
      <c r="K10" s="521">
        <f>Data!AY193</f>
        <v>55970.289999999994</v>
      </c>
      <c r="L10" s="521">
        <f>Data!AZ193</f>
        <v>11417</v>
      </c>
      <c r="M10" s="521">
        <f>Data!BA193</f>
        <v>12331.68758335</v>
      </c>
    </row>
    <row r="11" spans="1:13" x14ac:dyDescent="0.25">
      <c r="B11" t="s">
        <v>882</v>
      </c>
      <c r="E11" s="522">
        <f>Data!AS194</f>
        <v>0.98</v>
      </c>
      <c r="F11" s="522">
        <f>Data!AT194</f>
        <v>36681.990000000005</v>
      </c>
      <c r="G11" s="522">
        <f>Data!AU194</f>
        <v>15348.510000000002</v>
      </c>
      <c r="H11" s="522">
        <f>Data!AV194</f>
        <v>55970.289999999994</v>
      </c>
      <c r="I11" s="522">
        <f>Data!AW194</f>
        <v>11417</v>
      </c>
      <c r="J11" s="522">
        <f>Data!AX194</f>
        <v>12622.733091349999</v>
      </c>
      <c r="K11" s="522">
        <f>Data!AY194</f>
        <v>55970.289999999994</v>
      </c>
      <c r="L11" s="522">
        <f>Data!AZ194</f>
        <v>11417</v>
      </c>
      <c r="M11" s="522">
        <f>Data!BA194</f>
        <v>12331.68758335</v>
      </c>
    </row>
    <row r="12" spans="1:13" x14ac:dyDescent="0.25">
      <c r="E12" s="521">
        <f>Data!AS195</f>
        <v>0</v>
      </c>
      <c r="F12" s="521">
        <f>Data!AT195</f>
        <v>0</v>
      </c>
      <c r="G12" s="521">
        <f>Data!AU195</f>
        <v>0</v>
      </c>
      <c r="H12" s="521">
        <f>Data!AV195</f>
        <v>0</v>
      </c>
      <c r="I12" s="521">
        <f>Data!AW195</f>
        <v>0</v>
      </c>
      <c r="J12" s="521">
        <f>Data!AX195</f>
        <v>0</v>
      </c>
      <c r="K12" s="521">
        <f>Data!AY195</f>
        <v>0</v>
      </c>
      <c r="L12" s="521">
        <f>Data!AZ195</f>
        <v>0</v>
      </c>
      <c r="M12" s="521">
        <f>Data!BA195</f>
        <v>0</v>
      </c>
    </row>
    <row r="13" spans="1:13" x14ac:dyDescent="0.25">
      <c r="A13" s="515" t="s">
        <v>883</v>
      </c>
      <c r="E13" s="523">
        <f>Data!AS196</f>
        <v>106.43599999999999</v>
      </c>
      <c r="F13" s="523">
        <f>Data!AT196</f>
        <v>5706322.5299999975</v>
      </c>
      <c r="G13" s="523">
        <f>Data!AU196</f>
        <v>2561508.6500000008</v>
      </c>
      <c r="H13" s="523">
        <f>Data!AV196</f>
        <v>5506962.8999999994</v>
      </c>
      <c r="I13" s="523">
        <f>Data!AW196</f>
        <v>1281500</v>
      </c>
      <c r="J13" s="523">
        <f>Data!AX196</f>
        <v>1240792.8962598997</v>
      </c>
      <c r="K13" s="523">
        <f>Data!AY196</f>
        <v>5506962.8999999994</v>
      </c>
      <c r="L13" s="523">
        <f>Data!AZ196</f>
        <v>1281500</v>
      </c>
      <c r="M13" s="523">
        <f>Data!BA196</f>
        <v>1212758.9344599005</v>
      </c>
    </row>
    <row r="14" spans="1:13" x14ac:dyDescent="0.25">
      <c r="E14" s="521">
        <f>Data!AS197</f>
        <v>0</v>
      </c>
      <c r="F14" s="521">
        <f>Data!AT197</f>
        <v>0</v>
      </c>
      <c r="G14" s="521">
        <f>Data!AU197</f>
        <v>0</v>
      </c>
      <c r="H14" s="521">
        <f>Data!AV197</f>
        <v>0</v>
      </c>
      <c r="I14" s="521">
        <f>Data!AW197</f>
        <v>0</v>
      </c>
      <c r="J14" s="521">
        <f>Data!AX197</f>
        <v>0</v>
      </c>
      <c r="K14" s="521">
        <f>Data!AY197</f>
        <v>0</v>
      </c>
      <c r="L14" s="521">
        <f>Data!AZ197</f>
        <v>0</v>
      </c>
      <c r="M14" s="521">
        <f>Data!BA197</f>
        <v>0</v>
      </c>
    </row>
    <row r="15" spans="1:13" x14ac:dyDescent="0.25">
      <c r="A15" s="511" t="s">
        <v>884</v>
      </c>
      <c r="E15" s="521">
        <f>Data!AS198</f>
        <v>0</v>
      </c>
      <c r="F15" s="521">
        <f>Data!AT198</f>
        <v>0</v>
      </c>
      <c r="G15" s="521">
        <f>Data!AU198</f>
        <v>0</v>
      </c>
      <c r="H15" s="521">
        <f>Data!AV198</f>
        <v>0</v>
      </c>
      <c r="I15" s="521">
        <f>Data!AW198</f>
        <v>0</v>
      </c>
      <c r="J15" s="521">
        <f>Data!AX198</f>
        <v>0</v>
      </c>
      <c r="K15" s="521">
        <f>Data!AY198</f>
        <v>0</v>
      </c>
      <c r="L15" s="521">
        <f>Data!AZ198</f>
        <v>0</v>
      </c>
      <c r="M15" s="521">
        <f>Data!BA198</f>
        <v>0</v>
      </c>
    </row>
    <row r="16" spans="1:13" x14ac:dyDescent="0.25">
      <c r="C16" t="s">
        <v>879</v>
      </c>
      <c r="E16" s="521">
        <f>Data!AS199</f>
        <v>0</v>
      </c>
      <c r="F16" s="521">
        <f>Data!AT199</f>
        <v>879267.16999999993</v>
      </c>
      <c r="G16" s="521">
        <f>Data!AU199</f>
        <v>408139.31999999995</v>
      </c>
      <c r="H16" s="521">
        <f>Data!AV199</f>
        <v>879267.16999999993</v>
      </c>
      <c r="I16" s="521">
        <f>Data!AW199</f>
        <v>0</v>
      </c>
      <c r="J16" s="521">
        <f>Data!AX199</f>
        <v>408139.31999999995</v>
      </c>
      <c r="K16" s="521">
        <f>Data!AY199</f>
        <v>879267.16999999993</v>
      </c>
      <c r="L16" s="521">
        <f>Data!AZ199</f>
        <v>0</v>
      </c>
      <c r="M16" s="521">
        <f>Data!BA199</f>
        <v>408139.31999999995</v>
      </c>
    </row>
    <row r="17" spans="1:13" x14ac:dyDescent="0.25">
      <c r="B17" t="s">
        <v>880</v>
      </c>
      <c r="E17" s="522">
        <f>Data!AS200</f>
        <v>0</v>
      </c>
      <c r="F17" s="522">
        <f>Data!AT200</f>
        <v>879267.16999999993</v>
      </c>
      <c r="G17" s="522">
        <f>Data!AU200</f>
        <v>408139.31999999995</v>
      </c>
      <c r="H17" s="522">
        <f>Data!AV200</f>
        <v>879267.16999999993</v>
      </c>
      <c r="I17" s="522">
        <f>Data!AW200</f>
        <v>0</v>
      </c>
      <c r="J17" s="522">
        <f>Data!AX200</f>
        <v>408139.31999999995</v>
      </c>
      <c r="K17" s="522">
        <f>Data!AY200</f>
        <v>879267.16999999993</v>
      </c>
      <c r="L17" s="522">
        <f>Data!AZ200</f>
        <v>0</v>
      </c>
      <c r="M17" s="522">
        <f>Data!BA200</f>
        <v>408139.31999999995</v>
      </c>
    </row>
    <row r="18" spans="1:13" x14ac:dyDescent="0.25">
      <c r="C18" t="s">
        <v>881</v>
      </c>
      <c r="E18" s="521">
        <f>Data!AS201</f>
        <v>0</v>
      </c>
      <c r="F18" s="521">
        <f>Data!AT201</f>
        <v>6.5</v>
      </c>
      <c r="G18" s="521">
        <f>Data!AU201</f>
        <v>0.56999999999999995</v>
      </c>
      <c r="H18" s="521">
        <f>Data!AV201</f>
        <v>6.5</v>
      </c>
      <c r="I18" s="521">
        <f>Data!AW201</f>
        <v>0</v>
      </c>
      <c r="J18" s="521">
        <f>Data!AX201</f>
        <v>0.56999999999999995</v>
      </c>
      <c r="K18" s="521">
        <f>Data!AY201</f>
        <v>6.5</v>
      </c>
      <c r="L18" s="521">
        <f>Data!AZ201</f>
        <v>0</v>
      </c>
      <c r="M18" s="521">
        <f>Data!BA201</f>
        <v>0.56999999999999995</v>
      </c>
    </row>
    <row r="19" spans="1:13" x14ac:dyDescent="0.25">
      <c r="B19" t="s">
        <v>882</v>
      </c>
      <c r="E19" s="522">
        <f>Data!AS202</f>
        <v>0</v>
      </c>
      <c r="F19" s="522">
        <f>Data!AT202</f>
        <v>6.5</v>
      </c>
      <c r="G19" s="522">
        <f>Data!AU202</f>
        <v>0.56999999999999995</v>
      </c>
      <c r="H19" s="522">
        <f>Data!AV202</f>
        <v>6.5</v>
      </c>
      <c r="I19" s="522">
        <f>Data!AW202</f>
        <v>0</v>
      </c>
      <c r="J19" s="522">
        <f>Data!AX202</f>
        <v>0.56999999999999995</v>
      </c>
      <c r="K19" s="522">
        <f>Data!AY202</f>
        <v>6.5</v>
      </c>
      <c r="L19" s="522">
        <f>Data!AZ202</f>
        <v>0</v>
      </c>
      <c r="M19" s="522">
        <f>Data!BA202</f>
        <v>0.56999999999999995</v>
      </c>
    </row>
    <row r="20" spans="1:13" x14ac:dyDescent="0.25">
      <c r="E20" s="521">
        <f>Data!AS203</f>
        <v>0</v>
      </c>
      <c r="F20" s="521">
        <f>Data!AT203</f>
        <v>0</v>
      </c>
      <c r="G20" s="521">
        <f>Data!AU203</f>
        <v>0</v>
      </c>
      <c r="H20" s="521">
        <f>Data!AV203</f>
        <v>0</v>
      </c>
      <c r="I20" s="521">
        <f>Data!AW203</f>
        <v>0</v>
      </c>
      <c r="J20" s="521">
        <f>Data!AX203</f>
        <v>0</v>
      </c>
      <c r="K20" s="521">
        <f>Data!AY203</f>
        <v>0</v>
      </c>
      <c r="L20" s="521">
        <f>Data!AZ203</f>
        <v>0</v>
      </c>
      <c r="M20" s="521">
        <f>Data!BA203</f>
        <v>0</v>
      </c>
    </row>
    <row r="21" spans="1:13" x14ac:dyDescent="0.25">
      <c r="A21" s="515" t="s">
        <v>885</v>
      </c>
      <c r="E21" s="523">
        <f>Data!AS204</f>
        <v>0</v>
      </c>
      <c r="F21" s="523">
        <f>Data!AT204</f>
        <v>879273.66999999993</v>
      </c>
      <c r="G21" s="523">
        <f>Data!AU204</f>
        <v>408139.88999999996</v>
      </c>
      <c r="H21" s="523">
        <f>Data!AV204</f>
        <v>879273.66999999993</v>
      </c>
      <c r="I21" s="523">
        <f>Data!AW204</f>
        <v>0</v>
      </c>
      <c r="J21" s="523">
        <f>Data!AX204</f>
        <v>408139.88999999996</v>
      </c>
      <c r="K21" s="523">
        <f>Data!AY204</f>
        <v>879273.66999999993</v>
      </c>
      <c r="L21" s="523">
        <f>Data!AZ204</f>
        <v>0</v>
      </c>
      <c r="M21" s="523">
        <f>Data!BA204</f>
        <v>408139.88999999996</v>
      </c>
    </row>
    <row r="22" spans="1:13" x14ac:dyDescent="0.25">
      <c r="E22" s="521">
        <f>Data!AS205</f>
        <v>0</v>
      </c>
      <c r="F22" s="521">
        <f>Data!AT205</f>
        <v>0</v>
      </c>
      <c r="G22" s="521">
        <f>Data!AU205</f>
        <v>0</v>
      </c>
      <c r="H22" s="521">
        <f>Data!AV205</f>
        <v>0</v>
      </c>
      <c r="I22" s="521">
        <f>Data!AW205</f>
        <v>0</v>
      </c>
      <c r="J22" s="521">
        <f>Data!AX205</f>
        <v>0</v>
      </c>
      <c r="K22" s="521">
        <f>Data!AY205</f>
        <v>0</v>
      </c>
      <c r="L22" s="521">
        <f>Data!AZ205</f>
        <v>0</v>
      </c>
      <c r="M22" s="521">
        <f>Data!BA205</f>
        <v>0</v>
      </c>
    </row>
    <row r="23" spans="1:13" x14ac:dyDescent="0.25">
      <c r="A23" s="516" t="s">
        <v>886</v>
      </c>
      <c r="E23" s="519">
        <f>Data!AS206</f>
        <v>106.43599999999999</v>
      </c>
      <c r="F23" s="520">
        <f>Data!AT206</f>
        <v>6585596.1999999974</v>
      </c>
      <c r="G23" s="520">
        <f>Data!AU206</f>
        <v>2969648.540000001</v>
      </c>
      <c r="H23" s="520">
        <f>Data!AV206</f>
        <v>6386236.5699999994</v>
      </c>
      <c r="I23" s="520">
        <f>Data!AW206</f>
        <v>1281500</v>
      </c>
      <c r="J23" s="520">
        <f>Data!AX206</f>
        <v>1648932.7862598996</v>
      </c>
      <c r="K23" s="520">
        <f>Data!AY206</f>
        <v>6386236.5699999994</v>
      </c>
      <c r="L23" s="520">
        <f>Data!AZ206</f>
        <v>1281500</v>
      </c>
      <c r="M23" s="520">
        <f>Data!BA206</f>
        <v>1620898.8244599004</v>
      </c>
    </row>
  </sheetData>
  <mergeCells count="5">
    <mergeCell ref="F5:G5"/>
    <mergeCell ref="H5:H6"/>
    <mergeCell ref="I5:J5"/>
    <mergeCell ref="L5:M5"/>
    <mergeCell ref="K5:K6"/>
  </mergeCells>
  <pageMargins left="0.7" right="0.7" top="0.75" bottom="0.75" header="0.3" footer="0.3"/>
  <pageSetup scale="80" orientation="landscape" r:id="rId1"/>
  <headerFooter>
    <oddHeader>&amp;L&amp;"Arial"&amp;14 Public Health Districts&amp;R&amp;"Arial"&amp;10 Agency 951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772</vt:i4>
      </vt:variant>
    </vt:vector>
  </HeadingPairs>
  <TitlesOfParts>
    <vt:vector size="779" baseType="lpstr">
      <vt:lpstr>HDAA|0290</vt:lpstr>
      <vt:lpstr>HDAA|0499</vt:lpstr>
      <vt:lpstr>Data</vt:lpstr>
      <vt:lpstr>Benefits</vt:lpstr>
      <vt:lpstr>B6</vt:lpstr>
      <vt:lpstr>Summary</vt:lpstr>
      <vt:lpstr>FundSummary</vt:lpstr>
      <vt:lpstr>'HDAA|0290'!AdjGroupSalary</vt:lpstr>
      <vt:lpstr>'HDAA|0499'!AdjGroupSalary</vt:lpstr>
      <vt:lpstr>AdjGroupSalary</vt:lpstr>
      <vt:lpstr>'HDAA|0290'!AdjGroupVB</vt:lpstr>
      <vt:lpstr>'HDAA|0499'!AdjGroupVB</vt:lpstr>
      <vt:lpstr>AdjGroupVB</vt:lpstr>
      <vt:lpstr>'HDAA|0290'!AdjGroupVBBY</vt:lpstr>
      <vt:lpstr>'HDAA|0499'!AdjGroupVBBY</vt:lpstr>
      <vt:lpstr>AdjGroupVBBY</vt:lpstr>
      <vt:lpstr>'HDAA|0290'!AdjPermHlth</vt:lpstr>
      <vt:lpstr>'HDAA|0499'!AdjPermHlth</vt:lpstr>
      <vt:lpstr>AdjPermHlth</vt:lpstr>
      <vt:lpstr>'HDAA|0290'!AdjPermHlthVB</vt:lpstr>
      <vt:lpstr>'HDAA|0499'!AdjPermHlthVB</vt:lpstr>
      <vt:lpstr>AdjPermHlthVB</vt:lpstr>
      <vt:lpstr>'HDAA|0290'!AdjPermSalary</vt:lpstr>
      <vt:lpstr>'HDAA|0499'!AdjPermSalary</vt:lpstr>
      <vt:lpstr>AdjPermSalary</vt:lpstr>
      <vt:lpstr>'HDAA|0290'!AdjPermVB</vt:lpstr>
      <vt:lpstr>'HDAA|0499'!AdjPermVB</vt:lpstr>
      <vt:lpstr>AdjPermVB</vt:lpstr>
      <vt:lpstr>'HDAA|0290'!AdjPermVBBY</vt:lpstr>
      <vt:lpstr>'HDAA|0499'!AdjPermVBBY</vt:lpstr>
      <vt:lpstr>AdjPermVBBY</vt:lpstr>
      <vt:lpstr>'HDAA|0290'!AdjustedTotal</vt:lpstr>
      <vt:lpstr>'HDAA|0499'!AdjustedTotal</vt:lpstr>
      <vt:lpstr>AdjustedTotal</vt:lpstr>
      <vt:lpstr>'HDAA|0290'!AgencyNum</vt:lpstr>
      <vt:lpstr>'HDAA|0499'!AgencyNum</vt:lpstr>
      <vt:lpstr>AgencyNum</vt:lpstr>
      <vt:lpstr>'HDAA|0290'!AppropFTP</vt:lpstr>
      <vt:lpstr>'HDAA|0499'!AppropFTP</vt:lpstr>
      <vt:lpstr>AppropFTP</vt:lpstr>
      <vt:lpstr>'HDAA|0290'!AppropTotal</vt:lpstr>
      <vt:lpstr>'HDAA|0499'!AppropTotal</vt:lpstr>
      <vt:lpstr>AppropTotal</vt:lpstr>
      <vt:lpstr>'HDAA|0290'!AtZHealth</vt:lpstr>
      <vt:lpstr>'HDAA|0499'!AtZHealth</vt:lpstr>
      <vt:lpstr>AtZHealth</vt:lpstr>
      <vt:lpstr>'HDAA|0290'!AtZSalary</vt:lpstr>
      <vt:lpstr>'HDAA|0499'!AtZSalary</vt:lpstr>
      <vt:lpstr>AtZSalary</vt:lpstr>
      <vt:lpstr>'HDAA|0290'!AtZTotal</vt:lpstr>
      <vt:lpstr>'HDAA|0499'!AtZTotal</vt:lpstr>
      <vt:lpstr>AtZTotal</vt:lpstr>
      <vt:lpstr>'HDAA|0290'!AtZVarBen</vt:lpstr>
      <vt:lpstr>'HDAA|0499'!AtZVarBen</vt:lpstr>
      <vt:lpstr>AtZVarBen</vt:lpstr>
      <vt:lpstr>'HDAA|0290'!BucketActualsFundSplit</vt:lpstr>
      <vt:lpstr>'HDAA|0499'!BucketActualsFundSplit</vt:lpstr>
      <vt:lpstr>BucketActualsFundSplit</vt:lpstr>
      <vt:lpstr>'HDAA|0290'!BucketActualsFundTotal</vt:lpstr>
      <vt:lpstr>'HDAA|0499'!BucketActualsFundTotal</vt:lpstr>
      <vt:lpstr>BucketActualsFundTotal</vt:lpstr>
      <vt:lpstr>'HDAA|0290'!BucketFundName1</vt:lpstr>
      <vt:lpstr>'HDAA|0499'!BucketFundName1</vt:lpstr>
      <vt:lpstr>BucketFundName1</vt:lpstr>
      <vt:lpstr>'HDAA|0290'!BucketFundName10</vt:lpstr>
      <vt:lpstr>'HDAA|0499'!BucketFundName10</vt:lpstr>
      <vt:lpstr>BucketFundName10</vt:lpstr>
      <vt:lpstr>'HDAA|0290'!BucketFundName2</vt:lpstr>
      <vt:lpstr>'HDAA|0499'!BucketFundName2</vt:lpstr>
      <vt:lpstr>BucketFundName2</vt:lpstr>
      <vt:lpstr>'HDAA|0290'!BucketFundName3</vt:lpstr>
      <vt:lpstr>'HDAA|0499'!BucketFundName3</vt:lpstr>
      <vt:lpstr>BucketFundName3</vt:lpstr>
      <vt:lpstr>'HDAA|0290'!BucketFundName4</vt:lpstr>
      <vt:lpstr>'HDAA|0499'!BucketFundName4</vt:lpstr>
      <vt:lpstr>BucketFundName4</vt:lpstr>
      <vt:lpstr>'HDAA|0290'!BucketFundName5</vt:lpstr>
      <vt:lpstr>'HDAA|0499'!BucketFundName5</vt:lpstr>
      <vt:lpstr>BucketFundName5</vt:lpstr>
      <vt:lpstr>'HDAA|0290'!BucketFundName6</vt:lpstr>
      <vt:lpstr>'HDAA|0499'!BucketFundName6</vt:lpstr>
      <vt:lpstr>BucketFundName6</vt:lpstr>
      <vt:lpstr>'HDAA|0290'!BucketFundName7</vt:lpstr>
      <vt:lpstr>'HDAA|0499'!BucketFundName7</vt:lpstr>
      <vt:lpstr>BucketFundName7</vt:lpstr>
      <vt:lpstr>'HDAA|0290'!BucketFundName8</vt:lpstr>
      <vt:lpstr>'HDAA|0499'!BucketFundName8</vt:lpstr>
      <vt:lpstr>BucketFundName8</vt:lpstr>
      <vt:lpstr>'HDAA|0290'!BucketFundName9</vt:lpstr>
      <vt:lpstr>'HDAA|0499'!BucketFundName9</vt:lpstr>
      <vt:lpstr>BucketFundName9</vt:lpstr>
      <vt:lpstr>'HDAA|0290'!BucketFundSplit</vt:lpstr>
      <vt:lpstr>'HDAA|0499'!BucketFundSplit</vt:lpstr>
      <vt:lpstr>BucketFundSplit</vt:lpstr>
      <vt:lpstr>'HDAA|0290'!BucketFundType0</vt:lpstr>
      <vt:lpstr>'HDAA|0499'!BucketFundType0</vt:lpstr>
      <vt:lpstr>BucketFundType0</vt:lpstr>
      <vt:lpstr>'HDAA|0290'!BucketFundType1</vt:lpstr>
      <vt:lpstr>'HDAA|0499'!BucketFundType1</vt:lpstr>
      <vt:lpstr>BucketFundType1</vt:lpstr>
      <vt:lpstr>'HDAA|0290'!BucketFundType10</vt:lpstr>
      <vt:lpstr>'HDAA|0499'!BucketFundType10</vt:lpstr>
      <vt:lpstr>BucketFundType10</vt:lpstr>
      <vt:lpstr>'HDAA|0290'!BucketFundType2</vt:lpstr>
      <vt:lpstr>'HDAA|0499'!BucketFundType2</vt:lpstr>
      <vt:lpstr>BucketFundType2</vt:lpstr>
      <vt:lpstr>'HDAA|0290'!BucketFundType3</vt:lpstr>
      <vt:lpstr>'HDAA|0499'!BucketFundType3</vt:lpstr>
      <vt:lpstr>BucketFundType3</vt:lpstr>
      <vt:lpstr>'HDAA|0290'!BucketFundType4</vt:lpstr>
      <vt:lpstr>'HDAA|0499'!BucketFundType4</vt:lpstr>
      <vt:lpstr>BucketFundType4</vt:lpstr>
      <vt:lpstr>'HDAA|0290'!BucketFundType5</vt:lpstr>
      <vt:lpstr>'HDAA|0499'!BucketFundType5</vt:lpstr>
      <vt:lpstr>BucketFundType5</vt:lpstr>
      <vt:lpstr>'HDAA|0290'!BucketFundType6</vt:lpstr>
      <vt:lpstr>'HDAA|0499'!BucketFundType6</vt:lpstr>
      <vt:lpstr>BucketFundType6</vt:lpstr>
      <vt:lpstr>'HDAA|0290'!BucketFundType7</vt:lpstr>
      <vt:lpstr>'HDAA|0499'!BucketFundType7</vt:lpstr>
      <vt:lpstr>BucketFundType7</vt:lpstr>
      <vt:lpstr>'HDAA|0290'!BucketFundType8</vt:lpstr>
      <vt:lpstr>'HDAA|0499'!BucketFundType8</vt:lpstr>
      <vt:lpstr>BucketFundType8</vt:lpstr>
      <vt:lpstr>'HDAA|0290'!BucketOrigAppropFundSplit</vt:lpstr>
      <vt:lpstr>'HDAA|0499'!BucketOrigAppropFundSplit</vt:lpstr>
      <vt:lpstr>BucketOrigAppropFundSplit</vt:lpstr>
      <vt:lpstr>'HDAA|0290'!BucketOrigAppropTotal</vt:lpstr>
      <vt:lpstr>'HDAA|0499'!BucketOrigAppropTotal</vt:lpstr>
      <vt:lpstr>BucketOrigAppropTotal</vt:lpstr>
      <vt:lpstr>'HDAA|0290'!BudgetUnit</vt:lpstr>
      <vt:lpstr>'HDAA|0499'!BudgetUnit</vt:lpstr>
      <vt:lpstr>BudgetUnit</vt:lpstr>
      <vt:lpstr>BudgetYear</vt:lpstr>
      <vt:lpstr>'HDAA|0290'!CECBucket</vt:lpstr>
      <vt:lpstr>'HDAA|0499'!CECBucket</vt:lpstr>
      <vt:lpstr>CECBucket</vt:lpstr>
      <vt:lpstr>CECGroup</vt:lpstr>
      <vt:lpstr>'HDAA|0290'!CECGroupBucket</vt:lpstr>
      <vt:lpstr>'HDAA|0499'!CECGroupBucket</vt:lpstr>
      <vt:lpstr>CECGroupBucket</vt:lpstr>
      <vt:lpstr>'HDAA|0290'!CECOrigGroupSalary</vt:lpstr>
      <vt:lpstr>'HDAA|0499'!CECOrigGroupSalary</vt:lpstr>
      <vt:lpstr>CECOrigGroupSalary</vt:lpstr>
      <vt:lpstr>'HDAA|0290'!CECOrigGroupVB</vt:lpstr>
      <vt:lpstr>'HDAA|0499'!CECOrigGroupVB</vt:lpstr>
      <vt:lpstr>CECOrigGroupVB</vt:lpstr>
      <vt:lpstr>'HDAA|0290'!CECOrigPermSalary</vt:lpstr>
      <vt:lpstr>'HDAA|0499'!CECOrigPermSalary</vt:lpstr>
      <vt:lpstr>CECOrigPermSalary</vt:lpstr>
      <vt:lpstr>'HDAA|0290'!CECOrigPermVB</vt:lpstr>
      <vt:lpstr>'HDAA|0499'!CECOrigPermVB</vt:lpstr>
      <vt:lpstr>CECOrigPermVB</vt:lpstr>
      <vt:lpstr>CECPerm</vt:lpstr>
      <vt:lpstr>'HDAA|0290'!Department</vt:lpstr>
      <vt:lpstr>'HDAA|0499'!Department</vt:lpstr>
      <vt:lpstr>Department</vt:lpstr>
      <vt:lpstr>DHR</vt:lpstr>
      <vt:lpstr>DHRBY</vt:lpstr>
      <vt:lpstr>DHRCHG</vt:lpstr>
      <vt:lpstr>'HDAA|0290'!Division</vt:lpstr>
      <vt:lpstr>'HDAA|0499'!Division</vt:lpstr>
      <vt:lpstr>Division</vt:lpstr>
      <vt:lpstr>'HDAA|0290'!DUCECGroup</vt:lpstr>
      <vt:lpstr>'HDAA|0499'!DUCECGroup</vt:lpstr>
      <vt:lpstr>DUCECGroup</vt:lpstr>
      <vt:lpstr>'HDAA|0290'!DUCECPerm</vt:lpstr>
      <vt:lpstr>'HDAA|0499'!DUCECPerm</vt:lpstr>
      <vt:lpstr>DUCECPerm</vt:lpstr>
      <vt:lpstr>'HDAA|0290'!DUEleven</vt:lpstr>
      <vt:lpstr>'HDAA|0499'!DUEleven</vt:lpstr>
      <vt:lpstr>DUEleven</vt:lpstr>
      <vt:lpstr>'HDAA|0290'!DUHealthBen</vt:lpstr>
      <vt:lpstr>'HDAA|0499'!DUHealthBen</vt:lpstr>
      <vt:lpstr>DUHealthBen</vt:lpstr>
      <vt:lpstr>'HDAA|0290'!DUNine</vt:lpstr>
      <vt:lpstr>'HDAA|0499'!DUNine</vt:lpstr>
      <vt:lpstr>DUNine</vt:lpstr>
      <vt:lpstr>'HDAA|0290'!DUThirteen</vt:lpstr>
      <vt:lpstr>'HDAA|0499'!DUThirteen</vt:lpstr>
      <vt:lpstr>DUThirteen</vt:lpstr>
      <vt:lpstr>'HDAA|0290'!DUVariableBen</vt:lpstr>
      <vt:lpstr>'HDAA|0499'!DUVariableBen</vt:lpstr>
      <vt:lpstr>DUVariableBen</vt:lpstr>
      <vt:lpstr>'HDAA|0290'!Elect_chg_health</vt:lpstr>
      <vt:lpstr>'HDAA|0499'!Elect_chg_health</vt:lpstr>
      <vt:lpstr>Elect_chg_health</vt:lpstr>
      <vt:lpstr>'HDAA|0290'!Elect_chg_Var</vt:lpstr>
      <vt:lpstr>'HDAA|0499'!Elect_chg_Var</vt:lpstr>
      <vt:lpstr>Elect_chg_Var</vt:lpstr>
      <vt:lpstr>'HDAA|0290'!elect_FTP</vt:lpstr>
      <vt:lpstr>'HDAA|0499'!elect_FTP</vt:lpstr>
      <vt:lpstr>elect_FTP</vt:lpstr>
      <vt:lpstr>'HDAA|0290'!Elect_health</vt:lpstr>
      <vt:lpstr>'HDAA|0499'!Elect_health</vt:lpstr>
      <vt:lpstr>Elect_health</vt:lpstr>
      <vt:lpstr>'HDAA|0290'!Elect_name</vt:lpstr>
      <vt:lpstr>'HDAA|0499'!Elect_name</vt:lpstr>
      <vt:lpstr>Elect_name</vt:lpstr>
      <vt:lpstr>'HDAA|0290'!Elect_salary</vt:lpstr>
      <vt:lpstr>'HDAA|0499'!Elect_salary</vt:lpstr>
      <vt:lpstr>Elect_salary</vt:lpstr>
      <vt:lpstr>'HDAA|0290'!Elect_Var</vt:lpstr>
      <vt:lpstr>'HDAA|0499'!Elect_Var</vt:lpstr>
      <vt:lpstr>Elect_Var</vt:lpstr>
      <vt:lpstr>'HDAA|0290'!Elect_VarBen</vt:lpstr>
      <vt:lpstr>'HDAA|0499'!Elect_VarBen</vt:lpstr>
      <vt:lpstr>Elect_VarBen</vt:lpstr>
      <vt:lpstr>ElectVB</vt:lpstr>
      <vt:lpstr>ElectVBBY</vt:lpstr>
      <vt:lpstr>ElectVBCHG</vt:lpstr>
      <vt:lpstr>'HDAA|0290'!FD10CECBucket</vt:lpstr>
      <vt:lpstr>'HDAA|0499'!FD10CECBucket</vt:lpstr>
      <vt:lpstr>FD10CECBucket</vt:lpstr>
      <vt:lpstr>'HDAA|0290'!FD10CECFS</vt:lpstr>
      <vt:lpstr>'HDAA|0499'!FD10CECFS</vt:lpstr>
      <vt:lpstr>FD10CECFS</vt:lpstr>
      <vt:lpstr>'HDAA|0290'!FD10CECGroupBucket</vt:lpstr>
      <vt:lpstr>'HDAA|0499'!FD10CECGroupBucket</vt:lpstr>
      <vt:lpstr>FD10CECGroupBucket</vt:lpstr>
      <vt:lpstr>'HDAA|0290'!FD10CECGroupFS</vt:lpstr>
      <vt:lpstr>'HDAA|0499'!FD10CECGroupFS</vt:lpstr>
      <vt:lpstr>FD10CECGroupFS</vt:lpstr>
      <vt:lpstr>'HDAA|0290'!FD10HlthBucket</vt:lpstr>
      <vt:lpstr>'HDAA|0499'!FD10HlthBucket</vt:lpstr>
      <vt:lpstr>FD10HlthBucket</vt:lpstr>
      <vt:lpstr>'HDAA|0290'!FD10HlthFS</vt:lpstr>
      <vt:lpstr>'HDAA|0499'!FD10HlthFS</vt:lpstr>
      <vt:lpstr>FD10HlthFS</vt:lpstr>
      <vt:lpstr>'HDAA|0290'!FD10VBBucket</vt:lpstr>
      <vt:lpstr>'HDAA|0499'!FD10VBBucket</vt:lpstr>
      <vt:lpstr>FD10VBBucket</vt:lpstr>
      <vt:lpstr>'HDAA|0290'!FD10VBFS</vt:lpstr>
      <vt:lpstr>'HDAA|0499'!FD10VBFS</vt:lpstr>
      <vt:lpstr>FD10VBFS</vt:lpstr>
      <vt:lpstr>'HDAA|0290'!FD1CECBucket</vt:lpstr>
      <vt:lpstr>'HDAA|0499'!FD1CECBucket</vt:lpstr>
      <vt:lpstr>FD1CECBucket</vt:lpstr>
      <vt:lpstr>'HDAA|0290'!FD1CECFS</vt:lpstr>
      <vt:lpstr>'HDAA|0499'!FD1CECFS</vt:lpstr>
      <vt:lpstr>FD1CECFS</vt:lpstr>
      <vt:lpstr>'HDAA|0290'!FD1CECGroupBucket</vt:lpstr>
      <vt:lpstr>'HDAA|0499'!FD1CECGroupBucket</vt:lpstr>
      <vt:lpstr>FD1CECGroupBucket</vt:lpstr>
      <vt:lpstr>'HDAA|0290'!FD1CECGroupFS</vt:lpstr>
      <vt:lpstr>'HDAA|0499'!FD1CECGroupFS</vt:lpstr>
      <vt:lpstr>FD1CECGroupFS</vt:lpstr>
      <vt:lpstr>'HDAA|0290'!FD1HlthBucket</vt:lpstr>
      <vt:lpstr>'HDAA|0499'!FD1HlthBucket</vt:lpstr>
      <vt:lpstr>FD1HlthBucket</vt:lpstr>
      <vt:lpstr>'HDAA|0290'!FD1HlthFS</vt:lpstr>
      <vt:lpstr>'HDAA|0499'!FD1HlthFS</vt:lpstr>
      <vt:lpstr>FD1HlthFS</vt:lpstr>
      <vt:lpstr>'HDAA|0290'!FD1VBBucket</vt:lpstr>
      <vt:lpstr>'HDAA|0499'!FD1VBBucket</vt:lpstr>
      <vt:lpstr>FD1VBBucket</vt:lpstr>
      <vt:lpstr>'HDAA|0290'!FD1VBFS</vt:lpstr>
      <vt:lpstr>'HDAA|0499'!FD1VBFS</vt:lpstr>
      <vt:lpstr>FD1VBFS</vt:lpstr>
      <vt:lpstr>'HDAA|0290'!FD2CECBucket</vt:lpstr>
      <vt:lpstr>'HDAA|0499'!FD2CECBucket</vt:lpstr>
      <vt:lpstr>FD2CECBucket</vt:lpstr>
      <vt:lpstr>'HDAA|0290'!FD2CECFS</vt:lpstr>
      <vt:lpstr>'HDAA|0499'!FD2CECFS</vt:lpstr>
      <vt:lpstr>FD2CECFS</vt:lpstr>
      <vt:lpstr>'HDAA|0290'!FD2CECGroupBucket</vt:lpstr>
      <vt:lpstr>'HDAA|0499'!FD2CECGroupBucket</vt:lpstr>
      <vt:lpstr>FD2CECGroupBucket</vt:lpstr>
      <vt:lpstr>'HDAA|0290'!FD2CECGroupFS</vt:lpstr>
      <vt:lpstr>'HDAA|0499'!FD2CECGroupFS</vt:lpstr>
      <vt:lpstr>FD2CECGroupFS</vt:lpstr>
      <vt:lpstr>'HDAA|0290'!FD2HlthBucket</vt:lpstr>
      <vt:lpstr>'HDAA|0499'!FD2HlthBucket</vt:lpstr>
      <vt:lpstr>FD2HlthBucket</vt:lpstr>
      <vt:lpstr>'HDAA|0290'!FD2HlthFS</vt:lpstr>
      <vt:lpstr>'HDAA|0499'!FD2HlthFS</vt:lpstr>
      <vt:lpstr>FD2HlthFS</vt:lpstr>
      <vt:lpstr>'HDAA|0290'!FD2VBBucket</vt:lpstr>
      <vt:lpstr>'HDAA|0499'!FD2VBBucket</vt:lpstr>
      <vt:lpstr>FD2VBBucket</vt:lpstr>
      <vt:lpstr>'HDAA|0290'!FD2VBFS</vt:lpstr>
      <vt:lpstr>'HDAA|0499'!FD2VBFS</vt:lpstr>
      <vt:lpstr>FD2VBFS</vt:lpstr>
      <vt:lpstr>'HDAA|0290'!FD3CECBucket</vt:lpstr>
      <vt:lpstr>'HDAA|0499'!FD3CECBucket</vt:lpstr>
      <vt:lpstr>FD3CECBucket</vt:lpstr>
      <vt:lpstr>'HDAA|0290'!FD3CECFS</vt:lpstr>
      <vt:lpstr>'HDAA|0499'!FD3CECFS</vt:lpstr>
      <vt:lpstr>FD3CECFS</vt:lpstr>
      <vt:lpstr>'HDAA|0290'!FD3CECGroupBucket</vt:lpstr>
      <vt:lpstr>'HDAA|0499'!FD3CECGroupBucket</vt:lpstr>
      <vt:lpstr>FD3CECGroupBucket</vt:lpstr>
      <vt:lpstr>'HDAA|0290'!FD3CECGroupFS</vt:lpstr>
      <vt:lpstr>'HDAA|0499'!FD3CECGroupFS</vt:lpstr>
      <vt:lpstr>FD3CECGroupFS</vt:lpstr>
      <vt:lpstr>'HDAA|0290'!FD3HlthBucket</vt:lpstr>
      <vt:lpstr>'HDAA|0499'!FD3HlthBucket</vt:lpstr>
      <vt:lpstr>FD3HlthBucket</vt:lpstr>
      <vt:lpstr>'HDAA|0290'!FD3HlthFS</vt:lpstr>
      <vt:lpstr>'HDAA|0499'!FD3HlthFS</vt:lpstr>
      <vt:lpstr>FD3HlthFS</vt:lpstr>
      <vt:lpstr>'HDAA|0290'!FD3VBBucket</vt:lpstr>
      <vt:lpstr>'HDAA|0499'!FD3VBBucket</vt:lpstr>
      <vt:lpstr>FD3VBBucket</vt:lpstr>
      <vt:lpstr>'HDAA|0290'!FD3VBFS</vt:lpstr>
      <vt:lpstr>'HDAA|0499'!FD3VBFS</vt:lpstr>
      <vt:lpstr>FD3VBFS</vt:lpstr>
      <vt:lpstr>'HDAA|0290'!FD4CECBucket</vt:lpstr>
      <vt:lpstr>'HDAA|0499'!FD4CECBucket</vt:lpstr>
      <vt:lpstr>FD4CECBucket</vt:lpstr>
      <vt:lpstr>'HDAA|0290'!FD4CECFS</vt:lpstr>
      <vt:lpstr>'HDAA|0499'!FD4CECFS</vt:lpstr>
      <vt:lpstr>FD4CECFS</vt:lpstr>
      <vt:lpstr>'HDAA|0290'!FD4CECGroupBucket</vt:lpstr>
      <vt:lpstr>'HDAA|0499'!FD4CECGroupBucket</vt:lpstr>
      <vt:lpstr>FD4CECGroupBucket</vt:lpstr>
      <vt:lpstr>'HDAA|0290'!FD4CECGroupFS</vt:lpstr>
      <vt:lpstr>'HDAA|0499'!FD4CECGroupFS</vt:lpstr>
      <vt:lpstr>FD4CECGroupFS</vt:lpstr>
      <vt:lpstr>'HDAA|0290'!FD4HlthBucket</vt:lpstr>
      <vt:lpstr>'HDAA|0499'!FD4HlthBucket</vt:lpstr>
      <vt:lpstr>FD4HlthBucket</vt:lpstr>
      <vt:lpstr>'HDAA|0290'!FD4HlthFS</vt:lpstr>
      <vt:lpstr>'HDAA|0499'!FD4HlthFS</vt:lpstr>
      <vt:lpstr>FD4HlthFS</vt:lpstr>
      <vt:lpstr>'HDAA|0290'!FD4VBBucket</vt:lpstr>
      <vt:lpstr>'HDAA|0499'!FD4VBBucket</vt:lpstr>
      <vt:lpstr>FD4VBBucket</vt:lpstr>
      <vt:lpstr>'HDAA|0290'!FD4VBFS</vt:lpstr>
      <vt:lpstr>'HDAA|0499'!FD4VBFS</vt:lpstr>
      <vt:lpstr>FD4VBFS</vt:lpstr>
      <vt:lpstr>'HDAA|0290'!FD5CECBucket</vt:lpstr>
      <vt:lpstr>'HDAA|0499'!FD5CECBucket</vt:lpstr>
      <vt:lpstr>FD5CECBucket</vt:lpstr>
      <vt:lpstr>'HDAA|0290'!FD5CECFS</vt:lpstr>
      <vt:lpstr>'HDAA|0499'!FD5CECFS</vt:lpstr>
      <vt:lpstr>FD5CECFS</vt:lpstr>
      <vt:lpstr>'HDAA|0290'!FD5CECGroupBucket</vt:lpstr>
      <vt:lpstr>'HDAA|0499'!FD5CECGroupBucket</vt:lpstr>
      <vt:lpstr>FD5CECGroupBucket</vt:lpstr>
      <vt:lpstr>'HDAA|0290'!FD5CECGroupFS</vt:lpstr>
      <vt:lpstr>'HDAA|0499'!FD5CECGroupFS</vt:lpstr>
      <vt:lpstr>FD5CECGroupFS</vt:lpstr>
      <vt:lpstr>'HDAA|0290'!FD5HlthBucket</vt:lpstr>
      <vt:lpstr>'HDAA|0499'!FD5HlthBucket</vt:lpstr>
      <vt:lpstr>FD5HlthBucket</vt:lpstr>
      <vt:lpstr>'HDAA|0290'!FD5HlthFS</vt:lpstr>
      <vt:lpstr>'HDAA|0499'!FD5HlthFS</vt:lpstr>
      <vt:lpstr>FD5HlthFS</vt:lpstr>
      <vt:lpstr>'HDAA|0290'!FD5VBBucket</vt:lpstr>
      <vt:lpstr>'HDAA|0499'!FD5VBBucket</vt:lpstr>
      <vt:lpstr>FD5VBBucket</vt:lpstr>
      <vt:lpstr>'HDAA|0290'!FD5VBFS</vt:lpstr>
      <vt:lpstr>'HDAA|0499'!FD5VBFS</vt:lpstr>
      <vt:lpstr>FD5VBFS</vt:lpstr>
      <vt:lpstr>'HDAA|0290'!FD6CECBucket</vt:lpstr>
      <vt:lpstr>'HDAA|0499'!FD6CECBucket</vt:lpstr>
      <vt:lpstr>FD6CECBucket</vt:lpstr>
      <vt:lpstr>'HDAA|0290'!FD6CECFS</vt:lpstr>
      <vt:lpstr>'HDAA|0499'!FD6CECFS</vt:lpstr>
      <vt:lpstr>FD6CECFS</vt:lpstr>
      <vt:lpstr>'HDAA|0290'!FD6CECGroupBucket</vt:lpstr>
      <vt:lpstr>'HDAA|0499'!FD6CECGroupBucket</vt:lpstr>
      <vt:lpstr>FD6CECGroupBucket</vt:lpstr>
      <vt:lpstr>'HDAA|0290'!FD6CECGroupFS</vt:lpstr>
      <vt:lpstr>'HDAA|0499'!FD6CECGroupFS</vt:lpstr>
      <vt:lpstr>FD6CECGroupFS</vt:lpstr>
      <vt:lpstr>'HDAA|0290'!FD6HlthBucket</vt:lpstr>
      <vt:lpstr>'HDAA|0499'!FD6HlthBucket</vt:lpstr>
      <vt:lpstr>FD6HlthBucket</vt:lpstr>
      <vt:lpstr>'HDAA|0290'!FD6HlthFS</vt:lpstr>
      <vt:lpstr>'HDAA|0499'!FD6HlthFS</vt:lpstr>
      <vt:lpstr>FD6HlthFS</vt:lpstr>
      <vt:lpstr>'HDAA|0290'!FD6VBBucket</vt:lpstr>
      <vt:lpstr>'HDAA|0499'!FD6VBBucket</vt:lpstr>
      <vt:lpstr>FD6VBBucket</vt:lpstr>
      <vt:lpstr>'HDAA|0290'!FD6VBFS</vt:lpstr>
      <vt:lpstr>'HDAA|0499'!FD6VBFS</vt:lpstr>
      <vt:lpstr>FD6VBFS</vt:lpstr>
      <vt:lpstr>'HDAA|0290'!FD7CECBucket</vt:lpstr>
      <vt:lpstr>'HDAA|0499'!FD7CECBucket</vt:lpstr>
      <vt:lpstr>FD7CECBucket</vt:lpstr>
      <vt:lpstr>'HDAA|0290'!FD7CECFS</vt:lpstr>
      <vt:lpstr>'HDAA|0499'!FD7CECFS</vt:lpstr>
      <vt:lpstr>FD7CECFS</vt:lpstr>
      <vt:lpstr>'HDAA|0290'!FD7CECGroupBucket</vt:lpstr>
      <vt:lpstr>'HDAA|0499'!FD7CECGroupBucket</vt:lpstr>
      <vt:lpstr>FD7CECGroupBucket</vt:lpstr>
      <vt:lpstr>'HDAA|0290'!FD7CECGroupFS</vt:lpstr>
      <vt:lpstr>'HDAA|0499'!FD7CECGroupFS</vt:lpstr>
      <vt:lpstr>FD7CECGroupFS</vt:lpstr>
      <vt:lpstr>'HDAA|0290'!FD7HlthBucket</vt:lpstr>
      <vt:lpstr>'HDAA|0499'!FD7HlthBucket</vt:lpstr>
      <vt:lpstr>FD7HlthBucket</vt:lpstr>
      <vt:lpstr>'HDAA|0290'!FD7HlthFS</vt:lpstr>
      <vt:lpstr>'HDAA|0499'!FD7HlthFS</vt:lpstr>
      <vt:lpstr>FD7HlthFS</vt:lpstr>
      <vt:lpstr>'HDAA|0290'!FD7VBBucket</vt:lpstr>
      <vt:lpstr>'HDAA|0499'!FD7VBBucket</vt:lpstr>
      <vt:lpstr>FD7VBBucket</vt:lpstr>
      <vt:lpstr>'HDAA|0290'!FD7VBFS</vt:lpstr>
      <vt:lpstr>'HDAA|0499'!FD7VBFS</vt:lpstr>
      <vt:lpstr>FD7VBFS</vt:lpstr>
      <vt:lpstr>'HDAA|0290'!FD8CECBucket</vt:lpstr>
      <vt:lpstr>'HDAA|0499'!FD8CECBucket</vt:lpstr>
      <vt:lpstr>FD8CECBucket</vt:lpstr>
      <vt:lpstr>'HDAA|0290'!FD8CECFS</vt:lpstr>
      <vt:lpstr>'HDAA|0499'!FD8CECFS</vt:lpstr>
      <vt:lpstr>FD8CECFS</vt:lpstr>
      <vt:lpstr>'HDAA|0290'!FD8CECGroupBucket</vt:lpstr>
      <vt:lpstr>'HDAA|0499'!FD8CECGroupBucket</vt:lpstr>
      <vt:lpstr>FD8CECGroupBucket</vt:lpstr>
      <vt:lpstr>'HDAA|0290'!FD8CECGroupFS</vt:lpstr>
      <vt:lpstr>'HDAA|0499'!FD8CECGroupFS</vt:lpstr>
      <vt:lpstr>FD8CECGroupFS</vt:lpstr>
      <vt:lpstr>'HDAA|0290'!FD8HlthBucket</vt:lpstr>
      <vt:lpstr>'HDAA|0499'!FD8HlthBucket</vt:lpstr>
      <vt:lpstr>FD8HlthBucket</vt:lpstr>
      <vt:lpstr>'HDAA|0290'!FD8HlthFS</vt:lpstr>
      <vt:lpstr>'HDAA|0499'!FD8HlthFS</vt:lpstr>
      <vt:lpstr>FD8HlthFS</vt:lpstr>
      <vt:lpstr>'HDAA|0290'!FD8VBBucket</vt:lpstr>
      <vt:lpstr>'HDAA|0499'!FD8VBBucket</vt:lpstr>
      <vt:lpstr>FD8VBBucket</vt:lpstr>
      <vt:lpstr>'HDAA|0290'!FD8VBFS</vt:lpstr>
      <vt:lpstr>'HDAA|0499'!FD8VBFS</vt:lpstr>
      <vt:lpstr>FD8VBFS</vt:lpstr>
      <vt:lpstr>'HDAA|0290'!FD9CECBucket</vt:lpstr>
      <vt:lpstr>'HDAA|0499'!FD9CECBucket</vt:lpstr>
      <vt:lpstr>FD9CECBucket</vt:lpstr>
      <vt:lpstr>'HDAA|0290'!FD9CECFS</vt:lpstr>
      <vt:lpstr>'HDAA|0499'!FD9CECFS</vt:lpstr>
      <vt:lpstr>FD9CECFS</vt:lpstr>
      <vt:lpstr>'HDAA|0290'!FD9CECGroupBucket</vt:lpstr>
      <vt:lpstr>'HDAA|0499'!FD9CECGroupBucket</vt:lpstr>
      <vt:lpstr>FD9CECGroupBucket</vt:lpstr>
      <vt:lpstr>'HDAA|0290'!FD9CECGroupFS</vt:lpstr>
      <vt:lpstr>'HDAA|0499'!FD9CECGroupFS</vt:lpstr>
      <vt:lpstr>FD9CECGroupFS</vt:lpstr>
      <vt:lpstr>'HDAA|0290'!FD9HlthBucket</vt:lpstr>
      <vt:lpstr>'HDAA|0499'!FD9HlthBucket</vt:lpstr>
      <vt:lpstr>FD9HlthBucket</vt:lpstr>
      <vt:lpstr>'HDAA|0290'!FD9HlthFS</vt:lpstr>
      <vt:lpstr>'HDAA|0499'!FD9HlthFS</vt:lpstr>
      <vt:lpstr>FD9HlthFS</vt:lpstr>
      <vt:lpstr>'HDAA|0290'!FD9VBBucket</vt:lpstr>
      <vt:lpstr>'HDAA|0499'!FD9VBBucket</vt:lpstr>
      <vt:lpstr>FD9VBBucket</vt:lpstr>
      <vt:lpstr>'HDAA|0290'!FD9VBFS</vt:lpstr>
      <vt:lpstr>'HDAA|0499'!FD9VBFS</vt:lpstr>
      <vt:lpstr>FD9VBFS</vt:lpstr>
      <vt:lpstr>FillRate_Avg</vt:lpstr>
      <vt:lpstr>'HDAA|0290'!FiscalYear</vt:lpstr>
      <vt:lpstr>'HDAA|0499'!FiscalYear</vt:lpstr>
      <vt:lpstr>FiscalYear</vt:lpstr>
      <vt:lpstr>'HDAA|0290'!FundDetail1</vt:lpstr>
      <vt:lpstr>'HDAA|0499'!FundDetail1</vt:lpstr>
      <vt:lpstr>FundDetail1</vt:lpstr>
      <vt:lpstr>'HDAA|0290'!FundDetail10</vt:lpstr>
      <vt:lpstr>'HDAA|0499'!FundDetail10</vt:lpstr>
      <vt:lpstr>FundDetail10</vt:lpstr>
      <vt:lpstr>'HDAA|0290'!FundDetail2</vt:lpstr>
      <vt:lpstr>'HDAA|0499'!FundDetail2</vt:lpstr>
      <vt:lpstr>FundDetail2</vt:lpstr>
      <vt:lpstr>'HDAA|0290'!FundDetail3</vt:lpstr>
      <vt:lpstr>'HDAA|0499'!FundDetail3</vt:lpstr>
      <vt:lpstr>FundDetail3</vt:lpstr>
      <vt:lpstr>'HDAA|0290'!FundDetail4</vt:lpstr>
      <vt:lpstr>'HDAA|0499'!FundDetail4</vt:lpstr>
      <vt:lpstr>FundDetail4</vt:lpstr>
      <vt:lpstr>'HDAA|0290'!FundDetail5</vt:lpstr>
      <vt:lpstr>'HDAA|0499'!FundDetail5</vt:lpstr>
      <vt:lpstr>FundDetail5</vt:lpstr>
      <vt:lpstr>'HDAA|0290'!FundDetail6</vt:lpstr>
      <vt:lpstr>'HDAA|0499'!FundDetail6</vt:lpstr>
      <vt:lpstr>FundDetail6</vt:lpstr>
      <vt:lpstr>'HDAA|0290'!FundDetail7</vt:lpstr>
      <vt:lpstr>'HDAA|0499'!FundDetail7</vt:lpstr>
      <vt:lpstr>FundDetail7</vt:lpstr>
      <vt:lpstr>'HDAA|0290'!FundDetail8</vt:lpstr>
      <vt:lpstr>'HDAA|0499'!FundDetail8</vt:lpstr>
      <vt:lpstr>FundDetail8</vt:lpstr>
      <vt:lpstr>'HDAA|0290'!FundDetail9</vt:lpstr>
      <vt:lpstr>'HDAA|0499'!FundDetail9</vt:lpstr>
      <vt:lpstr>FundDetail9</vt:lpstr>
      <vt:lpstr>'HDAA|0290'!FundName</vt:lpstr>
      <vt:lpstr>'HDAA|0499'!FundName</vt:lpstr>
      <vt:lpstr>FundName</vt:lpstr>
      <vt:lpstr>'HDAA|0290'!FundNameBucket</vt:lpstr>
      <vt:lpstr>'HDAA|0499'!FundNameBucket</vt:lpstr>
      <vt:lpstr>FundNameBucket</vt:lpstr>
      <vt:lpstr>'HDAA|0290'!FundNum</vt:lpstr>
      <vt:lpstr>'HDAA|0499'!FundNum</vt:lpstr>
      <vt:lpstr>FundNum</vt:lpstr>
      <vt:lpstr>'HDAA|0290'!FundNumber</vt:lpstr>
      <vt:lpstr>'HDAA|0499'!FundNumber</vt:lpstr>
      <vt:lpstr>FundNumber</vt:lpstr>
      <vt:lpstr>'HDAA|0290'!FundNumberBucket</vt:lpstr>
      <vt:lpstr>'HDAA|0499'!FundNumberBucket</vt:lpstr>
      <vt:lpstr>FundNumberBucket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'HDAA|0290'!FundTotalBucket</vt:lpstr>
      <vt:lpstr>'HDAA|0499'!FundTotalBucket</vt:lpstr>
      <vt:lpstr>FundTotalBucket</vt:lpstr>
      <vt:lpstr>'HDAA|0290'!Group_name</vt:lpstr>
      <vt:lpstr>'HDAA|0499'!Group_name</vt:lpstr>
      <vt:lpstr>Group_name</vt:lpstr>
      <vt:lpstr>'HDAA|0290'!GroupFxdBen</vt:lpstr>
      <vt:lpstr>'HDAA|0499'!GroupFxdBen</vt:lpstr>
      <vt:lpstr>GroupFxdBen</vt:lpstr>
      <vt:lpstr>'HDAA|0290'!GroupSalary</vt:lpstr>
      <vt:lpstr>'HDAA|0499'!GroupSalary</vt:lpstr>
      <vt:lpstr>GroupSalary</vt:lpstr>
      <vt:lpstr>'HDAA|0290'!GroupVarBen</vt:lpstr>
      <vt:lpstr>'HDAA|0499'!GroupVarBen</vt:lpstr>
      <vt:lpstr>GroupVarBen</vt:lpstr>
      <vt:lpstr>GroupVB</vt:lpstr>
      <vt:lpstr>GroupVBBY</vt:lpstr>
      <vt:lpstr>GroupVBCHG</vt:lpstr>
      <vt:lpstr>HDAA0290col_1_27TH_PP</vt:lpstr>
      <vt:lpstr>HDAA0290col_DHR</vt:lpstr>
      <vt:lpstr>HDAA0290col_DHR_BY</vt:lpstr>
      <vt:lpstr>HDAA0290col_DHR_CHG</vt:lpstr>
      <vt:lpstr>HDAA0290col_FTI_SALARY_ELECT</vt:lpstr>
      <vt:lpstr>HDAA0290col_FTI_SALARY_PERM</vt:lpstr>
      <vt:lpstr>HDAA0290col_FTI_SALARY_SSDI</vt:lpstr>
      <vt:lpstr>HDAA0290col_Group_Ben</vt:lpstr>
      <vt:lpstr>HDAA0290col_Group_Salary</vt:lpstr>
      <vt:lpstr>HDAA0290col_HEALTH_ELECT</vt:lpstr>
      <vt:lpstr>HDAA0290col_HEALTH_ELECT_BY</vt:lpstr>
      <vt:lpstr>HDAA0290col_HEALTH_ELECT_CHG</vt:lpstr>
      <vt:lpstr>HDAA0290col_HEALTH_PERM</vt:lpstr>
      <vt:lpstr>HDAA0290col_HEALTH_PERM_BY</vt:lpstr>
      <vt:lpstr>HDAA0290col_HEALTH_PERM_CHG</vt:lpstr>
      <vt:lpstr>HDAA0290col_INC_FTI</vt:lpstr>
      <vt:lpstr>HDAA0290col_LIFE_INS</vt:lpstr>
      <vt:lpstr>HDAA0290col_LIFE_INS_BY</vt:lpstr>
      <vt:lpstr>HDAA0290col_LIFE_INS_CHG</vt:lpstr>
      <vt:lpstr>HDAA0290col_RETIREMENT</vt:lpstr>
      <vt:lpstr>HDAA0290col_RETIREMENT_BY</vt:lpstr>
      <vt:lpstr>HDAA0290col_RETIREMENT_CHG</vt:lpstr>
      <vt:lpstr>HDAA0290col_ROWS_PER_PCN</vt:lpstr>
      <vt:lpstr>HDAA0290col_SICK</vt:lpstr>
      <vt:lpstr>HDAA0290col_SICK_BY</vt:lpstr>
      <vt:lpstr>HDAA0290col_SICK_CHG</vt:lpstr>
      <vt:lpstr>HDAA0290col_SSDI</vt:lpstr>
      <vt:lpstr>HDAA0290col_SSDI_BY</vt:lpstr>
      <vt:lpstr>HDAA0290col_SSDI_CHG</vt:lpstr>
      <vt:lpstr>HDAA0290col_SSHI</vt:lpstr>
      <vt:lpstr>HDAA0290col_SSHI_BY</vt:lpstr>
      <vt:lpstr>HDAA0290col_SSHI_CHGv</vt:lpstr>
      <vt:lpstr>HDAA0290col_TOT_VB_ELECT</vt:lpstr>
      <vt:lpstr>HDAA0290col_TOT_VB_ELECT_BY</vt:lpstr>
      <vt:lpstr>HDAA0290col_TOT_VB_ELECT_CHG</vt:lpstr>
      <vt:lpstr>HDAA0290col_TOT_VB_PERM</vt:lpstr>
      <vt:lpstr>HDAA0290col_TOT_VB_PERM_BY</vt:lpstr>
      <vt:lpstr>HDAA0290col_TOT_VB_PERM_CHG</vt:lpstr>
      <vt:lpstr>HDAA0290col_TOTAL_ELECT_PCN_FTI</vt:lpstr>
      <vt:lpstr>HDAA0290col_TOTAL_ELECT_PCN_FTI_ALT</vt:lpstr>
      <vt:lpstr>HDAA0290col_TOTAL_PERM_PCN_FTI</vt:lpstr>
      <vt:lpstr>HDAA0290col_UNEMP_INS</vt:lpstr>
      <vt:lpstr>HDAA0290col_UNEMP_INS_BY</vt:lpstr>
      <vt:lpstr>HDAA0290col_UNEMP_INS_CHG</vt:lpstr>
      <vt:lpstr>HDAA0290col_WORKERS_COMP</vt:lpstr>
      <vt:lpstr>HDAA0290col_WORKERS_COMP_BY</vt:lpstr>
      <vt:lpstr>HDAA0290col_WORKERS_COMP_CHG</vt:lpstr>
      <vt:lpstr>HDAA0499col_1_27TH_PP</vt:lpstr>
      <vt:lpstr>HDAA0499col_DHR</vt:lpstr>
      <vt:lpstr>HDAA0499col_DHR_BY</vt:lpstr>
      <vt:lpstr>HDAA0499col_DHR_CHG</vt:lpstr>
      <vt:lpstr>HDAA0499col_FTI_SALARY_ELECT</vt:lpstr>
      <vt:lpstr>HDAA0499col_FTI_SALARY_PERM</vt:lpstr>
      <vt:lpstr>HDAA0499col_FTI_SALARY_SSDI</vt:lpstr>
      <vt:lpstr>HDAA0499col_Group_Ben</vt:lpstr>
      <vt:lpstr>HDAA0499col_Group_Salary</vt:lpstr>
      <vt:lpstr>HDAA0499col_HEALTH_ELECT</vt:lpstr>
      <vt:lpstr>HDAA0499col_HEALTH_ELECT_BY</vt:lpstr>
      <vt:lpstr>HDAA0499col_HEALTH_ELECT_CHG</vt:lpstr>
      <vt:lpstr>HDAA0499col_HEALTH_PERM</vt:lpstr>
      <vt:lpstr>HDAA0499col_HEALTH_PERM_BY</vt:lpstr>
      <vt:lpstr>HDAA0499col_HEALTH_PERM_CHG</vt:lpstr>
      <vt:lpstr>HDAA0499col_INC_FTI</vt:lpstr>
      <vt:lpstr>HDAA0499col_LIFE_INS</vt:lpstr>
      <vt:lpstr>HDAA0499col_LIFE_INS_BY</vt:lpstr>
      <vt:lpstr>HDAA0499col_LIFE_INS_CHG</vt:lpstr>
      <vt:lpstr>HDAA0499col_RETIREMENT</vt:lpstr>
      <vt:lpstr>HDAA0499col_RETIREMENT_BY</vt:lpstr>
      <vt:lpstr>HDAA0499col_RETIREMENT_CHG</vt:lpstr>
      <vt:lpstr>HDAA0499col_ROWS_PER_PCN</vt:lpstr>
      <vt:lpstr>HDAA0499col_SICK</vt:lpstr>
      <vt:lpstr>HDAA0499col_SICK_BY</vt:lpstr>
      <vt:lpstr>HDAA0499col_SICK_CHG</vt:lpstr>
      <vt:lpstr>HDAA0499col_SSDI</vt:lpstr>
      <vt:lpstr>HDAA0499col_SSDI_BY</vt:lpstr>
      <vt:lpstr>HDAA0499col_SSDI_CHG</vt:lpstr>
      <vt:lpstr>HDAA0499col_SSHI</vt:lpstr>
      <vt:lpstr>HDAA0499col_SSHI_BY</vt:lpstr>
      <vt:lpstr>HDAA0499col_SSHI_CHGv</vt:lpstr>
      <vt:lpstr>HDAA0499col_TOT_VB_ELECT</vt:lpstr>
      <vt:lpstr>HDAA0499col_TOT_VB_ELECT_BY</vt:lpstr>
      <vt:lpstr>HDAA0499col_TOT_VB_ELECT_CHG</vt:lpstr>
      <vt:lpstr>HDAA0499col_TOT_VB_PERM</vt:lpstr>
      <vt:lpstr>HDAA0499col_TOT_VB_PERM_BY</vt:lpstr>
      <vt:lpstr>HDAA0499col_TOT_VB_PERM_CHG</vt:lpstr>
      <vt:lpstr>HDAA0499col_TOTAL_ELECT_PCN_FTI</vt:lpstr>
      <vt:lpstr>HDAA0499col_TOTAL_ELECT_PCN_FTI_ALT</vt:lpstr>
      <vt:lpstr>HDAA0499col_TOTAL_PERM_PCN_FTI</vt:lpstr>
      <vt:lpstr>HDAA0499col_UNEMP_INS</vt:lpstr>
      <vt:lpstr>HDAA0499col_UNEMP_INS_BY</vt:lpstr>
      <vt:lpstr>HDAA0499col_UNEMP_INS_CHG</vt:lpstr>
      <vt:lpstr>HDAA0499col_WORKERS_COMP</vt:lpstr>
      <vt:lpstr>HDAA0499col_WORKERS_COMP_BY</vt:lpstr>
      <vt:lpstr>HDAA0499col_WORKERS_COMP_CHG</vt:lpstr>
      <vt:lpstr>Health</vt:lpstr>
      <vt:lpstr>'HDAA|0290'!HealthBucket</vt:lpstr>
      <vt:lpstr>'HDAA|0499'!HealthBucket</vt:lpstr>
      <vt:lpstr>HealthBucket</vt:lpstr>
      <vt:lpstr>HealthBY</vt:lpstr>
      <vt:lpstr>HealthCHG</vt:lpstr>
      <vt:lpstr>Life</vt:lpstr>
      <vt:lpstr>LifeBY</vt:lpstr>
      <vt:lpstr>LifeCHG</vt:lpstr>
      <vt:lpstr>'HDAA|0290'!LumaFund</vt:lpstr>
      <vt:lpstr>'HDAA|0499'!LumaFund</vt:lpstr>
      <vt:lpstr>LumaFund</vt:lpstr>
      <vt:lpstr>MAXSSDI</vt:lpstr>
      <vt:lpstr>MAXSSDIBY</vt:lpstr>
      <vt:lpstr>'HDAA|0290'!NEW_AdjGroup</vt:lpstr>
      <vt:lpstr>'HDAA|0499'!NEW_AdjGroup</vt:lpstr>
      <vt:lpstr>NEW_AdjGroup</vt:lpstr>
      <vt:lpstr>'HDAA|0290'!NEW_AdjGroupSalary</vt:lpstr>
      <vt:lpstr>'HDAA|0499'!NEW_AdjGroupSalary</vt:lpstr>
      <vt:lpstr>NEW_AdjGroupSalary</vt:lpstr>
      <vt:lpstr>'HDAA|0290'!NEW_AdjGroupVB</vt:lpstr>
      <vt:lpstr>'HDAA|0499'!NEW_AdjGroupVB</vt:lpstr>
      <vt:lpstr>NEW_AdjGroupVB</vt:lpstr>
      <vt:lpstr>'HDAA|0290'!NEW_AdjONLYGroup</vt:lpstr>
      <vt:lpstr>'HDAA|0499'!NEW_AdjONLYGroup</vt:lpstr>
      <vt:lpstr>NEW_AdjONLYGroup</vt:lpstr>
      <vt:lpstr>'HDAA|0290'!NEW_AdjONLYGroupSalary</vt:lpstr>
      <vt:lpstr>'HDAA|0499'!NEW_AdjONLYGroupSalary</vt:lpstr>
      <vt:lpstr>NEW_AdjONLYGroupSalary</vt:lpstr>
      <vt:lpstr>'HDAA|0290'!NEW_AdjONLYGroupVB</vt:lpstr>
      <vt:lpstr>'HDAA|0499'!NEW_AdjONLYGroupVB</vt:lpstr>
      <vt:lpstr>NEW_AdjONLYGroupVB</vt:lpstr>
      <vt:lpstr>'HDAA|0290'!NEW_AdjONLYPerm</vt:lpstr>
      <vt:lpstr>'HDAA|0499'!NEW_AdjONLYPerm</vt:lpstr>
      <vt:lpstr>NEW_AdjONLYPerm</vt:lpstr>
      <vt:lpstr>'HDAA|0290'!NEW_AdjONLYPermSalary</vt:lpstr>
      <vt:lpstr>'HDAA|0499'!NEW_AdjONLYPermSalary</vt:lpstr>
      <vt:lpstr>NEW_AdjONLYPermSalary</vt:lpstr>
      <vt:lpstr>'HDAA|0290'!NEW_AdjONLYPermVB</vt:lpstr>
      <vt:lpstr>'HDAA|0499'!NEW_AdjONLYPermVB</vt:lpstr>
      <vt:lpstr>NEW_AdjONLYPermVB</vt:lpstr>
      <vt:lpstr>'HDAA|0290'!NEW_AdjPerm</vt:lpstr>
      <vt:lpstr>'HDAA|0499'!NEW_AdjPerm</vt:lpstr>
      <vt:lpstr>NEW_AdjPerm</vt:lpstr>
      <vt:lpstr>'HDAA|0290'!NEW_AdjPermSalary</vt:lpstr>
      <vt:lpstr>'HDAA|0499'!NEW_AdjPermSalary</vt:lpstr>
      <vt:lpstr>NEW_AdjPermSalary</vt:lpstr>
      <vt:lpstr>'HDAA|0290'!NEW_AdjPermVB</vt:lpstr>
      <vt:lpstr>'HDAA|0499'!NEW_AdjPermVB</vt:lpstr>
      <vt:lpstr>NEW_AdjPermVB</vt:lpstr>
      <vt:lpstr>'HDAA|0290'!NEW_GroupFilled</vt:lpstr>
      <vt:lpstr>'HDAA|0499'!NEW_GroupFilled</vt:lpstr>
      <vt:lpstr>NEW_GroupFilled</vt:lpstr>
      <vt:lpstr>'HDAA|0290'!NEW_GroupSalaryFilled</vt:lpstr>
      <vt:lpstr>'HDAA|0499'!NEW_GroupSalaryFilled</vt:lpstr>
      <vt:lpstr>NEW_GroupSalaryFilled</vt:lpstr>
      <vt:lpstr>'HDAA|0290'!NEW_GroupVBFilled</vt:lpstr>
      <vt:lpstr>'HDAA|0499'!NEW_GroupVBFilled</vt:lpstr>
      <vt:lpstr>NEW_GroupVBFilled</vt:lpstr>
      <vt:lpstr>'HDAA|0290'!NEW_PermFilled</vt:lpstr>
      <vt:lpstr>'HDAA|0499'!NEW_PermFilled</vt:lpstr>
      <vt:lpstr>NEW_PermFilled</vt:lpstr>
      <vt:lpstr>'HDAA|0290'!NEW_PermSalaryFilled</vt:lpstr>
      <vt:lpstr>'HDAA|0499'!NEW_PermSalaryFilled</vt:lpstr>
      <vt:lpstr>NEW_PermSalaryFilled</vt:lpstr>
      <vt:lpstr>'HDAA|0290'!NEW_PermVBFilled</vt:lpstr>
      <vt:lpstr>'HDAA|0499'!NEW_PermVBFilled</vt:lpstr>
      <vt:lpstr>NEW_PermVBFilled</vt:lpstr>
      <vt:lpstr>'HDAA|0290'!OneTimePC_Total</vt:lpstr>
      <vt:lpstr>'HDAA|0499'!OneTimePC_Total</vt:lpstr>
      <vt:lpstr>OneTimePC_Total</vt:lpstr>
      <vt:lpstr>'HDAA|0290'!OrigApprop</vt:lpstr>
      <vt:lpstr>'HDAA|0499'!OrigApprop</vt:lpstr>
      <vt:lpstr>OrigApprop</vt:lpstr>
      <vt:lpstr>'HDAA|0290'!perm_name</vt:lpstr>
      <vt:lpstr>'HDAA|0499'!perm_name</vt:lpstr>
      <vt:lpstr>perm_name</vt:lpstr>
      <vt:lpstr>'HDAA|0290'!PermFTP</vt:lpstr>
      <vt:lpstr>'HDAA|0499'!PermFTP</vt:lpstr>
      <vt:lpstr>PermFTP</vt:lpstr>
      <vt:lpstr>'HDAA|0290'!PermFxdBen</vt:lpstr>
      <vt:lpstr>'HDAA|0499'!PermFxdBen</vt:lpstr>
      <vt:lpstr>PermFxdBen</vt:lpstr>
      <vt:lpstr>'HDAA|0290'!PermFxdBenChg</vt:lpstr>
      <vt:lpstr>'HDAA|0499'!PermFxdBenChg</vt:lpstr>
      <vt:lpstr>PermFxdBenChg</vt:lpstr>
      <vt:lpstr>'HDAA|0290'!PermFxdChg</vt:lpstr>
      <vt:lpstr>'HDAA|0499'!PermFxdChg</vt:lpstr>
      <vt:lpstr>PermFxdChg</vt:lpstr>
      <vt:lpstr>'HDAA|0290'!PermSalary</vt:lpstr>
      <vt:lpstr>'HDAA|0499'!PermSalary</vt:lpstr>
      <vt:lpstr>PermSalary</vt:lpstr>
      <vt:lpstr>'HDAA|0290'!PermVarBen</vt:lpstr>
      <vt:lpstr>'HDAA|0499'!PermVarBen</vt:lpstr>
      <vt:lpstr>PermVarBen</vt:lpstr>
      <vt:lpstr>'HDAA|0290'!PermVarBenChg</vt:lpstr>
      <vt:lpstr>'HDAA|0499'!PermVarBenChg</vt:lpstr>
      <vt:lpstr>PermVarBenChg</vt:lpstr>
      <vt:lpstr>PermVB</vt:lpstr>
      <vt:lpstr>PermVBBY</vt:lpstr>
      <vt:lpstr>PermVBCHG</vt:lpstr>
      <vt:lpstr>'B6'!Print_Area</vt:lpstr>
      <vt:lpstr>Data!Print_Area</vt:lpstr>
      <vt:lpstr>'HDAA|0290'!Print_Area</vt:lpstr>
      <vt:lpstr>'HDAA|0499'!Print_Area</vt:lpstr>
      <vt:lpstr>'HDAA|0290'!Prog_Unadjusted_Total</vt:lpstr>
      <vt:lpstr>'HDAA|0499'!Prog_Unadjusted_Total</vt:lpstr>
      <vt:lpstr>Prog_Unadjusted_Total</vt:lpstr>
      <vt:lpstr>'HDAA|0290'!Program</vt:lpstr>
      <vt:lpstr>'HDAA|0499'!Program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'HDAA|0290'!SalaryChg</vt:lpstr>
      <vt:lpstr>'HDAA|0499'!SalaryChg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'HDAA|0290'!TypeGDFBucket</vt:lpstr>
      <vt:lpstr>'HDAA|0499'!TypeGDFBucket</vt:lpstr>
      <vt:lpstr>TypeGDFBucket</vt:lpstr>
      <vt:lpstr>UI</vt:lpstr>
      <vt:lpstr>UIBY</vt:lpstr>
      <vt:lpstr>UICHG</vt:lpstr>
      <vt:lpstr>'HDAA|0290'!VariableBenBucket</vt:lpstr>
      <vt:lpstr>'HDAA|0499'!VariableBenBucket</vt:lpstr>
      <vt:lpstr>VariableBenBucket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952 B6</dc:title>
  <dc:subject>B6</dc:subject>
  <dc:creator>Shane Winslow</dc:creator>
  <cp:lastModifiedBy>Janet Jessup</cp:lastModifiedBy>
  <cp:lastPrinted>2019-07-03T20:48:54Z</cp:lastPrinted>
  <dcterms:created xsi:type="dcterms:W3CDTF">2013-05-01T19:55:41Z</dcterms:created>
  <dcterms:modified xsi:type="dcterms:W3CDTF">2021-07-15T16:52:03Z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7411309d-e37f-4c02-847f-32f0ca2fdc05</vt:lpwstr>
  </property>
</Properties>
</file>