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2D0D5C40-8B0D-49D2-88BA-011764683A43}" xr6:coauthVersionLast="47" xr6:coauthVersionMax="47" xr10:uidLastSave="{00000000-0000-0000-0000-000000000000}"/>
  <bookViews>
    <workbookView xWindow="-25995" yWindow="2970" windowWidth="21600" windowHeight="11325" xr2:uid="{00000000-000D-0000-FFFF-FFFF00000000}"/>
  </bookViews>
  <sheets>
    <sheet name="LBPA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'LBPA|0001-00'!$H$39</definedName>
    <definedName name="AdjGroupHlth">'B6'!$H$39</definedName>
    <definedName name="AdjGroupSalary" localSheetId="0">'LBPA|0001-00'!$G$39</definedName>
    <definedName name="AdjGroupSalary">'B6'!$G$39</definedName>
    <definedName name="AdjGroupVB" localSheetId="0">'LBPA|0001-00'!$I$39</definedName>
    <definedName name="AdjGroupVB">'B6'!$I$39</definedName>
    <definedName name="AdjGroupVBBY" localSheetId="0">'LBPA|0001-00'!$M$39</definedName>
    <definedName name="AdjGroupVBBY">'B6'!$M$39</definedName>
    <definedName name="AdjPermHlth" localSheetId="0">'LBPA|0001-00'!$H$38</definedName>
    <definedName name="AdjPermHlth">'B6'!$H$38</definedName>
    <definedName name="AdjPermHlthBY" localSheetId="0">'LBPA|0001-00'!$L$38</definedName>
    <definedName name="AdjPermHlthBY">'B6'!$L$38</definedName>
    <definedName name="AdjPermSalary" localSheetId="0">'LBPA|0001-00'!$G$38</definedName>
    <definedName name="AdjPermSalary">'B6'!$G$38</definedName>
    <definedName name="AdjPermVB" localSheetId="0">'LBPA|0001-00'!$I$38</definedName>
    <definedName name="AdjPermVB">'B6'!$I$38</definedName>
    <definedName name="AdjPermVBBY" localSheetId="0">'LBPA|0001-00'!$M$38</definedName>
    <definedName name="AdjPermVBBY">'B6'!$M$38</definedName>
    <definedName name="AdjustedTotal" localSheetId="0">'LBPA|0001-00'!$J$16</definedName>
    <definedName name="AdjustedTotal">'B6'!$J$16</definedName>
    <definedName name="AgencyNum" localSheetId="0">'LBPA|0001-00'!$M$1</definedName>
    <definedName name="AgencyNum">'B6'!$M$1</definedName>
    <definedName name="AppropFTP" localSheetId="0">'LBPA|0001-00'!$F$15</definedName>
    <definedName name="AppropFTP">'B6'!$F$15</definedName>
    <definedName name="AppropTotal" localSheetId="0">'LBPA|0001-00'!$J$15</definedName>
    <definedName name="AppropTotal">'B6'!$J$15</definedName>
    <definedName name="AtZHealth" localSheetId="0">'LBPA|0001-00'!$H$45</definedName>
    <definedName name="AtZHealth">'B6'!$H$45</definedName>
    <definedName name="AtZSalary" localSheetId="0">'LBPA|0001-00'!$G$45</definedName>
    <definedName name="AtZSalary">'B6'!$G$45</definedName>
    <definedName name="AtZTotal" localSheetId="0">'LBPA|0001-00'!$J$45</definedName>
    <definedName name="AtZTotal">'B6'!$J$45</definedName>
    <definedName name="AtZVarBen" localSheetId="0">'LBPA|0001-00'!$I$45</definedName>
    <definedName name="AtZVarBen">'B6'!$I$45</definedName>
    <definedName name="BudgetUnit" localSheetId="0">'LBPA|0001-00'!$M$3</definedName>
    <definedName name="BudgetUnit">'B6'!$M$3</definedName>
    <definedName name="BudgetYear">Benefits!$D$4</definedName>
    <definedName name="CECGroup">Benefits!$C$39</definedName>
    <definedName name="CECOrigElectSalary" localSheetId="0">'LBPA|0001-00'!$G$74</definedName>
    <definedName name="CECOrigElectSalary">'B6'!$G$74</definedName>
    <definedName name="CECOrigElectVB" localSheetId="0">'LBPA|0001-00'!$I$74</definedName>
    <definedName name="CECOrigElectVB">'B6'!$I$74</definedName>
    <definedName name="CECOrigGroupSalary" localSheetId="0">'LBPA|0001-00'!$G$73</definedName>
    <definedName name="CECOrigGroupSalary">'B6'!$G$73</definedName>
    <definedName name="CECOrigGroupVB" localSheetId="0">'LBPA|0001-00'!$I$73</definedName>
    <definedName name="CECOrigGroupVB">'B6'!$I$73</definedName>
    <definedName name="CECOrigPermSalary" localSheetId="0">'LBPA|0001-00'!$G$72</definedName>
    <definedName name="CECOrigPermSalary">'B6'!$G$72</definedName>
    <definedName name="CECOrigPermVB" localSheetId="0">'LBPA|0001-00'!$I$72</definedName>
    <definedName name="CECOrigPermVB">'B6'!$I$72</definedName>
    <definedName name="CECPerm">Benefits!$C$38</definedName>
    <definedName name="CECpermCalc" localSheetId="0">'LBPA|0001-00'!$E$72</definedName>
    <definedName name="CECpermCalc">'B6'!$E$72</definedName>
    <definedName name="Department" localSheetId="0">'LBPA|0001-00'!$D$1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'LBPA|0001-00'!$D$2</definedName>
    <definedName name="Division">'B6'!$D$2</definedName>
    <definedName name="DUCECElect" localSheetId="0">'LBPA|0001-00'!$J$74</definedName>
    <definedName name="DUCECElect">'B6'!$J$74</definedName>
    <definedName name="DUCECGroup" localSheetId="0">'LBPA|0001-00'!$J$73</definedName>
    <definedName name="DUCECGroup">'B6'!$J$73</definedName>
    <definedName name="DUCECPerm" localSheetId="0">'LBPA|0001-00'!$J$72</definedName>
    <definedName name="DUCECPerm">'B6'!$J$72</definedName>
    <definedName name="DUEleven" localSheetId="0">'LBPA|0001-00'!$J$75</definedName>
    <definedName name="DUEleven">'B6'!$J$75</definedName>
    <definedName name="DUHealthBen" localSheetId="0">'LBPA|0001-00'!$J$68</definedName>
    <definedName name="DUHealthBen">'B6'!$J$68</definedName>
    <definedName name="DUNine" localSheetId="0">'LBPA|0001-00'!$J$67</definedName>
    <definedName name="DUNine">'B6'!$J$67</definedName>
    <definedName name="DUThirteen" localSheetId="0">'LBPA|0001-00'!$J$80</definedName>
    <definedName name="DUThirteen">'B6'!$J$80</definedName>
    <definedName name="DUVariableBen" localSheetId="0">'LBPA|0001-00'!$J$69</definedName>
    <definedName name="DUVariableBen">'B6'!$J$69</definedName>
    <definedName name="Elect_chg_health" localSheetId="0">'LBPA|0001-00'!$L$12</definedName>
    <definedName name="Elect_chg_health">'B6'!$L$12</definedName>
    <definedName name="Elect_chg_Var" localSheetId="0">'LBPA|0001-00'!$M$12</definedName>
    <definedName name="Elect_chg_Var">'B6'!$M$12</definedName>
    <definedName name="elect_FTP" localSheetId="0">'LBPA|0001-00'!$F$12</definedName>
    <definedName name="elect_FTP">'B6'!$F$12</definedName>
    <definedName name="Elect_health" localSheetId="0">'LBPA|0001-00'!$H$12</definedName>
    <definedName name="Elect_health">'B6'!$H$12</definedName>
    <definedName name="Elect_name" localSheetId="0">'LBPA|0001-00'!$C$12</definedName>
    <definedName name="Elect_name">'B6'!$C$12</definedName>
    <definedName name="Elect_salary" localSheetId="0">'LBPA|0001-00'!$G$12</definedName>
    <definedName name="Elect_salary">'B6'!$G$12</definedName>
    <definedName name="Elect_Var" localSheetId="0">'LBPA|0001-00'!$I$12</definedName>
    <definedName name="Elect_Var">'B6'!$I$12</definedName>
    <definedName name="Elect_VarBen" localSheetId="0">'LBPA|0001-00'!$I$12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'LBPA|0001-00'!#REF!</definedName>
    <definedName name="FillRateAvg_B6">'B6'!#REF!</definedName>
    <definedName name="FiscalYear" localSheetId="0">'LBPA|0001-00'!$M$4</definedName>
    <definedName name="FiscalYear">'B6'!$M$4</definedName>
    <definedName name="FundName" localSheetId="0">'LBPA|0001-00'!$I$5</definedName>
    <definedName name="FundName">'B6'!$I$5</definedName>
    <definedName name="FundNum" localSheetId="0">'LBPA|0001-00'!$N$5</definedName>
    <definedName name="FundNum">'B6'!$N$5</definedName>
    <definedName name="FundNumber" localSheetId="0">'LBPA|0001-00'!$N$5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'LBPA|0001-00'!$C$11</definedName>
    <definedName name="Group_name">'B6'!$C$11</definedName>
    <definedName name="GroupFxdBen" localSheetId="0">'LBPA|0001-00'!$H$11</definedName>
    <definedName name="GroupFxdBen">'B6'!$H$11</definedName>
    <definedName name="GroupSalary" localSheetId="0">'LBPA|0001-00'!$G$11</definedName>
    <definedName name="GroupSalary">'B6'!$G$11</definedName>
    <definedName name="GroupVarBen" localSheetId="0">'LBPA|0001-00'!$I$11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BPA000100col_1_27TH_PP">Data!$BA$15</definedName>
    <definedName name="LBPA000100col_DHR">Data!$BI$15</definedName>
    <definedName name="LBPA000100col_DHR_BY">Data!$BU$15</definedName>
    <definedName name="LBPA000100col_DHR_CHG">Data!$CG$15</definedName>
    <definedName name="LBPA000100col_FTI_SALARY_ELECT">Data!$AZ$15</definedName>
    <definedName name="LBPA000100col_FTI_SALARY_PERM">Data!$AY$15</definedName>
    <definedName name="LBPA000100col_FTI_SALARY_SSDI">Data!$AX$15</definedName>
    <definedName name="LBPA000100col_Group_Ben">Data!$CM$15</definedName>
    <definedName name="LBPA000100col_Group_Salary">Data!$CL$15</definedName>
    <definedName name="LBPA000100col_HEALTH_ELECT">Data!$BC$15</definedName>
    <definedName name="LBPA000100col_HEALTH_ELECT_BY">Data!$BO$15</definedName>
    <definedName name="LBPA000100col_HEALTH_ELECT_CHG">Data!$CA$15</definedName>
    <definedName name="LBPA000100col_HEALTH_PERM">Data!$BB$15</definedName>
    <definedName name="LBPA000100col_HEALTH_PERM_BY">Data!$BN$15</definedName>
    <definedName name="LBPA000100col_HEALTH_PERM_CHG">Data!$BZ$15</definedName>
    <definedName name="LBPA000100col_INC_FTI">Data!$AS$15</definedName>
    <definedName name="LBPA000100col_LIFE_INS">Data!$BG$15</definedName>
    <definedName name="LBPA000100col_LIFE_INS_BY">Data!$BS$15</definedName>
    <definedName name="LBPA000100col_LIFE_INS_CHG">Data!$CE$15</definedName>
    <definedName name="LBPA000100col_RETIREMENT">Data!$BF$15</definedName>
    <definedName name="LBPA000100col_RETIREMENT_BY">Data!$BR$15</definedName>
    <definedName name="LBPA000100col_RETIREMENT_CHG">Data!$CD$15</definedName>
    <definedName name="LBPA000100col_ROWS_PER_PCN">Data!$AW$15</definedName>
    <definedName name="LBPA000100col_SICK">Data!$BK$15</definedName>
    <definedName name="LBPA000100col_SICK_BY">Data!$BW$15</definedName>
    <definedName name="LBPA000100col_SICK_CHG">Data!$CI$15</definedName>
    <definedName name="LBPA000100col_SSDI">Data!$BD$15</definedName>
    <definedName name="LBPA000100col_SSDI_BY">Data!$BP$15</definedName>
    <definedName name="LBPA000100col_SSDI_CHG">Data!$CB$15</definedName>
    <definedName name="LBPA000100col_SSHI">Data!$BE$15</definedName>
    <definedName name="LBPA000100col_SSHI_BY">Data!$BQ$15</definedName>
    <definedName name="LBPA000100col_SSHI_CHGv">Data!$CC$15</definedName>
    <definedName name="LBPA000100col_TOT_VB_ELECT">Data!$BM$15</definedName>
    <definedName name="LBPA000100col_TOT_VB_ELECT_BY">Data!$BY$15</definedName>
    <definedName name="LBPA000100col_TOT_VB_ELECT_CHG">Data!$CK$15</definedName>
    <definedName name="LBPA000100col_TOT_VB_PERM">Data!$BL$15</definedName>
    <definedName name="LBPA000100col_TOT_VB_PERM_BY">Data!$BX$15</definedName>
    <definedName name="LBPA000100col_TOT_VB_PERM_CHG">Data!$CJ$15</definedName>
    <definedName name="LBPA000100col_TOTAL_ELECT_PCN_FTI">Data!$AT$15</definedName>
    <definedName name="LBPA000100col_TOTAL_ELECT_PCN_FTI_ALT">Data!$AV$15</definedName>
    <definedName name="LBPA000100col_TOTAL_PERM_PCN_FTI">Data!$AU$15</definedName>
    <definedName name="LBPA000100col_UNEMP_INS">Data!$BH$15</definedName>
    <definedName name="LBPA000100col_UNEMP_INS_BY">Data!$BT$15</definedName>
    <definedName name="LBPA000100col_UNEMP_INS_CHG">Data!$CF$15</definedName>
    <definedName name="LBPA000100col_WORKERS_COMP">Data!$BJ$15</definedName>
    <definedName name="LBPA000100col_WORKERS_COMP_BY">Data!$BV$15</definedName>
    <definedName name="LBPA000100col_WORKERS_COMP_CHG">Data!$CH$15</definedName>
    <definedName name="Life">Benefits!$C$9</definedName>
    <definedName name="LifeBY">Benefits!$D$9</definedName>
    <definedName name="LifeCHG">Benefits!$E$9</definedName>
    <definedName name="LUMAFund" localSheetId="0">'LBPA|0001-00'!$M$2</definedName>
    <definedName name="LUMAFund">'B6'!$M$2</definedName>
    <definedName name="MAXSSDI">Benefits!$F$5</definedName>
    <definedName name="MAXSSDIBY">Benefits!$G$5</definedName>
    <definedName name="NEW_AdjGroup" localSheetId="0">'LBPA|0001-00'!$AC$39</definedName>
    <definedName name="NEW_AdjGroup">'B6'!$AC$39</definedName>
    <definedName name="NEW_AdjGroupSalary" localSheetId="0">'LBPA|0001-00'!$AA$39</definedName>
    <definedName name="NEW_AdjGroupSalary">'B6'!$AA$39</definedName>
    <definedName name="NEW_AdjGroupVB" localSheetId="0">'LBPA|0001-00'!$AB$39</definedName>
    <definedName name="NEW_AdjGroupVB">'B6'!$AB$39</definedName>
    <definedName name="NEW_AdjONLYGroup" localSheetId="0">'LBPA|0001-00'!$AC$45</definedName>
    <definedName name="NEW_AdjONLYGroup">'B6'!$AC$45</definedName>
    <definedName name="NEW_AdjONLYGroupSalary" localSheetId="0">'LBPA|0001-00'!$AA$45</definedName>
    <definedName name="NEW_AdjONLYGroupSalary">'B6'!$AA$45</definedName>
    <definedName name="NEW_AdjONLYGroupVB" localSheetId="0">'LBPA|0001-00'!$AB$45</definedName>
    <definedName name="NEW_AdjONLYGroupVB">'B6'!$AB$45</definedName>
    <definedName name="NEW_AdjONLYPerm" localSheetId="0">'LBPA|0001-00'!$AC$44</definedName>
    <definedName name="NEW_AdjONLYPerm">'B6'!$AC$44</definedName>
    <definedName name="NEW_AdjONLYPermSalary" localSheetId="0">'LBPA|0001-00'!$AA$44</definedName>
    <definedName name="NEW_AdjONLYPermSalary">'B6'!$AA$44</definedName>
    <definedName name="NEW_AdjONLYPermVB" localSheetId="0">'LBPA|0001-00'!$AB$44</definedName>
    <definedName name="NEW_AdjONLYPermVB">'B6'!$AB$44</definedName>
    <definedName name="NEW_AdjPerm" localSheetId="0">'LBPA|0001-00'!$AC$38</definedName>
    <definedName name="NEW_AdjPerm">'B6'!$AC$38</definedName>
    <definedName name="NEW_AdjPermSalary" localSheetId="0">'LBPA|0001-00'!$AA$38</definedName>
    <definedName name="NEW_AdjPermSalary">'B6'!$AA$38</definedName>
    <definedName name="NEW_AdjPermVB" localSheetId="0">'LBPA|0001-00'!$AB$38</definedName>
    <definedName name="NEW_AdjPermVB">'B6'!$AB$38</definedName>
    <definedName name="NEW_GroupFilled" localSheetId="0">'LBPA|0001-00'!$AC$11</definedName>
    <definedName name="NEW_GroupFilled">'B6'!$AC$11</definedName>
    <definedName name="NEW_GroupSalaryFilled" localSheetId="0">'LBPA|0001-00'!$AA$11</definedName>
    <definedName name="NEW_GroupSalaryFilled">'B6'!$AA$11</definedName>
    <definedName name="NEW_GroupVBFilled" localSheetId="0">'LBPA|0001-00'!$AB$11</definedName>
    <definedName name="NEW_GroupVBFilled">'B6'!$AB$11</definedName>
    <definedName name="NEW_PermFilled" localSheetId="0">'LBPA|0001-00'!$AC$10</definedName>
    <definedName name="NEW_PermFilled">'B6'!$AC$10</definedName>
    <definedName name="NEW_PermSalaryFilled" localSheetId="0">'LBPA|0001-00'!$AA$10</definedName>
    <definedName name="NEW_PermSalaryFilled">'B6'!$AA$10</definedName>
    <definedName name="NEW_PermVBFilled" localSheetId="0">'LBPA|0001-00'!$AB$10</definedName>
    <definedName name="NEW_PermVBFilled">'B6'!$AB$10</definedName>
    <definedName name="OneTimePC_Total" localSheetId="0">'LBPA|0001-00'!$J$63</definedName>
    <definedName name="OneTimePC_Total">'B6'!$J$63</definedName>
    <definedName name="OrigApprop" localSheetId="0">'LBPA|0001-00'!$E$15</definedName>
    <definedName name="OrigApprop">'B6'!$E$15</definedName>
    <definedName name="perm_name" localSheetId="0">'LBPA|0001-00'!$C$10</definedName>
    <definedName name="perm_name">'B6'!$C$10</definedName>
    <definedName name="PermFTP" localSheetId="0">'LBPA|0001-00'!$F$10</definedName>
    <definedName name="PermFTP">'B6'!$F$10</definedName>
    <definedName name="PermFxdBen" localSheetId="0">'LBPA|0001-00'!$H$10</definedName>
    <definedName name="PermFxdBen">'B6'!$H$10</definedName>
    <definedName name="PermFxdBenChg" localSheetId="0">'LBPA|0001-00'!$L$10</definedName>
    <definedName name="PermFxdBenChg">'B6'!$L$10</definedName>
    <definedName name="PermFxdChg" localSheetId="0">'LBPA|0001-00'!$L$10</definedName>
    <definedName name="PermFxdChg">'B6'!$L$10</definedName>
    <definedName name="PermSalary" localSheetId="0">'LBPA|0001-00'!$G$10</definedName>
    <definedName name="PermSalary">'B6'!$G$10</definedName>
    <definedName name="PermVarBen" localSheetId="0">'LBPA|0001-00'!$I$10</definedName>
    <definedName name="PermVarBen">'B6'!$I$10</definedName>
    <definedName name="PermVarBenChg" localSheetId="0">'LBPA|0001-00'!$M$10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'LBPA|0001-00'!$A$1:$N$81</definedName>
    <definedName name="Prog_Unadjusted_Total" localSheetId="0">'LBPA|0001-00'!$C$8:$N$16</definedName>
    <definedName name="Prog_Unadjusted_Total">'B6'!$C$8:$N$16</definedName>
    <definedName name="Program" localSheetId="0">'LBPA|0001-00'!$D$3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'LBPA|0001-00'!$G$52</definedName>
    <definedName name="RoundedAppropSalary">'B6'!$G$52</definedName>
    <definedName name="SalaryChg" localSheetId="0">'LBPA|0001-00'!$K$10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'LBPA|0001-00'!#REF!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4" i="5"/>
  <c r="AY34" i="5"/>
  <c r="AW34" i="5"/>
  <c r="AV34" i="5"/>
  <c r="AU34" i="5"/>
  <c r="AT34" i="5"/>
  <c r="AS34" i="5"/>
  <c r="BA32" i="5"/>
  <c r="AZ32" i="5"/>
  <c r="AY32" i="5"/>
  <c r="AX32" i="5"/>
  <c r="AW32" i="5"/>
  <c r="AV32" i="5"/>
  <c r="AU32" i="5"/>
  <c r="AT32" i="5"/>
  <c r="AS32" i="5"/>
  <c r="AZ26" i="5"/>
  <c r="AY26" i="5"/>
  <c r="AW26" i="5"/>
  <c r="AV26" i="5"/>
  <c r="AU26" i="5"/>
  <c r="AT26" i="5"/>
  <c r="AS26" i="5"/>
  <c r="BA29" i="5"/>
  <c r="BA30" i="5" s="1"/>
  <c r="AY29" i="5"/>
  <c r="AY30" i="5" s="1"/>
  <c r="AX29" i="5"/>
  <c r="AX30" i="5" s="1"/>
  <c r="AV29" i="5"/>
  <c r="AU29" i="5"/>
  <c r="AT29" i="5"/>
  <c r="AT30" i="5" s="1"/>
  <c r="AZ30" i="5"/>
  <c r="AW30" i="5"/>
  <c r="AV30" i="5"/>
  <c r="AU30" i="5"/>
  <c r="AZ24" i="5"/>
  <c r="AY24" i="5"/>
  <c r="AW24" i="5"/>
  <c r="AV24" i="5"/>
  <c r="AU24" i="5"/>
  <c r="AT24" i="5"/>
  <c r="AS24" i="5"/>
  <c r="AZ23" i="5"/>
  <c r="AY23" i="5"/>
  <c r="AW23" i="5"/>
  <c r="AV23" i="5"/>
  <c r="AU23" i="5"/>
  <c r="AT23" i="5"/>
  <c r="AS23" i="5"/>
  <c r="A9" i="10"/>
  <c r="J6" i="10"/>
  <c r="F6" i="10"/>
  <c r="F7" i="10" s="1"/>
  <c r="E6" i="10"/>
  <c r="D6" i="10"/>
  <c r="G5" i="10"/>
  <c r="E5" i="10"/>
  <c r="H5" i="10" s="1"/>
  <c r="J4" i="10"/>
  <c r="I4" i="10"/>
  <c r="F4" i="10"/>
  <c r="E4" i="10"/>
  <c r="E7" i="10" s="1"/>
  <c r="D4" i="10"/>
  <c r="D7" i="10" s="1"/>
  <c r="D10" i="10" s="1"/>
  <c r="K2" i="10"/>
  <c r="J2" i="10"/>
  <c r="I2" i="10"/>
  <c r="H2" i="10"/>
  <c r="G2" i="10"/>
  <c r="F2" i="10"/>
  <c r="E2" i="10"/>
  <c r="L12" i="12"/>
  <c r="H12" i="12"/>
  <c r="G12" i="12"/>
  <c r="F12" i="12"/>
  <c r="I11" i="12"/>
  <c r="G11" i="12"/>
  <c r="L10" i="12"/>
  <c r="H10" i="12"/>
  <c r="K10" i="12"/>
  <c r="G10" i="12"/>
  <c r="AA10" i="12" s="1"/>
  <c r="F10" i="12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L40" i="12"/>
  <c r="H40" i="12"/>
  <c r="G40" i="12"/>
  <c r="F40" i="12"/>
  <c r="C40" i="12"/>
  <c r="M39" i="12"/>
  <c r="L39" i="12"/>
  <c r="I39" i="12"/>
  <c r="AB39" i="12" s="1"/>
  <c r="H39" i="12"/>
  <c r="G39" i="12"/>
  <c r="F39" i="12"/>
  <c r="C39" i="12"/>
  <c r="L38" i="12"/>
  <c r="H38" i="12"/>
  <c r="G38" i="12"/>
  <c r="F38" i="12"/>
  <c r="C38" i="12"/>
  <c r="M35" i="12"/>
  <c r="N35" i="12" s="1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N30" i="12" s="1"/>
  <c r="L30" i="12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M27" i="12"/>
  <c r="N27" i="12" s="1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J25" i="12"/>
  <c r="I25" i="12"/>
  <c r="H25" i="12"/>
  <c r="M24" i="12"/>
  <c r="L24" i="12"/>
  <c r="N24" i="12" s="1"/>
  <c r="J24" i="12"/>
  <c r="I24" i="12"/>
  <c r="H24" i="12"/>
  <c r="M23" i="12"/>
  <c r="N23" i="12" s="1"/>
  <c r="L23" i="12"/>
  <c r="J23" i="12"/>
  <c r="I23" i="12"/>
  <c r="H23" i="12"/>
  <c r="M22" i="12"/>
  <c r="N22" i="12" s="1"/>
  <c r="L22" i="12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L13" i="12"/>
  <c r="H13" i="12"/>
  <c r="G13" i="12"/>
  <c r="F13" i="12"/>
  <c r="F16" i="12" s="1"/>
  <c r="AC11" i="12"/>
  <c r="AB11" i="12"/>
  <c r="AA11" i="12"/>
  <c r="J11" i="12"/>
  <c r="M8" i="12"/>
  <c r="L8" i="12"/>
  <c r="K8" i="12"/>
  <c r="J8" i="12"/>
  <c r="I8" i="12"/>
  <c r="H8" i="12"/>
  <c r="G8" i="12"/>
  <c r="CM15" i="5"/>
  <c r="CL15" i="5"/>
  <c r="BA15" i="5"/>
  <c r="AZ15" i="5"/>
  <c r="AY15" i="5"/>
  <c r="AX15" i="5"/>
  <c r="AW15" i="5"/>
  <c r="AV15" i="5"/>
  <c r="AU15" i="5"/>
  <c r="AT15" i="5"/>
  <c r="AS15" i="5"/>
  <c r="CM14" i="5"/>
  <c r="CL14" i="5"/>
  <c r="BA14" i="5"/>
  <c r="AZ14" i="5"/>
  <c r="AY14" i="5"/>
  <c r="AX14" i="5"/>
  <c r="AW14" i="5"/>
  <c r="AV14" i="5"/>
  <c r="AU14" i="5"/>
  <c r="AT14" i="5"/>
  <c r="AS14" i="5"/>
  <c r="CN3" i="5"/>
  <c r="CN4" i="5"/>
  <c r="CN5" i="5"/>
  <c r="CN6" i="5"/>
  <c r="CN7" i="5"/>
  <c r="CN8" i="5"/>
  <c r="CN9" i="5"/>
  <c r="CN10" i="5"/>
  <c r="CN11" i="5"/>
  <c r="CN2" i="5"/>
  <c r="CM3" i="5"/>
  <c r="CM4" i="5"/>
  <c r="CM5" i="5"/>
  <c r="CM6" i="5"/>
  <c r="CM7" i="5"/>
  <c r="CM8" i="5"/>
  <c r="CM9" i="5"/>
  <c r="CM10" i="5"/>
  <c r="CM11" i="5"/>
  <c r="CM2" i="5"/>
  <c r="CL3" i="5"/>
  <c r="CL4" i="5"/>
  <c r="CL5" i="5"/>
  <c r="CL6" i="5"/>
  <c r="CL7" i="5"/>
  <c r="CL8" i="5"/>
  <c r="CL9" i="5"/>
  <c r="CL10" i="5"/>
  <c r="CL11" i="5"/>
  <c r="CL2" i="5"/>
  <c r="CK3" i="5"/>
  <c r="CK4" i="5"/>
  <c r="CK5" i="5"/>
  <c r="CK6" i="5"/>
  <c r="CK7" i="5"/>
  <c r="CK8" i="5"/>
  <c r="CK9" i="5"/>
  <c r="CK10" i="5"/>
  <c r="CK11" i="5"/>
  <c r="CK2" i="5"/>
  <c r="CJ3" i="5"/>
  <c r="CJ2" i="5"/>
  <c r="CI3" i="5"/>
  <c r="CI4" i="5"/>
  <c r="CI5" i="5"/>
  <c r="CI6" i="5"/>
  <c r="CI7" i="5"/>
  <c r="CI8" i="5"/>
  <c r="CI9" i="5"/>
  <c r="CI10" i="5"/>
  <c r="CI11" i="5"/>
  <c r="CI2" i="5"/>
  <c r="CI14" i="5" s="1"/>
  <c r="CI15" i="5" s="1"/>
  <c r="CH3" i="5"/>
  <c r="CH2" i="5"/>
  <c r="CG3" i="5"/>
  <c r="CG4" i="5"/>
  <c r="CG5" i="5"/>
  <c r="CG6" i="5"/>
  <c r="CG7" i="5"/>
  <c r="CG8" i="5"/>
  <c r="CG9" i="5"/>
  <c r="CG10" i="5"/>
  <c r="CG11" i="5"/>
  <c r="CG2" i="5"/>
  <c r="CF3" i="5"/>
  <c r="CF14" i="5" s="1"/>
  <c r="CF15" i="5" s="1"/>
  <c r="CF4" i="5"/>
  <c r="CF5" i="5"/>
  <c r="CF6" i="5"/>
  <c r="CF7" i="5"/>
  <c r="CF8" i="5"/>
  <c r="CF9" i="5"/>
  <c r="CF10" i="5"/>
  <c r="CF11" i="5"/>
  <c r="CF2" i="5"/>
  <c r="CE3" i="5"/>
  <c r="CE4" i="5"/>
  <c r="CE5" i="5"/>
  <c r="CE6" i="5"/>
  <c r="CE7" i="5"/>
  <c r="CE8" i="5"/>
  <c r="CE9" i="5"/>
  <c r="CE10" i="5"/>
  <c r="CE11" i="5"/>
  <c r="CE2" i="5"/>
  <c r="CE14" i="5" s="1"/>
  <c r="CE15" i="5" s="1"/>
  <c r="CD3" i="5"/>
  <c r="CD4" i="5"/>
  <c r="CD5" i="5"/>
  <c r="CD6" i="5"/>
  <c r="CD7" i="5"/>
  <c r="CD8" i="5"/>
  <c r="CD9" i="5"/>
  <c r="CD10" i="5"/>
  <c r="CD11" i="5"/>
  <c r="CD2" i="5"/>
  <c r="CD14" i="5" s="1"/>
  <c r="CD15" i="5" s="1"/>
  <c r="CC3" i="5"/>
  <c r="CC14" i="5" s="1"/>
  <c r="CC15" i="5" s="1"/>
  <c r="CC4" i="5"/>
  <c r="CC5" i="5"/>
  <c r="CC6" i="5"/>
  <c r="CC7" i="5"/>
  <c r="CC8" i="5"/>
  <c r="CC9" i="5"/>
  <c r="CC10" i="5"/>
  <c r="CC11" i="5"/>
  <c r="CC2" i="5"/>
  <c r="CA3" i="5"/>
  <c r="CA4" i="5"/>
  <c r="CA5" i="5"/>
  <c r="CA6" i="5"/>
  <c r="CA7" i="5"/>
  <c r="CA8" i="5"/>
  <c r="CA9" i="5"/>
  <c r="CA10" i="5"/>
  <c r="CA11" i="5"/>
  <c r="CA2" i="5"/>
  <c r="CA14" i="5" s="1"/>
  <c r="CA15" i="5" s="1"/>
  <c r="BZ3" i="5"/>
  <c r="BZ2" i="5"/>
  <c r="BY3" i="5"/>
  <c r="BY4" i="5"/>
  <c r="BY5" i="5"/>
  <c r="BY6" i="5"/>
  <c r="BY7" i="5"/>
  <c r="BY8" i="5"/>
  <c r="BY9" i="5"/>
  <c r="BY10" i="5"/>
  <c r="BY11" i="5"/>
  <c r="BY2" i="5"/>
  <c r="BX3" i="5"/>
  <c r="BX2" i="5"/>
  <c r="BW3" i="5"/>
  <c r="BW4" i="5"/>
  <c r="BW5" i="5"/>
  <c r="BW6" i="5"/>
  <c r="BW7" i="5"/>
  <c r="BW8" i="5"/>
  <c r="BW9" i="5"/>
  <c r="BW10" i="5"/>
  <c r="BW11" i="5"/>
  <c r="BW2" i="5"/>
  <c r="BW14" i="5" s="1"/>
  <c r="BW15" i="5" s="1"/>
  <c r="BV3" i="5"/>
  <c r="BV4" i="5"/>
  <c r="BV5" i="5"/>
  <c r="BV6" i="5"/>
  <c r="BV7" i="5"/>
  <c r="BV8" i="5"/>
  <c r="BV9" i="5"/>
  <c r="BV10" i="5"/>
  <c r="BV11" i="5"/>
  <c r="BV2" i="5"/>
  <c r="BV14" i="5" s="1"/>
  <c r="BV15" i="5" s="1"/>
  <c r="BU3" i="5"/>
  <c r="BU14" i="5" s="1"/>
  <c r="BU15" i="5" s="1"/>
  <c r="BU4" i="5"/>
  <c r="BU5" i="5"/>
  <c r="BU6" i="5"/>
  <c r="BU7" i="5"/>
  <c r="BU8" i="5"/>
  <c r="BU9" i="5"/>
  <c r="BU10" i="5"/>
  <c r="BU11" i="5"/>
  <c r="BU2" i="5"/>
  <c r="BT3" i="5"/>
  <c r="BT4" i="5"/>
  <c r="BT5" i="5"/>
  <c r="BT6" i="5"/>
  <c r="BT7" i="5"/>
  <c r="BT8" i="5"/>
  <c r="BT9" i="5"/>
  <c r="BT10" i="5"/>
  <c r="BT11" i="5"/>
  <c r="BT2" i="5"/>
  <c r="BT14" i="5" s="1"/>
  <c r="BT15" i="5" s="1"/>
  <c r="BS3" i="5"/>
  <c r="BS4" i="5"/>
  <c r="BS5" i="5"/>
  <c r="BS6" i="5"/>
  <c r="BS7" i="5"/>
  <c r="BS8" i="5"/>
  <c r="BS9" i="5"/>
  <c r="BS10" i="5"/>
  <c r="BS11" i="5"/>
  <c r="BS2" i="5"/>
  <c r="BS14" i="5" s="1"/>
  <c r="BS15" i="5" s="1"/>
  <c r="BR3" i="5"/>
  <c r="BR4" i="5"/>
  <c r="BR5" i="5"/>
  <c r="BR14" i="5" s="1"/>
  <c r="BR15" i="5" s="1"/>
  <c r="BR6" i="5"/>
  <c r="BR7" i="5"/>
  <c r="BR8" i="5"/>
  <c r="BR9" i="5"/>
  <c r="BR10" i="5"/>
  <c r="BR11" i="5"/>
  <c r="BR2" i="5"/>
  <c r="BQ3" i="5"/>
  <c r="BQ4" i="5"/>
  <c r="BQ5" i="5"/>
  <c r="BQ6" i="5"/>
  <c r="BQ7" i="5"/>
  <c r="BQ8" i="5"/>
  <c r="BQ9" i="5"/>
  <c r="BQ10" i="5"/>
  <c r="BQ11" i="5"/>
  <c r="BQ2" i="5"/>
  <c r="BQ14" i="5" s="1"/>
  <c r="BQ15" i="5" s="1"/>
  <c r="BP3" i="5"/>
  <c r="BP14" i="5" s="1"/>
  <c r="BP15" i="5" s="1"/>
  <c r="BP4" i="5"/>
  <c r="CB4" i="5" s="1"/>
  <c r="BP5" i="5"/>
  <c r="CB5" i="5" s="1"/>
  <c r="BP6" i="5"/>
  <c r="CB6" i="5" s="1"/>
  <c r="BP7" i="5"/>
  <c r="CB7" i="5" s="1"/>
  <c r="BP8" i="5"/>
  <c r="CB8" i="5" s="1"/>
  <c r="BP9" i="5"/>
  <c r="CB9" i="5" s="1"/>
  <c r="BP10" i="5"/>
  <c r="CB10" i="5" s="1"/>
  <c r="BP11" i="5"/>
  <c r="CB11" i="5" s="1"/>
  <c r="BP2" i="5"/>
  <c r="CB2" i="5" s="1"/>
  <c r="BO3" i="5"/>
  <c r="BO4" i="5"/>
  <c r="BO5" i="5"/>
  <c r="BO6" i="5"/>
  <c r="BO7" i="5"/>
  <c r="BO8" i="5"/>
  <c r="BO9" i="5"/>
  <c r="BO10" i="5"/>
  <c r="BO11" i="5"/>
  <c r="BO2" i="5"/>
  <c r="BO14" i="5" s="1"/>
  <c r="BO15" i="5" s="1"/>
  <c r="BN3" i="5"/>
  <c r="BN4" i="5"/>
  <c r="BZ4" i="5" s="1"/>
  <c r="BN5" i="5"/>
  <c r="BZ5" i="5" s="1"/>
  <c r="BN6" i="5"/>
  <c r="BZ6" i="5" s="1"/>
  <c r="BN7" i="5"/>
  <c r="BZ7" i="5" s="1"/>
  <c r="BN8" i="5"/>
  <c r="BZ8" i="5" s="1"/>
  <c r="BN9" i="5"/>
  <c r="BZ9" i="5" s="1"/>
  <c r="BN10" i="5"/>
  <c r="BZ10" i="5" s="1"/>
  <c r="BN11" i="5"/>
  <c r="BZ11" i="5" s="1"/>
  <c r="BN2" i="5"/>
  <c r="BN14" i="5" s="1"/>
  <c r="BN15" i="5" s="1"/>
  <c r="BM3" i="5"/>
  <c r="BM4" i="5"/>
  <c r="BM5" i="5"/>
  <c r="BM6" i="5"/>
  <c r="BM7" i="5"/>
  <c r="BM8" i="5"/>
  <c r="BM9" i="5"/>
  <c r="BM10" i="5"/>
  <c r="BM11" i="5"/>
  <c r="BM2" i="5"/>
  <c r="BL3" i="5"/>
  <c r="BL2" i="5"/>
  <c r="BK3" i="5"/>
  <c r="BK4" i="5"/>
  <c r="BK5" i="5"/>
  <c r="BK6" i="5"/>
  <c r="BK7" i="5"/>
  <c r="BK8" i="5"/>
  <c r="BK9" i="5"/>
  <c r="BK10" i="5"/>
  <c r="BK11" i="5"/>
  <c r="BK2" i="5"/>
  <c r="BK14" i="5" s="1"/>
  <c r="BK15" i="5" s="1"/>
  <c r="BJ3" i="5"/>
  <c r="BJ4" i="5"/>
  <c r="BJ5" i="5"/>
  <c r="BJ6" i="5"/>
  <c r="BJ7" i="5"/>
  <c r="BJ8" i="5"/>
  <c r="BJ9" i="5"/>
  <c r="BJ10" i="5"/>
  <c r="BJ11" i="5"/>
  <c r="BJ2" i="5"/>
  <c r="BI3" i="5"/>
  <c r="BI4" i="5"/>
  <c r="BI5" i="5"/>
  <c r="BI6" i="5"/>
  <c r="BI7" i="5"/>
  <c r="BI8" i="5"/>
  <c r="BI9" i="5"/>
  <c r="BI10" i="5"/>
  <c r="BI11" i="5"/>
  <c r="BI2" i="5"/>
  <c r="BH3" i="5"/>
  <c r="BH4" i="5"/>
  <c r="BH5" i="5"/>
  <c r="BH6" i="5"/>
  <c r="BH7" i="5"/>
  <c r="BH8" i="5"/>
  <c r="BH9" i="5"/>
  <c r="BH10" i="5"/>
  <c r="BH11" i="5"/>
  <c r="BH2" i="5"/>
  <c r="BH14" i="5" s="1"/>
  <c r="BH15" i="5" s="1"/>
  <c r="BG3" i="5"/>
  <c r="BG4" i="5"/>
  <c r="BG5" i="5"/>
  <c r="BG6" i="5"/>
  <c r="BG7" i="5"/>
  <c r="BG8" i="5"/>
  <c r="BG9" i="5"/>
  <c r="BG10" i="5"/>
  <c r="BG11" i="5"/>
  <c r="BG2" i="5"/>
  <c r="BG14" i="5" s="1"/>
  <c r="BG15" i="5" s="1"/>
  <c r="BF3" i="5"/>
  <c r="BF4" i="5"/>
  <c r="BF5" i="5"/>
  <c r="BF6" i="5"/>
  <c r="BF7" i="5"/>
  <c r="BF8" i="5"/>
  <c r="BF9" i="5"/>
  <c r="BF10" i="5"/>
  <c r="BF11" i="5"/>
  <c r="BF2" i="5"/>
  <c r="BF14" i="5" s="1"/>
  <c r="BF15" i="5" s="1"/>
  <c r="BE3" i="5"/>
  <c r="BE14" i="5" s="1"/>
  <c r="BE15" i="5" s="1"/>
  <c r="BE4" i="5"/>
  <c r="BE5" i="5"/>
  <c r="BE6" i="5"/>
  <c r="BE7" i="5"/>
  <c r="BE8" i="5"/>
  <c r="BE9" i="5"/>
  <c r="BE10" i="5"/>
  <c r="BE11" i="5"/>
  <c r="BE2" i="5"/>
  <c r="BD3" i="5"/>
  <c r="BD4" i="5"/>
  <c r="BD5" i="5"/>
  <c r="BD6" i="5"/>
  <c r="BD7" i="5"/>
  <c r="BD8" i="5"/>
  <c r="BD9" i="5"/>
  <c r="BD10" i="5"/>
  <c r="BD11" i="5"/>
  <c r="BD2" i="5"/>
  <c r="BD14" i="5" s="1"/>
  <c r="BD15" i="5" s="1"/>
  <c r="BC3" i="5"/>
  <c r="BC4" i="5"/>
  <c r="BC5" i="5"/>
  <c r="BC6" i="5"/>
  <c r="BC7" i="5"/>
  <c r="BC8" i="5"/>
  <c r="BC9" i="5"/>
  <c r="BC10" i="5"/>
  <c r="BC11" i="5"/>
  <c r="BC2" i="5"/>
  <c r="BC14" i="5" s="1"/>
  <c r="BC15" i="5" s="1"/>
  <c r="BB3" i="5"/>
  <c r="BB4" i="5"/>
  <c r="BB5" i="5"/>
  <c r="BB14" i="5" s="1"/>
  <c r="BB15" i="5" s="1"/>
  <c r="BB6" i="5"/>
  <c r="BB7" i="5"/>
  <c r="BB8" i="5"/>
  <c r="BB9" i="5"/>
  <c r="BB10" i="5"/>
  <c r="BB11" i="5"/>
  <c r="BB2" i="5"/>
  <c r="BA3" i="5"/>
  <c r="BA4" i="5"/>
  <c r="BA5" i="5"/>
  <c r="BA6" i="5"/>
  <c r="BA7" i="5"/>
  <c r="BA8" i="5"/>
  <c r="BA9" i="5"/>
  <c r="BA10" i="5"/>
  <c r="BA11" i="5"/>
  <c r="BA2" i="5"/>
  <c r="AZ3" i="5"/>
  <c r="AZ4" i="5"/>
  <c r="AZ5" i="5"/>
  <c r="AZ6" i="5"/>
  <c r="AZ7" i="5"/>
  <c r="AZ8" i="5"/>
  <c r="AZ9" i="5"/>
  <c r="AZ10" i="5"/>
  <c r="AZ11" i="5"/>
  <c r="AZ2" i="5"/>
  <c r="AY3" i="5"/>
  <c r="AY4" i="5"/>
  <c r="AY5" i="5"/>
  <c r="AY6" i="5"/>
  <c r="AY7" i="5"/>
  <c r="AY8" i="5"/>
  <c r="AY9" i="5"/>
  <c r="AY10" i="5"/>
  <c r="AY11" i="5"/>
  <c r="AY2" i="5"/>
  <c r="AX11" i="5"/>
  <c r="AX10" i="5"/>
  <c r="AX9" i="5"/>
  <c r="AX8" i="5"/>
  <c r="AX7" i="5"/>
  <c r="AX6" i="5"/>
  <c r="AX5" i="5"/>
  <c r="AX4" i="5"/>
  <c r="AX3" i="5"/>
  <c r="AX2" i="5"/>
  <c r="AW11" i="5"/>
  <c r="AW10" i="5"/>
  <c r="AW9" i="5"/>
  <c r="AW8" i="5"/>
  <c r="AW7" i="5"/>
  <c r="AW6" i="5"/>
  <c r="AW5" i="5"/>
  <c r="AW4" i="5"/>
  <c r="AW3" i="5"/>
  <c r="AW2" i="5"/>
  <c r="AV11" i="5"/>
  <c r="AV10" i="5"/>
  <c r="AV9" i="5"/>
  <c r="AV8" i="5"/>
  <c r="AV7" i="5"/>
  <c r="AV6" i="5"/>
  <c r="AV5" i="5"/>
  <c r="AV4" i="5"/>
  <c r="AV3" i="5"/>
  <c r="AV2" i="5"/>
  <c r="AU11" i="5"/>
  <c r="AU10" i="5"/>
  <c r="AU9" i="5"/>
  <c r="AU8" i="5"/>
  <c r="AU7" i="5"/>
  <c r="AU6" i="5"/>
  <c r="AU5" i="5"/>
  <c r="AU4" i="5"/>
  <c r="AU3" i="5"/>
  <c r="AU2" i="5"/>
  <c r="AT3" i="5"/>
  <c r="AT4" i="5"/>
  <c r="AT5" i="5"/>
  <c r="AT6" i="5"/>
  <c r="AT7" i="5"/>
  <c r="AT8" i="5"/>
  <c r="AT9" i="5"/>
  <c r="AT10" i="5"/>
  <c r="AT11" i="5"/>
  <c r="AT2" i="5"/>
  <c r="AS3" i="5"/>
  <c r="AS4" i="5"/>
  <c r="AS5" i="5"/>
  <c r="AS6" i="5"/>
  <c r="AS7" i="5"/>
  <c r="AS8" i="5"/>
  <c r="AS9" i="5"/>
  <c r="AS10" i="5"/>
  <c r="AS11" i="5"/>
  <c r="AS2" i="5"/>
  <c r="E27" i="7"/>
  <c r="BX10" i="5" l="1"/>
  <c r="N21" i="12"/>
  <c r="N33" i="12"/>
  <c r="CK14" i="5"/>
  <c r="CK15" i="5" s="1"/>
  <c r="K6" i="10" s="1"/>
  <c r="L6" i="10" s="1"/>
  <c r="BY14" i="5"/>
  <c r="BY15" i="5" s="1"/>
  <c r="CG14" i="5"/>
  <c r="CG15" i="5" s="1"/>
  <c r="M12" i="12"/>
  <c r="BI14" i="5"/>
  <c r="BI15" i="5" s="1"/>
  <c r="N25" i="12"/>
  <c r="BM14" i="5"/>
  <c r="BM15" i="5" s="1"/>
  <c r="N34" i="12"/>
  <c r="J7" i="10"/>
  <c r="H41" i="12"/>
  <c r="N39" i="12"/>
  <c r="J39" i="12"/>
  <c r="F41" i="12"/>
  <c r="AB45" i="12"/>
  <c r="G41" i="12"/>
  <c r="BZ14" i="5"/>
  <c r="BZ15" i="5" s="1"/>
  <c r="F43" i="12"/>
  <c r="BX5" i="5"/>
  <c r="BL4" i="5"/>
  <c r="BL14" i="5" s="1"/>
  <c r="BL15" i="5" s="1"/>
  <c r="AA39" i="12"/>
  <c r="BL11" i="5"/>
  <c r="BL5" i="5"/>
  <c r="BJ14" i="5"/>
  <c r="BJ15" i="5" s="1"/>
  <c r="BL10" i="5"/>
  <c r="L41" i="12"/>
  <c r="BL7" i="5"/>
  <c r="BL9" i="5"/>
  <c r="BX9" i="5"/>
  <c r="F52" i="12"/>
  <c r="F56" i="12" s="1"/>
  <c r="F60" i="12" s="1"/>
  <c r="BX6" i="5"/>
  <c r="AA38" i="12"/>
  <c r="BL6" i="5"/>
  <c r="CB3" i="5"/>
  <c r="CB14" i="5" s="1"/>
  <c r="CB15" i="5" s="1"/>
  <c r="BX8" i="5"/>
  <c r="BL8" i="5"/>
  <c r="BX4" i="5"/>
  <c r="BX14" i="5" s="1"/>
  <c r="BX15" i="5" s="1"/>
  <c r="BX7" i="5"/>
  <c r="BX11" i="5"/>
  <c r="E51" i="9"/>
  <c r="BA23" i="5" l="1"/>
  <c r="G6" i="10"/>
  <c r="H6" i="10" s="1"/>
  <c r="I12" i="12"/>
  <c r="N12" i="12"/>
  <c r="M40" i="12"/>
  <c r="N40" i="12" s="1"/>
  <c r="I10" i="12"/>
  <c r="G4" i="10"/>
  <c r="AX23" i="5"/>
  <c r="AC39" i="12"/>
  <c r="AA45" i="12"/>
  <c r="AC45" i="12" s="1"/>
  <c r="AA44" i="12"/>
  <c r="F44" i="12"/>
  <c r="F67" i="12"/>
  <c r="C12" i="7"/>
  <c r="G63" i="12" s="1"/>
  <c r="I63" i="12" s="1"/>
  <c r="C13" i="7"/>
  <c r="C14" i="7"/>
  <c r="BA24" i="5" l="1"/>
  <c r="M8" i="11"/>
  <c r="AX24" i="5"/>
  <c r="J8" i="11"/>
  <c r="G7" i="10"/>
  <c r="H7" i="10" s="1"/>
  <c r="H4" i="10"/>
  <c r="J10" i="12"/>
  <c r="I13" i="12"/>
  <c r="J13" i="12" s="1"/>
  <c r="I38" i="12"/>
  <c r="I40" i="12"/>
  <c r="J40" i="12" s="1"/>
  <c r="J12" i="12"/>
  <c r="F45" i="12"/>
  <c r="F75" i="12"/>
  <c r="F80" i="12" s="1"/>
  <c r="D14" i="7"/>
  <c r="BA26" i="5" l="1"/>
  <c r="M9" i="11"/>
  <c r="H15" i="12"/>
  <c r="H16" i="12" s="1"/>
  <c r="G15" i="12"/>
  <c r="F9" i="10"/>
  <c r="F10" i="10" s="1"/>
  <c r="E9" i="10"/>
  <c r="J38" i="12"/>
  <c r="J41" i="12" s="1"/>
  <c r="I41" i="12"/>
  <c r="I51" i="12" s="1"/>
  <c r="AX26" i="5"/>
  <c r="J9" i="11"/>
  <c r="AB10" i="9"/>
  <c r="M11" i="11" l="1"/>
  <c r="BA34" i="5"/>
  <c r="M19" i="11" s="1"/>
  <c r="H51" i="12"/>
  <c r="G51" i="12"/>
  <c r="J11" i="11"/>
  <c r="AX34" i="5"/>
  <c r="J19" i="11" s="1"/>
  <c r="I52" i="12"/>
  <c r="I56" i="12" s="1"/>
  <c r="I60" i="12" s="1"/>
  <c r="I43" i="12"/>
  <c r="G9" i="10"/>
  <c r="G10" i="10" s="1"/>
  <c r="E10" i="10"/>
  <c r="H9" i="10"/>
  <c r="H10" i="10" s="1"/>
  <c r="G16" i="12"/>
  <c r="I15" i="12"/>
  <c r="AA11" i="9"/>
  <c r="AC11" i="9"/>
  <c r="AA10" i="9"/>
  <c r="G52" i="12" l="1"/>
  <c r="G56" i="12" s="1"/>
  <c r="G60" i="12" s="1"/>
  <c r="J51" i="12"/>
  <c r="J52" i="12" s="1"/>
  <c r="J56" i="12" s="1"/>
  <c r="J60" i="12" s="1"/>
  <c r="J67" i="12" s="1"/>
  <c r="G43" i="12"/>
  <c r="J43" i="12" s="1"/>
  <c r="K43" i="12" s="1"/>
  <c r="H43" i="12"/>
  <c r="H52" i="12"/>
  <c r="H56" i="12" s="1"/>
  <c r="H60" i="12" s="1"/>
  <c r="I67" i="12"/>
  <c r="I45" i="12" s="1"/>
  <c r="I44" i="12"/>
  <c r="I16" i="12"/>
  <c r="J15" i="12"/>
  <c r="J16" i="12" s="1"/>
  <c r="AC10" i="9"/>
  <c r="H44" i="12" l="1"/>
  <c r="H67" i="12"/>
  <c r="H68" i="12"/>
  <c r="J68" i="12" s="1"/>
  <c r="G72" i="12"/>
  <c r="G73" i="12"/>
  <c r="I73" i="12" s="1"/>
  <c r="J73" i="12" s="1"/>
  <c r="O72" i="12"/>
  <c r="M72" i="12"/>
  <c r="L16" i="12"/>
  <c r="J10" i="10"/>
  <c r="G67" i="12"/>
  <c r="G44" i="12"/>
  <c r="J44" i="12" s="1"/>
  <c r="K44" i="12" s="1"/>
  <c r="E73" i="9"/>
  <c r="E72" i="9"/>
  <c r="G45" i="12" l="1"/>
  <c r="G75" i="12"/>
  <c r="G80" i="12" s="1"/>
  <c r="H45" i="12"/>
  <c r="H75" i="12"/>
  <c r="H80" i="12" s="1"/>
  <c r="J79" i="9"/>
  <c r="J78" i="9"/>
  <c r="J77" i="9"/>
  <c r="J45" i="12" l="1"/>
  <c r="H63" i="9"/>
  <c r="K46" i="12" l="1"/>
  <c r="K45" i="12"/>
  <c r="K8" i="9"/>
  <c r="I35" i="9" l="1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J5" i="5" s="1"/>
  <c r="CH6" i="5"/>
  <c r="CJ6" i="5" s="1"/>
  <c r="CH7" i="5"/>
  <c r="CJ7" i="5" s="1"/>
  <c r="CH8" i="5"/>
  <c r="CJ8" i="5" s="1"/>
  <c r="CH9" i="5"/>
  <c r="CJ9" i="5" s="1"/>
  <c r="CH10" i="5"/>
  <c r="CJ10" i="5" s="1"/>
  <c r="CH11" i="5"/>
  <c r="CJ11" i="5" s="1"/>
  <c r="CH4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4" i="5" l="1"/>
  <c r="CJ14" i="5" s="1"/>
  <c r="CJ15" i="5" s="1"/>
  <c r="CH14" i="5"/>
  <c r="CH15" i="5" s="1"/>
  <c r="F80" i="9"/>
  <c r="F45" i="9"/>
  <c r="N22" i="9"/>
  <c r="N21" i="9"/>
  <c r="H51" i="9"/>
  <c r="H43" i="9" s="1"/>
  <c r="I51" i="9"/>
  <c r="I43" i="9" s="1"/>
  <c r="K4" i="10" l="1"/>
  <c r="M10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N10" i="12" l="1"/>
  <c r="N13" i="12" s="1"/>
  <c r="M13" i="12"/>
  <c r="M38" i="12"/>
  <c r="AB10" i="12"/>
  <c r="AC10" i="12" s="1"/>
  <c r="K7" i="10"/>
  <c r="L4" i="10"/>
  <c r="L7" i="10" s="1"/>
  <c r="N41" i="9"/>
  <c r="N38" i="9"/>
  <c r="J43" i="9"/>
  <c r="K43" i="9" s="1"/>
  <c r="I67" i="9"/>
  <c r="I45" i="9" s="1"/>
  <c r="N38" i="12" l="1"/>
  <c r="M41" i="12"/>
  <c r="AB38" i="12"/>
  <c r="J44" i="9"/>
  <c r="K44" i="9" s="1"/>
  <c r="N41" i="12" l="1"/>
  <c r="I69" i="12"/>
  <c r="AB44" i="12"/>
  <c r="AC44" i="12" s="1"/>
  <c r="AC38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3202F43-781B-40F1-ACC3-08F764FC40B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FDE3448-F222-456B-90D7-18AF22194D8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CB51888-2DA9-4F6F-8C97-6C1565139A9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744D5102-6F71-42E2-84E6-C8382FF9189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DC9E6A2-6501-499A-95EB-37F03FD367C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F9B89DB-5492-4ED3-8527-CA3AE81F9F1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563AE13-D2D7-4E9D-AA07-B21D0CB81A6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3A75715-0C84-495E-BF8D-208820CD96D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9D1697F-C950-47A2-AED3-2BB57C0D95B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4C76465F-74C6-4885-ACAC-81E132AE3EF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<sst xmlns="http://schemas.openxmlformats.org/spreadsheetml/2006/main" count="599" uniqueCount="299">
  <si>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</si>
  <si>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</si>
  <si>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</si>
  <si>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</si>
  <si>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</si>
  <si>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</si>
  <si>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</si>
  <si>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</si>
  <si>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</si>
  <si>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</si>
  <si>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</si>
  <si>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</si>
  <si>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</si>
  <si>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</si>
  <si>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</si>
  <si>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</si>
  <si>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</si>
  <si>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</si>
  <si>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</si>
  <si>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</si>
  <si>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</si>
  <si>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</si>
  <si>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</si>
  <si>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</si>
  <si>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</si>
  <si>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</si>
  <si>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</si>
  <si>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</si>
  <si>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</si>
  <si>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</si>
  <si>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</si>
  <si>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</si>
  <si>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</si>
  <si>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</si>
  <si>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</si>
  <si>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</si>
  <si>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</si>
  <si>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</si>
  <si>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</si>
  <si>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</si>
  <si>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</si>
  <si>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</si>
  <si>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</si>
  <si>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</si>
  <si>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</si>
  <si>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</si>
  <si>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</si>
  <si>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</si>
  <si>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</si>
  <si>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</si>
  <si>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</si>
  <si>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</si>
  <si>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</si>
  <si>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</si>
  <si>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</si>
  <si>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</si>
  <si>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</si>
  <si>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</si>
  <si>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</si>
  <si>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</si>
  <si>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</si>
  <si>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</si>
  <si>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</si>
  <si>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</si>
  <si>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</si>
  <si>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</si>
  <si>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</si>
  <si>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</si>
  <si>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</si>
  <si>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</si>
  <si>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</si>
  <si>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</si>
  <si>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</si>
  <si>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</si>
  <si>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</si>
  <si>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</si>
  <si>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</si>
  <si>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</si>
  <si>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</si>
  <si>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</si>
  <si>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</si>
  <si>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</si>
  <si>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</si>
  <si>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</si>
  <si>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</si>
  <si>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</si>
  <si>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</si>
  <si>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</si>
  <si>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</si>
  <si>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</si>
  <si>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</si>
  <si>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</si>
  <si>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</si>
  <si>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</si>
  <si>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</si>
  <si>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</si>
  <si>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</si>
  <si>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</si>
  <si>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</si>
  <si>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</si>
  <si>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</si>
  <si>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</si>
  <si>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</si>
  <si>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</si>
  <si>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</si>
  <si>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</si>
  <si>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</si>
  <si>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</si>
  <si>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</si>
  <si>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</si>
  <si>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</si>
  <si>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</si>
  <si>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</si>
  <si>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</si>
  <si>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</si>
  <si>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</si>
  <si>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</si>
  <si>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</si>
  <si>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</si>
  <si>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</si>
  <si>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</si>
  <si>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</si>
  <si>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</si>
  <si>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</si>
  <si>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</si>
  <si>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</si>
  <si>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</si>
  <si>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</si>
  <si>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</si>
  <si>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</si>
  <si>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</si>
  <si>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</si>
  <si>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</si>
  <si>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</si>
  <si>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</si>
  <si>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</si>
  <si>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</si>
  <si>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</si>
  <si>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</si>
  <si>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</si>
  <si>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</si>
  <si>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</si>
  <si>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</si>
  <si>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</si>
  <si>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</si>
  <si>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</si>
  <si>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</si>
  <si>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</si>
  <si>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</si>
  <si>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</si>
  <si>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</si>
  <si>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</si>
  <si>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</si>
  <si>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</si>
  <si>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</si>
  <si>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</si>
  <si>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</si>
  <si>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</si>
  <si>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</si>
  <si>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</si>
  <si>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</si>
  <si>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</si>
  <si>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</si>
  <si>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104</t>
  </si>
  <si>
    <t>9995</t>
  </si>
  <si>
    <t xml:space="preserve">GROUP POSITION      </t>
  </si>
  <si>
    <t>0001</t>
  </si>
  <si>
    <t>00</t>
  </si>
  <si>
    <t>LBPA</t>
  </si>
  <si>
    <t>001</t>
  </si>
  <si>
    <t>90000</t>
  </si>
  <si>
    <t>F</t>
  </si>
  <si>
    <t>NG</t>
  </si>
  <si>
    <t>N</t>
  </si>
  <si>
    <t>0041</t>
  </si>
  <si>
    <t>PERFORMANCE EVALUATO</t>
  </si>
  <si>
    <t>27316</t>
  </si>
  <si>
    <t>V</t>
  </si>
  <si>
    <t>NR</t>
  </si>
  <si>
    <t>0607</t>
  </si>
  <si>
    <t>PR. PERFORMANCE EVAL</t>
  </si>
  <si>
    <t>27332</t>
  </si>
  <si>
    <t>BAILEY, LAUREN M.</t>
  </si>
  <si>
    <t>BAILEY</t>
  </si>
  <si>
    <t>LAUREN</t>
  </si>
  <si>
    <t>M</t>
  </si>
  <si>
    <t>27330</t>
  </si>
  <si>
    <t>00000</t>
  </si>
  <si>
    <t>H</t>
  </si>
  <si>
    <t>FS</t>
  </si>
  <si>
    <t>E</t>
  </si>
  <si>
    <t>Y</t>
  </si>
  <si>
    <t xml:space="preserve">    </t>
  </si>
  <si>
    <t>0606</t>
  </si>
  <si>
    <t>BARTLETT, AMANDA R.</t>
  </si>
  <si>
    <t>BARTLETT</t>
  </si>
  <si>
    <t>AMANDA</t>
  </si>
  <si>
    <t>R</t>
  </si>
  <si>
    <t>0605</t>
  </si>
  <si>
    <t>SR. PERFORMANCE EVAL</t>
  </si>
  <si>
    <t>MOSS, MACKENZIE A.</t>
  </si>
  <si>
    <t>MOSS</t>
  </si>
  <si>
    <t>MACKENZIE</t>
  </si>
  <si>
    <t>ANN</t>
  </si>
  <si>
    <t>0604</t>
  </si>
  <si>
    <t>PETTI, CASEY J.</t>
  </si>
  <si>
    <t>PETTI</t>
  </si>
  <si>
    <t>CASEY</t>
  </si>
  <si>
    <t>JOHN</t>
  </si>
  <si>
    <t>0603</t>
  </si>
  <si>
    <t>O'CONNELL, SASHA M.</t>
  </si>
  <si>
    <t>O'CONNELL</t>
  </si>
  <si>
    <t>SASHA</t>
  </si>
  <si>
    <t>MOURENE</t>
  </si>
  <si>
    <t>0602</t>
  </si>
  <si>
    <t>LANGRILL, RYAN N.</t>
  </si>
  <si>
    <t>LANGRILL</t>
  </si>
  <si>
    <t>RYAN</t>
  </si>
  <si>
    <t>NEIL</t>
  </si>
  <si>
    <t>0601</t>
  </si>
  <si>
    <t>DEMER, ELIZABETH A.</t>
  </si>
  <si>
    <t>DEMER</t>
  </si>
  <si>
    <t>ELIZABETH</t>
  </si>
  <si>
    <t>A</t>
  </si>
  <si>
    <t>0040</t>
  </si>
  <si>
    <t>DIRECTOR LEG PERF EV</t>
  </si>
  <si>
    <t>27307</t>
  </si>
  <si>
    <t xml:space="preserve">MOHAN, RAKESH </t>
  </si>
  <si>
    <t>MOHAN</t>
  </si>
  <si>
    <t>RAKESH</t>
  </si>
  <si>
    <t xml:space="preserve">           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</si>
  <si>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</si>
  <si>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</si>
  <si>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</si>
  <si>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</si>
  <si>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</si>
  <si>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</si>
  <si>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</si>
  <si>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</si>
  <si>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</si>
  <si>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</si>
  <si>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</si>
  <si>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</si>
  <si>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</si>
  <si>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</si>
  <si>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</si>
  <si>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</si>
  <si>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</si>
  <si>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</si>
  <si>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</si>
  <si>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</si>
  <si>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</si>
  <si>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</si>
  <si>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</si>
  <si>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</si>
  <si>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</si>
  <si>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</si>
  <si>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</si>
  <si>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</si>
  <si>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</si>
  <si>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</si>
  <si>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</si>
  <si>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</si>
  <si>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</si>
  <si>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</si>
  <si>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</si>
  <si>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</si>
  <si>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</si>
  <si>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</si>
  <si>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</si>
  <si>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</si>
  <si>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</si>
  <si>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</si>
  <si>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</si>
  <si>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</si>
  <si>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</si>
  <si>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</si>
  <si>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</si>
  <si>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</si>
  <si>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LBPA 0001-00</t>
  </si>
  <si>
    <t>LBPA 0001</t>
  </si>
  <si>
    <t>Legislative Branch</t>
  </si>
  <si>
    <t>Office of Performance Evaluations</t>
  </si>
  <si>
    <t>General</t>
  </si>
  <si>
    <t>0001-00</t>
  </si>
  <si>
    <t>10000</t>
  </si>
  <si>
    <t>Office of Performance Evaluations, General   LBPA-0001-00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</si>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</sst>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AC5-912F-4795-B8BA-B64FE231786A}">
  <sheetPr codeName="Sheet6"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281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104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282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285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282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283</v>
      </c>
      <c r="J5" s="474"/>
      <c r="K5" s="474"/>
      <c r="L5" s="473"/>
      <c r="M5" s="352" t="s">
        <v>113</v>
      </c>
      <c r="N5" s="32" t="s">
        <v>284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"&amp;'LBPA|0001-00'!FiscalYear-1&amp;" SALARY"</f>
        <v>FY 2023 SALARY</v>
      </c>
      <c r="H8" s="50" t="str">
        <f>"FY "&amp;'LBPA|0001-00'!FiscalYear-1&amp;" HEALTH BENEFITS"</f>
        <v>FY 2023 HEALTH BENEFITS</v>
      </c>
      <c r="I8" s="50" t="str">
        <f>"FY "&amp;'LBPA|0001-00'!FiscalYear-1&amp;" VAR BENEFITS"</f>
        <v>FY 2023 VAR BENEFITS</v>
      </c>
      <c r="J8" s="50" t="str">
        <f>"FY "&amp;'LBPA|0001-00'!FiscalYear-1&amp;" TOTAL"</f>
        <v>FY 2023 TOTAL</v>
      </c>
      <c r="K8" s="50" t="str">
        <f>"FY "&amp;'LBPA|0001-00'!FiscalYear&amp;" SALARY CHANGE"</f>
        <v>FY 2024 SALARY CHANGE</v>
      </c>
      <c r="L8" s="50" t="str">
        <f>"FY "&amp;'LBPA|0001-00'!FiscalYear&amp;" CHG HEALTH BENEFITS"</f>
        <v>FY 2024 CHG HEALTH BENEFITS</v>
      </c>
      <c r="M8" s="50" t="str">
        <f>"FY "&amp;'LBPA|0001-00'!FiscalYear&amp;"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[0]!LBPA000100col_INC_FTI</f>
        <v>8</v>
      </c>
      <c r="G10" s="218">
        <f>[0]!LBPA000100col_FTI_SALARY_PERM</f>
        <v>685193.60000000009</v>
      </c>
      <c r="H10" s="218">
        <f>[0]!LBPA000100col_HEALTH_PERM</f>
        <v>100000</v>
      </c>
      <c r="I10" s="218">
        <f>[0]!LBPA000100col_TOT_VB_PERM</f>
        <v>141430.81097600001</v>
      </c>
      <c r="J10" s="219">
        <f>SUM(G10:I10)</f>
        <v>926624.41097600013</v>
      </c>
      <c r="K10" s="219">
        <f>[0]!LBPA000100col_1_27TH_PP</f>
        <v>0</v>
      </c>
      <c r="L10" s="218">
        <f>[0]!LBPA000100col_HEALTH_PERM_CHG</f>
        <v>10000</v>
      </c>
      <c r="M10" s="218">
        <f>[0]!LBPA000100col_TOT_VB_PERM_CHG</f>
        <v>-5961.1843200000067</v>
      </c>
      <c r="N10" s="218">
        <f>SUM(L10:M10)</f>
        <v>4038.8156799999933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6900</v>
      </c>
      <c r="AB10" s="335">
        <f>ROUND(PermVarBen*CECPerm+(CECPerm*PermVarBenChg),-2)</f>
        <v>1400</v>
      </c>
      <c r="AC10" s="335">
        <f>SUM(AA10:AB10)</f>
        <v>8300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[0]!LBPA000100col_Group_Salary</f>
        <v>2436</v>
      </c>
      <c r="H11" s="218">
        <v>0</v>
      </c>
      <c r="I11" s="218">
        <f>[0]!LBPA000100col_Group_Ben</f>
        <v>255.19</v>
      </c>
      <c r="J11" s="219">
        <f>SUM(G11:I11)</f>
        <v>2691.19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[0]!LBPA000100col_TOTAL_ELECT_PCN_FTI</f>
        <v>0</v>
      </c>
      <c r="G12" s="218">
        <f>[0]!LBPA000100col_FTI_SALARY_ELECT</f>
        <v>0</v>
      </c>
      <c r="H12" s="218">
        <f>[0]!LBPA000100col_HEALTH_ELECT</f>
        <v>0</v>
      </c>
      <c r="I12" s="218">
        <f>[0]!LBPA000100col_TOT_VB_ELECT</f>
        <v>0</v>
      </c>
      <c r="J12" s="219">
        <f>SUM(G12:I12)</f>
        <v>0</v>
      </c>
      <c r="K12" s="268"/>
      <c r="L12" s="218">
        <f>[0]!LBPA000100col_HEALTH_ELECT_CHG</f>
        <v>0</v>
      </c>
      <c r="M12" s="218">
        <f>[0]!LBPA000100col_TOT_VB_ELECT_CHG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8</v>
      </c>
      <c r="G13" s="221">
        <f>SUM(G10:G12)</f>
        <v>687629.60000000009</v>
      </c>
      <c r="H13" s="221">
        <f>SUM(H10:H12)</f>
        <v>100000</v>
      </c>
      <c r="I13" s="221">
        <f>SUM(I10:I12)</f>
        <v>141686.00097600001</v>
      </c>
      <c r="J13" s="219">
        <f>SUM(G13:I13)</f>
        <v>929315.60097600007</v>
      </c>
      <c r="K13" s="268"/>
      <c r="L13" s="219">
        <f>SUM(L10:L12)</f>
        <v>10000</v>
      </c>
      <c r="M13" s="219">
        <f>SUM(M10:M12)</f>
        <v>-5961.1843200000067</v>
      </c>
      <c r="N13" s="219">
        <f>SUM(N10:N12)</f>
        <v>4038.8156799999933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"&amp;'LBPA|0001-00'!FiscalYear-1</f>
        <v>FY 2023</v>
      </c>
      <c r="D15" s="158" t="s">
        <v>31</v>
      </c>
      <c r="E15" s="355">
        <v>963200</v>
      </c>
      <c r="F15" s="55">
        <v>8</v>
      </c>
      <c r="G15" s="223">
        <f>IF(OrigApprop=0,0,(G13/$J$13)*OrigApprop)</f>
        <v>712701.72374638182</v>
      </c>
      <c r="H15" s="223">
        <f>IF(OrigApprop=0,0,(H13/$J$13)*OrigApprop)</f>
        <v>103646.16702747844</v>
      </c>
      <c r="I15" s="223">
        <f>IF(G15=0,0,(I13/$J$13)*OrigApprop)</f>
        <v>146852.1092261397</v>
      </c>
      <c r="J15" s="223">
        <f>SUM(G15:I15)</f>
        <v>963200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25072.123746381723</v>
      </c>
      <c r="H16" s="162">
        <f>H15-H13</f>
        <v>3646.167027478441</v>
      </c>
      <c r="I16" s="162">
        <f>I15-I13</f>
        <v>5166.1082501396886</v>
      </c>
      <c r="J16" s="162">
        <f>J15-J13</f>
        <v>33884.399023999926</v>
      </c>
      <c r="K16" s="269"/>
      <c r="L16" s="56" t="str">
        <f>IF('LBPA|0001-00'!OrigApprop=0,"No Original Appropriation amount in DU 3.00 for this fund","Calculated "&amp;IF('LBPA|0001-00'!AdjustedTotal&gt;0,"overfunding ","underfunding ")&amp;"is "&amp;TEXT('LBPA|0001-00'!AdjustedTotal/'LBPA|0001-00'!AppropTotal,"#.0%;(#.0% );0% ;")&amp;" of Original Appropriation")</f>
        <v>Calculated overfunding is 3.5%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8</v>
      </c>
      <c r="G38" s="191">
        <f>SUMIF($E10:$E35,$E38,$G10:$G35)</f>
        <v>685193.60000000009</v>
      </c>
      <c r="H38" s="192">
        <f>SUMIF($E10:$E35,$E38,$H10:$H35)</f>
        <v>100000</v>
      </c>
      <c r="I38" s="192">
        <f>SUMIF($E10:$E35,$E38,$I10:$I35)</f>
        <v>141430.81097600001</v>
      </c>
      <c r="J38" s="192">
        <f>SUM(G38:I38)</f>
        <v>926624.41097600013</v>
      </c>
      <c r="K38" s="166"/>
      <c r="L38" s="191">
        <f>SUMIF($E10:$E35,$E38,$L10:$L35)</f>
        <v>10000</v>
      </c>
      <c r="M38" s="192">
        <f>SUMIF($E10:$E35,$E38,$M10:$M35)</f>
        <v>-5961.1843200000067</v>
      </c>
      <c r="N38" s="192">
        <f>SUM(L38:M38)</f>
        <v>4038.8156799999933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6900</v>
      </c>
      <c r="AB38" s="338">
        <f>ROUND((AdjPermVB*CECPerm+AdjPermVBBY*CECPerm),-2)</f>
        <v>1400</v>
      </c>
      <c r="AC38" s="338">
        <f>SUM(AA38:AB38)</f>
        <v>8300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2436</v>
      </c>
      <c r="H39" s="152">
        <f>SUMIF($E10:$E35,$E39,$H10:$H35)</f>
        <v>0</v>
      </c>
      <c r="I39" s="152">
        <f>SUMIF($E10:$E35,$E39,$I10:$I35)</f>
        <v>255.19</v>
      </c>
      <c r="J39" s="152">
        <f>SUM(G39:I39)</f>
        <v>2691.19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8</v>
      </c>
      <c r="G41" s="195">
        <f>SUM($G$38:$G$40)</f>
        <v>687629.60000000009</v>
      </c>
      <c r="H41" s="162">
        <f>SUM($H$38:$H$40)</f>
        <v>100000</v>
      </c>
      <c r="I41" s="162">
        <f>SUM($I$38:$I$40)</f>
        <v>141686.00097600001</v>
      </c>
      <c r="J41" s="162">
        <f>SUM($J$38:$J$40)</f>
        <v>929315.60097600007</v>
      </c>
      <c r="K41" s="259"/>
      <c r="L41" s="195">
        <f>SUM($L$38:$L$40)</f>
        <v>10000</v>
      </c>
      <c r="M41" s="162">
        <f>SUM($M$38:$M$40)</f>
        <v>-5961.1843200000067</v>
      </c>
      <c r="N41" s="162">
        <f>SUM(L41:M41)</f>
        <v>4038.8156799999933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25072.123746381723</v>
      </c>
      <c r="H43" s="159">
        <f>H51-H41</f>
        <v>3646.167027478441</v>
      </c>
      <c r="I43" s="159">
        <f>I51-I41</f>
        <v>5166.1082501396886</v>
      </c>
      <c r="J43" s="159">
        <f>SUM(G43:I43)</f>
        <v>33884.399023999853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3.5%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25070.399999999907</v>
      </c>
      <c r="H44" s="159">
        <f>H60-H41</f>
        <v>3600</v>
      </c>
      <c r="I44" s="159">
        <f>I60-I41</f>
        <v>5213.9990239999897</v>
      </c>
      <c r="J44" s="159">
        <f>SUM(G44:I44)</f>
        <v>33884.399023999897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3.5%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25070.399999999907</v>
      </c>
      <c r="H45" s="206">
        <f>H67-H41-H63</f>
        <v>3600</v>
      </c>
      <c r="I45" s="206">
        <f>I67-I41-I63</f>
        <v>5213.9990239999897</v>
      </c>
      <c r="J45" s="159">
        <f>SUM(G45:I45)</f>
        <v>33884.399023999897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3.5%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963200</v>
      </c>
      <c r="F51" s="272">
        <f>AppropFTP</f>
        <v>8</v>
      </c>
      <c r="G51" s="274">
        <f>IF(E51=0,0,(G41/$J$41)*$E$51)</f>
        <v>712701.72374638182</v>
      </c>
      <c r="H51" s="274">
        <f>IF(E51=0,0,(H41/$J$41)*$E$51)</f>
        <v>103646.16702747844</v>
      </c>
      <c r="I51" s="275">
        <f>IF(E51=0,0,(I41/$J$41)*$E$51)</f>
        <v>146852.1092261397</v>
      </c>
      <c r="J51" s="90">
        <f>SUM(G51:I51)</f>
        <v>963200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8</v>
      </c>
      <c r="G52" s="79">
        <f>ROUND(G51,-2)</f>
        <v>712700</v>
      </c>
      <c r="H52" s="79">
        <f>ROUND(H51,-2)</f>
        <v>103600</v>
      </c>
      <c r="I52" s="266">
        <f>ROUND(I51,-2)</f>
        <v>146900</v>
      </c>
      <c r="J52" s="80">
        <f>ROUND(J51,-2)</f>
        <v>963200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8</v>
      </c>
      <c r="G56" s="80">
        <f>SUM(G52:G55)</f>
        <v>712700</v>
      </c>
      <c r="H56" s="80">
        <f>SUM(H52:H55)</f>
        <v>103600</v>
      </c>
      <c r="I56" s="260">
        <f>SUM(I52:I55)</f>
        <v>146900</v>
      </c>
      <c r="J56" s="80">
        <f>SUM(J52:J55)</f>
        <v>963200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8</v>
      </c>
      <c r="G60" s="80">
        <f>SUM(G56:G59)</f>
        <v>712700</v>
      </c>
      <c r="H60" s="80">
        <f>SUM(H56:H59)</f>
        <v>103600</v>
      </c>
      <c r="I60" s="260">
        <f>SUM(I56:I59)</f>
        <v>146900</v>
      </c>
      <c r="J60" s="80">
        <f>SUM(J56:J59)</f>
        <v>963200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8</v>
      </c>
      <c r="G67" s="80">
        <f>SUM(G60:G64)</f>
        <v>712700</v>
      </c>
      <c r="H67" s="80">
        <f>SUM(H60:H64)</f>
        <v>103600</v>
      </c>
      <c r="I67" s="80">
        <f>SUM(I60:I64)</f>
        <v>146900</v>
      </c>
      <c r="J67" s="80">
        <f>SUM(J60:J64)</f>
        <v>963200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10000</v>
      </c>
      <c r="I68" s="113"/>
      <c r="J68" s="287">
        <f>SUM(G68:I68)</f>
        <v>10000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-6000</v>
      </c>
      <c r="J69" s="287">
        <f>SUM(G69:I69)</f>
        <v>-6000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6900</v>
      </c>
      <c r="H72" s="287"/>
      <c r="I72" s="287">
        <f>ROUND(($G72*PermVBBY+$G72*Retire1BY),-2)</f>
        <v>1400</v>
      </c>
      <c r="J72" s="113">
        <f>SUM(G72:I72)</f>
        <v>8300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8</v>
      </c>
      <c r="G75" s="80">
        <f>SUM(G67:G74)</f>
        <v>719600</v>
      </c>
      <c r="H75" s="80">
        <f>SUM(H67:H74)</f>
        <v>113600</v>
      </c>
      <c r="I75" s="80">
        <f>SUM(I67:I74)</f>
        <v>142300</v>
      </c>
      <c r="J75" s="80">
        <f>SUM(J67:K74)</f>
        <v>975500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8</v>
      </c>
      <c r="G80" s="80">
        <f>SUM(G75:G79)</f>
        <v>719600</v>
      </c>
      <c r="H80" s="80">
        <f>SUM(H75:H79)</f>
        <v>113600</v>
      </c>
      <c r="I80" s="80">
        <f>SUM(I75:I79)</f>
        <v>142300</v>
      </c>
      <c r="J80" s="80">
        <f>SUM(J75:J79)</f>
        <v>975500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B3F1CA-EB1E-4507-96B7-6AD9B93D81E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4"/>
  <sheetViews>
    <sheetView workbookViewId="0">
      <pane xSplit="3" ySplit="1" topLeftCell="AG2" activePane="bottomRight" state="frozen"/>
      <selection pane="topRight" activeCell="D1" sqref="D1"/>
      <selection pane="bottomLeft" activeCell="A2" sqref="A2"/>
      <selection pane="bottomRight" activeCell="AS23" sqref="AS23:BA34"/>
    </sheetView>
  </sheetViews>
  <sheetFormatPr defaultRowHeight="15" x14ac:dyDescent="0.25"/>
  <cols>
    <col min="45" max="53" width="15.7109375" customWidth="1"/>
    <col min="54" max="54" width="12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89" width="9.28515625" bestFit="1" customWidth="1"/>
    <col min="90" max="90" width="9.7109375" bestFit="1" customWidth="1"/>
    <col min="91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231</v>
      </c>
      <c r="AT1" s="386" t="s">
        <v>232</v>
      </c>
      <c r="AU1" s="386" t="s">
        <v>233</v>
      </c>
      <c r="AV1" s="386" t="s">
        <v>234</v>
      </c>
      <c r="AW1" s="386" t="s">
        <v>235</v>
      </c>
      <c r="AX1" s="386" t="s">
        <v>236</v>
      </c>
      <c r="AY1" s="386" t="s">
        <v>237</v>
      </c>
      <c r="AZ1" s="386" t="s">
        <v>238</v>
      </c>
      <c r="BA1" s="388" t="s">
        <v>239</v>
      </c>
      <c r="BB1" s="389" t="s">
        <v>240</v>
      </c>
      <c r="BC1" s="389" t="s">
        <v>241</v>
      </c>
      <c r="BD1" s="389" t="s">
        <v>242</v>
      </c>
      <c r="BE1" s="389" t="s">
        <v>243</v>
      </c>
      <c r="BF1" s="389" t="s">
        <v>244</v>
      </c>
      <c r="BG1" s="389" t="s">
        <v>245</v>
      </c>
      <c r="BH1" s="389" t="s">
        <v>246</v>
      </c>
      <c r="BI1" s="389" t="s">
        <v>247</v>
      </c>
      <c r="BJ1" s="389" t="s">
        <v>248</v>
      </c>
      <c r="BK1" s="389" t="s">
        <v>249</v>
      </c>
      <c r="BL1" s="390" t="s">
        <v>250</v>
      </c>
      <c r="BM1" s="390" t="s">
        <v>251</v>
      </c>
      <c r="BN1" s="389" t="s">
        <v>252</v>
      </c>
      <c r="BO1" s="389" t="s">
        <v>253</v>
      </c>
      <c r="BP1" s="389" t="s">
        <v>254</v>
      </c>
      <c r="BQ1" s="389" t="s">
        <v>255</v>
      </c>
      <c r="BR1" s="389" t="s">
        <v>256</v>
      </c>
      <c r="BS1" s="389" t="s">
        <v>257</v>
      </c>
      <c r="BT1" s="389" t="s">
        <v>258</v>
      </c>
      <c r="BU1" s="389" t="s">
        <v>259</v>
      </c>
      <c r="BV1" s="389" t="s">
        <v>260</v>
      </c>
      <c r="BW1" s="389" t="s">
        <v>261</v>
      </c>
      <c r="BX1" s="390" t="s">
        <v>262</v>
      </c>
      <c r="BY1" s="390" t="s">
        <v>263</v>
      </c>
      <c r="BZ1" s="389" t="s">
        <v>264</v>
      </c>
      <c r="CA1" s="389" t="s">
        <v>265</v>
      </c>
      <c r="CB1" s="389" t="s">
        <v>266</v>
      </c>
      <c r="CC1" s="389" t="s">
        <v>267</v>
      </c>
      <c r="CD1" s="389" t="s">
        <v>268</v>
      </c>
      <c r="CE1" s="389" t="s">
        <v>269</v>
      </c>
      <c r="CF1" s="389" t="s">
        <v>270</v>
      </c>
      <c r="CG1" s="389" t="s">
        <v>271</v>
      </c>
      <c r="CH1" s="389" t="s">
        <v>272</v>
      </c>
      <c r="CI1" s="389" t="s">
        <v>273</v>
      </c>
      <c r="CJ1" s="390" t="s">
        <v>274</v>
      </c>
      <c r="CK1" s="390" t="s">
        <v>275</v>
      </c>
      <c r="CL1" s="391" t="s">
        <v>276</v>
      </c>
      <c r="CM1" s="391" t="s">
        <v>277</v>
      </c>
      <c r="CN1" s="391" t="s">
        <v>278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0</v>
      </c>
      <c r="P2" s="385">
        <v>1</v>
      </c>
      <c r="Q2" s="385">
        <v>0</v>
      </c>
      <c r="R2" s="381">
        <v>0</v>
      </c>
      <c r="S2" s="385">
        <v>0</v>
      </c>
      <c r="T2" s="381">
        <v>2436</v>
      </c>
      <c r="U2" s="381">
        <v>0</v>
      </c>
      <c r="V2" s="381">
        <v>255.19</v>
      </c>
      <c r="W2" s="381">
        <v>2436</v>
      </c>
      <c r="X2" s="381">
        <v>255.19</v>
      </c>
      <c r="Y2" s="381">
        <v>2436</v>
      </c>
      <c r="Z2" s="381">
        <v>255.19</v>
      </c>
      <c r="AA2" s="379"/>
      <c r="AB2" s="379"/>
      <c r="AC2" s="379"/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173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IF(AT2=0,"",IF(AND(AT2=1,M2="F",SUMIF(C2:C11,C2,AS2:AS11)&lt;=1),SUMIF(C2:C11,C2,AS2:AS11),IF(AND(AT2=1,M2="F",SUMIF(C2:C11,C2,AS2:AS11)&gt;1),1,"")))</f>
        <v/>
      </c>
      <c r="AV2" s="387" t="str">
        <f>IF(AT2=0,"",IF(AND(AT2=3,M2="F",SUMIF(C2:C11,C2,AS2:AS11)&lt;=1),SUMIF(C2:C11,C2,AS2:AS11),IF(AND(AT2=3,M2="F",SUMIF(C2:C11,C2,AS2:AS11)&gt;1),1,"")))</f>
        <v/>
      </c>
      <c r="AW2" s="387">
        <f>SUMIF(C2:C11,C2,O2:O11)</f>
        <v>0</v>
      </c>
      <c r="AX2" s="387">
        <f>IF(AND(M2="F",AS2&lt;&gt;0),SUMIF(C2:C11,C2,W2:W11),0)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11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11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11" si="2">IF(AND(AT2&lt;&gt;0,AX2&gt;=MAXSSDI),SSDI*MAXSSDI*P2,IF(AT2&lt;&gt;0,SSDI*W2,0))</f>
        <v>0</v>
      </c>
      <c r="BE2" s="387">
        <f t="shared" ref="BE2:BE11" si="3">IF(AT2&lt;&gt;0,SSHI*W2,0)</f>
        <v>0</v>
      </c>
      <c r="BF2" s="387">
        <f t="shared" ref="BF2:BF11" si="4">IF(AND(AT2&lt;&gt;0,AN2&lt;&gt;"NE"),VLOOKUP(AN2,Retirement_Rates,3,FALSE)*W2,0)</f>
        <v>0</v>
      </c>
      <c r="BG2" s="387">
        <f t="shared" ref="BG2:BG11" si="5">IF(AND(AT2&lt;&gt;0,AJ2&lt;&gt;"PF"),Life*W2,0)</f>
        <v>0</v>
      </c>
      <c r="BH2" s="387">
        <f t="shared" ref="BH2:BH11" si="6">IF(AND(AT2&lt;&gt;0,AM2="Y"),UI*W2,0)</f>
        <v>0</v>
      </c>
      <c r="BI2" s="387">
        <f t="shared" ref="BI2:BI11" si="7">IF(AND(AT2&lt;&gt;0,N2&lt;&gt;"NR"),DHR*W2,0)</f>
        <v>0</v>
      </c>
      <c r="BJ2" s="387">
        <f t="shared" ref="BJ2:BJ11" si="8">IF(AT2&lt;&gt;0,WC*W2,0)</f>
        <v>0</v>
      </c>
      <c r="BK2" s="387">
        <f t="shared" ref="BK2:BK11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11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11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11" si="12">IF(AND(AT2&lt;&gt;0,(AX2+BA2)&gt;=MAXSSDIBY),SSDIBY*MAXSSDIBY*P2,IF(AT2&lt;&gt;0,SSDIBY*W2,0))</f>
        <v>0</v>
      </c>
      <c r="BQ2" s="387">
        <f t="shared" ref="BQ2:BQ11" si="13">IF(AT2&lt;&gt;0,SSHIBY*W2,0)</f>
        <v>0</v>
      </c>
      <c r="BR2" s="387">
        <f t="shared" ref="BR2:BR11" si="14">IF(AND(AT2&lt;&gt;0,AN2&lt;&gt;"NE"),VLOOKUP(AN2,Retirement_Rates,4,FALSE)*W2,0)</f>
        <v>0</v>
      </c>
      <c r="BS2" s="387">
        <f t="shared" ref="BS2:BS11" si="15">IF(AND(AT2&lt;&gt;0,AJ2&lt;&gt;"PF"),LifeBY*W2,0)</f>
        <v>0</v>
      </c>
      <c r="BT2" s="387">
        <f t="shared" ref="BT2:BT11" si="16">IF(AND(AT2&lt;&gt;0,AM2="Y"),UIBY*W2,0)</f>
        <v>0</v>
      </c>
      <c r="BU2" s="387">
        <f t="shared" ref="BU2:BU11" si="17">IF(AND(AT2&lt;&gt;0,N2&lt;&gt;"NR"),DHRBY*W2,0)</f>
        <v>0</v>
      </c>
      <c r="BV2" s="387">
        <f t="shared" ref="BV2:BV11" si="18">IF(AT2&lt;&gt;0,WCBY*W2,0)</f>
        <v>0</v>
      </c>
      <c r="BW2" s="387">
        <f t="shared" ref="BW2:BW11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11" si="20">IF(AT2&lt;&gt;0,SSHICHG*Y2,0)</f>
        <v>0</v>
      </c>
      <c r="CD2" s="387">
        <f t="shared" ref="CD2:CD11" si="21">IF(AND(AT2&lt;&gt;0,AN2&lt;&gt;"NE"),VLOOKUP(AN2,Retirement_Rates,5,FALSE)*Y2,0)</f>
        <v>0</v>
      </c>
      <c r="CE2" s="387">
        <f t="shared" ref="CE2:CE11" si="22">IF(AND(AT2&lt;&gt;0,AJ2&lt;&gt;"PF"),LifeCHG*Y2,0)</f>
        <v>0</v>
      </c>
      <c r="CF2" s="387">
        <f t="shared" ref="CF2:CF11" si="23">IF(AND(AT2&lt;&gt;0,AM2="Y"),UICHG*Y2,0)</f>
        <v>0</v>
      </c>
      <c r="CG2" s="387">
        <f t="shared" ref="CG2:CG11" si="24">IF(AND(AT2&lt;&gt;0,N2&lt;&gt;"NR"),DHRCHG*Y2,0)</f>
        <v>0</v>
      </c>
      <c r="CH2" s="387">
        <f t="shared" ref="CH2:CH11" si="25">IF(AT2&lt;&gt;0,WCCHG*Y2,0)</f>
        <v>0</v>
      </c>
      <c r="CI2" s="387">
        <f t="shared" ref="CI2:CI11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2436</v>
      </c>
      <c r="CM2" s="387">
        <f>IF(OR(N2="NG",AG2="D"),V2,"")</f>
        <v>255.19</v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174</v>
      </c>
      <c r="D3" s="377" t="s">
        <v>175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176</v>
      </c>
      <c r="L3" s="377" t="s">
        <v>167</v>
      </c>
      <c r="M3" s="377" t="s">
        <v>177</v>
      </c>
      <c r="N3" s="377" t="s">
        <v>178</v>
      </c>
      <c r="O3" s="380">
        <v>0</v>
      </c>
      <c r="P3" s="385">
        <v>1</v>
      </c>
      <c r="Q3" s="385">
        <v>1</v>
      </c>
      <c r="R3" s="381">
        <v>80</v>
      </c>
      <c r="S3" s="385">
        <v>1</v>
      </c>
      <c r="T3" s="381">
        <v>0</v>
      </c>
      <c r="U3" s="381">
        <v>0</v>
      </c>
      <c r="V3" s="381">
        <v>0</v>
      </c>
      <c r="W3" s="381">
        <v>73361.600000000006</v>
      </c>
      <c r="X3" s="381">
        <v>33012.720000000001</v>
      </c>
      <c r="Y3" s="381">
        <v>73361.600000000006</v>
      </c>
      <c r="Z3" s="381">
        <v>34186.5</v>
      </c>
      <c r="AA3" s="379"/>
      <c r="AB3" s="379"/>
      <c r="AC3" s="379"/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173</v>
      </c>
      <c r="AM3" s="379"/>
      <c r="AN3" s="379"/>
      <c r="AO3" s="380">
        <v>0</v>
      </c>
      <c r="AP3" s="385">
        <v>0</v>
      </c>
      <c r="AQ3" s="385">
        <v>0</v>
      </c>
      <c r="AR3" s="383"/>
      <c r="AS3" s="387">
        <f t="shared" ref="AS3:AS11" si="27">IF(((AO3/80)*AP3*P3)&gt;1,AQ3,((AO3/80)*AP3*P3))</f>
        <v>0</v>
      </c>
      <c r="AT3">
        <f t="shared" ref="AT3:AT11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IF(AT3=0,"",IF(AND(AT3=1,M3="F",SUMIF(C2:C11,C3,AS2:AS11)&lt;=1),SUMIF(C2:C11,C3,AS2:AS11),IF(AND(AT3=1,M3="F",SUMIF(C2:C11,C3,AS2:AS11)&gt;1),1,"")))</f>
        <v/>
      </c>
      <c r="AV3" s="387" t="str">
        <f>IF(AT3=0,"",IF(AND(AT3=3,M3="F",SUMIF(C2:C11,C3,AS2:AS11)&lt;=1),SUMIF(C2:C11,C3,AS2:AS11),IF(AND(AT3=3,M3="F",SUMIF(C2:C11,C3,AS2:AS11)&gt;1),1,"")))</f>
        <v/>
      </c>
      <c r="AW3" s="387">
        <f>SUMIF(C2:C11,C3,O2:O11)</f>
        <v>0</v>
      </c>
      <c r="AX3" s="387">
        <f>IF(AND(M3="F",AS3&lt;&gt;0),SUMIF(C2:C11,C3,W2:W11),0)</f>
        <v>0</v>
      </c>
      <c r="AY3" s="387" t="str">
        <f t="shared" ref="AY3:AY11" si="29">IF(AT3=1,W3,"")</f>
        <v/>
      </c>
      <c r="AZ3" s="387" t="str">
        <f t="shared" ref="AZ3:AZ11" si="30">IF(AT3=3,W3,"")</f>
        <v/>
      </c>
      <c r="BA3" s="387">
        <f t="shared" ref="BA3:BA11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11" si="32">IF(AT3=1,SUM(BD3:BK3),0)</f>
        <v>0</v>
      </c>
      <c r="BM3" s="387">
        <f t="shared" ref="BM3:BM11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11" si="34">IF(AT3=1,SUM(BP3:BW3),0)</f>
        <v>0</v>
      </c>
      <c r="BY3" s="387">
        <f t="shared" ref="BY3:BY11" si="35">IF(AT3=3,SUM(BP3:BW3),0)</f>
        <v>0</v>
      </c>
      <c r="BZ3" s="387">
        <f t="shared" ref="BZ3:BZ11" si="36">IF(AT3=1,BN3-BB3,0)</f>
        <v>0</v>
      </c>
      <c r="CA3" s="387">
        <f t="shared" ref="CA3:CA11" si="37">IF(AT3=3,BO3-BC3,0)</f>
        <v>0</v>
      </c>
      <c r="CB3" s="387">
        <f t="shared" ref="CB3:CB11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11" si="39">IF(AT3=1,SUM(CB3:CI3),0)</f>
        <v>0</v>
      </c>
      <c r="CK3" s="387" t="str">
        <f t="shared" ref="CK3:CK11" si="40">IF(AT3=3,SUM(CB3:CI3),"")</f>
        <v/>
      </c>
      <c r="CL3" s="387" t="str">
        <f t="shared" ref="CL3:CL11" si="41">IF(OR(N3="NG",AG3="D"),(T3+U3),"")</f>
        <v/>
      </c>
      <c r="CM3" s="387" t="str">
        <f t="shared" ref="CM3:CM11" si="42">IF(OR(N3="NG",AG3="D"),V3,"")</f>
        <v/>
      </c>
      <c r="CN3" s="387" t="str">
        <f t="shared" ref="CN3:CN11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179</v>
      </c>
      <c r="D4" s="377" t="s">
        <v>180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181</v>
      </c>
      <c r="L4" s="377" t="s">
        <v>167</v>
      </c>
      <c r="M4" s="377" t="s">
        <v>171</v>
      </c>
      <c r="N4" s="377" t="s">
        <v>178</v>
      </c>
      <c r="O4" s="380">
        <v>1</v>
      </c>
      <c r="P4" s="385">
        <v>1</v>
      </c>
      <c r="Q4" s="385">
        <v>1</v>
      </c>
      <c r="R4" s="381">
        <v>80</v>
      </c>
      <c r="S4" s="385">
        <v>1</v>
      </c>
      <c r="T4" s="381">
        <v>59508</v>
      </c>
      <c r="U4" s="381">
        <v>0</v>
      </c>
      <c r="V4" s="381">
        <v>24623.39</v>
      </c>
      <c r="W4" s="381">
        <v>72841.600000000006</v>
      </c>
      <c r="X4" s="381">
        <v>27535.200000000001</v>
      </c>
      <c r="Y4" s="381">
        <v>72841.600000000006</v>
      </c>
      <c r="Z4" s="381">
        <v>28151.49</v>
      </c>
      <c r="AA4" s="377" t="s">
        <v>182</v>
      </c>
      <c r="AB4" s="377" t="s">
        <v>183</v>
      </c>
      <c r="AC4" s="377" t="s">
        <v>184</v>
      </c>
      <c r="AD4" s="377" t="s">
        <v>185</v>
      </c>
      <c r="AE4" s="377" t="s">
        <v>186</v>
      </c>
      <c r="AF4" s="377" t="s">
        <v>187</v>
      </c>
      <c r="AG4" s="377" t="s">
        <v>188</v>
      </c>
      <c r="AH4" s="382">
        <v>35.020000000000003</v>
      </c>
      <c r="AI4" s="382">
        <v>6306.4</v>
      </c>
      <c r="AJ4" s="377" t="s">
        <v>189</v>
      </c>
      <c r="AK4" s="377" t="s">
        <v>190</v>
      </c>
      <c r="AL4" s="377" t="s">
        <v>173</v>
      </c>
      <c r="AM4" s="377" t="s">
        <v>191</v>
      </c>
      <c r="AN4" s="377" t="s">
        <v>66</v>
      </c>
      <c r="AO4" s="380">
        <v>80</v>
      </c>
      <c r="AP4" s="385">
        <v>1</v>
      </c>
      <c r="AQ4" s="385">
        <v>1</v>
      </c>
      <c r="AR4" s="384" t="s">
        <v>192</v>
      </c>
      <c r="AS4" s="387">
        <f t="shared" si="27"/>
        <v>1</v>
      </c>
      <c r="AT4">
        <f t="shared" si="28"/>
        <v>1</v>
      </c>
      <c r="AU4" s="387">
        <f>IF(AT4=0,"",IF(AND(AT4=1,M4="F",SUMIF(C2:C11,C4,AS2:AS11)&lt;=1),SUMIF(C2:C11,C4,AS2:AS11),IF(AND(AT4=1,M4="F",SUMIF(C2:C11,C4,AS2:AS11)&gt;1),1,"")))</f>
        <v>1</v>
      </c>
      <c r="AV4" s="387" t="str">
        <f>IF(AT4=0,"",IF(AND(AT4=3,M4="F",SUMIF(C2:C11,C4,AS2:AS11)&lt;=1),SUMIF(C2:C11,C4,AS2:AS11),IF(AND(AT4=3,M4="F",SUMIF(C2:C11,C4,AS2:AS11)&gt;1),1,"")))</f>
        <v/>
      </c>
      <c r="AW4" s="387">
        <f>SUMIF(C2:C11,C4,O2:O11)</f>
        <v>1</v>
      </c>
      <c r="AX4" s="387">
        <f>IF(AND(M4="F",AS4&lt;&gt;0),SUMIF(C2:C11,C4,W2:W11),0)</f>
        <v>72841.600000000006</v>
      </c>
      <c r="AY4" s="387">
        <f t="shared" si="29"/>
        <v>72841.600000000006</v>
      </c>
      <c r="AZ4" s="387" t="str">
        <f t="shared" si="30"/>
        <v/>
      </c>
      <c r="BA4" s="387">
        <f t="shared" si="31"/>
        <v>0</v>
      </c>
      <c r="BB4" s="387">
        <f t="shared" si="0"/>
        <v>12500</v>
      </c>
      <c r="BC4" s="387">
        <f t="shared" si="1"/>
        <v>0</v>
      </c>
      <c r="BD4" s="387">
        <f t="shared" si="2"/>
        <v>4516.1792000000005</v>
      </c>
      <c r="BE4" s="387">
        <f t="shared" si="3"/>
        <v>1056.2032000000002</v>
      </c>
      <c r="BF4" s="387">
        <f t="shared" si="4"/>
        <v>8697.2870400000011</v>
      </c>
      <c r="BG4" s="387">
        <f t="shared" si="5"/>
        <v>525.18793600000004</v>
      </c>
      <c r="BH4" s="387">
        <f t="shared" si="6"/>
        <v>0</v>
      </c>
      <c r="BI4" s="387">
        <f t="shared" si="7"/>
        <v>0</v>
      </c>
      <c r="BJ4" s="387">
        <f t="shared" si="8"/>
        <v>240.37728000000001</v>
      </c>
      <c r="BK4" s="387">
        <f t="shared" si="9"/>
        <v>0</v>
      </c>
      <c r="BL4" s="387">
        <f t="shared" si="32"/>
        <v>15035.234656000002</v>
      </c>
      <c r="BM4" s="387">
        <f t="shared" si="33"/>
        <v>0</v>
      </c>
      <c r="BN4" s="387">
        <f t="shared" si="10"/>
        <v>13750</v>
      </c>
      <c r="BO4" s="387">
        <f t="shared" si="11"/>
        <v>0</v>
      </c>
      <c r="BP4" s="387">
        <f t="shared" si="12"/>
        <v>4516.1792000000005</v>
      </c>
      <c r="BQ4" s="387">
        <f t="shared" si="13"/>
        <v>1056.2032000000002</v>
      </c>
      <c r="BR4" s="387">
        <f t="shared" si="14"/>
        <v>8143.6908800000001</v>
      </c>
      <c r="BS4" s="387">
        <f t="shared" si="15"/>
        <v>525.18793600000004</v>
      </c>
      <c r="BT4" s="387">
        <f t="shared" si="16"/>
        <v>0</v>
      </c>
      <c r="BU4" s="387">
        <f t="shared" si="17"/>
        <v>0</v>
      </c>
      <c r="BV4" s="387">
        <f t="shared" si="18"/>
        <v>160.25152000000003</v>
      </c>
      <c r="BW4" s="387">
        <f t="shared" si="19"/>
        <v>0</v>
      </c>
      <c r="BX4" s="387">
        <f t="shared" si="34"/>
        <v>14401.512736000001</v>
      </c>
      <c r="BY4" s="387">
        <f t="shared" si="35"/>
        <v>0</v>
      </c>
      <c r="BZ4" s="387">
        <f t="shared" si="36"/>
        <v>1250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-553.59616000000074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-80.12576</v>
      </c>
      <c r="CI4" s="387">
        <f t="shared" si="26"/>
        <v>0</v>
      </c>
      <c r="CJ4" s="387">
        <f t="shared" si="39"/>
        <v>-633.72192000000075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193</v>
      </c>
      <c r="D5" s="377" t="s">
        <v>180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181</v>
      </c>
      <c r="L5" s="377" t="s">
        <v>167</v>
      </c>
      <c r="M5" s="377" t="s">
        <v>171</v>
      </c>
      <c r="N5" s="377" t="s">
        <v>178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90474</v>
      </c>
      <c r="U5" s="381">
        <v>0</v>
      </c>
      <c r="V5" s="381">
        <v>30541.34</v>
      </c>
      <c r="W5" s="381">
        <v>96408</v>
      </c>
      <c r="X5" s="381">
        <v>32399.55</v>
      </c>
      <c r="Y5" s="381">
        <v>96408</v>
      </c>
      <c r="Z5" s="381">
        <v>32810.800000000003</v>
      </c>
      <c r="AA5" s="377" t="s">
        <v>194</v>
      </c>
      <c r="AB5" s="377" t="s">
        <v>195</v>
      </c>
      <c r="AC5" s="377" t="s">
        <v>196</v>
      </c>
      <c r="AD5" s="377" t="s">
        <v>197</v>
      </c>
      <c r="AE5" s="377" t="s">
        <v>181</v>
      </c>
      <c r="AF5" s="377" t="s">
        <v>187</v>
      </c>
      <c r="AG5" s="377" t="s">
        <v>188</v>
      </c>
      <c r="AH5" s="382">
        <v>46.35</v>
      </c>
      <c r="AI5" s="382">
        <v>13780.5</v>
      </c>
      <c r="AJ5" s="377" t="s">
        <v>189</v>
      </c>
      <c r="AK5" s="377" t="s">
        <v>190</v>
      </c>
      <c r="AL5" s="377" t="s">
        <v>173</v>
      </c>
      <c r="AM5" s="377" t="s">
        <v>191</v>
      </c>
      <c r="AN5" s="377" t="s">
        <v>66</v>
      </c>
      <c r="AO5" s="380">
        <v>80</v>
      </c>
      <c r="AP5" s="385">
        <v>1</v>
      </c>
      <c r="AQ5" s="385">
        <v>1</v>
      </c>
      <c r="AR5" s="384" t="s">
        <v>192</v>
      </c>
      <c r="AS5" s="387">
        <f t="shared" si="27"/>
        <v>1</v>
      </c>
      <c r="AT5">
        <f t="shared" si="28"/>
        <v>1</v>
      </c>
      <c r="AU5" s="387">
        <f>IF(AT5=0,"",IF(AND(AT5=1,M5="F",SUMIF(C2:C11,C5,AS2:AS11)&lt;=1),SUMIF(C2:C11,C5,AS2:AS11),IF(AND(AT5=1,M5="F",SUMIF(C2:C11,C5,AS2:AS11)&gt;1),1,"")))</f>
        <v>1</v>
      </c>
      <c r="AV5" s="387" t="str">
        <f>IF(AT5=0,"",IF(AND(AT5=3,M5="F",SUMIF(C2:C11,C5,AS2:AS11)&lt;=1),SUMIF(C2:C11,C5,AS2:AS11),IF(AND(AT5=3,M5="F",SUMIF(C2:C11,C5,AS2:AS11)&gt;1),1,"")))</f>
        <v/>
      </c>
      <c r="AW5" s="387">
        <f>SUMIF(C2:C11,C5,O2:O11)</f>
        <v>1</v>
      </c>
      <c r="AX5" s="387">
        <f>IF(AND(M5="F",AS5&lt;&gt;0),SUMIF(C2:C11,C5,W2:W11),0)</f>
        <v>96408</v>
      </c>
      <c r="AY5" s="387">
        <f t="shared" si="29"/>
        <v>96408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5977.2960000000003</v>
      </c>
      <c r="BE5" s="387">
        <f t="shared" si="3"/>
        <v>1397.9160000000002</v>
      </c>
      <c r="BF5" s="387">
        <f t="shared" si="4"/>
        <v>11511.1152</v>
      </c>
      <c r="BG5" s="387">
        <f t="shared" si="5"/>
        <v>695.10167999999999</v>
      </c>
      <c r="BH5" s="387">
        <f t="shared" si="6"/>
        <v>0</v>
      </c>
      <c r="BI5" s="387">
        <f t="shared" si="7"/>
        <v>0</v>
      </c>
      <c r="BJ5" s="387">
        <f t="shared" si="8"/>
        <v>318.14639999999997</v>
      </c>
      <c r="BK5" s="387">
        <f t="shared" si="9"/>
        <v>0</v>
      </c>
      <c r="BL5" s="387">
        <f t="shared" si="32"/>
        <v>19899.575280000001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5977.2960000000003</v>
      </c>
      <c r="BQ5" s="387">
        <f t="shared" si="13"/>
        <v>1397.9160000000002</v>
      </c>
      <c r="BR5" s="387">
        <f t="shared" si="14"/>
        <v>10778.4144</v>
      </c>
      <c r="BS5" s="387">
        <f t="shared" si="15"/>
        <v>695.10167999999999</v>
      </c>
      <c r="BT5" s="387">
        <f t="shared" si="16"/>
        <v>0</v>
      </c>
      <c r="BU5" s="387">
        <f t="shared" si="17"/>
        <v>0</v>
      </c>
      <c r="BV5" s="387">
        <f t="shared" si="18"/>
        <v>212.0976</v>
      </c>
      <c r="BW5" s="387">
        <f t="shared" si="19"/>
        <v>0</v>
      </c>
      <c r="BX5" s="387">
        <f t="shared" si="34"/>
        <v>19060.825680000002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-732.70080000000087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-106.04879999999999</v>
      </c>
      <c r="CI5" s="387">
        <f t="shared" si="26"/>
        <v>0</v>
      </c>
      <c r="CJ5" s="387">
        <f t="shared" si="39"/>
        <v>-838.7496000000009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198</v>
      </c>
      <c r="D6" s="377" t="s">
        <v>199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186</v>
      </c>
      <c r="L6" s="377" t="s">
        <v>167</v>
      </c>
      <c r="M6" s="377" t="s">
        <v>171</v>
      </c>
      <c r="N6" s="377" t="s">
        <v>178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65245</v>
      </c>
      <c r="U6" s="381">
        <v>0</v>
      </c>
      <c r="V6" s="381">
        <v>25392.71</v>
      </c>
      <c r="W6" s="381">
        <v>68556.800000000003</v>
      </c>
      <c r="X6" s="381">
        <v>26650.79</v>
      </c>
      <c r="Y6" s="381">
        <v>68556.800000000003</v>
      </c>
      <c r="Z6" s="381">
        <v>27304.35</v>
      </c>
      <c r="AA6" s="377" t="s">
        <v>200</v>
      </c>
      <c r="AB6" s="377" t="s">
        <v>201</v>
      </c>
      <c r="AC6" s="377" t="s">
        <v>202</v>
      </c>
      <c r="AD6" s="377" t="s">
        <v>203</v>
      </c>
      <c r="AE6" s="377" t="s">
        <v>176</v>
      </c>
      <c r="AF6" s="377" t="s">
        <v>187</v>
      </c>
      <c r="AG6" s="377" t="s">
        <v>188</v>
      </c>
      <c r="AH6" s="382">
        <v>32.96</v>
      </c>
      <c r="AI6" s="380">
        <v>3227</v>
      </c>
      <c r="AJ6" s="377" t="s">
        <v>189</v>
      </c>
      <c r="AK6" s="377" t="s">
        <v>190</v>
      </c>
      <c r="AL6" s="377" t="s">
        <v>173</v>
      </c>
      <c r="AM6" s="377" t="s">
        <v>191</v>
      </c>
      <c r="AN6" s="377" t="s">
        <v>66</v>
      </c>
      <c r="AO6" s="380">
        <v>80</v>
      </c>
      <c r="AP6" s="385">
        <v>1</v>
      </c>
      <c r="AQ6" s="385">
        <v>1</v>
      </c>
      <c r="AR6" s="384" t="s">
        <v>192</v>
      </c>
      <c r="AS6" s="387">
        <f t="shared" si="27"/>
        <v>1</v>
      </c>
      <c r="AT6">
        <f t="shared" si="28"/>
        <v>1</v>
      </c>
      <c r="AU6" s="387">
        <f>IF(AT6=0,"",IF(AND(AT6=1,M6="F",SUMIF(C2:C11,C6,AS2:AS11)&lt;=1),SUMIF(C2:C11,C6,AS2:AS11),IF(AND(AT6=1,M6="F",SUMIF(C2:C11,C6,AS2:AS11)&gt;1),1,"")))</f>
        <v>1</v>
      </c>
      <c r="AV6" s="387" t="str">
        <f>IF(AT6=0,"",IF(AND(AT6=3,M6="F",SUMIF(C2:C11,C6,AS2:AS11)&lt;=1),SUMIF(C2:C11,C6,AS2:AS11),IF(AND(AT6=3,M6="F",SUMIF(C2:C11,C6,AS2:AS11)&gt;1),1,"")))</f>
        <v/>
      </c>
      <c r="AW6" s="387">
        <f>SUMIF(C2:C11,C6,O2:O11)</f>
        <v>1</v>
      </c>
      <c r="AX6" s="387">
        <f>IF(AND(M6="F",AS6&lt;&gt;0),SUMIF(C2:C11,C6,W2:W11),0)</f>
        <v>68556.800000000003</v>
      </c>
      <c r="AY6" s="387">
        <f t="shared" si="29"/>
        <v>68556.800000000003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4250.5216</v>
      </c>
      <c r="BE6" s="387">
        <f t="shared" si="3"/>
        <v>994.07360000000006</v>
      </c>
      <c r="BF6" s="387">
        <f t="shared" si="4"/>
        <v>8185.6819200000009</v>
      </c>
      <c r="BG6" s="387">
        <f t="shared" si="5"/>
        <v>494.29452800000001</v>
      </c>
      <c r="BH6" s="387">
        <f t="shared" si="6"/>
        <v>0</v>
      </c>
      <c r="BI6" s="387">
        <f t="shared" si="7"/>
        <v>0</v>
      </c>
      <c r="BJ6" s="387">
        <f t="shared" si="8"/>
        <v>226.23744000000002</v>
      </c>
      <c r="BK6" s="387">
        <f t="shared" si="9"/>
        <v>0</v>
      </c>
      <c r="BL6" s="387">
        <f t="shared" si="32"/>
        <v>14150.809088000002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4250.5216</v>
      </c>
      <c r="BQ6" s="387">
        <f t="shared" si="13"/>
        <v>994.07360000000006</v>
      </c>
      <c r="BR6" s="387">
        <f t="shared" si="14"/>
        <v>7664.6502399999999</v>
      </c>
      <c r="BS6" s="387">
        <f t="shared" si="15"/>
        <v>494.29452800000001</v>
      </c>
      <c r="BT6" s="387">
        <f t="shared" si="16"/>
        <v>0</v>
      </c>
      <c r="BU6" s="387">
        <f t="shared" si="17"/>
        <v>0</v>
      </c>
      <c r="BV6" s="387">
        <f t="shared" si="18"/>
        <v>150.82496</v>
      </c>
      <c r="BW6" s="387">
        <f t="shared" si="19"/>
        <v>0</v>
      </c>
      <c r="BX6" s="387">
        <f t="shared" si="34"/>
        <v>13554.364927999999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-521.03168000000062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-75.412479999999988</v>
      </c>
      <c r="CI6" s="387">
        <f t="shared" si="26"/>
        <v>0</v>
      </c>
      <c r="CJ6" s="387">
        <f t="shared" si="39"/>
        <v>-596.44416000000058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204</v>
      </c>
      <c r="D7" s="377" t="s">
        <v>175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176</v>
      </c>
      <c r="L7" s="377" t="s">
        <v>167</v>
      </c>
      <c r="M7" s="377" t="s">
        <v>171</v>
      </c>
      <c r="N7" s="377" t="s">
        <v>178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57568</v>
      </c>
      <c r="U7" s="381">
        <v>0</v>
      </c>
      <c r="V7" s="381">
        <v>21319.75</v>
      </c>
      <c r="W7" s="381">
        <v>72841.600000000006</v>
      </c>
      <c r="X7" s="381">
        <v>27535.200000000001</v>
      </c>
      <c r="Y7" s="381">
        <v>72841.600000000006</v>
      </c>
      <c r="Z7" s="381">
        <v>28151.49</v>
      </c>
      <c r="AA7" s="377" t="s">
        <v>205</v>
      </c>
      <c r="AB7" s="377" t="s">
        <v>206</v>
      </c>
      <c r="AC7" s="377" t="s">
        <v>207</v>
      </c>
      <c r="AD7" s="377" t="s">
        <v>208</v>
      </c>
      <c r="AE7" s="377" t="s">
        <v>186</v>
      </c>
      <c r="AF7" s="377" t="s">
        <v>187</v>
      </c>
      <c r="AG7" s="377" t="s">
        <v>188</v>
      </c>
      <c r="AH7" s="382">
        <v>35.020000000000003</v>
      </c>
      <c r="AI7" s="382">
        <v>6771.1</v>
      </c>
      <c r="AJ7" s="377" t="s">
        <v>189</v>
      </c>
      <c r="AK7" s="377" t="s">
        <v>190</v>
      </c>
      <c r="AL7" s="377" t="s">
        <v>173</v>
      </c>
      <c r="AM7" s="377" t="s">
        <v>191</v>
      </c>
      <c r="AN7" s="377" t="s">
        <v>66</v>
      </c>
      <c r="AO7" s="380">
        <v>80</v>
      </c>
      <c r="AP7" s="385">
        <v>1</v>
      </c>
      <c r="AQ7" s="385">
        <v>1</v>
      </c>
      <c r="AR7" s="384" t="s">
        <v>192</v>
      </c>
      <c r="AS7" s="387">
        <f t="shared" si="27"/>
        <v>1</v>
      </c>
      <c r="AT7">
        <f t="shared" si="28"/>
        <v>1</v>
      </c>
      <c r="AU7" s="387">
        <f>IF(AT7=0,"",IF(AND(AT7=1,M7="F",SUMIF(C2:C11,C7,AS2:AS11)&lt;=1),SUMIF(C2:C11,C7,AS2:AS11),IF(AND(AT7=1,M7="F",SUMIF(C2:C11,C7,AS2:AS11)&gt;1),1,"")))</f>
        <v>1</v>
      </c>
      <c r="AV7" s="387" t="str">
        <f>IF(AT7=0,"",IF(AND(AT7=3,M7="F",SUMIF(C2:C11,C7,AS2:AS11)&lt;=1),SUMIF(C2:C11,C7,AS2:AS11),IF(AND(AT7=3,M7="F",SUMIF(C2:C11,C7,AS2:AS11)&gt;1),1,"")))</f>
        <v/>
      </c>
      <c r="AW7" s="387">
        <f>SUMIF(C2:C11,C7,O2:O11)</f>
        <v>1</v>
      </c>
      <c r="AX7" s="387">
        <f>IF(AND(M7="F",AS7&lt;&gt;0),SUMIF(C2:C11,C7,W2:W11),0)</f>
        <v>72841.600000000006</v>
      </c>
      <c r="AY7" s="387">
        <f t="shared" si="29"/>
        <v>72841.600000000006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4516.1792000000005</v>
      </c>
      <c r="BE7" s="387">
        <f t="shared" si="3"/>
        <v>1056.2032000000002</v>
      </c>
      <c r="BF7" s="387">
        <f t="shared" si="4"/>
        <v>8697.2870400000011</v>
      </c>
      <c r="BG7" s="387">
        <f t="shared" si="5"/>
        <v>525.18793600000004</v>
      </c>
      <c r="BH7" s="387">
        <f t="shared" si="6"/>
        <v>0</v>
      </c>
      <c r="BI7" s="387">
        <f t="shared" si="7"/>
        <v>0</v>
      </c>
      <c r="BJ7" s="387">
        <f t="shared" si="8"/>
        <v>240.37728000000001</v>
      </c>
      <c r="BK7" s="387">
        <f t="shared" si="9"/>
        <v>0</v>
      </c>
      <c r="BL7" s="387">
        <f t="shared" si="32"/>
        <v>15035.234656000002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4516.1792000000005</v>
      </c>
      <c r="BQ7" s="387">
        <f t="shared" si="13"/>
        <v>1056.2032000000002</v>
      </c>
      <c r="BR7" s="387">
        <f t="shared" si="14"/>
        <v>8143.6908800000001</v>
      </c>
      <c r="BS7" s="387">
        <f t="shared" si="15"/>
        <v>525.18793600000004</v>
      </c>
      <c r="BT7" s="387">
        <f t="shared" si="16"/>
        <v>0</v>
      </c>
      <c r="BU7" s="387">
        <f t="shared" si="17"/>
        <v>0</v>
      </c>
      <c r="BV7" s="387">
        <f t="shared" si="18"/>
        <v>160.25152000000003</v>
      </c>
      <c r="BW7" s="387">
        <f t="shared" si="19"/>
        <v>0</v>
      </c>
      <c r="BX7" s="387">
        <f t="shared" si="34"/>
        <v>14401.512736000001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-553.59616000000074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-80.12576</v>
      </c>
      <c r="CI7" s="387">
        <f t="shared" si="26"/>
        <v>0</v>
      </c>
      <c r="CJ7" s="387">
        <f t="shared" si="39"/>
        <v>-633.72192000000075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209</v>
      </c>
      <c r="D8" s="377" t="s">
        <v>199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186</v>
      </c>
      <c r="L8" s="377" t="s">
        <v>167</v>
      </c>
      <c r="M8" s="377" t="s">
        <v>171</v>
      </c>
      <c r="N8" s="377" t="s">
        <v>178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74552</v>
      </c>
      <c r="U8" s="381">
        <v>0</v>
      </c>
      <c r="V8" s="381">
        <v>27185.65</v>
      </c>
      <c r="W8" s="381">
        <v>77126.399999999994</v>
      </c>
      <c r="X8" s="381">
        <v>28419.64</v>
      </c>
      <c r="Y8" s="381">
        <v>77126.399999999994</v>
      </c>
      <c r="Z8" s="381">
        <v>28998.639999999999</v>
      </c>
      <c r="AA8" s="377" t="s">
        <v>210</v>
      </c>
      <c r="AB8" s="377" t="s">
        <v>211</v>
      </c>
      <c r="AC8" s="377" t="s">
        <v>212</v>
      </c>
      <c r="AD8" s="377" t="s">
        <v>213</v>
      </c>
      <c r="AE8" s="377" t="s">
        <v>186</v>
      </c>
      <c r="AF8" s="377" t="s">
        <v>187</v>
      </c>
      <c r="AG8" s="377" t="s">
        <v>188</v>
      </c>
      <c r="AH8" s="382">
        <v>37.08</v>
      </c>
      <c r="AI8" s="380">
        <v>5000</v>
      </c>
      <c r="AJ8" s="377" t="s">
        <v>189</v>
      </c>
      <c r="AK8" s="377" t="s">
        <v>190</v>
      </c>
      <c r="AL8" s="377" t="s">
        <v>173</v>
      </c>
      <c r="AM8" s="377" t="s">
        <v>191</v>
      </c>
      <c r="AN8" s="377" t="s">
        <v>66</v>
      </c>
      <c r="AO8" s="380">
        <v>80</v>
      </c>
      <c r="AP8" s="385">
        <v>1</v>
      </c>
      <c r="AQ8" s="385">
        <v>1</v>
      </c>
      <c r="AR8" s="384" t="s">
        <v>192</v>
      </c>
      <c r="AS8" s="387">
        <f t="shared" si="27"/>
        <v>1</v>
      </c>
      <c r="AT8">
        <f t="shared" si="28"/>
        <v>1</v>
      </c>
      <c r="AU8" s="387">
        <f>IF(AT8=0,"",IF(AND(AT8=1,M8="F",SUMIF(C2:C11,C8,AS2:AS11)&lt;=1),SUMIF(C2:C11,C8,AS2:AS11),IF(AND(AT8=1,M8="F",SUMIF(C2:C11,C8,AS2:AS11)&gt;1),1,"")))</f>
        <v>1</v>
      </c>
      <c r="AV8" s="387" t="str">
        <f>IF(AT8=0,"",IF(AND(AT8=3,M8="F",SUMIF(C2:C11,C8,AS2:AS11)&lt;=1),SUMIF(C2:C11,C8,AS2:AS11),IF(AND(AT8=3,M8="F",SUMIF(C2:C11,C8,AS2:AS11)&gt;1),1,"")))</f>
        <v/>
      </c>
      <c r="AW8" s="387">
        <f>SUMIF(C2:C11,C8,O2:O11)</f>
        <v>1</v>
      </c>
      <c r="AX8" s="387">
        <f>IF(AND(M8="F",AS8&lt;&gt;0),SUMIF(C2:C11,C8,W2:W11),0)</f>
        <v>77126.399999999994</v>
      </c>
      <c r="AY8" s="387">
        <f t="shared" si="29"/>
        <v>77126.399999999994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4781.8368</v>
      </c>
      <c r="BE8" s="387">
        <f t="shared" si="3"/>
        <v>1118.3327999999999</v>
      </c>
      <c r="BF8" s="387">
        <f t="shared" si="4"/>
        <v>9208.8921599999994</v>
      </c>
      <c r="BG8" s="387">
        <f t="shared" si="5"/>
        <v>556.08134399999994</v>
      </c>
      <c r="BH8" s="387">
        <f t="shared" si="6"/>
        <v>0</v>
      </c>
      <c r="BI8" s="387">
        <f t="shared" si="7"/>
        <v>0</v>
      </c>
      <c r="BJ8" s="387">
        <f t="shared" si="8"/>
        <v>254.51711999999998</v>
      </c>
      <c r="BK8" s="387">
        <f t="shared" si="9"/>
        <v>0</v>
      </c>
      <c r="BL8" s="387">
        <f t="shared" si="32"/>
        <v>15919.660224000001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4781.8368</v>
      </c>
      <c r="BQ8" s="387">
        <f t="shared" si="13"/>
        <v>1118.3327999999999</v>
      </c>
      <c r="BR8" s="387">
        <f t="shared" si="14"/>
        <v>8622.7315199999994</v>
      </c>
      <c r="BS8" s="387">
        <f t="shared" si="15"/>
        <v>556.08134399999994</v>
      </c>
      <c r="BT8" s="387">
        <f t="shared" si="16"/>
        <v>0</v>
      </c>
      <c r="BU8" s="387">
        <f t="shared" si="17"/>
        <v>0</v>
      </c>
      <c r="BV8" s="387">
        <f t="shared" si="18"/>
        <v>169.67807999999999</v>
      </c>
      <c r="BW8" s="387">
        <f t="shared" si="19"/>
        <v>0</v>
      </c>
      <c r="BX8" s="387">
        <f t="shared" si="34"/>
        <v>15248.660543999998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-586.16064000000074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-84.839039999999983</v>
      </c>
      <c r="CI8" s="387">
        <f t="shared" si="26"/>
        <v>0</v>
      </c>
      <c r="CJ8" s="387">
        <f t="shared" si="39"/>
        <v>-670.99968000000069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214</v>
      </c>
      <c r="D9" s="377" t="s">
        <v>180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181</v>
      </c>
      <c r="L9" s="377" t="s">
        <v>167</v>
      </c>
      <c r="M9" s="377" t="s">
        <v>171</v>
      </c>
      <c r="N9" s="377" t="s">
        <v>178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93444.53</v>
      </c>
      <c r="U9" s="381">
        <v>0</v>
      </c>
      <c r="V9" s="381">
        <v>30417.35</v>
      </c>
      <c r="W9" s="381">
        <v>96408</v>
      </c>
      <c r="X9" s="381">
        <v>32399.55</v>
      </c>
      <c r="Y9" s="381">
        <v>96408</v>
      </c>
      <c r="Z9" s="381">
        <v>32810.800000000003</v>
      </c>
      <c r="AA9" s="377" t="s">
        <v>215</v>
      </c>
      <c r="AB9" s="377" t="s">
        <v>216</v>
      </c>
      <c r="AC9" s="377" t="s">
        <v>217</v>
      </c>
      <c r="AD9" s="377" t="s">
        <v>218</v>
      </c>
      <c r="AE9" s="377" t="s">
        <v>181</v>
      </c>
      <c r="AF9" s="377" t="s">
        <v>187</v>
      </c>
      <c r="AG9" s="377" t="s">
        <v>188</v>
      </c>
      <c r="AH9" s="382">
        <v>46.35</v>
      </c>
      <c r="AI9" s="382">
        <v>17056.400000000001</v>
      </c>
      <c r="AJ9" s="377" t="s">
        <v>189</v>
      </c>
      <c r="AK9" s="377" t="s">
        <v>190</v>
      </c>
      <c r="AL9" s="377" t="s">
        <v>173</v>
      </c>
      <c r="AM9" s="377" t="s">
        <v>191</v>
      </c>
      <c r="AN9" s="377" t="s">
        <v>66</v>
      </c>
      <c r="AO9" s="380">
        <v>80</v>
      </c>
      <c r="AP9" s="385">
        <v>1</v>
      </c>
      <c r="AQ9" s="385">
        <v>1</v>
      </c>
      <c r="AR9" s="384" t="s">
        <v>192</v>
      </c>
      <c r="AS9" s="387">
        <f t="shared" si="27"/>
        <v>1</v>
      </c>
      <c r="AT9">
        <f t="shared" si="28"/>
        <v>1</v>
      </c>
      <c r="AU9" s="387">
        <f>IF(AT9=0,"",IF(AND(AT9=1,M9="F",SUMIF(C2:C11,C9,AS2:AS11)&lt;=1),SUMIF(C2:C11,C9,AS2:AS11),IF(AND(AT9=1,M9="F",SUMIF(C2:C11,C9,AS2:AS11)&gt;1),1,"")))</f>
        <v>1</v>
      </c>
      <c r="AV9" s="387" t="str">
        <f>IF(AT9=0,"",IF(AND(AT9=3,M9="F",SUMIF(C2:C11,C9,AS2:AS11)&lt;=1),SUMIF(C2:C11,C9,AS2:AS11),IF(AND(AT9=3,M9="F",SUMIF(C2:C11,C9,AS2:AS11)&gt;1),1,"")))</f>
        <v/>
      </c>
      <c r="AW9" s="387">
        <f>SUMIF(C2:C11,C9,O2:O11)</f>
        <v>1</v>
      </c>
      <c r="AX9" s="387">
        <f>IF(AND(M9="F",AS9&lt;&gt;0),SUMIF(C2:C11,C9,W2:W11),0)</f>
        <v>96408</v>
      </c>
      <c r="AY9" s="387">
        <f t="shared" si="29"/>
        <v>96408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5977.2960000000003</v>
      </c>
      <c r="BE9" s="387">
        <f t="shared" si="3"/>
        <v>1397.9160000000002</v>
      </c>
      <c r="BF9" s="387">
        <f t="shared" si="4"/>
        <v>11511.1152</v>
      </c>
      <c r="BG9" s="387">
        <f t="shared" si="5"/>
        <v>695.10167999999999</v>
      </c>
      <c r="BH9" s="387">
        <f t="shared" si="6"/>
        <v>0</v>
      </c>
      <c r="BI9" s="387">
        <f t="shared" si="7"/>
        <v>0</v>
      </c>
      <c r="BJ9" s="387">
        <f t="shared" si="8"/>
        <v>318.14639999999997</v>
      </c>
      <c r="BK9" s="387">
        <f t="shared" si="9"/>
        <v>0</v>
      </c>
      <c r="BL9" s="387">
        <f t="shared" si="32"/>
        <v>19899.575280000001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5977.2960000000003</v>
      </c>
      <c r="BQ9" s="387">
        <f t="shared" si="13"/>
        <v>1397.9160000000002</v>
      </c>
      <c r="BR9" s="387">
        <f t="shared" si="14"/>
        <v>10778.4144</v>
      </c>
      <c r="BS9" s="387">
        <f t="shared" si="15"/>
        <v>695.10167999999999</v>
      </c>
      <c r="BT9" s="387">
        <f t="shared" si="16"/>
        <v>0</v>
      </c>
      <c r="BU9" s="387">
        <f t="shared" si="17"/>
        <v>0</v>
      </c>
      <c r="BV9" s="387">
        <f t="shared" si="18"/>
        <v>212.0976</v>
      </c>
      <c r="BW9" s="387">
        <f t="shared" si="19"/>
        <v>0</v>
      </c>
      <c r="BX9" s="387">
        <f t="shared" si="34"/>
        <v>19060.825680000002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-732.70080000000087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-106.04879999999999</v>
      </c>
      <c r="CI9" s="387">
        <f t="shared" si="26"/>
        <v>0</v>
      </c>
      <c r="CJ9" s="387">
        <f t="shared" si="39"/>
        <v>-838.7496000000009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219</v>
      </c>
      <c r="D10" s="377" t="s">
        <v>180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181</v>
      </c>
      <c r="L10" s="377" t="s">
        <v>167</v>
      </c>
      <c r="M10" s="377" t="s">
        <v>171</v>
      </c>
      <c r="N10" s="377" t="s">
        <v>178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54942.400000000001</v>
      </c>
      <c r="U10" s="381">
        <v>0</v>
      </c>
      <c r="V10" s="381">
        <v>21275.51</v>
      </c>
      <c r="W10" s="381">
        <v>64272</v>
      </c>
      <c r="X10" s="381">
        <v>25766.36</v>
      </c>
      <c r="Y10" s="381">
        <v>64272</v>
      </c>
      <c r="Z10" s="381">
        <v>26457.19</v>
      </c>
      <c r="AA10" s="377" t="s">
        <v>220</v>
      </c>
      <c r="AB10" s="377" t="s">
        <v>221</v>
      </c>
      <c r="AC10" s="377" t="s">
        <v>222</v>
      </c>
      <c r="AD10" s="377" t="s">
        <v>223</v>
      </c>
      <c r="AE10" s="377" t="s">
        <v>176</v>
      </c>
      <c r="AF10" s="377" t="s">
        <v>187</v>
      </c>
      <c r="AG10" s="377" t="s">
        <v>188</v>
      </c>
      <c r="AH10" s="382">
        <v>30.9</v>
      </c>
      <c r="AI10" s="382">
        <v>1996.5</v>
      </c>
      <c r="AJ10" s="377" t="s">
        <v>189</v>
      </c>
      <c r="AK10" s="377" t="s">
        <v>190</v>
      </c>
      <c r="AL10" s="377" t="s">
        <v>173</v>
      </c>
      <c r="AM10" s="377" t="s">
        <v>191</v>
      </c>
      <c r="AN10" s="377" t="s">
        <v>66</v>
      </c>
      <c r="AO10" s="380">
        <v>80</v>
      </c>
      <c r="AP10" s="385">
        <v>1</v>
      </c>
      <c r="AQ10" s="385">
        <v>1</v>
      </c>
      <c r="AR10" s="384" t="s">
        <v>192</v>
      </c>
      <c r="AS10" s="387">
        <f t="shared" si="27"/>
        <v>1</v>
      </c>
      <c r="AT10">
        <f t="shared" si="28"/>
        <v>1</v>
      </c>
      <c r="AU10" s="387">
        <f>IF(AT10=0,"",IF(AND(AT10=1,M10="F",SUMIF(C2:C11,C10,AS2:AS11)&lt;=1),SUMIF(C2:C11,C10,AS2:AS11),IF(AND(AT10=1,M10="F",SUMIF(C2:C11,C10,AS2:AS11)&gt;1),1,"")))</f>
        <v>1</v>
      </c>
      <c r="AV10" s="387" t="str">
        <f>IF(AT10=0,"",IF(AND(AT10=3,M10="F",SUMIF(C2:C11,C10,AS2:AS11)&lt;=1),SUMIF(C2:C11,C10,AS2:AS11),IF(AND(AT10=3,M10="F",SUMIF(C2:C11,C10,AS2:AS11)&gt;1),1,"")))</f>
        <v/>
      </c>
      <c r="AW10" s="387">
        <f>SUMIF(C2:C11,C10,O2:O11)</f>
        <v>1</v>
      </c>
      <c r="AX10" s="387">
        <f>IF(AND(M10="F",AS10&lt;&gt;0),SUMIF(C2:C11,C10,W2:W11),0)</f>
        <v>64272</v>
      </c>
      <c r="AY10" s="387">
        <f t="shared" si="29"/>
        <v>64272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3984.864</v>
      </c>
      <c r="BE10" s="387">
        <f t="shared" si="3"/>
        <v>931.94400000000007</v>
      </c>
      <c r="BF10" s="387">
        <f t="shared" si="4"/>
        <v>7674.0768000000007</v>
      </c>
      <c r="BG10" s="387">
        <f t="shared" si="5"/>
        <v>463.40111999999999</v>
      </c>
      <c r="BH10" s="387">
        <f t="shared" si="6"/>
        <v>0</v>
      </c>
      <c r="BI10" s="387">
        <f t="shared" si="7"/>
        <v>0</v>
      </c>
      <c r="BJ10" s="387">
        <f t="shared" si="8"/>
        <v>212.0976</v>
      </c>
      <c r="BK10" s="387">
        <f t="shared" si="9"/>
        <v>0</v>
      </c>
      <c r="BL10" s="387">
        <f t="shared" si="32"/>
        <v>13266.383519999999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3984.864</v>
      </c>
      <c r="BQ10" s="387">
        <f t="shared" si="13"/>
        <v>931.94400000000007</v>
      </c>
      <c r="BR10" s="387">
        <f t="shared" si="14"/>
        <v>7185.6095999999998</v>
      </c>
      <c r="BS10" s="387">
        <f t="shared" si="15"/>
        <v>463.40111999999999</v>
      </c>
      <c r="BT10" s="387">
        <f t="shared" si="16"/>
        <v>0</v>
      </c>
      <c r="BU10" s="387">
        <f t="shared" si="17"/>
        <v>0</v>
      </c>
      <c r="BV10" s="387">
        <f t="shared" si="18"/>
        <v>141.39840000000001</v>
      </c>
      <c r="BW10" s="387">
        <f t="shared" si="19"/>
        <v>0</v>
      </c>
      <c r="BX10" s="387">
        <f t="shared" si="34"/>
        <v>12707.217120000001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-488.46720000000062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-70.69919999999999</v>
      </c>
      <c r="CI10" s="387">
        <f t="shared" si="26"/>
        <v>0</v>
      </c>
      <c r="CJ10" s="387">
        <f t="shared" si="39"/>
        <v>-559.16640000000064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224</v>
      </c>
      <c r="D11" s="377" t="s">
        <v>225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226</v>
      </c>
      <c r="L11" s="377" t="s">
        <v>167</v>
      </c>
      <c r="M11" s="377" t="s">
        <v>171</v>
      </c>
      <c r="N11" s="377" t="s">
        <v>178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129308.84</v>
      </c>
      <c r="U11" s="381">
        <v>0</v>
      </c>
      <c r="V11" s="381">
        <v>38321.730000000003</v>
      </c>
      <c r="W11" s="381">
        <v>136739.20000000001</v>
      </c>
      <c r="X11" s="381">
        <v>40724.31</v>
      </c>
      <c r="Y11" s="381">
        <v>136739.20000000001</v>
      </c>
      <c r="Z11" s="381">
        <v>40784.68</v>
      </c>
      <c r="AA11" s="377" t="s">
        <v>227</v>
      </c>
      <c r="AB11" s="377" t="s">
        <v>228</v>
      </c>
      <c r="AC11" s="377" t="s">
        <v>229</v>
      </c>
      <c r="AD11" s="377" t="s">
        <v>230</v>
      </c>
      <c r="AE11" s="377" t="s">
        <v>226</v>
      </c>
      <c r="AF11" s="377" t="s">
        <v>187</v>
      </c>
      <c r="AG11" s="377" t="s">
        <v>188</v>
      </c>
      <c r="AH11" s="382">
        <v>65.739999999999995</v>
      </c>
      <c r="AI11" s="382">
        <v>41238.5</v>
      </c>
      <c r="AJ11" s="377" t="s">
        <v>189</v>
      </c>
      <c r="AK11" s="377" t="s">
        <v>190</v>
      </c>
      <c r="AL11" s="377" t="s">
        <v>173</v>
      </c>
      <c r="AM11" s="377" t="s">
        <v>173</v>
      </c>
      <c r="AN11" s="377" t="s">
        <v>66</v>
      </c>
      <c r="AO11" s="380">
        <v>80</v>
      </c>
      <c r="AP11" s="385">
        <v>1</v>
      </c>
      <c r="AQ11" s="385">
        <v>1</v>
      </c>
      <c r="AR11" s="384" t="s">
        <v>192</v>
      </c>
      <c r="AS11" s="387">
        <f t="shared" si="27"/>
        <v>1</v>
      </c>
      <c r="AT11">
        <f t="shared" si="28"/>
        <v>1</v>
      </c>
      <c r="AU11" s="387">
        <f>IF(AT11=0,"",IF(AND(AT11=1,M11="F",SUMIF(C2:C11,C11,AS2:AS11)&lt;=1),SUMIF(C2:C11,C11,AS2:AS11),IF(AND(AT11=1,M11="F",SUMIF(C2:C11,C11,AS2:AS11)&gt;1),1,"")))</f>
        <v>1</v>
      </c>
      <c r="AV11" s="387" t="str">
        <f>IF(AT11=0,"",IF(AND(AT11=3,M11="F",SUMIF(C2:C11,C11,AS2:AS11)&lt;=1),SUMIF(C2:C11,C11,AS2:AS11),IF(AND(AT11=3,M11="F",SUMIF(C2:C11,C11,AS2:AS11)&gt;1),1,"")))</f>
        <v/>
      </c>
      <c r="AW11" s="387">
        <f>SUMIF(C2:C11,C11,O2:O11)</f>
        <v>1</v>
      </c>
      <c r="AX11" s="387">
        <f>IF(AND(M11="F",AS11&lt;&gt;0),SUMIF(C2:C11,C11,W2:W11),0)</f>
        <v>136739.20000000001</v>
      </c>
      <c r="AY11" s="387">
        <f t="shared" si="29"/>
        <v>136739.20000000001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8477.8304000000007</v>
      </c>
      <c r="BE11" s="387">
        <f t="shared" si="3"/>
        <v>1982.7184000000002</v>
      </c>
      <c r="BF11" s="387">
        <f t="shared" si="4"/>
        <v>16326.660480000002</v>
      </c>
      <c r="BG11" s="387">
        <f t="shared" si="5"/>
        <v>985.88963200000012</v>
      </c>
      <c r="BH11" s="387">
        <f t="shared" si="6"/>
        <v>0</v>
      </c>
      <c r="BI11" s="387">
        <f t="shared" si="7"/>
        <v>0</v>
      </c>
      <c r="BJ11" s="387">
        <f t="shared" si="8"/>
        <v>451.23936000000003</v>
      </c>
      <c r="BK11" s="387">
        <f t="shared" si="9"/>
        <v>0</v>
      </c>
      <c r="BL11" s="387">
        <f t="shared" si="32"/>
        <v>28224.338272000001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8477.8304000000007</v>
      </c>
      <c r="BQ11" s="387">
        <f t="shared" si="13"/>
        <v>1982.7184000000002</v>
      </c>
      <c r="BR11" s="387">
        <f t="shared" si="14"/>
        <v>15287.442560000001</v>
      </c>
      <c r="BS11" s="387">
        <f t="shared" si="15"/>
        <v>985.88963200000012</v>
      </c>
      <c r="BT11" s="387">
        <f t="shared" si="16"/>
        <v>0</v>
      </c>
      <c r="BU11" s="387">
        <f t="shared" si="17"/>
        <v>0</v>
      </c>
      <c r="BV11" s="387">
        <f t="shared" si="18"/>
        <v>300.82624000000004</v>
      </c>
      <c r="BW11" s="387">
        <f t="shared" si="19"/>
        <v>0</v>
      </c>
      <c r="BX11" s="387">
        <f t="shared" si="34"/>
        <v>27034.707231999997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-1039.2179200000014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-150.41311999999999</v>
      </c>
      <c r="CI11" s="387">
        <f t="shared" si="26"/>
        <v>0</v>
      </c>
      <c r="CJ11" s="387">
        <f t="shared" si="39"/>
        <v>-1189.6310400000013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3" spans="1:92" ht="21" x14ac:dyDescent="0.35">
      <c r="AQ13" s="251" t="s">
        <v>287</v>
      </c>
    </row>
    <row r="14" spans="1:92" ht="15.75" thickBot="1" x14ac:dyDescent="0.3">
      <c r="AR14" t="s">
        <v>279</v>
      </c>
      <c r="AS14" s="387">
        <f>SUMIFS(AS2:AS11,G2:G11,"LBPA",E2:E11,"0001",F2:F11,"00",AT2:AT11,1)</f>
        <v>8</v>
      </c>
      <c r="AT14" s="387">
        <f>SUMIFS(AS2:AS11,G2:G11,"LBPA",E2:E11,"0001",F2:F11,"00",AT2:AT11,3)</f>
        <v>0</v>
      </c>
      <c r="AU14" s="387">
        <f>SUMIFS(AU2:AU11,G2:G11,"LBPA",E2:E11,"0001",F2:F11,"00")</f>
        <v>8</v>
      </c>
      <c r="AV14" s="387">
        <f>SUMIFS(AV2:AV11,G2:G11,"LBPA",E2:E11,"0001",F2:F11,"00")</f>
        <v>0</v>
      </c>
      <c r="AW14" s="387">
        <f>SUMIFS(AW2:AW11,G2:G11,"LBPA",E2:E11,"0001",F2:F11,"00")</f>
        <v>8</v>
      </c>
      <c r="AX14" s="387">
        <f>SUMIFS(AX2:AX11,G2:G11,"LBPA",E2:E11,"0001",F2:F11,"00")</f>
        <v>685193.60000000009</v>
      </c>
      <c r="AY14" s="387">
        <f>SUMIFS(AY2:AY11,G2:G11,"LBPA",E2:E11,"0001",F2:F11,"00")</f>
        <v>685193.60000000009</v>
      </c>
      <c r="AZ14" s="387">
        <f>SUMIFS(AZ2:AZ11,G2:G11,"LBPA",E2:E11,"0001",F2:F11,"00")</f>
        <v>0</v>
      </c>
      <c r="BA14" s="387">
        <f>SUMIFS(BA2:BA11,G2:G11,"LBPA",E2:E11,"0001",F2:F11,"00")</f>
        <v>0</v>
      </c>
      <c r="BB14" s="387">
        <f>SUMIFS(BB2:BB11,G2:G11,"LBPA",E2:E11,"0001",F2:F11,"00")</f>
        <v>100000</v>
      </c>
      <c r="BC14" s="387">
        <f>SUMIFS(BC2:BC11,G2:G11,"LBPA",E2:E11,"0001",F2:F11,"00")</f>
        <v>0</v>
      </c>
      <c r="BD14" s="387">
        <f>SUMIFS(BD2:BD11,G2:G11,"LBPA",E2:E11,"0001",F2:F11,"00")</f>
        <v>42482.003199999999</v>
      </c>
      <c r="BE14" s="387">
        <f>SUMIFS(BE2:BE11,G2:G11,"LBPA",E2:E11,"0001",F2:F11,"00")</f>
        <v>9935.3072000000011</v>
      </c>
      <c r="BF14" s="387">
        <f>SUMIFS(BF2:BF11,G2:G11,"LBPA",E2:E11,"0001",F2:F11,"00")</f>
        <v>81812.115840000013</v>
      </c>
      <c r="BG14" s="387">
        <f>SUMIFS(BG2:BG11,G2:G11,"LBPA",E2:E11,"0001",F2:F11,"00")</f>
        <v>4940.2458559999995</v>
      </c>
      <c r="BH14" s="387">
        <f>SUMIFS(BH2:BH11,G2:G11,"LBPA",E2:E11,"0001",F2:F11,"00")</f>
        <v>0</v>
      </c>
      <c r="BI14" s="387">
        <f>SUMIFS(BI2:BI11,G2:G11,"LBPA",E2:E11,"0001",F2:F11,"00")</f>
        <v>0</v>
      </c>
      <c r="BJ14" s="387">
        <f>SUMIFS(BJ2:BJ11,G2:G11,"LBPA",E2:E11,"0001",F2:F11,"00")</f>
        <v>2261.13888</v>
      </c>
      <c r="BK14" s="387">
        <f>SUMIFS(BK2:BK11,G2:G11,"LBPA",E2:E11,"0001",F2:F11,"00")</f>
        <v>0</v>
      </c>
      <c r="BL14" s="387">
        <f>SUMIFS(BL2:BL11,G2:G11,"LBPA",E2:E11,"0001",F2:F11,"00")</f>
        <v>141430.81097600001</v>
      </c>
      <c r="BM14" s="387">
        <f>SUMIFS(BM2:BM11,G2:G11,"LBPA",E2:E11,"0001",F2:F11,"00")</f>
        <v>0</v>
      </c>
      <c r="BN14" s="387">
        <f>SUMIFS(BN2:BN11,G2:G11,"LBPA",E2:E11,"0001",F2:F11,"00")</f>
        <v>110000</v>
      </c>
      <c r="BO14" s="387">
        <f>SUMIFS(BO2:BO11,G2:G11,"LBPA",E2:E11,"0001",F2:F11,"00")</f>
        <v>0</v>
      </c>
      <c r="BP14" s="387">
        <f>SUMIFS(BP2:BP11,G2:G11,"LBPA",E2:E11,"0001",F2:F11,"00")</f>
        <v>42482.003199999999</v>
      </c>
      <c r="BQ14" s="387">
        <f>SUMIFS(BQ2:BQ11,G2:G11,"LBPA",E2:E11,"0001",F2:F11,"00")</f>
        <v>9935.3072000000011</v>
      </c>
      <c r="BR14" s="387">
        <f>SUMIFS(BR2:BR11,G2:G11,"LBPA",E2:E11,"0001",F2:F11,"00")</f>
        <v>76604.644480000003</v>
      </c>
      <c r="BS14" s="387">
        <f>SUMIFS(BS2:BS11,G2:G11,"LBPA",E2:E11,"0001",F2:F11,"00")</f>
        <v>4940.2458559999995</v>
      </c>
      <c r="BT14" s="387">
        <f>SUMIFS(BT2:BT11,G2:G11,"LBPA",E2:E11,"0001",F2:F11,"00")</f>
        <v>0</v>
      </c>
      <c r="BU14" s="387">
        <f>SUMIFS(BU2:BU11,G2:G11,"LBPA",E2:E11,"0001",F2:F11,"00")</f>
        <v>0</v>
      </c>
      <c r="BV14" s="387">
        <f>SUMIFS(BV2:BV11,G2:G11,"LBPA",E2:E11,"0001",F2:F11,"00")</f>
        <v>1507.4259200000001</v>
      </c>
      <c r="BW14" s="387">
        <f>SUMIFS(BW2:BW11,G2:G11,"LBPA",E2:E11,"0001",F2:F11,"00")</f>
        <v>0</v>
      </c>
      <c r="BX14" s="387">
        <f>SUMIFS(BX2:BX11,G2:G11,"LBPA",E2:E11,"0001",F2:F11,"00")</f>
        <v>135469.62665600001</v>
      </c>
      <c r="BY14" s="387">
        <f>SUMIFS(BY2:BY11,G2:G11,"LBPA",E2:E11,"0001",F2:F11,"00")</f>
        <v>0</v>
      </c>
      <c r="BZ14" s="387">
        <f>SUMIFS(BZ2:BZ11,G2:G11,"LBPA",E2:E11,"0001",F2:F11,"00")</f>
        <v>10000</v>
      </c>
      <c r="CA14" s="387">
        <f>SUMIFS(CA2:CA11,G2:G11,"LBPA",E2:E11,"0001",F2:F11,"00")</f>
        <v>0</v>
      </c>
      <c r="CB14" s="387">
        <f>SUMIFS(CB2:CB11,G2:G11,"LBPA",E2:E11,"0001",F2:F11,"00")</f>
        <v>0</v>
      </c>
      <c r="CC14" s="387">
        <f>SUMIFS(CC2:CC11,G2:G11,"LBPA",E2:E11,"0001",F2:F11,"00")</f>
        <v>0</v>
      </c>
      <c r="CD14" s="387">
        <f>SUMIFS(CD2:CD11,G2:G11,"LBPA",E2:E11,"0001",F2:F11,"00")</f>
        <v>-5207.4713600000068</v>
      </c>
      <c r="CE14" s="387">
        <f>SUMIFS(CE2:CE11,G2:G11,"LBPA",E2:E11,"0001",F2:F11,"00")</f>
        <v>0</v>
      </c>
      <c r="CF14" s="387">
        <f>SUMIFS(CF2:CF11,G2:G11,"LBPA",E2:E11,"0001",F2:F11,"00")</f>
        <v>0</v>
      </c>
      <c r="CG14" s="387">
        <f>SUMIFS(CG2:CG11,G2:G11,"LBPA",E2:E11,"0001",F2:F11,"00")</f>
        <v>0</v>
      </c>
      <c r="CH14" s="387">
        <f>SUMIFS(CH2:CH11,G2:G11,"LBPA",E2:E11,"0001",F2:F11,"00")</f>
        <v>-753.71296000000007</v>
      </c>
      <c r="CI14" s="387">
        <f>SUMIFS(CI2:CI11,G2:G11,"LBPA",E2:E11,"0001",F2:F11,"00")</f>
        <v>0</v>
      </c>
      <c r="CJ14" s="387">
        <f>SUMIFS(CJ2:CJ11,G2:G11,"LBPA",E2:E11,"0001",F2:F11,"00")</f>
        <v>-5961.1843200000067</v>
      </c>
      <c r="CK14" s="387">
        <f>SUMIFS(CK2:CK11,G2:G11,"LBPA",E2:E11,"0001",F2:F11,"00")</f>
        <v>0</v>
      </c>
      <c r="CL14" s="387">
        <f>SUMIFS(CL2:CL11,G2:G11,"LBPA",E2:E11,"0001",F2:F11,"00")</f>
        <v>2436</v>
      </c>
      <c r="CM14" s="387">
        <f>SUMIFS(CM2:CM11,G2:G11,"LBPA",E2:E11,"0001",F2:F11,"00")</f>
        <v>255.19</v>
      </c>
    </row>
    <row r="15" spans="1:92" ht="18.75" x14ac:dyDescent="0.3">
      <c r="AQ15" s="393" t="s">
        <v>280</v>
      </c>
      <c r="AS15" s="394">
        <f t="shared" ref="AS15:CM15" si="44">SUM(AS14:AS14)</f>
        <v>8</v>
      </c>
      <c r="AT15" s="394">
        <f t="shared" si="44"/>
        <v>0</v>
      </c>
      <c r="AU15" s="394">
        <f t="shared" si="44"/>
        <v>8</v>
      </c>
      <c r="AV15" s="394">
        <f t="shared" si="44"/>
        <v>0</v>
      </c>
      <c r="AW15" s="394">
        <f t="shared" si="44"/>
        <v>8</v>
      </c>
      <c r="AX15" s="394">
        <f t="shared" si="44"/>
        <v>685193.60000000009</v>
      </c>
      <c r="AY15" s="394">
        <f t="shared" si="44"/>
        <v>685193.60000000009</v>
      </c>
      <c r="AZ15" s="394">
        <f t="shared" si="44"/>
        <v>0</v>
      </c>
      <c r="BA15" s="394">
        <f t="shared" si="44"/>
        <v>0</v>
      </c>
      <c r="BB15" s="394">
        <f t="shared" si="44"/>
        <v>100000</v>
      </c>
      <c r="BC15" s="394">
        <f t="shared" si="44"/>
        <v>0</v>
      </c>
      <c r="BD15" s="394">
        <f t="shared" si="44"/>
        <v>42482.003199999999</v>
      </c>
      <c r="BE15" s="394">
        <f t="shared" si="44"/>
        <v>9935.3072000000011</v>
      </c>
      <c r="BF15" s="394">
        <f t="shared" si="44"/>
        <v>81812.115840000013</v>
      </c>
      <c r="BG15" s="394">
        <f t="shared" si="44"/>
        <v>4940.2458559999995</v>
      </c>
      <c r="BH15" s="394">
        <f t="shared" si="44"/>
        <v>0</v>
      </c>
      <c r="BI15" s="394">
        <f t="shared" si="44"/>
        <v>0</v>
      </c>
      <c r="BJ15" s="394">
        <f t="shared" si="44"/>
        <v>2261.13888</v>
      </c>
      <c r="BK15" s="394">
        <f t="shared" si="44"/>
        <v>0</v>
      </c>
      <c r="BL15" s="394">
        <f t="shared" si="44"/>
        <v>141430.81097600001</v>
      </c>
      <c r="BM15" s="394">
        <f t="shared" si="44"/>
        <v>0</v>
      </c>
      <c r="BN15" s="394">
        <f t="shared" si="44"/>
        <v>110000</v>
      </c>
      <c r="BO15" s="394">
        <f t="shared" si="44"/>
        <v>0</v>
      </c>
      <c r="BP15" s="394">
        <f t="shared" si="44"/>
        <v>42482.003199999999</v>
      </c>
      <c r="BQ15" s="394">
        <f t="shared" si="44"/>
        <v>9935.3072000000011</v>
      </c>
      <c r="BR15" s="394">
        <f t="shared" si="44"/>
        <v>76604.644480000003</v>
      </c>
      <c r="BS15" s="394">
        <f t="shared" si="44"/>
        <v>4940.2458559999995</v>
      </c>
      <c r="BT15" s="394">
        <f t="shared" si="44"/>
        <v>0</v>
      </c>
      <c r="BU15" s="394">
        <f t="shared" si="44"/>
        <v>0</v>
      </c>
      <c r="BV15" s="394">
        <f t="shared" si="44"/>
        <v>1507.4259200000001</v>
      </c>
      <c r="BW15" s="394">
        <f t="shared" si="44"/>
        <v>0</v>
      </c>
      <c r="BX15" s="394">
        <f t="shared" si="44"/>
        <v>135469.62665600001</v>
      </c>
      <c r="BY15" s="394">
        <f t="shared" si="44"/>
        <v>0</v>
      </c>
      <c r="BZ15" s="394">
        <f t="shared" si="44"/>
        <v>10000</v>
      </c>
      <c r="CA15" s="394">
        <f t="shared" si="44"/>
        <v>0</v>
      </c>
      <c r="CB15" s="394">
        <f t="shared" si="44"/>
        <v>0</v>
      </c>
      <c r="CC15" s="394">
        <f t="shared" si="44"/>
        <v>0</v>
      </c>
      <c r="CD15" s="394">
        <f t="shared" si="44"/>
        <v>-5207.4713600000068</v>
      </c>
      <c r="CE15" s="394">
        <f t="shared" si="44"/>
        <v>0</v>
      </c>
      <c r="CF15" s="394">
        <f t="shared" si="44"/>
        <v>0</v>
      </c>
      <c r="CG15" s="394">
        <f t="shared" si="44"/>
        <v>0</v>
      </c>
      <c r="CH15" s="394">
        <f t="shared" si="44"/>
        <v>-753.71296000000007</v>
      </c>
      <c r="CI15" s="394">
        <f t="shared" si="44"/>
        <v>0</v>
      </c>
      <c r="CJ15" s="394">
        <f t="shared" si="44"/>
        <v>-5961.1843200000067</v>
      </c>
      <c r="CK15" s="394">
        <f t="shared" si="44"/>
        <v>0</v>
      </c>
      <c r="CL15" s="394">
        <f t="shared" si="44"/>
        <v>2436</v>
      </c>
      <c r="CM15" s="394">
        <f t="shared" si="44"/>
        <v>255.19</v>
      </c>
    </row>
    <row r="17" spans="41:77" ht="21" x14ac:dyDescent="0.35">
      <c r="AO17" s="251" t="s">
        <v>95</v>
      </c>
      <c r="AP17" s="251"/>
      <c r="AQ17" s="251"/>
    </row>
    <row r="19" spans="41:77" ht="21" x14ac:dyDescent="0.35">
      <c r="AO19" s="252"/>
      <c r="AP19" s="252"/>
      <c r="AQ19" s="252"/>
    </row>
    <row r="20" spans="41:77" ht="15.75" x14ac:dyDescent="0.25">
      <c r="AS20" s="374" t="s">
        <v>81</v>
      </c>
      <c r="AT20" s="477" t="s">
        <v>290</v>
      </c>
      <c r="AU20" s="477"/>
      <c r="AV20" s="478" t="s">
        <v>288</v>
      </c>
      <c r="AW20" s="477" t="s">
        <v>291</v>
      </c>
      <c r="AX20" s="477"/>
      <c r="AY20" s="478" t="s">
        <v>289</v>
      </c>
      <c r="AZ20" s="477" t="s">
        <v>292</v>
      </c>
      <c r="BA20" s="477"/>
    </row>
    <row r="21" spans="41:77" ht="15.75" x14ac:dyDescent="0.25">
      <c r="AS21" s="249"/>
      <c r="AT21" s="374" t="s">
        <v>92</v>
      </c>
      <c r="AU21" s="373" t="s">
        <v>94</v>
      </c>
      <c r="AV21" s="479"/>
      <c r="AW21" s="374" t="s">
        <v>96</v>
      </c>
      <c r="AX21" s="373" t="s">
        <v>93</v>
      </c>
      <c r="AY21" s="479"/>
      <c r="AZ21" s="374" t="s">
        <v>96</v>
      </c>
      <c r="BA21" s="373" t="s">
        <v>93</v>
      </c>
    </row>
    <row r="22" spans="41:77" x14ac:dyDescent="0.25">
      <c r="AO22" s="392" t="s">
        <v>293</v>
      </c>
    </row>
    <row r="23" spans="41:77" x14ac:dyDescent="0.25">
      <c r="AQ23" t="s">
        <v>284</v>
      </c>
      <c r="AS23" s="387">
        <f>SUM(SUMIFS(AS2:AS11,CN2:CN11,AQ23,E2:E11,"0001",F2:F11,"00",AT2:AT11,{1,3}))</f>
        <v>8</v>
      </c>
      <c r="AT23" s="387">
        <f>SUMPRODUCT(--(CN2:CN11=AQ23),--(N2:N11&lt;&gt;"NG"),--(AG2:AG11&lt;&gt;"D"),--(AR2:AR11&lt;&gt;6),--(AR2:AR11&lt;&gt;36),--(AR2:AR11&lt;&gt;56),T2:T11)+SUMPRODUCT(--(CN2:CN11=AQ23),--(N2:N11&lt;&gt;"NG"),--(AG2:AG11&lt;&gt;"D"),--(AR2:AR11&lt;&gt;6),--(AR2:AR11&lt;&gt;36),--(AR2:AR11&lt;&gt;56),U2:U11)</f>
        <v>625042.77</v>
      </c>
      <c r="AU23" s="387">
        <f>SUMPRODUCT(--(CN2:CN11=AQ23),--(N2:N11&lt;&gt;"NG"),--(AG2:AG11&lt;&gt;"D"),--(AR2:AR11&lt;&gt;6),--(AR2:AR11&lt;&gt;36),--(AR2:AR11&lt;&gt;56),V2:V11)</f>
        <v>219077.43000000002</v>
      </c>
      <c r="AV23" s="387">
        <f>SUMPRODUCT(--(CN2:CN11=AQ23),AY2:AY11)+SUMPRODUCT(--(CN2:CN11=AQ23),AZ2:AZ11)</f>
        <v>685193.60000000009</v>
      </c>
      <c r="AW23" s="387">
        <f>SUMPRODUCT(--(CN2:CN11=AQ23),BB2:BB11)+SUMPRODUCT(--(CN2:CN11=AQ23),BC2:BC11)</f>
        <v>100000</v>
      </c>
      <c r="AX23" s="387">
        <f>SUMPRODUCT(--(CN2:CN11=AQ23),BL2:BL11)+SUMPRODUCT(--(CN2:CN11=AQ23),BM2:BM11)</f>
        <v>141430.81097600001</v>
      </c>
      <c r="AY23" s="387">
        <f>SUMPRODUCT(--(CN2:CN11=AQ23),AY2:AY11)+SUMPRODUCT(--(CN2:CN11=AQ23),AZ2:AZ11)+SUMPRODUCT(--(CN2:CN11=AQ23),BA2:BA11)</f>
        <v>685193.60000000009</v>
      </c>
      <c r="AZ23" s="387">
        <f>SUMPRODUCT(--(CN2:CN11=AQ23),BN2:BN11)+SUMPRODUCT(--(CN2:CN11=AQ23),BO2:BO11)</f>
        <v>110000</v>
      </c>
      <c r="BA23" s="387">
        <f>SUMPRODUCT(--(CN2:CN11=AQ23),BX2:BX11)+SUMPRODUCT(--(CN2:CN11=AQ23),BY2:BY11)</f>
        <v>135469.62665600001</v>
      </c>
    </row>
    <row r="24" spans="41:77" x14ac:dyDescent="0.25">
      <c r="AP24" t="s">
        <v>294</v>
      </c>
      <c r="AS24" s="398">
        <f t="shared" ref="AS24:BA24" si="45">SUM(AS23:AS23)</f>
        <v>8</v>
      </c>
      <c r="AT24" s="398">
        <f t="shared" si="45"/>
        <v>625042.77</v>
      </c>
      <c r="AU24" s="398">
        <f t="shared" si="45"/>
        <v>219077.43000000002</v>
      </c>
      <c r="AV24" s="398">
        <f t="shared" si="45"/>
        <v>685193.60000000009</v>
      </c>
      <c r="AW24" s="398">
        <f t="shared" si="45"/>
        <v>100000</v>
      </c>
      <c r="AX24" s="398">
        <f t="shared" si="45"/>
        <v>141430.81097600001</v>
      </c>
      <c r="AY24" s="398">
        <f t="shared" si="45"/>
        <v>685193.60000000009</v>
      </c>
      <c r="AZ24" s="398">
        <f t="shared" si="45"/>
        <v>110000</v>
      </c>
      <c r="BA24" s="398">
        <f t="shared" si="45"/>
        <v>135469.62665600001</v>
      </c>
    </row>
    <row r="25" spans="41:77" x14ac:dyDescent="0.25">
      <c r="AS25" s="387"/>
      <c r="AT25" s="387"/>
      <c r="AU25" s="387"/>
      <c r="AV25" s="387"/>
      <c r="AW25" s="387"/>
      <c r="AX25" s="387"/>
      <c r="AY25" s="387"/>
      <c r="AZ25" s="387"/>
      <c r="BA25" s="387"/>
    </row>
    <row r="26" spans="41:77" x14ac:dyDescent="0.25">
      <c r="AO26" s="396" t="s">
        <v>295</v>
      </c>
      <c r="AS26" s="399">
        <f t="shared" ref="AS26:BA26" si="46">SUM(AS24)</f>
        <v>8</v>
      </c>
      <c r="AT26" s="399">
        <f t="shared" si="46"/>
        <v>625042.77</v>
      </c>
      <c r="AU26" s="399">
        <f t="shared" si="46"/>
        <v>219077.43000000002</v>
      </c>
      <c r="AV26" s="399">
        <f t="shared" si="46"/>
        <v>685193.60000000009</v>
      </c>
      <c r="AW26" s="399">
        <f t="shared" si="46"/>
        <v>100000</v>
      </c>
      <c r="AX26" s="399">
        <f t="shared" si="46"/>
        <v>141430.81097600001</v>
      </c>
      <c r="AY26" s="399">
        <f t="shared" si="46"/>
        <v>685193.60000000009</v>
      </c>
      <c r="AZ26" s="399">
        <f t="shared" si="46"/>
        <v>110000</v>
      </c>
      <c r="BA26" s="399">
        <f t="shared" si="46"/>
        <v>135469.62665600001</v>
      </c>
    </row>
    <row r="27" spans="41:77" x14ac:dyDescent="0.25">
      <c r="AS27" s="387"/>
      <c r="AT27" s="387"/>
      <c r="AU27" s="387"/>
      <c r="AV27" s="387"/>
      <c r="AW27" s="387"/>
      <c r="AX27" s="387"/>
      <c r="AY27" s="387"/>
      <c r="AZ27" s="387"/>
      <c r="BA27" s="387"/>
    </row>
    <row r="28" spans="41:77" x14ac:dyDescent="0.25">
      <c r="AO28" s="392" t="s">
        <v>296</v>
      </c>
      <c r="AS28" s="387"/>
      <c r="AT28" s="387"/>
      <c r="AU28" s="387"/>
      <c r="AV28" s="387"/>
      <c r="AW28" s="387"/>
      <c r="AX28" s="387"/>
      <c r="AY28" s="387"/>
      <c r="AZ28" s="387"/>
      <c r="BA28" s="387"/>
    </row>
    <row r="29" spans="41:77" x14ac:dyDescent="0.25">
      <c r="AQ29" t="s">
        <v>284</v>
      </c>
      <c r="AS29" s="387"/>
      <c r="AT29" s="387">
        <f>SUMIF(CN2:CN11,AQ29,CL2:CL11)</f>
        <v>2436</v>
      </c>
      <c r="AU29" s="387">
        <f>SUMIF(CN2:CN11,AQ29,CM2:CM11)</f>
        <v>255.19</v>
      </c>
      <c r="AV29" s="387">
        <f>SUMIF(CN2:CN11,AQ29,CL2:CL11)</f>
        <v>2436</v>
      </c>
      <c r="AW29" s="387">
        <v>0</v>
      </c>
      <c r="AX29" s="387">
        <f>SUMIF(CN2:CN11,AQ29,CM2:CM11)</f>
        <v>255.19</v>
      </c>
      <c r="AY29" s="387">
        <f>SUMIF(CN2:CN11,AQ29,CL2:CL11)</f>
        <v>2436</v>
      </c>
      <c r="AZ29" s="387">
        <v>0</v>
      </c>
      <c r="BA29" s="387">
        <f>SUMIF(CN2:CN11,AQ29,CM2:CM11)</f>
        <v>255.19</v>
      </c>
    </row>
    <row r="30" spans="41:77" x14ac:dyDescent="0.25">
      <c r="AP30" t="s">
        <v>294</v>
      </c>
      <c r="AS30" s="398"/>
      <c r="AT30" s="398">
        <f t="shared" ref="AT30:BA30" si="47">SUM(AT29:AT29)</f>
        <v>2436</v>
      </c>
      <c r="AU30" s="398">
        <f t="shared" si="47"/>
        <v>255.19</v>
      </c>
      <c r="AV30" s="398">
        <f t="shared" si="47"/>
        <v>2436</v>
      </c>
      <c r="AW30" s="398">
        <f t="shared" si="47"/>
        <v>0</v>
      </c>
      <c r="AX30" s="398">
        <f t="shared" si="47"/>
        <v>255.19</v>
      </c>
      <c r="AY30" s="398">
        <f t="shared" si="47"/>
        <v>2436</v>
      </c>
      <c r="AZ30" s="398">
        <f t="shared" si="47"/>
        <v>0</v>
      </c>
      <c r="BA30" s="398">
        <f t="shared" si="47"/>
        <v>255.19</v>
      </c>
    </row>
    <row r="31" spans="41:77" x14ac:dyDescent="0.25">
      <c r="AS31" s="387"/>
      <c r="AT31" s="387"/>
      <c r="AU31" s="387"/>
      <c r="AV31" s="387"/>
      <c r="AW31" s="387"/>
      <c r="AX31" s="387"/>
      <c r="AY31" s="387"/>
      <c r="AZ31" s="387"/>
      <c r="BA31" s="387"/>
    </row>
    <row r="32" spans="41:77" x14ac:dyDescent="0.25">
      <c r="AO32" s="396" t="s">
        <v>297</v>
      </c>
      <c r="AS32" s="399">
        <f t="shared" ref="AS32:BA32" si="48">SUM(AS30)</f>
        <v>0</v>
      </c>
      <c r="AT32" s="399">
        <f t="shared" si="48"/>
        <v>2436</v>
      </c>
      <c r="AU32" s="399">
        <f t="shared" si="48"/>
        <v>255.19</v>
      </c>
      <c r="AV32" s="399">
        <f t="shared" si="48"/>
        <v>2436</v>
      </c>
      <c r="AW32" s="399">
        <f t="shared" si="48"/>
        <v>0</v>
      </c>
      <c r="AX32" s="399">
        <f t="shared" si="48"/>
        <v>255.19</v>
      </c>
      <c r="AY32" s="399">
        <f t="shared" si="48"/>
        <v>2436</v>
      </c>
      <c r="AZ32" s="399">
        <f t="shared" si="48"/>
        <v>0</v>
      </c>
      <c r="BA32" s="399">
        <f t="shared" si="48"/>
        <v>255.19</v>
      </c>
      <c r="BS32" s="392"/>
      <c r="BY32" s="392"/>
    </row>
    <row r="33" spans="41:53" x14ac:dyDescent="0.25">
      <c r="AS33" s="387"/>
      <c r="AT33" s="387"/>
      <c r="AU33" s="387"/>
      <c r="AV33" s="387"/>
      <c r="AW33" s="387"/>
      <c r="AX33" s="387"/>
      <c r="AY33" s="387"/>
      <c r="AZ33" s="387"/>
      <c r="BA33" s="387"/>
    </row>
    <row r="34" spans="41:53" x14ac:dyDescent="0.25">
      <c r="AO34" s="397" t="s">
        <v>298</v>
      </c>
      <c r="AS34" s="400">
        <f t="shared" ref="AS34:BA34" si="49">SUM(AS26,AS32)</f>
        <v>8</v>
      </c>
      <c r="AT34" s="401">
        <f t="shared" si="49"/>
        <v>627478.77</v>
      </c>
      <c r="AU34" s="401">
        <f t="shared" si="49"/>
        <v>219332.62000000002</v>
      </c>
      <c r="AV34" s="401">
        <f t="shared" si="49"/>
        <v>687629.60000000009</v>
      </c>
      <c r="AW34" s="401">
        <f t="shared" si="49"/>
        <v>100000</v>
      </c>
      <c r="AX34" s="401">
        <f t="shared" si="49"/>
        <v>141686.00097600001</v>
      </c>
      <c r="AY34" s="401">
        <f t="shared" si="49"/>
        <v>687629.60000000009</v>
      </c>
      <c r="AZ34" s="401">
        <f t="shared" si="49"/>
        <v>110000</v>
      </c>
      <c r="BA34" s="401">
        <f t="shared" si="49"/>
        <v>135724.81665600001</v>
      </c>
    </row>
  </sheetData>
  <mergeCells count="5">
    <mergeCell ref="AT20:AU20"/>
    <mergeCell ref="AV20:AV21"/>
    <mergeCell ref="AW20:AX20"/>
    <mergeCell ref="AY20:AY21"/>
    <mergeCell ref="AZ20:BA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C11" sqref="C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3.3E-3</v>
      </c>
      <c r="D8" s="234">
        <v>2.2000000000000001E-3</v>
      </c>
      <c r="E8" s="314">
        <f t="shared" si="0"/>
        <v>-1.0999999999999998E-3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8.700999999999999E-2</v>
      </c>
      <c r="D12" s="234">
        <f>SUM(D5:D11)</f>
        <v>8.5909999999999986E-2</v>
      </c>
      <c r="E12" s="315">
        <f>D12-C12</f>
        <v>-1.1000000000000038E-3</v>
      </c>
      <c r="M12" s="320"/>
    </row>
    <row r="13" spans="1:15" x14ac:dyDescent="0.3">
      <c r="A13" s="3"/>
      <c r="B13" s="231" t="s">
        <v>9</v>
      </c>
      <c r="C13" s="226">
        <f>SUM(C5:C8)</f>
        <v>7.9799999999999996E-2</v>
      </c>
      <c r="D13" s="226">
        <f>SUM(D5:D8)</f>
        <v>7.8699999999999992E-2</v>
      </c>
      <c r="E13" s="313">
        <f t="shared" si="0"/>
        <v>-1.1000000000000038E-3</v>
      </c>
      <c r="F13" s="8"/>
    </row>
    <row r="14" spans="1:15" x14ac:dyDescent="0.3">
      <c r="A14" s="230"/>
      <c r="B14" s="232" t="s">
        <v>100</v>
      </c>
      <c r="C14" s="226">
        <f>SUM(C5:C6,C8:C9)</f>
        <v>8.700999999999999E-2</v>
      </c>
      <c r="D14" s="226">
        <f>SUM(D5:D6,D8:D9)</f>
        <v>8.5909999999999986E-2</v>
      </c>
      <c r="E14" s="313">
        <f>D14-C14</f>
        <v>-1.1000000000000038E-3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286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"&amp;'LBPA|0001-00'!FiscalYear-1&amp;" SALARY"</f>
        <v>FY 2023 SALARY</v>
      </c>
      <c r="F2" s="50" t="str">
        <f>"FY "&amp;'LBPA|0001-00'!FiscalYear-1&amp;" HEALTH BENEFITS"</f>
        <v>FY 2023 HEALTH BENEFITS</v>
      </c>
      <c r="G2" s="50" t="str">
        <f>"FY "&amp;'LBPA|0001-00'!FiscalYear-1&amp;" VAR BENEFITS"</f>
        <v>FY 2023 VAR BENEFITS</v>
      </c>
      <c r="H2" s="50" t="str">
        <f>"FY "&amp;'LBPA|0001-00'!FiscalYear-1&amp;" TOTAL"</f>
        <v>FY 2023 TOTAL</v>
      </c>
      <c r="I2" s="50" t="str">
        <f>"FY "&amp;'LBPA|0001-00'!FiscalYear&amp;" SALARY CHANGE"</f>
        <v>FY 2024 SALARY CHANGE</v>
      </c>
      <c r="J2" s="50" t="str">
        <f>"FY "&amp;'LBPA|0001-00'!FiscalYear&amp;" CHG HEALTH BENEFITS"</f>
        <v>FY 2024 CHG HEALTH BENEFITS</v>
      </c>
      <c r="K2" s="50" t="str">
        <f>"FY "&amp;'LBPA|0001-00'!FiscalYear&amp;"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[0]!LBPA000100col_INC_FTI</f>
        <v>8</v>
      </c>
      <c r="E4" s="218">
        <f>[0]!LBPA000100col_FTI_SALARY_PERM</f>
        <v>685193.60000000009</v>
      </c>
      <c r="F4" s="218">
        <f>[0]!LBPA000100col_HEALTH_PERM</f>
        <v>100000</v>
      </c>
      <c r="G4" s="218">
        <f>[0]!LBPA000100col_TOT_VB_PERM</f>
        <v>141430.81097600001</v>
      </c>
      <c r="H4" s="219">
        <f>SUM(E4:G4)</f>
        <v>926624.41097600013</v>
      </c>
      <c r="I4" s="219">
        <f>[0]!LBPA000100col_1_27TH_PP</f>
        <v>0</v>
      </c>
      <c r="J4" s="218">
        <f>[0]!LBPA000100col_HEALTH_PERM_CHG</f>
        <v>10000</v>
      </c>
      <c r="K4" s="218">
        <f>[0]!LBPA000100col_TOT_VB_PERM_CHG</f>
        <v>-5961.1843200000067</v>
      </c>
      <c r="L4" s="218">
        <f>SUM(J4:K4)</f>
        <v>4038.8156799999933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[0]!LBPA000100col_Group_Salary</f>
        <v>2436</v>
      </c>
      <c r="F5" s="218">
        <v>0</v>
      </c>
      <c r="G5" s="218">
        <f>[0]!LBPA000100col_Group_Ben</f>
        <v>255.19</v>
      </c>
      <c r="H5" s="219">
        <f>SUM(E5:G5)</f>
        <v>2691.19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[0]!LBPA000100col_TOTAL_ELECT_PCN_FTI</f>
        <v>0</v>
      </c>
      <c r="E6" s="218">
        <f>[0]!LBPA000100col_FTI_SALARY_ELECT</f>
        <v>0</v>
      </c>
      <c r="F6" s="218">
        <f>[0]!LBPA000100col_HEALTH_ELECT</f>
        <v>0</v>
      </c>
      <c r="G6" s="218">
        <f>[0]!LBPA000100col_TOT_VB_ELECT</f>
        <v>0</v>
      </c>
      <c r="H6" s="219">
        <f>SUM(E6:G6)</f>
        <v>0</v>
      </c>
      <c r="I6" s="268"/>
      <c r="J6" s="218">
        <f>[0]!LBPA000100col_HEALTH_ELECT_CHG</f>
        <v>0</v>
      </c>
      <c r="K6" s="218">
        <f>[0]!LBPA000100col_TOT_VB_ELECT_CHG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8</v>
      </c>
      <c r="E7" s="221">
        <f>SUM(E4:E6)</f>
        <v>687629.60000000009</v>
      </c>
      <c r="F7" s="221">
        <f>SUM(F4:F6)</f>
        <v>100000</v>
      </c>
      <c r="G7" s="221">
        <f>SUM(G4:G6)</f>
        <v>141686.00097600001</v>
      </c>
      <c r="H7" s="219">
        <f>SUM(E7:G7)</f>
        <v>929315.60097600007</v>
      </c>
      <c r="I7" s="268"/>
      <c r="J7" s="219">
        <f>SUM(J4:J6)</f>
        <v>10000</v>
      </c>
      <c r="K7" s="219">
        <f>SUM(K4:K6)</f>
        <v>-5961.1843200000067</v>
      </c>
      <c r="L7" s="219">
        <f>SUM(L4:L6)</f>
        <v>4038.8156799999933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"&amp;'LBPA|0001-00'!FiscalYear-1</f>
        <v>FY 2023</v>
      </c>
      <c r="B9" s="158" t="s">
        <v>31</v>
      </c>
      <c r="C9" s="355">
        <v>963200</v>
      </c>
      <c r="D9" s="55">
        <v>8</v>
      </c>
      <c r="E9" s="223">
        <f>IF('LBPA|0001-00'!OrigApprop=0,0,(E7/H7)*'LBPA|0001-00'!OrigApprop)</f>
        <v>712701.72374638182</v>
      </c>
      <c r="F9" s="223">
        <f>IF('LBPA|0001-00'!OrigApprop=0,0,(F7/H7)*'LBPA|0001-00'!OrigApprop)</f>
        <v>103646.16702747844</v>
      </c>
      <c r="G9" s="223">
        <f>IF(E9=0,0,(G7/H7)*'LBPA|0001-00'!OrigApprop)</f>
        <v>146852.1092261397</v>
      </c>
      <c r="H9" s="223">
        <f>SUM(E9:G9)</f>
        <v>963200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0</v>
      </c>
      <c r="E10" s="162">
        <f>E9-E7</f>
        <v>25072.123746381723</v>
      </c>
      <c r="F10" s="162">
        <f>F9-F7</f>
        <v>3646.167027478441</v>
      </c>
      <c r="G10" s="162">
        <f>G9-G7</f>
        <v>5166.1082501396886</v>
      </c>
      <c r="H10" s="162">
        <f>H9-H7</f>
        <v>33884.399023999926</v>
      </c>
      <c r="I10" s="269"/>
      <c r="J10" s="56" t="str">
        <f>IF('LBPA|0001-00'!OrigApprop=0,"No Original Appropriation amount in DU 3.00 for this fund","Calculated "&amp;IF('LBPA|0001-00'!AdjustedTotal&gt;0,"overfunding ","underfunding ")&amp;"is "&amp;TEXT('LBPA|0001-00'!AdjustedTotal/'LBPA|0001-00'!AppropTotal,"#.0%;(#.0% );0% ;")&amp;" of Original Appropriation")</f>
        <v>Calculated overfunding is 3.5%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Legislative Branch&amp;R&amp;"Arial"&amp;10 Agency 104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290</v>
      </c>
      <c r="G5" s="477"/>
      <c r="H5" s="478" t="s">
        <v>288</v>
      </c>
      <c r="I5" s="477" t="s">
        <v>291</v>
      </c>
      <c r="J5" s="477"/>
      <c r="K5" s="478" t="s">
        <v>289</v>
      </c>
      <c r="L5" s="477" t="s">
        <v>292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293</v>
      </c>
      <c r="D7" s="250"/>
    </row>
    <row r="8" spans="1:13" x14ac:dyDescent="0.25">
      <c r="C8" t="s">
        <v>284</v>
      </c>
      <c r="D8" s="250"/>
      <c r="E8" s="402">
        <f>Data!AS23</f>
        <v>8</v>
      </c>
      <c r="F8" s="402">
        <f>Data!AT23</f>
        <v>625042.77</v>
      </c>
      <c r="G8" s="402">
        <f>Data!AU23</f>
        <v>219077.43000000002</v>
      </c>
      <c r="H8" s="402">
        <f>Data!AV23</f>
        <v>685193.60000000009</v>
      </c>
      <c r="I8" s="402">
        <f>Data!AW23</f>
        <v>100000</v>
      </c>
      <c r="J8" s="402">
        <f>Data!AX23</f>
        <v>141430.81097600001</v>
      </c>
      <c r="K8" s="402">
        <f>Data!AY23</f>
        <v>685193.60000000009</v>
      </c>
      <c r="L8" s="402">
        <f>Data!AZ23</f>
        <v>110000</v>
      </c>
      <c r="M8" s="402">
        <f>Data!BA23</f>
        <v>135469.62665600001</v>
      </c>
    </row>
    <row r="9" spans="1:13" x14ac:dyDescent="0.25">
      <c r="B9" t="s">
        <v>294</v>
      </c>
      <c r="D9" s="250"/>
      <c r="E9" s="403">
        <f>Data!AS24</f>
        <v>8</v>
      </c>
      <c r="F9" s="403">
        <f>Data!AT24</f>
        <v>625042.77</v>
      </c>
      <c r="G9" s="403">
        <f>Data!AU24</f>
        <v>219077.43000000002</v>
      </c>
      <c r="H9" s="403">
        <f>Data!AV24</f>
        <v>685193.60000000009</v>
      </c>
      <c r="I9" s="403">
        <f>Data!AW24</f>
        <v>100000</v>
      </c>
      <c r="J9" s="403">
        <f>Data!AX24</f>
        <v>141430.81097600001</v>
      </c>
      <c r="K9" s="403">
        <f>Data!AY24</f>
        <v>685193.60000000009</v>
      </c>
      <c r="L9" s="403">
        <f>Data!AZ24</f>
        <v>110000</v>
      </c>
      <c r="M9" s="403">
        <f>Data!BA24</f>
        <v>135469.62665600001</v>
      </c>
    </row>
    <row r="10" spans="1:13" x14ac:dyDescent="0.25">
      <c r="D10" s="250"/>
      <c r="E10" s="402">
        <f>Data!AS25</f>
        <v>0</v>
      </c>
      <c r="F10" s="402">
        <f>Data!AT25</f>
        <v>0</v>
      </c>
      <c r="G10" s="402">
        <f>Data!AU25</f>
        <v>0</v>
      </c>
      <c r="H10" s="402">
        <f>Data!AV25</f>
        <v>0</v>
      </c>
      <c r="I10" s="402">
        <f>Data!AW25</f>
        <v>0</v>
      </c>
      <c r="J10" s="402">
        <f>Data!AX25</f>
        <v>0</v>
      </c>
      <c r="K10" s="402">
        <f>Data!AY25</f>
        <v>0</v>
      </c>
      <c r="L10" s="402">
        <f>Data!AZ25</f>
        <v>0</v>
      </c>
      <c r="M10" s="402">
        <f>Data!BA25</f>
        <v>0</v>
      </c>
    </row>
    <row r="11" spans="1:13" x14ac:dyDescent="0.25">
      <c r="A11" s="396" t="s">
        <v>295</v>
      </c>
      <c r="D11" s="250"/>
      <c r="E11" s="404">
        <f>Data!AS26</f>
        <v>8</v>
      </c>
      <c r="F11" s="404">
        <f>Data!AT26</f>
        <v>625042.77</v>
      </c>
      <c r="G11" s="404">
        <f>Data!AU26</f>
        <v>219077.43000000002</v>
      </c>
      <c r="H11" s="404">
        <f>Data!AV26</f>
        <v>685193.60000000009</v>
      </c>
      <c r="I11" s="404">
        <f>Data!AW26</f>
        <v>100000</v>
      </c>
      <c r="J11" s="404">
        <f>Data!AX26</f>
        <v>141430.81097600001</v>
      </c>
      <c r="K11" s="404">
        <f>Data!AY26</f>
        <v>685193.60000000009</v>
      </c>
      <c r="L11" s="404">
        <f>Data!AZ26</f>
        <v>110000</v>
      </c>
      <c r="M11" s="404">
        <f>Data!BA26</f>
        <v>135469.62665600001</v>
      </c>
    </row>
    <row r="12" spans="1:13" x14ac:dyDescent="0.25">
      <c r="D12" s="250"/>
      <c r="E12" s="402">
        <f>Data!AS27</f>
        <v>0</v>
      </c>
      <c r="F12" s="402">
        <f>Data!AT27</f>
        <v>0</v>
      </c>
      <c r="G12" s="402">
        <f>Data!AU27</f>
        <v>0</v>
      </c>
      <c r="H12" s="402">
        <f>Data!AV27</f>
        <v>0</v>
      </c>
      <c r="I12" s="402">
        <f>Data!AW27</f>
        <v>0</v>
      </c>
      <c r="J12" s="402">
        <f>Data!AX27</f>
        <v>0</v>
      </c>
      <c r="K12" s="402">
        <f>Data!AY27</f>
        <v>0</v>
      </c>
      <c r="L12" s="402">
        <f>Data!AZ27</f>
        <v>0</v>
      </c>
      <c r="M12" s="402">
        <f>Data!BA27</f>
        <v>0</v>
      </c>
    </row>
    <row r="13" spans="1:13" x14ac:dyDescent="0.25">
      <c r="A13" s="392" t="s">
        <v>296</v>
      </c>
      <c r="D13" s="250"/>
      <c r="E13" s="402">
        <f>Data!AS28</f>
        <v>0</v>
      </c>
      <c r="F13" s="402">
        <f>Data!AT28</f>
        <v>0</v>
      </c>
      <c r="G13" s="402">
        <f>Data!AU28</f>
        <v>0</v>
      </c>
      <c r="H13" s="402">
        <f>Data!AV28</f>
        <v>0</v>
      </c>
      <c r="I13" s="402">
        <f>Data!AW28</f>
        <v>0</v>
      </c>
      <c r="J13" s="402">
        <f>Data!AX28</f>
        <v>0</v>
      </c>
      <c r="K13" s="402">
        <f>Data!AY28</f>
        <v>0</v>
      </c>
      <c r="L13" s="402">
        <f>Data!AZ28</f>
        <v>0</v>
      </c>
      <c r="M13" s="402">
        <f>Data!BA28</f>
        <v>0</v>
      </c>
    </row>
    <row r="14" spans="1:13" x14ac:dyDescent="0.25">
      <c r="C14" t="s">
        <v>284</v>
      </c>
      <c r="E14" s="402">
        <f>Data!AS29</f>
        <v>0</v>
      </c>
      <c r="F14" s="402">
        <f>Data!AT29</f>
        <v>2436</v>
      </c>
      <c r="G14" s="402">
        <f>Data!AU29</f>
        <v>255.19</v>
      </c>
      <c r="H14" s="402">
        <f>Data!AV29</f>
        <v>2436</v>
      </c>
      <c r="I14" s="402">
        <f>Data!AW29</f>
        <v>0</v>
      </c>
      <c r="J14" s="402">
        <f>Data!AX29</f>
        <v>255.19</v>
      </c>
      <c r="K14" s="402">
        <f>Data!AY29</f>
        <v>2436</v>
      </c>
      <c r="L14" s="402">
        <f>Data!AZ29</f>
        <v>0</v>
      </c>
      <c r="M14" s="402">
        <f>Data!BA29</f>
        <v>255.19</v>
      </c>
    </row>
    <row r="15" spans="1:13" x14ac:dyDescent="0.25">
      <c r="B15" t="s">
        <v>294</v>
      </c>
      <c r="E15" s="403">
        <f>Data!AS30</f>
        <v>0</v>
      </c>
      <c r="F15" s="403">
        <f>Data!AT30</f>
        <v>2436</v>
      </c>
      <c r="G15" s="403">
        <f>Data!AU30</f>
        <v>255.19</v>
      </c>
      <c r="H15" s="403">
        <f>Data!AV30</f>
        <v>2436</v>
      </c>
      <c r="I15" s="403">
        <f>Data!AW30</f>
        <v>0</v>
      </c>
      <c r="J15" s="403">
        <f>Data!AX30</f>
        <v>255.19</v>
      </c>
      <c r="K15" s="403">
        <f>Data!AY30</f>
        <v>2436</v>
      </c>
      <c r="L15" s="403">
        <f>Data!AZ30</f>
        <v>0</v>
      </c>
      <c r="M15" s="403">
        <f>Data!BA30</f>
        <v>255.19</v>
      </c>
    </row>
    <row r="16" spans="1:13" x14ac:dyDescent="0.25">
      <c r="E16" s="402">
        <f>Data!AS31</f>
        <v>0</v>
      </c>
      <c r="F16" s="402">
        <f>Data!AT31</f>
        <v>0</v>
      </c>
      <c r="G16" s="402">
        <f>Data!AU31</f>
        <v>0</v>
      </c>
      <c r="H16" s="402">
        <f>Data!AV31</f>
        <v>0</v>
      </c>
      <c r="I16" s="402">
        <f>Data!AW31</f>
        <v>0</v>
      </c>
      <c r="J16" s="402">
        <f>Data!AX31</f>
        <v>0</v>
      </c>
      <c r="K16" s="402">
        <f>Data!AY31</f>
        <v>0</v>
      </c>
      <c r="L16" s="402">
        <f>Data!AZ31</f>
        <v>0</v>
      </c>
      <c r="M16" s="402">
        <f>Data!BA31</f>
        <v>0</v>
      </c>
    </row>
    <row r="17" spans="1:13" x14ac:dyDescent="0.25">
      <c r="A17" s="396" t="s">
        <v>297</v>
      </c>
      <c r="E17" s="404">
        <f>Data!AS32</f>
        <v>0</v>
      </c>
      <c r="F17" s="404">
        <f>Data!AT32</f>
        <v>2436</v>
      </c>
      <c r="G17" s="404">
        <f>Data!AU32</f>
        <v>255.19</v>
      </c>
      <c r="H17" s="404">
        <f>Data!AV32</f>
        <v>2436</v>
      </c>
      <c r="I17" s="404">
        <f>Data!AW32</f>
        <v>0</v>
      </c>
      <c r="J17" s="404">
        <f>Data!AX32</f>
        <v>255.19</v>
      </c>
      <c r="K17" s="404">
        <f>Data!AY32</f>
        <v>2436</v>
      </c>
      <c r="L17" s="404">
        <f>Data!AZ32</f>
        <v>0</v>
      </c>
      <c r="M17" s="404">
        <f>Data!BA32</f>
        <v>255.19</v>
      </c>
    </row>
    <row r="18" spans="1:13" x14ac:dyDescent="0.25">
      <c r="E18" s="402">
        <f>Data!AS33</f>
        <v>0</v>
      </c>
      <c r="F18" s="402">
        <f>Data!AT33</f>
        <v>0</v>
      </c>
      <c r="G18" s="402">
        <f>Data!AU33</f>
        <v>0</v>
      </c>
      <c r="H18" s="402">
        <f>Data!AV33</f>
        <v>0</v>
      </c>
      <c r="I18" s="402">
        <f>Data!AW33</f>
        <v>0</v>
      </c>
      <c r="J18" s="402">
        <f>Data!AX33</f>
        <v>0</v>
      </c>
      <c r="K18" s="402">
        <f>Data!AY33</f>
        <v>0</v>
      </c>
      <c r="L18" s="402">
        <f>Data!AZ33</f>
        <v>0</v>
      </c>
      <c r="M18" s="402">
        <f>Data!BA33</f>
        <v>0</v>
      </c>
    </row>
    <row r="19" spans="1:13" x14ac:dyDescent="0.25">
      <c r="A19" s="397" t="s">
        <v>298</v>
      </c>
      <c r="E19" s="400">
        <f>Data!AS34</f>
        <v>8</v>
      </c>
      <c r="F19" s="401">
        <f>Data!AT34</f>
        <v>627478.77</v>
      </c>
      <c r="G19" s="401">
        <f>Data!AU34</f>
        <v>219332.62000000002</v>
      </c>
      <c r="H19" s="401">
        <f>Data!AV34</f>
        <v>687629.60000000009</v>
      </c>
      <c r="I19" s="401">
        <f>Data!AW34</f>
        <v>100000</v>
      </c>
      <c r="J19" s="401">
        <f>Data!AX34</f>
        <v>141686.00097600001</v>
      </c>
      <c r="K19" s="401">
        <f>Data!AY34</f>
        <v>687629.60000000009</v>
      </c>
      <c r="L19" s="401">
        <f>Data!AZ34</f>
        <v>110000</v>
      </c>
      <c r="M19" s="401">
        <f>Data!BA34</f>
        <v>135724.81665600001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Legislative Branch&amp;R&amp;"Arial"&amp;10 Agency 104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LBPA|0001-00</vt:lpstr>
      <vt:lpstr>Data</vt:lpstr>
      <vt:lpstr>Benefits</vt:lpstr>
      <vt:lpstr>B6</vt:lpstr>
      <vt:lpstr>Summary</vt:lpstr>
      <vt:lpstr>FundSummary</vt:lpstr>
      <vt:lpstr>'LBPA|0001-00'!AdjGroupHlth</vt:lpstr>
      <vt:lpstr>AdjGroupHlth</vt:lpstr>
      <vt:lpstr>'LBPA|0001-00'!AdjGroupSalary</vt:lpstr>
      <vt:lpstr>AdjGroupSalary</vt:lpstr>
      <vt:lpstr>'LBPA|0001-00'!AdjGroupVB</vt:lpstr>
      <vt:lpstr>AdjGroupVB</vt:lpstr>
      <vt:lpstr>'LBPA|0001-00'!AdjGroupVBBY</vt:lpstr>
      <vt:lpstr>AdjGroupVBBY</vt:lpstr>
      <vt:lpstr>'LBPA|0001-00'!AdjPermHlth</vt:lpstr>
      <vt:lpstr>AdjPermHlth</vt:lpstr>
      <vt:lpstr>'LBPA|0001-00'!AdjPermHlthBY</vt:lpstr>
      <vt:lpstr>AdjPermHlthBY</vt:lpstr>
      <vt:lpstr>'LBPA|0001-00'!AdjPermSalary</vt:lpstr>
      <vt:lpstr>AdjPermSalary</vt:lpstr>
      <vt:lpstr>'LBPA|0001-00'!AdjPermVB</vt:lpstr>
      <vt:lpstr>AdjPermVB</vt:lpstr>
      <vt:lpstr>'LBPA|0001-00'!AdjPermVBBY</vt:lpstr>
      <vt:lpstr>AdjPermVBBY</vt:lpstr>
      <vt:lpstr>'LBPA|0001-00'!AdjustedTotal</vt:lpstr>
      <vt:lpstr>AdjustedTotal</vt:lpstr>
      <vt:lpstr>'LBPA|0001-00'!AgencyNum</vt:lpstr>
      <vt:lpstr>AgencyNum</vt:lpstr>
      <vt:lpstr>'LBPA|0001-00'!AppropFTP</vt:lpstr>
      <vt:lpstr>AppropFTP</vt:lpstr>
      <vt:lpstr>'LBPA|0001-00'!AppropTotal</vt:lpstr>
      <vt:lpstr>AppropTotal</vt:lpstr>
      <vt:lpstr>'LBPA|0001-00'!AtZHealth</vt:lpstr>
      <vt:lpstr>AtZHealth</vt:lpstr>
      <vt:lpstr>'LBPA|0001-00'!AtZSalary</vt:lpstr>
      <vt:lpstr>AtZSalary</vt:lpstr>
      <vt:lpstr>'LBPA|0001-00'!AtZTotal</vt:lpstr>
      <vt:lpstr>AtZTotal</vt:lpstr>
      <vt:lpstr>'LBPA|0001-00'!AtZVarBen</vt:lpstr>
      <vt:lpstr>AtZVarBen</vt:lpstr>
      <vt:lpstr>'LBPA|0001-00'!BudgetUnit</vt:lpstr>
      <vt:lpstr>BudgetUnit</vt:lpstr>
      <vt:lpstr>BudgetYear</vt:lpstr>
      <vt:lpstr>CECGroup</vt:lpstr>
      <vt:lpstr>'LBPA|0001-00'!CECOrigElectSalary</vt:lpstr>
      <vt:lpstr>CECOrigElectSalary</vt:lpstr>
      <vt:lpstr>'LBPA|0001-00'!CECOrigElectVB</vt:lpstr>
      <vt:lpstr>CECOrigElectVB</vt:lpstr>
      <vt:lpstr>'LBPA|0001-00'!CECOrigGroupSalary</vt:lpstr>
      <vt:lpstr>CECOrigGroupSalary</vt:lpstr>
      <vt:lpstr>'LBPA|0001-00'!CECOrigGroupVB</vt:lpstr>
      <vt:lpstr>CECOrigGroupVB</vt:lpstr>
      <vt:lpstr>'LBPA|0001-00'!CECOrigPermSalary</vt:lpstr>
      <vt:lpstr>CECOrigPermSalary</vt:lpstr>
      <vt:lpstr>'LBPA|0001-00'!CECOrigPermVB</vt:lpstr>
      <vt:lpstr>CECOrigPermVB</vt:lpstr>
      <vt:lpstr>CECPerm</vt:lpstr>
      <vt:lpstr>'LBPA|0001-00'!CECpermCalc</vt:lpstr>
      <vt:lpstr>CECpermCalc</vt:lpstr>
      <vt:lpstr>'LBPA|0001-00'!Department</vt:lpstr>
      <vt:lpstr>Department</vt:lpstr>
      <vt:lpstr>DHR</vt:lpstr>
      <vt:lpstr>DHRBY</vt:lpstr>
      <vt:lpstr>DHRCHG</vt:lpstr>
      <vt:lpstr>'LBPA|0001-00'!Division</vt:lpstr>
      <vt:lpstr>Division</vt:lpstr>
      <vt:lpstr>'LBPA|0001-00'!DUCECElect</vt:lpstr>
      <vt:lpstr>DUCECElect</vt:lpstr>
      <vt:lpstr>'LBPA|0001-00'!DUCECGroup</vt:lpstr>
      <vt:lpstr>DUCECGroup</vt:lpstr>
      <vt:lpstr>'LBPA|0001-00'!DUCECPerm</vt:lpstr>
      <vt:lpstr>DUCECPerm</vt:lpstr>
      <vt:lpstr>'LBPA|0001-00'!DUEleven</vt:lpstr>
      <vt:lpstr>DUEleven</vt:lpstr>
      <vt:lpstr>'LBPA|0001-00'!DUHealthBen</vt:lpstr>
      <vt:lpstr>DUHealthBen</vt:lpstr>
      <vt:lpstr>'LBPA|0001-00'!DUNine</vt:lpstr>
      <vt:lpstr>DUNine</vt:lpstr>
      <vt:lpstr>'LBPA|0001-00'!DUThirteen</vt:lpstr>
      <vt:lpstr>DUThirteen</vt:lpstr>
      <vt:lpstr>'LBPA|0001-00'!DUVariableBen</vt:lpstr>
      <vt:lpstr>DUVariableBen</vt:lpstr>
      <vt:lpstr>'LBPA|0001-00'!Elect_chg_health</vt:lpstr>
      <vt:lpstr>Elect_chg_health</vt:lpstr>
      <vt:lpstr>'LBPA|0001-00'!Elect_chg_Var</vt:lpstr>
      <vt:lpstr>Elect_chg_Var</vt:lpstr>
      <vt:lpstr>'LBPA|0001-00'!elect_FTP</vt:lpstr>
      <vt:lpstr>elect_FTP</vt:lpstr>
      <vt:lpstr>'LBPA|0001-00'!Elect_health</vt:lpstr>
      <vt:lpstr>Elect_health</vt:lpstr>
      <vt:lpstr>'LBPA|0001-00'!Elect_name</vt:lpstr>
      <vt:lpstr>Elect_name</vt:lpstr>
      <vt:lpstr>'LBPA|0001-00'!Elect_salary</vt:lpstr>
      <vt:lpstr>Elect_salary</vt:lpstr>
      <vt:lpstr>'LBPA|0001-00'!Elect_Var</vt:lpstr>
      <vt:lpstr>Elect_Var</vt:lpstr>
      <vt:lpstr>'LBPA|0001-00'!Elect_VarBen</vt:lpstr>
      <vt:lpstr>Elect_VarBen</vt:lpstr>
      <vt:lpstr>ElectVB</vt:lpstr>
      <vt:lpstr>ElectVBBY</vt:lpstr>
      <vt:lpstr>ElectVBCHG</vt:lpstr>
      <vt:lpstr>FillRate_Avg</vt:lpstr>
      <vt:lpstr>'LBPA|0001-00'!FiscalYear</vt:lpstr>
      <vt:lpstr>FiscalYear</vt:lpstr>
      <vt:lpstr>'LBPA|0001-00'!FundName</vt:lpstr>
      <vt:lpstr>FundName</vt:lpstr>
      <vt:lpstr>'LBPA|0001-00'!FundNum</vt:lpstr>
      <vt:lpstr>FundNum</vt:lpstr>
      <vt:lpstr>'LBPA|0001-00'!FundNumber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'LBPA|0001-00'!Group_name</vt:lpstr>
      <vt:lpstr>Group_name</vt:lpstr>
      <vt:lpstr>'LBPA|0001-00'!GroupFxdBen</vt:lpstr>
      <vt:lpstr>GroupFxdBen</vt:lpstr>
      <vt:lpstr>'LBPA|0001-00'!GroupSalary</vt:lpstr>
      <vt:lpstr>GroupSalary</vt:lpstr>
      <vt:lpstr>'LBPA|0001-00'!GroupVarBen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LBPA000100col_1_27TH_PP</vt:lpstr>
      <vt:lpstr>LBPA000100col_DHR</vt:lpstr>
      <vt:lpstr>LBPA000100col_DHR_BY</vt:lpstr>
      <vt:lpstr>LBPA000100col_DHR_CHG</vt:lpstr>
      <vt:lpstr>LBPA000100col_FTI_SALARY_ELECT</vt:lpstr>
      <vt:lpstr>LBPA000100col_FTI_SALARY_PERM</vt:lpstr>
      <vt:lpstr>LBPA000100col_FTI_SALARY_SSDI</vt:lpstr>
      <vt:lpstr>LBPA000100col_Group_Ben</vt:lpstr>
      <vt:lpstr>LBPA000100col_Group_Salary</vt:lpstr>
      <vt:lpstr>LBPA000100col_HEALTH_ELECT</vt:lpstr>
      <vt:lpstr>LBPA000100col_HEALTH_ELECT_BY</vt:lpstr>
      <vt:lpstr>LBPA000100col_HEALTH_ELECT_CHG</vt:lpstr>
      <vt:lpstr>LBPA000100col_HEALTH_PERM</vt:lpstr>
      <vt:lpstr>LBPA000100col_HEALTH_PERM_BY</vt:lpstr>
      <vt:lpstr>LBPA000100col_HEALTH_PERM_CHG</vt:lpstr>
      <vt:lpstr>LBPA000100col_INC_FTI</vt:lpstr>
      <vt:lpstr>LBPA000100col_LIFE_INS</vt:lpstr>
      <vt:lpstr>LBPA000100col_LIFE_INS_BY</vt:lpstr>
      <vt:lpstr>LBPA000100col_LIFE_INS_CHG</vt:lpstr>
      <vt:lpstr>LBPA000100col_RETIREMENT</vt:lpstr>
      <vt:lpstr>LBPA000100col_RETIREMENT_BY</vt:lpstr>
      <vt:lpstr>LBPA000100col_RETIREMENT_CHG</vt:lpstr>
      <vt:lpstr>LBPA000100col_ROWS_PER_PCN</vt:lpstr>
      <vt:lpstr>LBPA000100col_SICK</vt:lpstr>
      <vt:lpstr>LBPA000100col_SICK_BY</vt:lpstr>
      <vt:lpstr>LBPA000100col_SICK_CHG</vt:lpstr>
      <vt:lpstr>LBPA000100col_SSDI</vt:lpstr>
      <vt:lpstr>LBPA000100col_SSDI_BY</vt:lpstr>
      <vt:lpstr>LBPA000100col_SSDI_CHG</vt:lpstr>
      <vt:lpstr>LBPA000100col_SSHI</vt:lpstr>
      <vt:lpstr>LBPA000100col_SSHI_BY</vt:lpstr>
      <vt:lpstr>LBPA000100col_SSHI_CHGv</vt:lpstr>
      <vt:lpstr>LBPA000100col_TOT_VB_ELECT</vt:lpstr>
      <vt:lpstr>LBPA000100col_TOT_VB_ELECT_BY</vt:lpstr>
      <vt:lpstr>LBPA000100col_TOT_VB_ELECT_CHG</vt:lpstr>
      <vt:lpstr>LBPA000100col_TOT_VB_PERM</vt:lpstr>
      <vt:lpstr>LBPA000100col_TOT_VB_PERM_BY</vt:lpstr>
      <vt:lpstr>LBPA000100col_TOT_VB_PERM_CHG</vt:lpstr>
      <vt:lpstr>LBPA000100col_TOTAL_ELECT_PCN_FTI</vt:lpstr>
      <vt:lpstr>LBPA000100col_TOTAL_ELECT_PCN_FTI_ALT</vt:lpstr>
      <vt:lpstr>LBPA000100col_TOTAL_PERM_PCN_FTI</vt:lpstr>
      <vt:lpstr>LBPA000100col_UNEMP_INS</vt:lpstr>
      <vt:lpstr>LBPA000100col_UNEMP_INS_BY</vt:lpstr>
      <vt:lpstr>LBPA000100col_UNEMP_INS_CHG</vt:lpstr>
      <vt:lpstr>LBPA000100col_WORKERS_COMP</vt:lpstr>
      <vt:lpstr>LBPA000100col_WORKERS_COMP_BY</vt:lpstr>
      <vt:lpstr>LBPA000100col_WORKERS_COMP_CHG</vt:lpstr>
      <vt:lpstr>Life</vt:lpstr>
      <vt:lpstr>LifeBY</vt:lpstr>
      <vt:lpstr>LifeCHG</vt:lpstr>
      <vt:lpstr>'LBPA|0001-00'!LUMAFund</vt:lpstr>
      <vt:lpstr>LUMAFund</vt:lpstr>
      <vt:lpstr>MAXSSDI</vt:lpstr>
      <vt:lpstr>MAXSSDIBY</vt:lpstr>
      <vt:lpstr>'LBPA|0001-00'!NEW_AdjGroup</vt:lpstr>
      <vt:lpstr>NEW_AdjGroup</vt:lpstr>
      <vt:lpstr>'LBPA|0001-00'!NEW_AdjGroupSalary</vt:lpstr>
      <vt:lpstr>NEW_AdjGroupSalary</vt:lpstr>
      <vt:lpstr>'LBPA|0001-00'!NEW_AdjGroupVB</vt:lpstr>
      <vt:lpstr>NEW_AdjGroupVB</vt:lpstr>
      <vt:lpstr>'LBPA|0001-00'!NEW_AdjONLYGroup</vt:lpstr>
      <vt:lpstr>NEW_AdjONLYGroup</vt:lpstr>
      <vt:lpstr>'LBPA|0001-00'!NEW_AdjONLYGroupSalary</vt:lpstr>
      <vt:lpstr>NEW_AdjONLYGroupSalary</vt:lpstr>
      <vt:lpstr>'LBPA|0001-00'!NEW_AdjONLYGroupVB</vt:lpstr>
      <vt:lpstr>NEW_AdjONLYGroupVB</vt:lpstr>
      <vt:lpstr>'LBPA|0001-00'!NEW_AdjONLYPerm</vt:lpstr>
      <vt:lpstr>NEW_AdjONLYPerm</vt:lpstr>
      <vt:lpstr>'LBPA|0001-00'!NEW_AdjONLYPermSalary</vt:lpstr>
      <vt:lpstr>NEW_AdjONLYPermSalary</vt:lpstr>
      <vt:lpstr>'LBPA|0001-00'!NEW_AdjONLYPermVB</vt:lpstr>
      <vt:lpstr>NEW_AdjONLYPermVB</vt:lpstr>
      <vt:lpstr>'LBPA|0001-00'!NEW_AdjPerm</vt:lpstr>
      <vt:lpstr>NEW_AdjPerm</vt:lpstr>
      <vt:lpstr>'LBPA|0001-00'!NEW_AdjPermSalary</vt:lpstr>
      <vt:lpstr>NEW_AdjPermSalary</vt:lpstr>
      <vt:lpstr>'LBPA|0001-00'!NEW_AdjPermVB</vt:lpstr>
      <vt:lpstr>NEW_AdjPermVB</vt:lpstr>
      <vt:lpstr>'LBPA|0001-00'!NEW_GroupFilled</vt:lpstr>
      <vt:lpstr>NEW_GroupFilled</vt:lpstr>
      <vt:lpstr>'LBPA|0001-00'!NEW_GroupSalaryFilled</vt:lpstr>
      <vt:lpstr>NEW_GroupSalaryFilled</vt:lpstr>
      <vt:lpstr>'LBPA|0001-00'!NEW_GroupVBFilled</vt:lpstr>
      <vt:lpstr>NEW_GroupVBFilled</vt:lpstr>
      <vt:lpstr>'LBPA|0001-00'!NEW_PermFilled</vt:lpstr>
      <vt:lpstr>NEW_PermFilled</vt:lpstr>
      <vt:lpstr>'LBPA|0001-00'!NEW_PermSalaryFilled</vt:lpstr>
      <vt:lpstr>NEW_PermSalaryFilled</vt:lpstr>
      <vt:lpstr>'LBPA|0001-00'!NEW_PermVBFilled</vt:lpstr>
      <vt:lpstr>NEW_PermVBFilled</vt:lpstr>
      <vt:lpstr>'LBPA|0001-00'!OneTimePC_Total</vt:lpstr>
      <vt:lpstr>OneTimePC_Total</vt:lpstr>
      <vt:lpstr>'LBPA|0001-00'!OrigApprop</vt:lpstr>
      <vt:lpstr>OrigApprop</vt:lpstr>
      <vt:lpstr>'LBPA|0001-00'!perm_name</vt:lpstr>
      <vt:lpstr>perm_name</vt:lpstr>
      <vt:lpstr>'LBPA|0001-00'!PermFTP</vt:lpstr>
      <vt:lpstr>PermFTP</vt:lpstr>
      <vt:lpstr>'LBPA|0001-00'!PermFxdBen</vt:lpstr>
      <vt:lpstr>PermFxdBen</vt:lpstr>
      <vt:lpstr>'LBPA|0001-00'!PermFxdBenChg</vt:lpstr>
      <vt:lpstr>PermFxdBenChg</vt:lpstr>
      <vt:lpstr>'LBPA|0001-00'!PermFxdChg</vt:lpstr>
      <vt:lpstr>PermFxdChg</vt:lpstr>
      <vt:lpstr>'LBPA|0001-00'!PermSalary</vt:lpstr>
      <vt:lpstr>PermSalary</vt:lpstr>
      <vt:lpstr>'LBPA|0001-00'!PermVarBen</vt:lpstr>
      <vt:lpstr>PermVarBen</vt:lpstr>
      <vt:lpstr>'LBPA|0001-00'!PermVarBenChg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'LBPA|0001-00'!Print_Area</vt:lpstr>
      <vt:lpstr>'LBPA|0001-00'!Prog_Unadjusted_Total</vt:lpstr>
      <vt:lpstr>Prog_Unadjusted_Total</vt:lpstr>
      <vt:lpstr>'LBPA|0001-00'!Program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'LBPA|0001-00'!RoundedAppropSalary</vt:lpstr>
      <vt:lpstr>RoundedAppropSalary</vt:lpstr>
      <vt:lpstr>'LBPA|0001-00'!SalaryChg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110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