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5A5C3437-7A9F-4E4D-AA25-712107D77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AA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'SSAA|0001-00'!$H$39</definedName>
    <definedName name="AdjGroupHlth">'B6'!$H$39</definedName>
    <definedName name="AdjGroupSalary" localSheetId="0">'SSAA|0001-00'!$G$39</definedName>
    <definedName name="AdjGroupSalary">'B6'!$G$39</definedName>
    <definedName name="AdjGroupVB" localSheetId="0">'SSAA|0001-00'!$I$39</definedName>
    <definedName name="AdjGroupVB">'B6'!$I$39</definedName>
    <definedName name="AdjGroupVBBY" localSheetId="0">'SSAA|0001-00'!$M$39</definedName>
    <definedName name="AdjGroupVBBY">'B6'!$M$39</definedName>
    <definedName name="AdjPermHlth" localSheetId="0">'SSAA|0001-00'!$H$38</definedName>
    <definedName name="AdjPermHlth">'B6'!$H$38</definedName>
    <definedName name="AdjPermHlthBY" localSheetId="0">'SSAA|0001-00'!$L$38</definedName>
    <definedName name="AdjPermHlthBY">'B6'!$L$38</definedName>
    <definedName name="AdjPermSalary" localSheetId="0">'SSAA|0001-00'!$G$38</definedName>
    <definedName name="AdjPermSalary">'B6'!$G$38</definedName>
    <definedName name="AdjPermVB" localSheetId="0">'SSAA|0001-00'!$I$38</definedName>
    <definedName name="AdjPermVB">'B6'!$I$38</definedName>
    <definedName name="AdjPermVBBY" localSheetId="0">'SSAA|0001-00'!$M$38</definedName>
    <definedName name="AdjPermVBBY">'B6'!$M$38</definedName>
    <definedName name="AdjustedTotal" localSheetId="0">'SSAA|0001-00'!$J$16</definedName>
    <definedName name="AdjustedTotal">'B6'!$J$16</definedName>
    <definedName name="AgencyNum" localSheetId="0">'SSAA|0001-00'!$M$1</definedName>
    <definedName name="AgencyNum">'B6'!$M$1</definedName>
    <definedName name="AppropFTP" localSheetId="0">'SSAA|0001-00'!$F$15</definedName>
    <definedName name="AppropFTP">'B6'!$F$15</definedName>
    <definedName name="AppropTotal" localSheetId="0">'SSAA|0001-00'!$J$15</definedName>
    <definedName name="AppropTotal">'B6'!$J$15</definedName>
    <definedName name="AtZHealth" localSheetId="0">'SSAA|0001-00'!$H$45</definedName>
    <definedName name="AtZHealth">'B6'!$H$45</definedName>
    <definedName name="AtZSalary" localSheetId="0">'SSAA|0001-00'!$G$45</definedName>
    <definedName name="AtZSalary">'B6'!$G$45</definedName>
    <definedName name="AtZTotal" localSheetId="0">'SSAA|0001-00'!$J$45</definedName>
    <definedName name="AtZTotal">'B6'!$J$45</definedName>
    <definedName name="AtZVarBen" localSheetId="0">'SSAA|0001-00'!$I$45</definedName>
    <definedName name="AtZVarBen">'B6'!$I$45</definedName>
    <definedName name="BudgetUnit" localSheetId="0">'SSAA|0001-00'!$M$3</definedName>
    <definedName name="BudgetUnit">'B6'!$M$3</definedName>
    <definedName name="BudgetYear">Benefits!$D$4</definedName>
    <definedName name="CECGroup">Benefits!$C$39</definedName>
    <definedName name="CECOrigElectSalary" localSheetId="0">'SSAA|0001-00'!$G$74</definedName>
    <definedName name="CECOrigElectSalary">'B6'!$G$74</definedName>
    <definedName name="CECOrigElectVB" localSheetId="0">'SSAA|0001-00'!$I$74</definedName>
    <definedName name="CECOrigElectVB">'B6'!$I$74</definedName>
    <definedName name="CECOrigGroupSalary" localSheetId="0">'SSAA|0001-00'!$G$73</definedName>
    <definedName name="CECOrigGroupSalary">'B6'!$G$73</definedName>
    <definedName name="CECOrigGroupVB" localSheetId="0">'SSAA|0001-00'!$I$73</definedName>
    <definedName name="CECOrigGroupVB">'B6'!$I$73</definedName>
    <definedName name="CECOrigPermSalary" localSheetId="0">'SSAA|0001-00'!$G$72</definedName>
    <definedName name="CECOrigPermSalary">'B6'!$G$72</definedName>
    <definedName name="CECOrigPermVB" localSheetId="0">'SSAA|0001-00'!$I$72</definedName>
    <definedName name="CECOrigPermVB">'B6'!$I$72</definedName>
    <definedName name="CECPerm">Benefits!$C$38</definedName>
    <definedName name="CECpermCalc" localSheetId="0">'SSAA|0001-00'!$E$72</definedName>
    <definedName name="CECpermCalc">'B6'!$E$72</definedName>
    <definedName name="Department" localSheetId="0">'SSAA|0001-00'!$D$1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'SSAA|0001-00'!$D$2</definedName>
    <definedName name="Division">'B6'!$D$2</definedName>
    <definedName name="DUCECElect" localSheetId="0">'SSAA|0001-00'!$J$74</definedName>
    <definedName name="DUCECElect">'B6'!$J$74</definedName>
    <definedName name="DUCECGroup" localSheetId="0">'SSAA|0001-00'!$J$73</definedName>
    <definedName name="DUCECGroup">'B6'!$J$73</definedName>
    <definedName name="DUCECPerm" localSheetId="0">'SSAA|0001-00'!$J$72</definedName>
    <definedName name="DUCECPerm">'B6'!$J$72</definedName>
    <definedName name="DUEleven" localSheetId="0">'SSAA|0001-00'!$J$75</definedName>
    <definedName name="DUEleven">'B6'!$J$75</definedName>
    <definedName name="DUHealthBen" localSheetId="0">'SSAA|0001-00'!$J$68</definedName>
    <definedName name="DUHealthBen">'B6'!$J$68</definedName>
    <definedName name="DUNine" localSheetId="0">'SSAA|0001-00'!$J$67</definedName>
    <definedName name="DUNine">'B6'!$J$67</definedName>
    <definedName name="DUThirteen" localSheetId="0">'SSAA|0001-00'!$J$80</definedName>
    <definedName name="DUThirteen">'B6'!$J$80</definedName>
    <definedName name="DUVariableBen" localSheetId="0">'SSAA|0001-00'!$J$69</definedName>
    <definedName name="DUVariableBen">'B6'!$J$69</definedName>
    <definedName name="Elect_chg_health" localSheetId="0">'SSAA|0001-00'!$L$12</definedName>
    <definedName name="Elect_chg_health">'B6'!$L$12</definedName>
    <definedName name="Elect_chg_Var" localSheetId="0">'SSAA|0001-00'!$M$12</definedName>
    <definedName name="Elect_chg_Var">'B6'!$M$12</definedName>
    <definedName name="elect_FTP" localSheetId="0">'SSAA|0001-00'!$F$12</definedName>
    <definedName name="elect_FTP">'B6'!$F$12</definedName>
    <definedName name="Elect_health" localSheetId="0">'SSAA|0001-00'!$H$12</definedName>
    <definedName name="Elect_health">'B6'!$H$12</definedName>
    <definedName name="Elect_name" localSheetId="0">'SSAA|0001-00'!$C$12</definedName>
    <definedName name="Elect_name">'B6'!$C$12</definedName>
    <definedName name="Elect_salary" localSheetId="0">'SSAA|0001-00'!$G$12</definedName>
    <definedName name="Elect_salary">'B6'!$G$12</definedName>
    <definedName name="Elect_Var" localSheetId="0">'SSAA|0001-00'!$I$12</definedName>
    <definedName name="Elect_Var">'B6'!$I$12</definedName>
    <definedName name="Elect_VarBen" localSheetId="0">'SSAA|0001-00'!$I$12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'SSAA|0001-00'!#REF!</definedName>
    <definedName name="FillRateAvg_B6">'B6'!#REF!</definedName>
    <definedName name="FiscalYear" localSheetId="0">'SSAA|0001-00'!$M$4</definedName>
    <definedName name="FiscalYear">'B6'!$M$4</definedName>
    <definedName name="FundName" localSheetId="0">'SSAA|0001-00'!$I$5</definedName>
    <definedName name="FundName">'B6'!$I$5</definedName>
    <definedName name="FundNum" localSheetId="0">'SSAA|0001-00'!$N$5</definedName>
    <definedName name="FundNum">'B6'!$N$5</definedName>
    <definedName name="FundNumber" localSheetId="0">'SSAA|0001-00'!$N$5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'SSAA|0001-00'!$C$11</definedName>
    <definedName name="Group_name">'B6'!$C$11</definedName>
    <definedName name="GroupFxdBen" localSheetId="0">'SSAA|0001-00'!$H$11</definedName>
    <definedName name="GroupFxdBen">'B6'!$H$11</definedName>
    <definedName name="GroupSalary" localSheetId="0">'SSAA|0001-00'!$G$11</definedName>
    <definedName name="GroupSalary">'B6'!$G$11</definedName>
    <definedName name="GroupVarBen" localSheetId="0">'SSAA|0001-00'!$I$11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'SSAA|0001-00'!$M$2</definedName>
    <definedName name="LUMAFund">'B6'!$M$2</definedName>
    <definedName name="MAXSSDI">Benefits!$F$5</definedName>
    <definedName name="MAXSSDIBY">Benefits!$G$5</definedName>
    <definedName name="NEW_AdjGroup" localSheetId="0">'SSAA|0001-00'!$AC$39</definedName>
    <definedName name="NEW_AdjGroup">'B6'!$AC$39</definedName>
    <definedName name="NEW_AdjGroupSalary" localSheetId="0">'SSAA|0001-00'!$AA$39</definedName>
    <definedName name="NEW_AdjGroupSalary">'B6'!$AA$39</definedName>
    <definedName name="NEW_AdjGroupVB" localSheetId="0">'SSAA|0001-00'!$AB$39</definedName>
    <definedName name="NEW_AdjGroupVB">'B6'!$AB$39</definedName>
    <definedName name="NEW_AdjONLYGroup" localSheetId="0">'SSAA|0001-00'!$AC$45</definedName>
    <definedName name="NEW_AdjONLYGroup">'B6'!$AC$45</definedName>
    <definedName name="NEW_AdjONLYGroupSalary" localSheetId="0">'SSAA|0001-00'!$AA$45</definedName>
    <definedName name="NEW_AdjONLYGroupSalary">'B6'!$AA$45</definedName>
    <definedName name="NEW_AdjONLYGroupVB" localSheetId="0">'SSAA|0001-00'!$AB$45</definedName>
    <definedName name="NEW_AdjONLYGroupVB">'B6'!$AB$45</definedName>
    <definedName name="NEW_AdjONLYPerm" localSheetId="0">'SSAA|0001-00'!$AC$44</definedName>
    <definedName name="NEW_AdjONLYPerm">'B6'!$AC$44</definedName>
    <definedName name="NEW_AdjONLYPermSalary" localSheetId="0">'SSAA|0001-00'!$AA$44</definedName>
    <definedName name="NEW_AdjONLYPermSalary">'B6'!$AA$44</definedName>
    <definedName name="NEW_AdjONLYPermVB" localSheetId="0">'SSAA|0001-00'!$AB$44</definedName>
    <definedName name="NEW_AdjONLYPermVB">'B6'!$AB$44</definedName>
    <definedName name="NEW_AdjPerm" localSheetId="0">'SSAA|0001-00'!$AC$38</definedName>
    <definedName name="NEW_AdjPerm">'B6'!$AC$38</definedName>
    <definedName name="NEW_AdjPermSalary" localSheetId="0">'SSAA|0001-00'!$AA$38</definedName>
    <definedName name="NEW_AdjPermSalary">'B6'!$AA$38</definedName>
    <definedName name="NEW_AdjPermVB" localSheetId="0">'SSAA|0001-00'!$AB$38</definedName>
    <definedName name="NEW_AdjPermVB">'B6'!$AB$38</definedName>
    <definedName name="NEW_GroupFilled" localSheetId="0">'SSAA|0001-00'!$AC$11</definedName>
    <definedName name="NEW_GroupFilled">'B6'!$AC$11</definedName>
    <definedName name="NEW_GroupSalaryFilled" localSheetId="0">'SSAA|0001-00'!$AA$11</definedName>
    <definedName name="NEW_GroupSalaryFilled">'B6'!$AA$11</definedName>
    <definedName name="NEW_GroupVBFilled" localSheetId="0">'SSAA|0001-00'!$AB$11</definedName>
    <definedName name="NEW_GroupVBFilled">'B6'!$AB$11</definedName>
    <definedName name="NEW_PermFilled" localSheetId="0">'SSAA|0001-00'!$AC$10</definedName>
    <definedName name="NEW_PermFilled">'B6'!$AC$10</definedName>
    <definedName name="NEW_PermSalaryFilled" localSheetId="0">'SSAA|0001-00'!$AA$10</definedName>
    <definedName name="NEW_PermSalaryFilled">'B6'!$AA$10</definedName>
    <definedName name="NEW_PermVBFilled" localSheetId="0">'SSAA|0001-00'!$AB$10</definedName>
    <definedName name="NEW_PermVBFilled">'B6'!$AB$10</definedName>
    <definedName name="OneTimePC_Total" localSheetId="0">'SSAA|0001-00'!$J$63</definedName>
    <definedName name="OneTimePC_Total">'B6'!$J$63</definedName>
    <definedName name="OrigApprop" localSheetId="0">'SSAA|0001-00'!$E$15</definedName>
    <definedName name="OrigApprop">'B6'!$E$15</definedName>
    <definedName name="perm_name" localSheetId="0">'SSAA|0001-00'!$C$10</definedName>
    <definedName name="perm_name">'B6'!$C$10</definedName>
    <definedName name="PermFTP" localSheetId="0">'SSAA|0001-00'!$F$10</definedName>
    <definedName name="PermFTP">'B6'!$F$10</definedName>
    <definedName name="PermFxdBen" localSheetId="0">'SSAA|0001-00'!$H$10</definedName>
    <definedName name="PermFxdBen">'B6'!$H$10</definedName>
    <definedName name="PermFxdBenChg" localSheetId="0">'SSAA|0001-00'!$L$10</definedName>
    <definedName name="PermFxdBenChg">'B6'!$L$10</definedName>
    <definedName name="PermFxdChg" localSheetId="0">'SSAA|0001-00'!$L$10</definedName>
    <definedName name="PermFxdChg">'B6'!$L$10</definedName>
    <definedName name="PermSalary" localSheetId="0">'SSAA|0001-00'!$G$10</definedName>
    <definedName name="PermSalary">'B6'!$G$10</definedName>
    <definedName name="PermVarBen" localSheetId="0">'SSAA|0001-00'!$I$10</definedName>
    <definedName name="PermVarBen">'B6'!$I$10</definedName>
    <definedName name="PermVarBenChg" localSheetId="0">'SSAA|0001-00'!$M$10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'SSAA|0001-00'!$A$1:$N$81</definedName>
    <definedName name="Prog_Unadjusted_Total" localSheetId="0">'SSAA|0001-00'!$C$8:$N$16</definedName>
    <definedName name="Prog_Unadjusted_Total">'B6'!$C$8:$N$16</definedName>
    <definedName name="Program" localSheetId="0">'SSAA|0001-00'!$D$3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'SSAA|0001-00'!$G$52</definedName>
    <definedName name="RoundedAppropSalary">'B6'!$G$52</definedName>
    <definedName name="SalaryChg" localSheetId="0">'SSAA|0001-00'!$K$10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AA000100col_1_27TH_PP">Data!$BA$39</definedName>
    <definedName name="SSAA000100col_DHR">Data!$BI$39</definedName>
    <definedName name="SSAA000100col_DHR_BY">Data!$BU$39</definedName>
    <definedName name="SSAA000100col_DHR_CHG">Data!$CG$39</definedName>
    <definedName name="SSAA000100col_FTI_SALARY_ELECT">Data!$AZ$39</definedName>
    <definedName name="SSAA000100col_FTI_SALARY_PERM">Data!$AY$39</definedName>
    <definedName name="SSAA000100col_FTI_SALARY_SSDI">Data!$AX$39</definedName>
    <definedName name="SSAA000100col_Group_Ben">Data!$CM$39</definedName>
    <definedName name="SSAA000100col_Group_Salary">Data!$CL$39</definedName>
    <definedName name="SSAA000100col_HEALTH_ELECT">Data!$BC$39</definedName>
    <definedName name="SSAA000100col_HEALTH_ELECT_BY">Data!$BO$39</definedName>
    <definedName name="SSAA000100col_HEALTH_ELECT_CHG">Data!$CA$39</definedName>
    <definedName name="SSAA000100col_HEALTH_PERM">Data!$BB$39</definedName>
    <definedName name="SSAA000100col_HEALTH_PERM_BY">Data!$BN$39</definedName>
    <definedName name="SSAA000100col_HEALTH_PERM_CHG">Data!$BZ$39</definedName>
    <definedName name="SSAA000100col_INC_FTI">Data!$AS$39</definedName>
    <definedName name="SSAA000100col_LIFE_INS">Data!$BG$39</definedName>
    <definedName name="SSAA000100col_LIFE_INS_BY">Data!$BS$39</definedName>
    <definedName name="SSAA000100col_LIFE_INS_CHG">Data!$CE$39</definedName>
    <definedName name="SSAA000100col_RETIREMENT">Data!$BF$39</definedName>
    <definedName name="SSAA000100col_RETIREMENT_BY">Data!$BR$39</definedName>
    <definedName name="SSAA000100col_RETIREMENT_CHG">Data!$CD$39</definedName>
    <definedName name="SSAA000100col_ROWS_PER_PCN">Data!$AW$39</definedName>
    <definedName name="SSAA000100col_SICK">Data!$BK$39</definedName>
    <definedName name="SSAA000100col_SICK_BY">Data!$BW$39</definedName>
    <definedName name="SSAA000100col_SICK_CHG">Data!$CI$39</definedName>
    <definedName name="SSAA000100col_SSDI">Data!$BD$39</definedName>
    <definedName name="SSAA000100col_SSDI_BY">Data!$BP$39</definedName>
    <definedName name="SSAA000100col_SSDI_CHG">Data!$CB$39</definedName>
    <definedName name="SSAA000100col_SSHI">Data!$BE$39</definedName>
    <definedName name="SSAA000100col_SSHI_BY">Data!$BQ$39</definedName>
    <definedName name="SSAA000100col_SSHI_CHGv">Data!$CC$39</definedName>
    <definedName name="SSAA000100col_TOT_VB_ELECT">Data!$BM$39</definedName>
    <definedName name="SSAA000100col_TOT_VB_ELECT_BY">Data!$BY$39</definedName>
    <definedName name="SSAA000100col_TOT_VB_ELECT_CHG">Data!$CK$39</definedName>
    <definedName name="SSAA000100col_TOT_VB_PERM">Data!$BL$39</definedName>
    <definedName name="SSAA000100col_TOT_VB_PERM_BY">Data!$BX$39</definedName>
    <definedName name="SSAA000100col_TOT_VB_PERM_CHG">Data!$CJ$39</definedName>
    <definedName name="SSAA000100col_TOTAL_ELECT_PCN_FTI">Data!$AT$39</definedName>
    <definedName name="SSAA000100col_TOTAL_ELECT_PCN_FTI_ALT">Data!$AV$39</definedName>
    <definedName name="SSAA000100col_TOTAL_PERM_PCN_FTI">Data!$AU$39</definedName>
    <definedName name="SSAA000100col_UNEMP_INS">Data!$BH$39</definedName>
    <definedName name="SSAA000100col_UNEMP_INS_BY">Data!$BT$39</definedName>
    <definedName name="SSAA000100col_UNEMP_INS_CHG">Data!$CF$39</definedName>
    <definedName name="SSAA000100col_WORKERS_COMP">Data!$BJ$39</definedName>
    <definedName name="SSAA000100col_WORKERS_COMP_BY">Data!$BV$39</definedName>
    <definedName name="SSAA000100col_WORKERS_COMP_CHG">Data!$CH$39</definedName>
    <definedName name="SSAF034827col_1_27TH_PP">Data!$BA$41</definedName>
    <definedName name="SSAF034827col_DHR">Data!$BI$41</definedName>
    <definedName name="SSAF034827col_DHR_BY">Data!$BU$41</definedName>
    <definedName name="SSAF034827col_DHR_CHG">Data!$CG$41</definedName>
    <definedName name="SSAF034827col_FTI_SALARY_ELECT">Data!$AZ$41</definedName>
    <definedName name="SSAF034827col_FTI_SALARY_PERM">Data!$AY$41</definedName>
    <definedName name="SSAF034827col_FTI_SALARY_SSDI">Data!$AX$41</definedName>
    <definedName name="SSAF034827col_Group_Ben">Data!$CM$41</definedName>
    <definedName name="SSAF034827col_Group_Salary">Data!$CL$41</definedName>
    <definedName name="SSAF034827col_HEALTH_ELECT">Data!$BC$41</definedName>
    <definedName name="SSAF034827col_HEALTH_ELECT_BY">Data!$BO$41</definedName>
    <definedName name="SSAF034827col_HEALTH_ELECT_CHG">Data!$CA$41</definedName>
    <definedName name="SSAF034827col_HEALTH_PERM">Data!$BB$41</definedName>
    <definedName name="SSAF034827col_HEALTH_PERM_BY">Data!$BN$41</definedName>
    <definedName name="SSAF034827col_HEALTH_PERM_CHG">Data!$BZ$41</definedName>
    <definedName name="SSAF034827col_INC_FTI">Data!$AS$41</definedName>
    <definedName name="SSAF034827col_LIFE_INS">Data!$BG$41</definedName>
    <definedName name="SSAF034827col_LIFE_INS_BY">Data!$BS$41</definedName>
    <definedName name="SSAF034827col_LIFE_INS_CHG">Data!$CE$41</definedName>
    <definedName name="SSAF034827col_RETIREMENT">Data!$BF$41</definedName>
    <definedName name="SSAF034827col_RETIREMENT_BY">Data!$BR$41</definedName>
    <definedName name="SSAF034827col_RETIREMENT_CHG">Data!$CD$41</definedName>
    <definedName name="SSAF034827col_ROWS_PER_PCN">Data!$AW$41</definedName>
    <definedName name="SSAF034827col_SICK">Data!$BK$41</definedName>
    <definedName name="SSAF034827col_SICK_BY">Data!$BW$41</definedName>
    <definedName name="SSAF034827col_SICK_CHG">Data!$CI$41</definedName>
    <definedName name="SSAF034827col_SSDI">Data!$BD$41</definedName>
    <definedName name="SSAF034827col_SSDI_BY">Data!$BP$41</definedName>
    <definedName name="SSAF034827col_SSDI_CHG">Data!$CB$41</definedName>
    <definedName name="SSAF034827col_SSHI">Data!$BE$41</definedName>
    <definedName name="SSAF034827col_SSHI_BY">Data!$BQ$41</definedName>
    <definedName name="SSAF034827col_SSHI_CHGv">Data!$CC$41</definedName>
    <definedName name="SSAF034827col_TOT_VB_ELECT">Data!$BM$41</definedName>
    <definedName name="SSAF034827col_TOT_VB_ELECT_BY">Data!$BY$41</definedName>
    <definedName name="SSAF034827col_TOT_VB_ELECT_CHG">Data!$CK$41</definedName>
    <definedName name="SSAF034827col_TOT_VB_PERM">Data!$BL$41</definedName>
    <definedName name="SSAF034827col_TOT_VB_PERM_BY">Data!$BX$41</definedName>
    <definedName name="SSAF034827col_TOT_VB_PERM_CHG">Data!$CJ$41</definedName>
    <definedName name="SSAF034827col_TOTAL_ELECT_PCN_FTI">Data!$AT$41</definedName>
    <definedName name="SSAF034827col_TOTAL_ELECT_PCN_FTI_ALT">Data!$AV$41</definedName>
    <definedName name="SSAF034827col_TOTAL_PERM_PCN_FTI">Data!$AU$41</definedName>
    <definedName name="SSAF034827col_UNEMP_INS">Data!$BH$41</definedName>
    <definedName name="SSAF034827col_UNEMP_INS_BY">Data!$BT$41</definedName>
    <definedName name="SSAF034827col_UNEMP_INS_CHG">Data!$CF$41</definedName>
    <definedName name="SSAF034827col_WORKERS_COMP">Data!$BJ$41</definedName>
    <definedName name="SSAF034827col_WORKERS_COMP_BY">Data!$BV$41</definedName>
    <definedName name="SSAF034827col_WORKERS_COMP_CHG">Data!$CH$41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'SSAA|0001-00'!#REF!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7" l="1"/>
  <c r="I14" i="7"/>
  <c r="I16" i="7" s="1"/>
  <c r="H16" i="7"/>
  <c r="G16" i="7"/>
  <c r="I71" i="12"/>
  <c r="J71" i="12" s="1"/>
  <c r="E8" i="1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AZ58" i="5"/>
  <c r="AY58" i="5"/>
  <c r="AW58" i="5"/>
  <c r="AV58" i="5"/>
  <c r="AU58" i="5"/>
  <c r="AT58" i="5"/>
  <c r="AS58" i="5"/>
  <c r="AZ52" i="5"/>
  <c r="AY52" i="5"/>
  <c r="AW52" i="5"/>
  <c r="AV52" i="5"/>
  <c r="AU52" i="5"/>
  <c r="AT52" i="5"/>
  <c r="AS52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J74" i="12"/>
  <c r="I74" i="12"/>
  <c r="E73" i="12"/>
  <c r="E72" i="12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N35" i="12" s="1"/>
  <c r="L35" i="12"/>
  <c r="J35" i="12"/>
  <c r="I35" i="12"/>
  <c r="H35" i="12"/>
  <c r="M34" i="12"/>
  <c r="L34" i="12"/>
  <c r="J34" i="12"/>
  <c r="I34" i="12"/>
  <c r="H34" i="12"/>
  <c r="M33" i="12"/>
  <c r="N33" i="12" s="1"/>
  <c r="L33" i="12"/>
  <c r="J33" i="12"/>
  <c r="I33" i="12"/>
  <c r="H33" i="12"/>
  <c r="M32" i="12"/>
  <c r="L32" i="12"/>
  <c r="J32" i="12"/>
  <c r="I32" i="12"/>
  <c r="H32" i="12"/>
  <c r="M30" i="12"/>
  <c r="N30" i="12" s="1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N28" i="12" s="1"/>
  <c r="J28" i="12"/>
  <c r="I28" i="12"/>
  <c r="H28" i="12"/>
  <c r="M27" i="12"/>
  <c r="L27" i="12"/>
  <c r="J27" i="12"/>
  <c r="I27" i="12"/>
  <c r="H27" i="12"/>
  <c r="M26" i="12"/>
  <c r="N26" i="12" s="1"/>
  <c r="L26" i="12"/>
  <c r="J26" i="12"/>
  <c r="I26" i="12"/>
  <c r="H26" i="12"/>
  <c r="M25" i="12"/>
  <c r="L25" i="12"/>
  <c r="J25" i="12"/>
  <c r="I25" i="12"/>
  <c r="H25" i="12"/>
  <c r="M24" i="12"/>
  <c r="L24" i="12"/>
  <c r="N24" i="12" s="1"/>
  <c r="J24" i="12"/>
  <c r="I24" i="12"/>
  <c r="H24" i="12"/>
  <c r="M23" i="12"/>
  <c r="L23" i="12"/>
  <c r="J23" i="12"/>
  <c r="I23" i="12"/>
  <c r="H23" i="12"/>
  <c r="M22" i="12"/>
  <c r="N22" i="12" s="1"/>
  <c r="L22" i="12"/>
  <c r="J22" i="12"/>
  <c r="I22" i="12"/>
  <c r="H22" i="12"/>
  <c r="M21" i="12"/>
  <c r="L21" i="12"/>
  <c r="N21" i="12" s="1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40" i="5" s="1"/>
  <c r="CL41" i="5" s="1"/>
  <c r="CL35" i="5"/>
  <c r="CL2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2" i="5"/>
  <c r="AX2" i="5" s="1"/>
  <c r="E27" i="7"/>
  <c r="N23" i="12" l="1"/>
  <c r="N32" i="12"/>
  <c r="N27" i="12"/>
  <c r="N25" i="12"/>
  <c r="N34" i="12"/>
  <c r="AT49" i="5"/>
  <c r="AT50" i="5" s="1"/>
  <c r="AU49" i="5"/>
  <c r="AU50" i="5" s="1"/>
  <c r="AW40" i="5"/>
  <c r="AW41" i="5" s="1"/>
  <c r="AT23" i="5"/>
  <c r="BK23" i="5" s="1"/>
  <c r="AT19" i="5"/>
  <c r="CA19" i="5" s="1"/>
  <c r="CM40" i="5"/>
  <c r="CM41" i="5" s="1"/>
  <c r="AT18" i="5"/>
  <c r="AZ18" i="5" s="1"/>
  <c r="AT15" i="5"/>
  <c r="CD15" i="5" s="1"/>
  <c r="AT11" i="5"/>
  <c r="BE11" i="5" s="1"/>
  <c r="AT7" i="5"/>
  <c r="CC7" i="5" s="1"/>
  <c r="AT3" i="5"/>
  <c r="BG3" i="5" s="1"/>
  <c r="AX40" i="5"/>
  <c r="AX41" i="5" s="1"/>
  <c r="AT32" i="5"/>
  <c r="BW32" i="5" s="1"/>
  <c r="AT16" i="5"/>
  <c r="AU16" i="5" s="1"/>
  <c r="BN16" i="5" s="1"/>
  <c r="AT31" i="5"/>
  <c r="BV31" i="5" s="1"/>
  <c r="AT27" i="5"/>
  <c r="CD27" i="5" s="1"/>
  <c r="AT10" i="5"/>
  <c r="BS10" i="5" s="1"/>
  <c r="AT24" i="5"/>
  <c r="BY24" i="5" s="1"/>
  <c r="AT8" i="5"/>
  <c r="AU8" i="5" s="1"/>
  <c r="BB8" i="5" s="1"/>
  <c r="BR19" i="5"/>
  <c r="BE32" i="5"/>
  <c r="CD23" i="5"/>
  <c r="CA23" i="5"/>
  <c r="BW23" i="5"/>
  <c r="CG23" i="5"/>
  <c r="CC23" i="5"/>
  <c r="BY23" i="5"/>
  <c r="CI23" i="5"/>
  <c r="BV23" i="5"/>
  <c r="CK23" i="5"/>
  <c r="CF23" i="5"/>
  <c r="BU23" i="5"/>
  <c r="BQ23" i="5"/>
  <c r="CE23" i="5"/>
  <c r="BR23" i="5"/>
  <c r="BM23" i="5"/>
  <c r="BJ23" i="5"/>
  <c r="BE23" i="5"/>
  <c r="BA23" i="5"/>
  <c r="BP23" i="5" s="1"/>
  <c r="BI23" i="5"/>
  <c r="BD23" i="5"/>
  <c r="BS23" i="5"/>
  <c r="AZ23" i="5"/>
  <c r="BH23" i="5"/>
  <c r="BG23" i="5"/>
  <c r="AY23" i="5"/>
  <c r="AT29" i="5"/>
  <c r="AT21" i="5"/>
  <c r="AT13" i="5"/>
  <c r="AT5" i="5"/>
  <c r="AU24" i="5"/>
  <c r="BB24" i="5" s="1"/>
  <c r="BF23" i="5"/>
  <c r="AT22" i="5"/>
  <c r="AT2" i="5"/>
  <c r="AT28" i="5"/>
  <c r="AT20" i="5"/>
  <c r="AT12" i="5"/>
  <c r="AT4" i="5"/>
  <c r="CD32" i="5"/>
  <c r="CG32" i="5"/>
  <c r="BR32" i="5"/>
  <c r="BQ32" i="5"/>
  <c r="BI32" i="5"/>
  <c r="BA32" i="5"/>
  <c r="BP32" i="5" s="1"/>
  <c r="CD16" i="5"/>
  <c r="CA16" i="5"/>
  <c r="CG16" i="5"/>
  <c r="BV16" i="5"/>
  <c r="CF16" i="5"/>
  <c r="CE16" i="5"/>
  <c r="BW16" i="5"/>
  <c r="BD16" i="5"/>
  <c r="BK16" i="5"/>
  <c r="BG16" i="5"/>
  <c r="BQ16" i="5"/>
  <c r="BJ16" i="5"/>
  <c r="BM16" i="5"/>
  <c r="AZ16" i="5"/>
  <c r="BI16" i="5"/>
  <c r="CC8" i="5"/>
  <c r="AX38" i="5"/>
  <c r="AX39" i="5" s="1"/>
  <c r="AT6" i="5"/>
  <c r="AW38" i="5"/>
  <c r="AW39" i="5" s="1"/>
  <c r="AT30" i="5"/>
  <c r="AT14" i="5"/>
  <c r="AU23" i="5"/>
  <c r="BN23" i="5" s="1"/>
  <c r="AT35" i="5"/>
  <c r="CE19" i="5"/>
  <c r="CD19" i="5"/>
  <c r="BW19" i="5"/>
  <c r="AY19" i="5"/>
  <c r="AU19" i="5"/>
  <c r="BB19" i="5" s="1"/>
  <c r="BG19" i="5"/>
  <c r="BF19" i="5"/>
  <c r="BE19" i="5"/>
  <c r="AT34" i="5"/>
  <c r="AT26" i="5"/>
  <c r="AV23" i="5"/>
  <c r="BO23" i="5" s="1"/>
  <c r="AT33" i="5"/>
  <c r="AT25" i="5"/>
  <c r="AT17" i="5"/>
  <c r="AT9" i="5"/>
  <c r="BT23" i="5"/>
  <c r="CM38" i="5"/>
  <c r="CM39" i="5" s="1"/>
  <c r="CL38" i="5"/>
  <c r="CL39" i="5" s="1"/>
  <c r="N39" i="12"/>
  <c r="F52" i="12"/>
  <c r="F56" i="12" s="1"/>
  <c r="F60" i="12" s="1"/>
  <c r="E51" i="9"/>
  <c r="AS49" i="5" l="1"/>
  <c r="AS50" i="5" s="1"/>
  <c r="BJ18" i="5"/>
  <c r="BS18" i="5"/>
  <c r="BE18" i="5"/>
  <c r="BT18" i="5"/>
  <c r="BT19" i="5"/>
  <c r="BY19" i="5"/>
  <c r="CF19" i="5"/>
  <c r="BE16" i="5"/>
  <c r="BR16" i="5"/>
  <c r="CK16" i="5"/>
  <c r="BT16" i="5"/>
  <c r="BG32" i="5"/>
  <c r="CF32" i="5"/>
  <c r="CA32" i="5"/>
  <c r="BK19" i="5"/>
  <c r="AU32" i="5"/>
  <c r="BN32" i="5" s="1"/>
  <c r="BY32" i="5"/>
  <c r="BQ19" i="5"/>
  <c r="BD19" i="5"/>
  <c r="BF32" i="5"/>
  <c r="BK32" i="5"/>
  <c r="BV32" i="5"/>
  <c r="BI19" i="5"/>
  <c r="BH19" i="5"/>
  <c r="BU19" i="5"/>
  <c r="CE32" i="5"/>
  <c r="BT32" i="5"/>
  <c r="CC19" i="5"/>
  <c r="CK19" i="5"/>
  <c r="BV19" i="5"/>
  <c r="BX19" i="5" s="1"/>
  <c r="BS19" i="5"/>
  <c r="AY16" i="5"/>
  <c r="AV16" i="5"/>
  <c r="BO16" i="5" s="1"/>
  <c r="BH16" i="5"/>
  <c r="CI16" i="5"/>
  <c r="AZ32" i="5"/>
  <c r="BM32" i="5"/>
  <c r="CI32" i="5"/>
  <c r="AZ19" i="5"/>
  <c r="BS32" i="5"/>
  <c r="BA16" i="5"/>
  <c r="BP16" i="5" s="1"/>
  <c r="BS16" i="5"/>
  <c r="BY16" i="5"/>
  <c r="BU32" i="5"/>
  <c r="BD32" i="5"/>
  <c r="CK32" i="5"/>
  <c r="BJ19" i="5"/>
  <c r="AY32" i="5"/>
  <c r="BM19" i="5"/>
  <c r="BA19" i="5"/>
  <c r="BP19" i="5" s="1"/>
  <c r="CG19" i="5"/>
  <c r="BF16" i="5"/>
  <c r="BU16" i="5"/>
  <c r="CC16" i="5"/>
  <c r="AV32" i="5"/>
  <c r="BC32" i="5" s="1"/>
  <c r="BH32" i="5"/>
  <c r="CC32" i="5"/>
  <c r="AY24" i="5"/>
  <c r="BJ32" i="5"/>
  <c r="AY8" i="5"/>
  <c r="AU18" i="5"/>
  <c r="BB18" i="5" s="1"/>
  <c r="BI18" i="5"/>
  <c r="CK18" i="5"/>
  <c r="CA18" i="5"/>
  <c r="BL11" i="5"/>
  <c r="BK18" i="5"/>
  <c r="CG18" i="5"/>
  <c r="BG18" i="5"/>
  <c r="CD18" i="5"/>
  <c r="AY18" i="5"/>
  <c r="CE18" i="5"/>
  <c r="CG11" i="5"/>
  <c r="BI11" i="5"/>
  <c r="CA11" i="5"/>
  <c r="CH11" i="5"/>
  <c r="BH15" i="5"/>
  <c r="AZ11" i="5"/>
  <c r="CK11" i="5"/>
  <c r="BH11" i="5"/>
  <c r="BV18" i="5"/>
  <c r="CI18" i="5"/>
  <c r="BW18" i="5"/>
  <c r="BH31" i="5"/>
  <c r="AV18" i="5"/>
  <c r="BO18" i="5" s="1"/>
  <c r="BR18" i="5"/>
  <c r="CF18" i="5"/>
  <c r="BQ18" i="5"/>
  <c r="BA18" i="5"/>
  <c r="BP18" i="5" s="1"/>
  <c r="BD18" i="5"/>
  <c r="BY18" i="5"/>
  <c r="BU18" i="5"/>
  <c r="BF18" i="5"/>
  <c r="BH18" i="5"/>
  <c r="CC18" i="5"/>
  <c r="BM18" i="5"/>
  <c r="BD11" i="5"/>
  <c r="BU11" i="5"/>
  <c r="AU11" i="5"/>
  <c r="BN11" i="5" s="1"/>
  <c r="BY11" i="5"/>
  <c r="CI11" i="5"/>
  <c r="BR11" i="5"/>
  <c r="BM11" i="5"/>
  <c r="CJ11" i="5"/>
  <c r="BR8" i="5"/>
  <c r="BK11" i="5"/>
  <c r="BW8" i="5"/>
  <c r="CC11" i="5"/>
  <c r="BQ8" i="5"/>
  <c r="BG8" i="5"/>
  <c r="BB16" i="5"/>
  <c r="BZ16" i="5" s="1"/>
  <c r="BU15" i="5"/>
  <c r="CD8" i="5"/>
  <c r="BM15" i="5"/>
  <c r="BK31" i="5"/>
  <c r="CE15" i="5"/>
  <c r="AY31" i="5"/>
  <c r="CD31" i="5"/>
  <c r="BI8" i="5"/>
  <c r="AV8" i="5"/>
  <c r="BC8" i="5" s="1"/>
  <c r="BT8" i="5"/>
  <c r="BT15" i="5"/>
  <c r="AZ31" i="5"/>
  <c r="BI15" i="5"/>
  <c r="BV15" i="5"/>
  <c r="BA31" i="5"/>
  <c r="BP31" i="5" s="1"/>
  <c r="BR15" i="5"/>
  <c r="CI15" i="5"/>
  <c r="CE31" i="5"/>
  <c r="BE31" i="5"/>
  <c r="BH8" i="5"/>
  <c r="BE15" i="5"/>
  <c r="CC15" i="5"/>
  <c r="CJ31" i="5"/>
  <c r="BJ31" i="5"/>
  <c r="CF8" i="5"/>
  <c r="BA15" i="5"/>
  <c r="BP15" i="5" s="1"/>
  <c r="BW15" i="5"/>
  <c r="BZ31" i="5"/>
  <c r="BV8" i="5"/>
  <c r="BI31" i="5"/>
  <c r="BF8" i="5"/>
  <c r="CI8" i="5"/>
  <c r="BF31" i="5"/>
  <c r="BX31" i="5"/>
  <c r="BW3" i="5"/>
  <c r="CC31" i="5"/>
  <c r="BL31" i="5"/>
  <c r="BA8" i="5"/>
  <c r="BP8" i="5" s="1"/>
  <c r="CK8" i="5"/>
  <c r="AZ15" i="5"/>
  <c r="BS15" i="5"/>
  <c r="BY15" i="5"/>
  <c r="BS31" i="5"/>
  <c r="BD31" i="5"/>
  <c r="CF31" i="5"/>
  <c r="AU31" i="5"/>
  <c r="BB31" i="5" s="1"/>
  <c r="BJ15" i="5"/>
  <c r="BQ15" i="5"/>
  <c r="CG15" i="5"/>
  <c r="AV31" i="5"/>
  <c r="BC31" i="5" s="1"/>
  <c r="BT31" i="5"/>
  <c r="CI31" i="5"/>
  <c r="BK10" i="5"/>
  <c r="BU27" i="5"/>
  <c r="BD10" i="5"/>
  <c r="BQ3" i="5"/>
  <c r="BE8" i="5"/>
  <c r="BS8" i="5"/>
  <c r="CG8" i="5"/>
  <c r="AU15" i="5"/>
  <c r="BN15" i="5" s="1"/>
  <c r="AY15" i="5"/>
  <c r="BK15" i="5"/>
  <c r="CF15" i="5"/>
  <c r="CA15" i="5"/>
  <c r="BG31" i="5"/>
  <c r="BQ31" i="5"/>
  <c r="CG31" i="5"/>
  <c r="CC10" i="5"/>
  <c r="BK3" i="5"/>
  <c r="AZ8" i="5"/>
  <c r="BD8" i="5"/>
  <c r="CA8" i="5"/>
  <c r="BD15" i="5"/>
  <c r="BF15" i="5"/>
  <c r="CK15" i="5"/>
  <c r="BR31" i="5"/>
  <c r="BU31" i="5"/>
  <c r="BW31" i="5"/>
  <c r="CF10" i="5"/>
  <c r="BT10" i="5"/>
  <c r="BW10" i="5"/>
  <c r="BM3" i="5"/>
  <c r="BR3" i="5"/>
  <c r="CD3" i="5"/>
  <c r="AV7" i="5"/>
  <c r="BC7" i="5" s="1"/>
  <c r="BA7" i="5"/>
  <c r="BP7" i="5" s="1"/>
  <c r="CC3" i="5"/>
  <c r="BG10" i="5"/>
  <c r="BE10" i="5"/>
  <c r="CA10" i="5"/>
  <c r="BD3" i="5"/>
  <c r="CG3" i="5"/>
  <c r="CE3" i="5"/>
  <c r="BF27" i="5"/>
  <c r="BL16" i="5"/>
  <c r="BU7" i="5"/>
  <c r="BH10" i="5"/>
  <c r="CA3" i="5"/>
  <c r="AZ10" i="5"/>
  <c r="AV3" i="5"/>
  <c r="BO3" i="5" s="1"/>
  <c r="BR10" i="5"/>
  <c r="BI10" i="5"/>
  <c r="CD10" i="5"/>
  <c r="BJ3" i="5"/>
  <c r="BV3" i="5"/>
  <c r="BU3" i="5"/>
  <c r="BT27" i="5"/>
  <c r="BW7" i="5"/>
  <c r="AY3" i="5"/>
  <c r="CI3" i="5"/>
  <c r="CF3" i="5"/>
  <c r="BA10" i="5"/>
  <c r="BP10" i="5" s="1"/>
  <c r="CG10" i="5"/>
  <c r="BI3" i="5"/>
  <c r="AU3" i="5"/>
  <c r="BB3" i="5" s="1"/>
  <c r="BM10" i="5"/>
  <c r="BA3" i="5"/>
  <c r="BP3" i="5" s="1"/>
  <c r="CK3" i="5"/>
  <c r="BM8" i="5"/>
  <c r="AY10" i="5"/>
  <c r="CI10" i="5"/>
  <c r="CE10" i="5"/>
  <c r="AU10" i="5"/>
  <c r="BN10" i="5" s="1"/>
  <c r="CK10" i="5"/>
  <c r="BQ10" i="5"/>
  <c r="BE3" i="5"/>
  <c r="BY3" i="5"/>
  <c r="BF10" i="5"/>
  <c r="BV10" i="5"/>
  <c r="BY10" i="5"/>
  <c r="BU10" i="5"/>
  <c r="BH3" i="5"/>
  <c r="BF3" i="5"/>
  <c r="BS3" i="5"/>
  <c r="BJ8" i="5"/>
  <c r="BK8" i="5"/>
  <c r="BY8" i="5"/>
  <c r="BI7" i="5"/>
  <c r="BD7" i="5"/>
  <c r="BE27" i="5"/>
  <c r="CC27" i="5"/>
  <c r="CE27" i="5"/>
  <c r="BF7" i="5"/>
  <c r="BQ7" i="5"/>
  <c r="CG7" i="5"/>
  <c r="BA27" i="5"/>
  <c r="BP27" i="5" s="1"/>
  <c r="BK27" i="5"/>
  <c r="CG27" i="5"/>
  <c r="CF27" i="5"/>
  <c r="AY7" i="5"/>
  <c r="BG7" i="5"/>
  <c r="CF7" i="5"/>
  <c r="CA7" i="5"/>
  <c r="BE24" i="5"/>
  <c r="BI27" i="5"/>
  <c r="AU27" i="5"/>
  <c r="BN27" i="5" s="1"/>
  <c r="CI27" i="5"/>
  <c r="CK27" i="5"/>
  <c r="BL23" i="5"/>
  <c r="AU7" i="5"/>
  <c r="BB7" i="5" s="1"/>
  <c r="BE7" i="5"/>
  <c r="BR7" i="5"/>
  <c r="CK7" i="5"/>
  <c r="CD7" i="5"/>
  <c r="BM27" i="5"/>
  <c r="AY27" i="5"/>
  <c r="BS27" i="5"/>
  <c r="BJ7" i="5"/>
  <c r="BH7" i="5"/>
  <c r="BV7" i="5"/>
  <c r="BS7" i="5"/>
  <c r="BM7" i="5"/>
  <c r="CI7" i="5"/>
  <c r="BD27" i="5"/>
  <c r="BR27" i="5"/>
  <c r="CA27" i="5"/>
  <c r="BN8" i="5"/>
  <c r="BZ8" i="5" s="1"/>
  <c r="AZ7" i="5"/>
  <c r="CE7" i="5"/>
  <c r="BY7" i="5"/>
  <c r="BQ27" i="5"/>
  <c r="BG27" i="5"/>
  <c r="BW27" i="5"/>
  <c r="BY27" i="5"/>
  <c r="BJ27" i="5"/>
  <c r="BV27" i="5"/>
  <c r="BK7" i="5"/>
  <c r="BT7" i="5"/>
  <c r="BG11" i="5"/>
  <c r="BJ11" i="5"/>
  <c r="BS11" i="5"/>
  <c r="BZ11" i="5"/>
  <c r="BX11" i="5"/>
  <c r="BW11" i="5"/>
  <c r="CF11" i="5"/>
  <c r="BR24" i="5"/>
  <c r="AY11" i="5"/>
  <c r="BV11" i="5"/>
  <c r="CD11" i="5"/>
  <c r="BJ10" i="5"/>
  <c r="BT3" i="5"/>
  <c r="BF11" i="5"/>
  <c r="BA11" i="5"/>
  <c r="BP11" i="5" s="1"/>
  <c r="CB11" i="5" s="1"/>
  <c r="BT11" i="5"/>
  <c r="BQ11" i="5"/>
  <c r="CE11" i="5"/>
  <c r="AV11" i="5"/>
  <c r="BO11" i="5" s="1"/>
  <c r="AV10" i="5"/>
  <c r="CI19" i="5"/>
  <c r="AV19" i="5"/>
  <c r="CE24" i="5"/>
  <c r="CC24" i="5"/>
  <c r="CG24" i="5"/>
  <c r="BF24" i="5"/>
  <c r="BU8" i="5"/>
  <c r="BU24" i="5"/>
  <c r="AZ3" i="5"/>
  <c r="BG15" i="5"/>
  <c r="AV15" i="5"/>
  <c r="CB23" i="5"/>
  <c r="BX23" i="5"/>
  <c r="AT40" i="5"/>
  <c r="AT41" i="5" s="1"/>
  <c r="AS40" i="5"/>
  <c r="AS41" i="5" s="1"/>
  <c r="CE8" i="5"/>
  <c r="AZ24" i="5"/>
  <c r="BJ24" i="5"/>
  <c r="BS24" i="5"/>
  <c r="CA24" i="5"/>
  <c r="BQ24" i="5"/>
  <c r="BG24" i="5"/>
  <c r="CF24" i="5"/>
  <c r="CD24" i="5"/>
  <c r="BI24" i="5"/>
  <c r="BK24" i="5"/>
  <c r="CK24" i="5"/>
  <c r="BT24" i="5"/>
  <c r="BH27" i="5"/>
  <c r="AV27" i="5"/>
  <c r="AZ27" i="5"/>
  <c r="AV24" i="5"/>
  <c r="BW24" i="5"/>
  <c r="BV24" i="5"/>
  <c r="BA24" i="5"/>
  <c r="BP24" i="5" s="1"/>
  <c r="BD24" i="5"/>
  <c r="CI24" i="5"/>
  <c r="BN18" i="5"/>
  <c r="BZ18" i="5" s="1"/>
  <c r="BM24" i="5"/>
  <c r="BH24" i="5"/>
  <c r="CB16" i="5"/>
  <c r="CB32" i="5"/>
  <c r="CE33" i="5"/>
  <c r="CA33" i="5"/>
  <c r="CD33" i="5"/>
  <c r="BY33" i="5"/>
  <c r="BW33" i="5"/>
  <c r="CG33" i="5"/>
  <c r="CC33" i="5"/>
  <c r="CK33" i="5"/>
  <c r="CI33" i="5"/>
  <c r="BV33" i="5"/>
  <c r="BR33" i="5"/>
  <c r="CF33" i="5"/>
  <c r="BQ33" i="5"/>
  <c r="BU33" i="5"/>
  <c r="BM33" i="5"/>
  <c r="BJ33" i="5"/>
  <c r="BE33" i="5"/>
  <c r="BT33" i="5"/>
  <c r="BD33" i="5"/>
  <c r="AV33" i="5"/>
  <c r="BO33" i="5" s="1"/>
  <c r="BI33" i="5"/>
  <c r="BH33" i="5"/>
  <c r="BA33" i="5"/>
  <c r="BP33" i="5" s="1"/>
  <c r="BG33" i="5"/>
  <c r="AZ33" i="5"/>
  <c r="BK33" i="5"/>
  <c r="BF33" i="5"/>
  <c r="AU33" i="5"/>
  <c r="BB33" i="5" s="1"/>
  <c r="BS33" i="5"/>
  <c r="AY33" i="5"/>
  <c r="I11" i="12"/>
  <c r="I39" i="12" s="1"/>
  <c r="AB39" i="12" s="1"/>
  <c r="G5" i="10"/>
  <c r="BU34" i="5"/>
  <c r="BQ34" i="5"/>
  <c r="CE34" i="5"/>
  <c r="CA34" i="5"/>
  <c r="CD34" i="5"/>
  <c r="BY34" i="5"/>
  <c r="BX34" i="5"/>
  <c r="BW34" i="5"/>
  <c r="CH34" i="5"/>
  <c r="CG34" i="5"/>
  <c r="CC34" i="5"/>
  <c r="BZ34" i="5"/>
  <c r="CJ34" i="5"/>
  <c r="CI34" i="5"/>
  <c r="BS34" i="5"/>
  <c r="BR34" i="5"/>
  <c r="BI34" i="5"/>
  <c r="BE34" i="5"/>
  <c r="BV34" i="5"/>
  <c r="BH34" i="5"/>
  <c r="BD34" i="5"/>
  <c r="AY34" i="5"/>
  <c r="BM34" i="5"/>
  <c r="BJ34" i="5"/>
  <c r="BT34" i="5"/>
  <c r="CK34" i="5"/>
  <c r="BA34" i="5"/>
  <c r="BG34" i="5"/>
  <c r="BK34" i="5"/>
  <c r="BF34" i="5"/>
  <c r="BL34" i="5"/>
  <c r="AV34" i="5"/>
  <c r="BO34" i="5" s="1"/>
  <c r="AU34" i="5"/>
  <c r="BN34" i="5" s="1"/>
  <c r="AZ34" i="5"/>
  <c r="CF34" i="5"/>
  <c r="BO32" i="5"/>
  <c r="BB23" i="5"/>
  <c r="BZ23" i="5" s="1"/>
  <c r="BC23" i="5"/>
  <c r="CE9" i="5"/>
  <c r="BX9" i="5"/>
  <c r="CD9" i="5"/>
  <c r="CA9" i="5"/>
  <c r="CJ9" i="5"/>
  <c r="CH9" i="5"/>
  <c r="BW9" i="5"/>
  <c r="CG9" i="5"/>
  <c r="CC9" i="5"/>
  <c r="BY9" i="5"/>
  <c r="CI9" i="5"/>
  <c r="BV9" i="5"/>
  <c r="BR9" i="5"/>
  <c r="BZ9" i="5"/>
  <c r="CK9" i="5"/>
  <c r="BU9" i="5"/>
  <c r="BQ9" i="5"/>
  <c r="CF9" i="5"/>
  <c r="BT9" i="5"/>
  <c r="BI9" i="5"/>
  <c r="BH9" i="5"/>
  <c r="AV9" i="5"/>
  <c r="BO9" i="5" s="1"/>
  <c r="BG9" i="5"/>
  <c r="BA9" i="5"/>
  <c r="BP9" i="5" s="1"/>
  <c r="BK9" i="5"/>
  <c r="BF9" i="5"/>
  <c r="BS9" i="5"/>
  <c r="BL9" i="5"/>
  <c r="AZ9" i="5"/>
  <c r="BD9" i="5"/>
  <c r="AY9" i="5"/>
  <c r="AU9" i="5"/>
  <c r="BN9" i="5" s="1"/>
  <c r="BJ9" i="5"/>
  <c r="BE9" i="5"/>
  <c r="BM9" i="5"/>
  <c r="BN19" i="5"/>
  <c r="BZ19" i="5" s="1"/>
  <c r="CB15" i="5"/>
  <c r="CG5" i="5"/>
  <c r="CC5" i="5"/>
  <c r="BY5" i="5"/>
  <c r="CI5" i="5"/>
  <c r="BV5" i="5"/>
  <c r="CK5" i="5"/>
  <c r="CF5" i="5"/>
  <c r="BU5" i="5"/>
  <c r="CE5" i="5"/>
  <c r="BT5" i="5"/>
  <c r="BS5" i="5"/>
  <c r="BM5" i="5"/>
  <c r="CD5" i="5"/>
  <c r="BR5" i="5"/>
  <c r="BG5" i="5"/>
  <c r="CA5" i="5"/>
  <c r="BW5" i="5"/>
  <c r="BF5" i="5"/>
  <c r="AZ5" i="5"/>
  <c r="BK5" i="5"/>
  <c r="BE5" i="5"/>
  <c r="BJ5" i="5"/>
  <c r="AY5" i="5"/>
  <c r="BI5" i="5"/>
  <c r="BD5" i="5"/>
  <c r="BQ5" i="5"/>
  <c r="AV5" i="5"/>
  <c r="BC5" i="5" s="1"/>
  <c r="BH5" i="5"/>
  <c r="AU5" i="5"/>
  <c r="BB5" i="5" s="1"/>
  <c r="BA5" i="5"/>
  <c r="BP5" i="5" s="1"/>
  <c r="BN24" i="5"/>
  <c r="BZ24" i="5" s="1"/>
  <c r="CF35" i="5"/>
  <c r="CE35" i="5"/>
  <c r="CA35" i="5"/>
  <c r="CD35" i="5"/>
  <c r="BY35" i="5"/>
  <c r="BW35" i="5"/>
  <c r="BS35" i="5"/>
  <c r="CK35" i="5"/>
  <c r="CI35" i="5"/>
  <c r="CG35" i="5"/>
  <c r="BR35" i="5"/>
  <c r="CC35" i="5"/>
  <c r="BQ35" i="5"/>
  <c r="BK35" i="5"/>
  <c r="BF35" i="5"/>
  <c r="BE35" i="5"/>
  <c r="AY35" i="5"/>
  <c r="AU35" i="5"/>
  <c r="BB35" i="5" s="1"/>
  <c r="BM35" i="5"/>
  <c r="BJ35" i="5"/>
  <c r="BD35" i="5"/>
  <c r="BT35" i="5"/>
  <c r="BI35" i="5"/>
  <c r="BH35" i="5"/>
  <c r="BV35" i="5"/>
  <c r="BU35" i="5"/>
  <c r="BA35" i="5"/>
  <c r="BP35" i="5" s="1"/>
  <c r="AV35" i="5"/>
  <c r="BC35" i="5" s="1"/>
  <c r="BG35" i="5"/>
  <c r="AZ35" i="5"/>
  <c r="BB32" i="5"/>
  <c r="BZ32" i="5" s="1"/>
  <c r="CG13" i="5"/>
  <c r="CC13" i="5"/>
  <c r="BY13" i="5"/>
  <c r="CI13" i="5"/>
  <c r="BV13" i="5"/>
  <c r="CK13" i="5"/>
  <c r="CF13" i="5"/>
  <c r="BU13" i="5"/>
  <c r="CE13" i="5"/>
  <c r="BT13" i="5"/>
  <c r="CA13" i="5"/>
  <c r="BW13" i="5"/>
  <c r="BS13" i="5"/>
  <c r="BR13" i="5"/>
  <c r="BM13" i="5"/>
  <c r="BQ13" i="5"/>
  <c r="BK13" i="5"/>
  <c r="BE13" i="5"/>
  <c r="BJ13" i="5"/>
  <c r="AZ13" i="5"/>
  <c r="BI13" i="5"/>
  <c r="BD13" i="5"/>
  <c r="CD13" i="5"/>
  <c r="AY13" i="5"/>
  <c r="BH13" i="5"/>
  <c r="AV13" i="5"/>
  <c r="BC13" i="5" s="1"/>
  <c r="BA13" i="5"/>
  <c r="BP13" i="5" s="1"/>
  <c r="BG13" i="5"/>
  <c r="BF13" i="5"/>
  <c r="AU13" i="5"/>
  <c r="BN13" i="5" s="1"/>
  <c r="CE17" i="5"/>
  <c r="CD17" i="5"/>
  <c r="CA17" i="5"/>
  <c r="BW17" i="5"/>
  <c r="CG17" i="5"/>
  <c r="CC17" i="5"/>
  <c r="BY17" i="5"/>
  <c r="CI17" i="5"/>
  <c r="BV17" i="5"/>
  <c r="BR17" i="5"/>
  <c r="BT17" i="5"/>
  <c r="CK17" i="5"/>
  <c r="BU17" i="5"/>
  <c r="BS17" i="5"/>
  <c r="BG17" i="5"/>
  <c r="AV17" i="5"/>
  <c r="BO17" i="5" s="1"/>
  <c r="BQ17" i="5"/>
  <c r="BK17" i="5"/>
  <c r="BF17" i="5"/>
  <c r="BA17" i="5"/>
  <c r="BP17" i="5" s="1"/>
  <c r="BJ17" i="5"/>
  <c r="BE17" i="5"/>
  <c r="CF17" i="5"/>
  <c r="BM17" i="5"/>
  <c r="BD17" i="5"/>
  <c r="AZ17" i="5"/>
  <c r="AU17" i="5"/>
  <c r="BN17" i="5" s="1"/>
  <c r="BH17" i="5"/>
  <c r="BI17" i="5"/>
  <c r="AY17" i="5"/>
  <c r="CE25" i="5"/>
  <c r="CD25" i="5"/>
  <c r="CA25" i="5"/>
  <c r="BW25" i="5"/>
  <c r="CG25" i="5"/>
  <c r="CC25" i="5"/>
  <c r="BY25" i="5"/>
  <c r="CI25" i="5"/>
  <c r="BV25" i="5"/>
  <c r="BR25" i="5"/>
  <c r="CF25" i="5"/>
  <c r="BS25" i="5"/>
  <c r="CK25" i="5"/>
  <c r="BQ25" i="5"/>
  <c r="BK25" i="5"/>
  <c r="BF25" i="5"/>
  <c r="AV25" i="5"/>
  <c r="BC25" i="5" s="1"/>
  <c r="BJ25" i="5"/>
  <c r="BE25" i="5"/>
  <c r="BU25" i="5"/>
  <c r="BM25" i="5"/>
  <c r="BD25" i="5"/>
  <c r="BA25" i="5"/>
  <c r="BP25" i="5" s="1"/>
  <c r="BI25" i="5"/>
  <c r="BH25" i="5"/>
  <c r="AZ25" i="5"/>
  <c r="BG25" i="5"/>
  <c r="BT25" i="5"/>
  <c r="AU25" i="5"/>
  <c r="BN25" i="5" s="1"/>
  <c r="AY25" i="5"/>
  <c r="CI4" i="5"/>
  <c r="BV4" i="5"/>
  <c r="BR4" i="5"/>
  <c r="CK4" i="5"/>
  <c r="CJ4" i="5"/>
  <c r="CH4" i="5"/>
  <c r="CF4" i="5"/>
  <c r="CE4" i="5"/>
  <c r="CD4" i="5"/>
  <c r="CA4" i="5"/>
  <c r="BZ4" i="5"/>
  <c r="BT4" i="5"/>
  <c r="BY4" i="5"/>
  <c r="BS4" i="5"/>
  <c r="BX4" i="5"/>
  <c r="BJ4" i="5"/>
  <c r="BF4" i="5"/>
  <c r="BW4" i="5"/>
  <c r="BQ4" i="5"/>
  <c r="BI4" i="5"/>
  <c r="BE4" i="5"/>
  <c r="CG4" i="5"/>
  <c r="AZ4" i="5"/>
  <c r="BK4" i="5"/>
  <c r="AY4" i="5"/>
  <c r="BD4" i="5"/>
  <c r="BM4" i="5"/>
  <c r="BL4" i="5"/>
  <c r="CC4" i="5"/>
  <c r="BH4" i="5"/>
  <c r="AV4" i="5"/>
  <c r="BC4" i="5" s="1"/>
  <c r="AU4" i="5"/>
  <c r="BB4" i="5" s="1"/>
  <c r="BA4" i="5"/>
  <c r="BP4" i="5" s="1"/>
  <c r="BU4" i="5"/>
  <c r="BG4" i="5"/>
  <c r="BW22" i="5"/>
  <c r="BS22" i="5"/>
  <c r="CG22" i="5"/>
  <c r="CC22" i="5"/>
  <c r="BY22" i="5"/>
  <c r="CI22" i="5"/>
  <c r="CK22" i="5"/>
  <c r="CF22" i="5"/>
  <c r="BU22" i="5"/>
  <c r="CE22" i="5"/>
  <c r="BV22" i="5"/>
  <c r="BR22" i="5"/>
  <c r="CD22" i="5"/>
  <c r="BQ22" i="5"/>
  <c r="BK22" i="5"/>
  <c r="BG22" i="5"/>
  <c r="BJ22" i="5"/>
  <c r="BF22" i="5"/>
  <c r="BA22" i="5"/>
  <c r="BP22" i="5" s="1"/>
  <c r="BM22" i="5"/>
  <c r="BI22" i="5"/>
  <c r="BD22" i="5"/>
  <c r="CA22" i="5"/>
  <c r="AZ22" i="5"/>
  <c r="BH22" i="5"/>
  <c r="AY22" i="5"/>
  <c r="BT22" i="5"/>
  <c r="AV22" i="5"/>
  <c r="BO22" i="5" s="1"/>
  <c r="BE22" i="5"/>
  <c r="AU22" i="5"/>
  <c r="BB22" i="5" s="1"/>
  <c r="CG21" i="5"/>
  <c r="CC21" i="5"/>
  <c r="BY21" i="5"/>
  <c r="CI21" i="5"/>
  <c r="BV21" i="5"/>
  <c r="CK21" i="5"/>
  <c r="CF21" i="5"/>
  <c r="CE21" i="5"/>
  <c r="BT21" i="5"/>
  <c r="CD21" i="5"/>
  <c r="BQ21" i="5"/>
  <c r="CA21" i="5"/>
  <c r="BM21" i="5"/>
  <c r="BI21" i="5"/>
  <c r="BD21" i="5"/>
  <c r="BU21" i="5"/>
  <c r="AZ21" i="5"/>
  <c r="BS21" i="5"/>
  <c r="BH21" i="5"/>
  <c r="AY21" i="5"/>
  <c r="BW21" i="5"/>
  <c r="BG21" i="5"/>
  <c r="BF21" i="5"/>
  <c r="AU21" i="5"/>
  <c r="BN21" i="5" s="1"/>
  <c r="BA21" i="5"/>
  <c r="BP21" i="5" s="1"/>
  <c r="AV21" i="5"/>
  <c r="BO21" i="5" s="1"/>
  <c r="BJ21" i="5"/>
  <c r="BK21" i="5"/>
  <c r="BE21" i="5"/>
  <c r="BR21" i="5"/>
  <c r="BW14" i="5"/>
  <c r="BS14" i="5"/>
  <c r="CG14" i="5"/>
  <c r="CC14" i="5"/>
  <c r="BY14" i="5"/>
  <c r="CI14" i="5"/>
  <c r="CK14" i="5"/>
  <c r="CF14" i="5"/>
  <c r="BU14" i="5"/>
  <c r="CE14" i="5"/>
  <c r="CD14" i="5"/>
  <c r="CA14" i="5"/>
  <c r="BR14" i="5"/>
  <c r="BK14" i="5"/>
  <c r="BG14" i="5"/>
  <c r="BQ14" i="5"/>
  <c r="BJ14" i="5"/>
  <c r="BF14" i="5"/>
  <c r="BA14" i="5"/>
  <c r="BP14" i="5" s="1"/>
  <c r="BV14" i="5"/>
  <c r="BE14" i="5"/>
  <c r="AZ14" i="5"/>
  <c r="BT14" i="5"/>
  <c r="BM14" i="5"/>
  <c r="BI14" i="5"/>
  <c r="BD14" i="5"/>
  <c r="AY14" i="5"/>
  <c r="BH14" i="5"/>
  <c r="AV14" i="5"/>
  <c r="BO14" i="5" s="1"/>
  <c r="AU14" i="5"/>
  <c r="BB14" i="5" s="1"/>
  <c r="BC16" i="5"/>
  <c r="CI12" i="5"/>
  <c r="BV12" i="5"/>
  <c r="BR12" i="5"/>
  <c r="CK12" i="5"/>
  <c r="CF12" i="5"/>
  <c r="CE12" i="5"/>
  <c r="CD12" i="5"/>
  <c r="CA12" i="5"/>
  <c r="CC12" i="5"/>
  <c r="BU12" i="5"/>
  <c r="BQ12" i="5"/>
  <c r="BJ12" i="5"/>
  <c r="BF12" i="5"/>
  <c r="BI12" i="5"/>
  <c r="BE12" i="5"/>
  <c r="AZ12" i="5"/>
  <c r="CG12" i="5"/>
  <c r="BD12" i="5"/>
  <c r="BT12" i="5"/>
  <c r="BM12" i="5"/>
  <c r="AY12" i="5"/>
  <c r="BW12" i="5"/>
  <c r="BH12" i="5"/>
  <c r="BY12" i="5"/>
  <c r="BG12" i="5"/>
  <c r="BA12" i="5"/>
  <c r="BP12" i="5" s="1"/>
  <c r="AV12" i="5"/>
  <c r="BO12" i="5" s="1"/>
  <c r="AU12" i="5"/>
  <c r="BB12" i="5" s="1"/>
  <c r="BS12" i="5"/>
  <c r="BK12" i="5"/>
  <c r="CG29" i="5"/>
  <c r="CC29" i="5"/>
  <c r="BY29" i="5"/>
  <c r="CI29" i="5"/>
  <c r="BV29" i="5"/>
  <c r="CK29" i="5"/>
  <c r="CF29" i="5"/>
  <c r="CE29" i="5"/>
  <c r="BT29" i="5"/>
  <c r="BU29" i="5"/>
  <c r="CD29" i="5"/>
  <c r="BM29" i="5"/>
  <c r="CA29" i="5"/>
  <c r="BS29" i="5"/>
  <c r="BH29" i="5"/>
  <c r="BR29" i="5"/>
  <c r="AZ29" i="5"/>
  <c r="BG29" i="5"/>
  <c r="BF29" i="5"/>
  <c r="AY29" i="5"/>
  <c r="BK29" i="5"/>
  <c r="BE29" i="5"/>
  <c r="BJ29" i="5"/>
  <c r="AU29" i="5"/>
  <c r="BN29" i="5" s="1"/>
  <c r="BW29" i="5"/>
  <c r="BQ29" i="5"/>
  <c r="BA29" i="5"/>
  <c r="BP29" i="5" s="1"/>
  <c r="AV29" i="5"/>
  <c r="BO29" i="5" s="1"/>
  <c r="BI29" i="5"/>
  <c r="BD29" i="5"/>
  <c r="BW30" i="5"/>
  <c r="BS30" i="5"/>
  <c r="CG30" i="5"/>
  <c r="CC30" i="5"/>
  <c r="BY30" i="5"/>
  <c r="CI30" i="5"/>
  <c r="CK30" i="5"/>
  <c r="CF30" i="5"/>
  <c r="CE30" i="5"/>
  <c r="BQ30" i="5"/>
  <c r="BU30" i="5"/>
  <c r="BK30" i="5"/>
  <c r="BG30" i="5"/>
  <c r="BJ30" i="5"/>
  <c r="BF30" i="5"/>
  <c r="BT30" i="5"/>
  <c r="BA30" i="5"/>
  <c r="BP30" i="5" s="1"/>
  <c r="BH30" i="5"/>
  <c r="BR30" i="5"/>
  <c r="AZ30" i="5"/>
  <c r="CA30" i="5"/>
  <c r="CD30" i="5"/>
  <c r="BV30" i="5"/>
  <c r="AY30" i="5"/>
  <c r="BE30" i="5"/>
  <c r="BM30" i="5"/>
  <c r="BI30" i="5"/>
  <c r="AU30" i="5"/>
  <c r="BN30" i="5" s="1"/>
  <c r="AV30" i="5"/>
  <c r="BC30" i="5" s="1"/>
  <c r="BD30" i="5"/>
  <c r="BX6" i="5"/>
  <c r="BW6" i="5"/>
  <c r="BS6" i="5"/>
  <c r="CG6" i="5"/>
  <c r="CC6" i="5"/>
  <c r="BY6" i="5"/>
  <c r="CJ6" i="5"/>
  <c r="CI6" i="5"/>
  <c r="CH6" i="5"/>
  <c r="CK6" i="5"/>
  <c r="CF6" i="5"/>
  <c r="BU6" i="5"/>
  <c r="CE6" i="5"/>
  <c r="CA6" i="5"/>
  <c r="BT6" i="5"/>
  <c r="BV6" i="5"/>
  <c r="BL6" i="5"/>
  <c r="BK6" i="5"/>
  <c r="BG6" i="5"/>
  <c r="BR6" i="5"/>
  <c r="BJ6" i="5"/>
  <c r="BF6" i="5"/>
  <c r="BA6" i="5"/>
  <c r="BP6" i="5" s="1"/>
  <c r="CD6" i="5"/>
  <c r="AZ6" i="5"/>
  <c r="BE6" i="5"/>
  <c r="BZ6" i="5"/>
  <c r="AY6" i="5"/>
  <c r="BM6" i="5"/>
  <c r="BI6" i="5"/>
  <c r="BD6" i="5"/>
  <c r="BQ6" i="5"/>
  <c r="AU6" i="5"/>
  <c r="BB6" i="5" s="1"/>
  <c r="AV6" i="5"/>
  <c r="BO6" i="5" s="1"/>
  <c r="BH6" i="5"/>
  <c r="BO8" i="5"/>
  <c r="CI20" i="5"/>
  <c r="BV20" i="5"/>
  <c r="BR20" i="5"/>
  <c r="CK20" i="5"/>
  <c r="CF20" i="5"/>
  <c r="CE20" i="5"/>
  <c r="CD20" i="5"/>
  <c r="CA20" i="5"/>
  <c r="CG20" i="5"/>
  <c r="BQ20" i="5"/>
  <c r="CC20" i="5"/>
  <c r="BW20" i="5"/>
  <c r="BJ20" i="5"/>
  <c r="BF20" i="5"/>
  <c r="BU20" i="5"/>
  <c r="BT20" i="5"/>
  <c r="BI20" i="5"/>
  <c r="BE20" i="5"/>
  <c r="BM20" i="5"/>
  <c r="AZ20" i="5"/>
  <c r="BS20" i="5"/>
  <c r="BH20" i="5"/>
  <c r="AY20" i="5"/>
  <c r="BG20" i="5"/>
  <c r="BK20" i="5"/>
  <c r="BY20" i="5"/>
  <c r="AU20" i="5"/>
  <c r="BN20" i="5" s="1"/>
  <c r="BA20" i="5"/>
  <c r="BP20" i="5" s="1"/>
  <c r="BD20" i="5"/>
  <c r="AV20" i="5"/>
  <c r="BC20" i="5" s="1"/>
  <c r="BN31" i="5"/>
  <c r="G11" i="12"/>
  <c r="E5" i="10"/>
  <c r="CI28" i="5"/>
  <c r="BV28" i="5"/>
  <c r="BR28" i="5"/>
  <c r="CK28" i="5"/>
  <c r="CF28" i="5"/>
  <c r="CE28" i="5"/>
  <c r="CD28" i="5"/>
  <c r="CA28" i="5"/>
  <c r="BY28" i="5"/>
  <c r="BU28" i="5"/>
  <c r="CG28" i="5"/>
  <c r="BT28" i="5"/>
  <c r="BJ28" i="5"/>
  <c r="BF28" i="5"/>
  <c r="BI28" i="5"/>
  <c r="BE28" i="5"/>
  <c r="AZ28" i="5"/>
  <c r="BG28" i="5"/>
  <c r="AY28" i="5"/>
  <c r="BK28" i="5"/>
  <c r="BS28" i="5"/>
  <c r="BW28" i="5"/>
  <c r="BD28" i="5"/>
  <c r="BM28" i="5"/>
  <c r="AU28" i="5"/>
  <c r="BN28" i="5" s="1"/>
  <c r="BQ28" i="5"/>
  <c r="BH28" i="5"/>
  <c r="AV28" i="5"/>
  <c r="BC28" i="5" s="1"/>
  <c r="BA28" i="5"/>
  <c r="BP28" i="5" s="1"/>
  <c r="CC28" i="5"/>
  <c r="BU26" i="5"/>
  <c r="BQ26" i="5"/>
  <c r="CE26" i="5"/>
  <c r="CD26" i="5"/>
  <c r="CA26" i="5"/>
  <c r="BW26" i="5"/>
  <c r="CG26" i="5"/>
  <c r="CC26" i="5"/>
  <c r="BY26" i="5"/>
  <c r="BT26" i="5"/>
  <c r="CF26" i="5"/>
  <c r="BV26" i="5"/>
  <c r="BS26" i="5"/>
  <c r="BI26" i="5"/>
  <c r="BE26" i="5"/>
  <c r="BH26" i="5"/>
  <c r="BD26" i="5"/>
  <c r="BR26" i="5"/>
  <c r="AY26" i="5"/>
  <c r="BK26" i="5"/>
  <c r="BF26" i="5"/>
  <c r="CK26" i="5"/>
  <c r="BJ26" i="5"/>
  <c r="BM26" i="5"/>
  <c r="BA26" i="5"/>
  <c r="BP26" i="5" s="1"/>
  <c r="AV26" i="5"/>
  <c r="BC26" i="5" s="1"/>
  <c r="BG26" i="5"/>
  <c r="AU26" i="5"/>
  <c r="BN26" i="5" s="1"/>
  <c r="CI26" i="5"/>
  <c r="AZ26" i="5"/>
  <c r="AT38" i="5"/>
  <c r="AT39" i="5" s="1"/>
  <c r="CK2" i="5"/>
  <c r="CI2" i="5"/>
  <c r="BV2" i="5"/>
  <c r="BR2" i="5"/>
  <c r="AS38" i="5"/>
  <c r="AS39" i="5" s="1"/>
  <c r="CF2" i="5"/>
  <c r="CE2" i="5"/>
  <c r="CA2" i="5"/>
  <c r="CD2" i="5"/>
  <c r="BW2" i="5"/>
  <c r="BT2" i="5"/>
  <c r="BY2" i="5"/>
  <c r="BS2" i="5"/>
  <c r="BJ2" i="5"/>
  <c r="BF2" i="5"/>
  <c r="BQ2" i="5"/>
  <c r="BI2" i="5"/>
  <c r="BE2" i="5"/>
  <c r="CC2" i="5"/>
  <c r="AZ2" i="5"/>
  <c r="BK2" i="5"/>
  <c r="AY2" i="5"/>
  <c r="CG2" i="5"/>
  <c r="BM2" i="5"/>
  <c r="BD2" i="5"/>
  <c r="BH2" i="5"/>
  <c r="AU2" i="5"/>
  <c r="AV2" i="5"/>
  <c r="BA2" i="5"/>
  <c r="BP2" i="5" s="1"/>
  <c r="BG2" i="5"/>
  <c r="BU2" i="5"/>
  <c r="F67" i="12"/>
  <c r="C12" i="7"/>
  <c r="G63" i="12" s="1"/>
  <c r="I63" i="12" s="1"/>
  <c r="C13" i="7"/>
  <c r="C14" i="7"/>
  <c r="BL32" i="5" l="1"/>
  <c r="BX32" i="5"/>
  <c r="BL19" i="5"/>
  <c r="BX16" i="5"/>
  <c r="AV49" i="5"/>
  <c r="AV50" i="5" s="1"/>
  <c r="AY49" i="5"/>
  <c r="AY50" i="5" s="1"/>
  <c r="CB19" i="5"/>
  <c r="BB11" i="5"/>
  <c r="CB18" i="5"/>
  <c r="CB31" i="5"/>
  <c r="CB8" i="5"/>
  <c r="BL18" i="5"/>
  <c r="CB10" i="5"/>
  <c r="BX18" i="5"/>
  <c r="BC18" i="5"/>
  <c r="BN7" i="5"/>
  <c r="BZ7" i="5" s="1"/>
  <c r="CB7" i="5"/>
  <c r="BO31" i="5"/>
  <c r="CA31" i="5" s="1"/>
  <c r="H5" i="10"/>
  <c r="BS38" i="5"/>
  <c r="BS39" i="5" s="1"/>
  <c r="BX15" i="5"/>
  <c r="BM31" i="5"/>
  <c r="BM38" i="5" s="1"/>
  <c r="BM39" i="5" s="1"/>
  <c r="I12" i="12" s="1"/>
  <c r="I40" i="12" s="1"/>
  <c r="BX10" i="5"/>
  <c r="BX3" i="5"/>
  <c r="CB27" i="5"/>
  <c r="BL10" i="5"/>
  <c r="BY31" i="5"/>
  <c r="BX7" i="5"/>
  <c r="BL8" i="5"/>
  <c r="CB17" i="5"/>
  <c r="BL15" i="5"/>
  <c r="BL27" i="5"/>
  <c r="BX8" i="5"/>
  <c r="BB15" i="5"/>
  <c r="BZ15" i="5" s="1"/>
  <c r="BX27" i="5"/>
  <c r="BL3" i="5"/>
  <c r="CB3" i="5"/>
  <c r="BB10" i="5"/>
  <c r="BZ10" i="5" s="1"/>
  <c r="BB27" i="5"/>
  <c r="BZ27" i="5" s="1"/>
  <c r="BO7" i="5"/>
  <c r="BL7" i="5"/>
  <c r="BE40" i="5"/>
  <c r="BE41" i="5" s="1"/>
  <c r="BC3" i="5"/>
  <c r="BN3" i="5"/>
  <c r="BZ3" i="5" s="1"/>
  <c r="BC21" i="5"/>
  <c r="BV40" i="5"/>
  <c r="BV41" i="5" s="1"/>
  <c r="BO4" i="5"/>
  <c r="AV38" i="5"/>
  <c r="AV39" i="5" s="1"/>
  <c r="BC17" i="5"/>
  <c r="CB9" i="5"/>
  <c r="BO10" i="5"/>
  <c r="BC10" i="5"/>
  <c r="BC14" i="5"/>
  <c r="BC11" i="5"/>
  <c r="AZ38" i="5"/>
  <c r="AZ39" i="5" s="1"/>
  <c r="BY38" i="5"/>
  <c r="BY39" i="5" s="1"/>
  <c r="BR38" i="5"/>
  <c r="BR39" i="5" s="1"/>
  <c r="CE40" i="5"/>
  <c r="CE41" i="5" s="1"/>
  <c r="BC19" i="5"/>
  <c r="BO19" i="5"/>
  <c r="CB33" i="5"/>
  <c r="BX33" i="5"/>
  <c r="BJ40" i="5"/>
  <c r="BJ41" i="5" s="1"/>
  <c r="BR40" i="5"/>
  <c r="BR41" i="5" s="1"/>
  <c r="BB25" i="5"/>
  <c r="BZ25" i="5" s="1"/>
  <c r="CC38" i="5"/>
  <c r="CC39" i="5" s="1"/>
  <c r="CB25" i="5"/>
  <c r="BC9" i="5"/>
  <c r="BX24" i="5"/>
  <c r="CA40" i="5"/>
  <c r="CA41" i="5" s="1"/>
  <c r="BL33" i="5"/>
  <c r="BC15" i="5"/>
  <c r="BO15" i="5"/>
  <c r="CB6" i="5"/>
  <c r="BB20" i="5"/>
  <c r="BL24" i="5"/>
  <c r="BT38" i="5"/>
  <c r="BT39" i="5" s="1"/>
  <c r="BX21" i="5"/>
  <c r="CB4" i="5"/>
  <c r="BL17" i="5"/>
  <c r="BK40" i="5"/>
  <c r="BK41" i="5" s="1"/>
  <c r="BC34" i="5"/>
  <c r="BC40" i="5" s="1"/>
  <c r="BC41" i="5" s="1"/>
  <c r="BW40" i="5"/>
  <c r="BW41" i="5" s="1"/>
  <c r="BO27" i="5"/>
  <c r="BC27" i="5"/>
  <c r="BL30" i="5"/>
  <c r="BV38" i="5"/>
  <c r="BV39" i="5" s="1"/>
  <c r="BU38" i="5"/>
  <c r="BU39" i="5" s="1"/>
  <c r="CF38" i="5"/>
  <c r="CF39" i="5" s="1"/>
  <c r="BC6" i="5"/>
  <c r="BC12" i="5"/>
  <c r="BL14" i="5"/>
  <c r="BC22" i="5"/>
  <c r="BX13" i="5"/>
  <c r="BG40" i="5"/>
  <c r="BG41" i="5" s="1"/>
  <c r="BS40" i="5"/>
  <c r="BS41" i="5" s="1"/>
  <c r="AU38" i="5"/>
  <c r="AU39" i="5" s="1"/>
  <c r="CG38" i="5"/>
  <c r="CG39" i="5" s="1"/>
  <c r="BL25" i="5"/>
  <c r="BB17" i="5"/>
  <c r="CF40" i="5"/>
  <c r="CF41" i="5" s="1"/>
  <c r="BA40" i="5"/>
  <c r="BA41" i="5" s="1"/>
  <c r="BD40" i="5"/>
  <c r="BD41" i="5" s="1"/>
  <c r="CI40" i="5"/>
  <c r="CI41" i="5" s="1"/>
  <c r="BY40" i="5"/>
  <c r="BY41" i="5" s="1"/>
  <c r="BH38" i="5"/>
  <c r="BH39" i="5" s="1"/>
  <c r="BX29" i="5"/>
  <c r="BG38" i="5"/>
  <c r="BG39" i="5" s="1"/>
  <c r="BA38" i="5"/>
  <c r="BA39" i="5" s="1"/>
  <c r="K10" i="12" s="1"/>
  <c r="AY38" i="5"/>
  <c r="AY39" i="5" s="1"/>
  <c r="G10" i="12" s="1"/>
  <c r="BB21" i="5"/>
  <c r="BZ21" i="5" s="1"/>
  <c r="BX5" i="5"/>
  <c r="BB9" i="5"/>
  <c r="AZ40" i="5"/>
  <c r="AZ41" i="5" s="1"/>
  <c r="CK40" i="5"/>
  <c r="CK41" i="5" s="1"/>
  <c r="BH40" i="5"/>
  <c r="BH41" i="5" s="1"/>
  <c r="CD40" i="5"/>
  <c r="CD41" i="5" s="1"/>
  <c r="CB24" i="5"/>
  <c r="BN5" i="5"/>
  <c r="BB34" i="5"/>
  <c r="BB40" i="5" s="1"/>
  <c r="BB41" i="5" s="1"/>
  <c r="AU40" i="5"/>
  <c r="AU41" i="5" s="1"/>
  <c r="BT40" i="5"/>
  <c r="BT41" i="5" s="1"/>
  <c r="AV40" i="5"/>
  <c r="AV41" i="5" s="1"/>
  <c r="CC40" i="5"/>
  <c r="CC41" i="5" s="1"/>
  <c r="BO24" i="5"/>
  <c r="BC24" i="5"/>
  <c r="BC29" i="5"/>
  <c r="BZ17" i="5"/>
  <c r="BM40" i="5"/>
  <c r="BM41" i="5" s="1"/>
  <c r="BI40" i="5"/>
  <c r="BI41" i="5" s="1"/>
  <c r="CG40" i="5"/>
  <c r="CG41" i="5" s="1"/>
  <c r="BQ40" i="5"/>
  <c r="BQ41" i="5" s="1"/>
  <c r="BE38" i="5"/>
  <c r="BE39" i="5" s="1"/>
  <c r="CI38" i="5"/>
  <c r="CI39" i="5" s="1"/>
  <c r="BF40" i="5"/>
  <c r="BF41" i="5" s="1"/>
  <c r="AY40" i="5"/>
  <c r="AY41" i="5" s="1"/>
  <c r="BP34" i="5"/>
  <c r="BU40" i="5"/>
  <c r="BU41" i="5" s="1"/>
  <c r="CB30" i="5"/>
  <c r="BX30" i="5"/>
  <c r="CB26" i="5"/>
  <c r="BX26" i="5"/>
  <c r="CB35" i="5"/>
  <c r="BX35" i="5"/>
  <c r="BX40" i="5" s="1"/>
  <c r="BX41" i="5" s="1"/>
  <c r="CB22" i="5"/>
  <c r="BX22" i="5"/>
  <c r="BN2" i="5"/>
  <c r="BB28" i="5"/>
  <c r="BZ28" i="5" s="1"/>
  <c r="BO20" i="5"/>
  <c r="BZ5" i="5"/>
  <c r="BX17" i="5"/>
  <c r="BF38" i="5"/>
  <c r="BF39" i="5" s="1"/>
  <c r="CE38" i="5"/>
  <c r="CE39" i="5" s="1"/>
  <c r="BB2" i="5"/>
  <c r="BK38" i="5"/>
  <c r="BK39" i="5" s="1"/>
  <c r="BJ38" i="5"/>
  <c r="BJ39" i="5" s="1"/>
  <c r="BB26" i="5"/>
  <c r="BZ26" i="5" s="1"/>
  <c r="BL26" i="5"/>
  <c r="BN14" i="5"/>
  <c r="BZ14" i="5" s="1"/>
  <c r="BN22" i="5"/>
  <c r="BZ22" i="5" s="1"/>
  <c r="BB13" i="5"/>
  <c r="BZ13" i="5" s="1"/>
  <c r="BO13" i="5"/>
  <c r="BN35" i="5"/>
  <c r="BZ35" i="5" s="1"/>
  <c r="BZ40" i="5" s="1"/>
  <c r="BZ41" i="5" s="1"/>
  <c r="BC33" i="5"/>
  <c r="BN33" i="5"/>
  <c r="BZ33" i="5" s="1"/>
  <c r="F10" i="12"/>
  <c r="D4" i="10"/>
  <c r="BZ20" i="5"/>
  <c r="CB20" i="5"/>
  <c r="BX20" i="5"/>
  <c r="BO30" i="5"/>
  <c r="BN12" i="5"/>
  <c r="BZ12" i="5" s="1"/>
  <c r="CB21" i="5"/>
  <c r="BL21" i="5"/>
  <c r="BL35" i="5"/>
  <c r="BL40" i="5" s="1"/>
  <c r="BL41" i="5" s="1"/>
  <c r="BO5" i="5"/>
  <c r="BO2" i="5"/>
  <c r="BO26" i="5"/>
  <c r="CB28" i="5"/>
  <c r="BX28" i="5"/>
  <c r="J11" i="12"/>
  <c r="AA11" i="12"/>
  <c r="G39" i="12"/>
  <c r="AB11" i="12"/>
  <c r="AB45" i="12" s="1"/>
  <c r="BN6" i="5"/>
  <c r="BN4" i="5"/>
  <c r="BO25" i="5"/>
  <c r="BW38" i="5"/>
  <c r="BW39" i="5" s="1"/>
  <c r="BX25" i="5"/>
  <c r="BO28" i="5"/>
  <c r="BB30" i="5"/>
  <c r="BZ30" i="5" s="1"/>
  <c r="BB29" i="5"/>
  <c r="BZ29" i="5" s="1"/>
  <c r="CB14" i="5"/>
  <c r="BX14" i="5"/>
  <c r="CB5" i="5"/>
  <c r="BL5" i="5"/>
  <c r="CB29" i="5"/>
  <c r="BL29" i="5"/>
  <c r="CB12" i="5"/>
  <c r="BX12" i="5"/>
  <c r="BL22" i="5"/>
  <c r="BO35" i="5"/>
  <c r="BO40" i="5" s="1"/>
  <c r="BO41" i="5" s="1"/>
  <c r="G12" i="12"/>
  <c r="E6" i="10"/>
  <c r="CB2" i="5"/>
  <c r="BX2" i="5"/>
  <c r="BP38" i="5"/>
  <c r="BP39" i="5" s="1"/>
  <c r="BI38" i="5"/>
  <c r="BI39" i="5" s="1"/>
  <c r="CD38" i="5"/>
  <c r="CD39" i="5" s="1"/>
  <c r="BL28" i="5"/>
  <c r="BL20" i="5"/>
  <c r="BL12" i="5"/>
  <c r="BD38" i="5"/>
  <c r="BD39" i="5" s="1"/>
  <c r="BL2" i="5"/>
  <c r="BC2" i="5"/>
  <c r="BQ38" i="5"/>
  <c r="BQ39" i="5" s="1"/>
  <c r="CA38" i="5"/>
  <c r="CA39" i="5" s="1"/>
  <c r="F12" i="12"/>
  <c r="F40" i="12" s="1"/>
  <c r="D6" i="10"/>
  <c r="CB13" i="5"/>
  <c r="BL13" i="5"/>
  <c r="F75" i="12"/>
  <c r="F80" i="12" s="1"/>
  <c r="D14" i="7"/>
  <c r="AX49" i="5" l="1"/>
  <c r="AZ49" i="5"/>
  <c r="AZ50" i="5" s="1"/>
  <c r="AW49" i="5"/>
  <c r="AW50" i="5" s="1"/>
  <c r="BA49" i="5"/>
  <c r="E4" i="10"/>
  <c r="I4" i="10"/>
  <c r="G6" i="10"/>
  <c r="BX38" i="5"/>
  <c r="BX39" i="5" s="1"/>
  <c r="BL38" i="5"/>
  <c r="BL39" i="5" s="1"/>
  <c r="G4" i="10" s="1"/>
  <c r="G7" i="10" s="1"/>
  <c r="BO38" i="5"/>
  <c r="BO39" i="5" s="1"/>
  <c r="CB38" i="5"/>
  <c r="CB39" i="5" s="1"/>
  <c r="CB34" i="5"/>
  <c r="CB40" i="5" s="1"/>
  <c r="CB41" i="5" s="1"/>
  <c r="BP40" i="5"/>
  <c r="BP41" i="5" s="1"/>
  <c r="BC38" i="5"/>
  <c r="BC39" i="5" s="1"/>
  <c r="F6" i="10" s="1"/>
  <c r="BN40" i="5"/>
  <c r="BN41" i="5" s="1"/>
  <c r="BB38" i="5"/>
  <c r="BB39" i="5" s="1"/>
  <c r="J39" i="12"/>
  <c r="AA39" i="12"/>
  <c r="BN38" i="5"/>
  <c r="BN39" i="5" s="1"/>
  <c r="BZ2" i="5"/>
  <c r="BZ38" i="5" s="1"/>
  <c r="BZ39" i="5" s="1"/>
  <c r="G40" i="12"/>
  <c r="L12" i="12"/>
  <c r="J6" i="10"/>
  <c r="D7" i="10"/>
  <c r="D10" i="10" s="1"/>
  <c r="E7" i="10"/>
  <c r="F13" i="12"/>
  <c r="F16" i="12" s="1"/>
  <c r="F38" i="12"/>
  <c r="F41" i="12" s="1"/>
  <c r="G13" i="12"/>
  <c r="AA10" i="12"/>
  <c r="G38" i="12"/>
  <c r="AB10" i="9"/>
  <c r="BA50" i="5" l="1"/>
  <c r="M8" i="11"/>
  <c r="AX50" i="5"/>
  <c r="J8" i="11"/>
  <c r="I10" i="12"/>
  <c r="H12" i="12"/>
  <c r="H40" i="12" s="1"/>
  <c r="J40" i="12" s="1"/>
  <c r="L10" i="12"/>
  <c r="J4" i="10"/>
  <c r="AA38" i="12"/>
  <c r="G41" i="12"/>
  <c r="L40" i="12"/>
  <c r="AC39" i="12"/>
  <c r="AA45" i="12"/>
  <c r="AC45" i="12" s="1"/>
  <c r="J12" i="12"/>
  <c r="F4" i="10"/>
  <c r="H4" i="10" s="1"/>
  <c r="H10" i="12"/>
  <c r="F43" i="12"/>
  <c r="F44" i="12"/>
  <c r="F45" i="12"/>
  <c r="I38" i="12"/>
  <c r="I13" i="12"/>
  <c r="H6" i="10"/>
  <c r="AA11" i="9"/>
  <c r="AC11" i="9"/>
  <c r="AA10" i="9"/>
  <c r="BA52" i="5" l="1"/>
  <c r="M9" i="11"/>
  <c r="AX52" i="5"/>
  <c r="J9" i="11"/>
  <c r="AA44" i="12"/>
  <c r="F7" i="10"/>
  <c r="H13" i="12"/>
  <c r="H38" i="12"/>
  <c r="J10" i="12"/>
  <c r="J7" i="10"/>
  <c r="I41" i="12"/>
  <c r="L38" i="12"/>
  <c r="L13" i="12"/>
  <c r="AC10" i="9"/>
  <c r="BA58" i="5" l="1"/>
  <c r="M17" i="11" s="1"/>
  <c r="M11" i="11"/>
  <c r="J11" i="11"/>
  <c r="AX58" i="5"/>
  <c r="J17" i="11" s="1"/>
  <c r="J13" i="12"/>
  <c r="G15" i="12" s="1"/>
  <c r="H41" i="12"/>
  <c r="J38" i="12"/>
  <c r="J41" i="12" s="1"/>
  <c r="H7" i="10"/>
  <c r="E9" i="10" s="1"/>
  <c r="L41" i="12"/>
  <c r="E73" i="9"/>
  <c r="E72" i="9"/>
  <c r="F9" i="10" l="1"/>
  <c r="F10" i="10" s="1"/>
  <c r="I51" i="12"/>
  <c r="G51" i="12"/>
  <c r="H51" i="12"/>
  <c r="G9" i="10"/>
  <c r="G10" i="10" s="1"/>
  <c r="E10" i="10"/>
  <c r="G16" i="12"/>
  <c r="I15" i="12"/>
  <c r="I16" i="12" s="1"/>
  <c r="H15" i="12"/>
  <c r="H16" i="12" s="1"/>
  <c r="J79" i="9"/>
  <c r="J78" i="9"/>
  <c r="J77" i="9"/>
  <c r="H9" i="10" l="1"/>
  <c r="H10" i="10" s="1"/>
  <c r="H52" i="12"/>
  <c r="H56" i="12" s="1"/>
  <c r="H60" i="12" s="1"/>
  <c r="H43" i="12"/>
  <c r="G43" i="12"/>
  <c r="G52" i="12"/>
  <c r="G56" i="12" s="1"/>
  <c r="G60" i="12" s="1"/>
  <c r="J51" i="12"/>
  <c r="J52" i="12" s="1"/>
  <c r="J56" i="12" s="1"/>
  <c r="J60" i="12" s="1"/>
  <c r="J67" i="12" s="1"/>
  <c r="J15" i="12"/>
  <c r="J16" i="12" s="1"/>
  <c r="I52" i="12"/>
  <c r="I56" i="12" s="1"/>
  <c r="I60" i="12" s="1"/>
  <c r="I43" i="12"/>
  <c r="H63" i="9"/>
  <c r="J43" i="12" l="1"/>
  <c r="K43" i="12" s="1"/>
  <c r="L16" i="12"/>
  <c r="J10" i="10"/>
  <c r="H68" i="12"/>
  <c r="J68" i="12" s="1"/>
  <c r="M72" i="12"/>
  <c r="G73" i="12"/>
  <c r="I73" i="12" s="1"/>
  <c r="J73" i="12" s="1"/>
  <c r="G72" i="12"/>
  <c r="O72" i="12"/>
  <c r="I44" i="12"/>
  <c r="I67" i="12"/>
  <c r="I45" i="12" s="1"/>
  <c r="H67" i="12"/>
  <c r="H44" i="12"/>
  <c r="G67" i="12"/>
  <c r="G44" i="12"/>
  <c r="K8" i="9"/>
  <c r="J44" i="12" l="1"/>
  <c r="K44" i="12" s="1"/>
  <c r="H45" i="12"/>
  <c r="H75" i="12"/>
  <c r="H80" i="12" s="1"/>
  <c r="G45" i="12"/>
  <c r="G75" i="12"/>
  <c r="G80" i="12" s="1"/>
  <c r="I35" i="9"/>
  <c r="G63" i="9"/>
  <c r="I63" i="9" s="1"/>
  <c r="J45" i="12" l="1"/>
  <c r="K46" i="12"/>
  <c r="K45" i="12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2" i="5" l="1"/>
  <c r="CJ12" i="5" s="1"/>
  <c r="CH20" i="5"/>
  <c r="CJ20" i="5" s="1"/>
  <c r="CH28" i="5"/>
  <c r="CJ28" i="5" s="1"/>
  <c r="CH2" i="5"/>
  <c r="CH35" i="5"/>
  <c r="CH5" i="5"/>
  <c r="CJ5" i="5" s="1"/>
  <c r="CH13" i="5"/>
  <c r="CJ13" i="5" s="1"/>
  <c r="CH21" i="5"/>
  <c r="CJ21" i="5" s="1"/>
  <c r="CH29" i="5"/>
  <c r="CJ29" i="5" s="1"/>
  <c r="CH14" i="5"/>
  <c r="CJ14" i="5" s="1"/>
  <c r="CH22" i="5"/>
  <c r="CJ22" i="5" s="1"/>
  <c r="CH30" i="5"/>
  <c r="CJ30" i="5" s="1"/>
  <c r="CH7" i="5"/>
  <c r="CJ7" i="5" s="1"/>
  <c r="CH15" i="5"/>
  <c r="CJ15" i="5" s="1"/>
  <c r="CH23" i="5"/>
  <c r="CJ23" i="5" s="1"/>
  <c r="CH31" i="5"/>
  <c r="CK31" i="5" s="1"/>
  <c r="CK38" i="5" s="1"/>
  <c r="CK39" i="5" s="1"/>
  <c r="CH8" i="5"/>
  <c r="CJ8" i="5" s="1"/>
  <c r="CH16" i="5"/>
  <c r="CJ16" i="5" s="1"/>
  <c r="CH24" i="5"/>
  <c r="CJ24" i="5" s="1"/>
  <c r="CH32" i="5"/>
  <c r="CJ32" i="5" s="1"/>
  <c r="CH17" i="5"/>
  <c r="CJ17" i="5" s="1"/>
  <c r="CH25" i="5"/>
  <c r="CJ25" i="5" s="1"/>
  <c r="CH33" i="5"/>
  <c r="CJ33" i="5" s="1"/>
  <c r="CH27" i="5"/>
  <c r="CJ27" i="5" s="1"/>
  <c r="CH10" i="5"/>
  <c r="CJ10" i="5" s="1"/>
  <c r="CH18" i="5"/>
  <c r="CJ18" i="5" s="1"/>
  <c r="CH26" i="5"/>
  <c r="CJ26" i="5" s="1"/>
  <c r="CH3" i="5"/>
  <c r="CJ3" i="5" s="1"/>
  <c r="CH19" i="5"/>
  <c r="CJ19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35" i="5" l="1"/>
  <c r="CJ40" i="5" s="1"/>
  <c r="CJ41" i="5" s="1"/>
  <c r="CH40" i="5"/>
  <c r="CH41" i="5" s="1"/>
  <c r="M12" i="12"/>
  <c r="K6" i="10"/>
  <c r="L6" i="10" s="1"/>
  <c r="CJ2" i="5"/>
  <c r="CJ38" i="5" s="1"/>
  <c r="CJ39" i="5" s="1"/>
  <c r="CH38" i="5"/>
  <c r="CH39" i="5" s="1"/>
  <c r="F80" i="9"/>
  <c r="F45" i="9"/>
  <c r="N22" i="9"/>
  <c r="N21" i="9"/>
  <c r="H51" i="9"/>
  <c r="H43" i="9" s="1"/>
  <c r="I51" i="9"/>
  <c r="I43" i="9" s="1"/>
  <c r="M10" i="12" l="1"/>
  <c r="K4" i="10"/>
  <c r="M40" i="12"/>
  <c r="N40" i="12" s="1"/>
  <c r="N12" i="12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7" i="10" l="1"/>
  <c r="L4" i="10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M41" i="12" l="1"/>
  <c r="AB38" i="12"/>
  <c r="N38" i="12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CDEC4DD-5A21-4DB3-B338-79B67B73640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E0F3A45-533B-46D4-8155-9E56AC6C8A2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F879D65-B24F-4EA3-9A8E-AC7CF41D41E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5F7560A-A5B0-4B60-B775-1FAE09DAD22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197FD04-9F0C-46A8-8DC9-972ECC7B936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3BAA222-9277-4DD4-9707-BEDE521D43F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36B4327-921C-4F37-B6F9-F454A1619EF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4E425E8-DFFF-4B87-9106-9E02DF3B76F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94D85C0-15C6-438B-A9D6-DAB73CA7193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F2486403-2266-4104-A695-D2E578E47BD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<sst xmlns="http://schemas.openxmlformats.org/spreadsheetml/2006/main" count="1179" uniqueCount="439">
  <si>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</si>
  <si>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</si>
  <si>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</si>
  <si>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</si>
  <si>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</si>
  <si>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</si>
  <si>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</si>
  <si>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</si>
  <si>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</si>
  <si>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</si>
  <si>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</si>
  <si>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</si>
  <si>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</si>
  <si>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</si>
  <si>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</si>
  <si>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</si>
  <si>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</si>
  <si>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</si>
  <si>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</si>
  <si>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</si>
  <si>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</si>
  <si>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</si>
  <si>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</si>
  <si>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</si>
  <si>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</si>
  <si>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</si>
  <si>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</si>
  <si>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</si>
  <si>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</si>
  <si>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</si>
  <si>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</si>
  <si>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</si>
  <si>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</si>
  <si>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</si>
  <si>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</si>
  <si>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</si>
  <si>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</si>
  <si>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</si>
  <si>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</si>
  <si>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</si>
  <si>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</si>
  <si>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</si>
  <si>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</si>
  <si>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</si>
  <si>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</si>
  <si>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</si>
  <si>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</si>
  <si>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</si>
  <si>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</si>
  <si>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</si>
  <si>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</si>
  <si>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</si>
  <si>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</si>
  <si>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</si>
  <si>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</si>
  <si>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</si>
  <si>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</si>
  <si>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</si>
  <si>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</si>
  <si>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</si>
  <si>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</si>
  <si>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</si>
  <si>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</si>
  <si>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</si>
  <si>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</si>
  <si>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</si>
  <si>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</si>
  <si>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</si>
  <si>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</si>
  <si>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</si>
  <si>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</si>
  <si>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</si>
  <si>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</si>
  <si>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</si>
  <si>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</si>
  <si>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</si>
  <si>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</si>
  <si>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</si>
  <si>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</si>
  <si>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</si>
  <si>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</si>
  <si>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</si>
  <si>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</si>
  <si>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</si>
  <si>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</si>
  <si>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</si>
  <si>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</si>
  <si>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</si>
  <si>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</si>
  <si>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</si>
  <si>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</si>
  <si>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</si>
  <si>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</si>
  <si>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</si>
  <si>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</si>
  <si>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</si>
  <si>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</si>
  <si>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</si>
  <si>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</si>
  <si>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</si>
  <si>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</si>
  <si>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</si>
  <si>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</si>
  <si>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</si>
  <si>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</si>
  <si>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</si>
  <si>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</si>
  <si>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</si>
  <si>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</si>
  <si>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</si>
  <si>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</si>
  <si>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</si>
  <si>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</si>
  <si>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</si>
  <si>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</si>
  <si>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</si>
  <si>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</si>
  <si>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</si>
  <si>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</si>
  <si>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</si>
  <si>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</si>
  <si>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</si>
  <si>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</si>
  <si>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</si>
  <si>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</si>
  <si>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</si>
  <si>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</si>
  <si>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</si>
  <si>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</si>
  <si>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</si>
  <si>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</si>
  <si>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</si>
  <si>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</si>
  <si>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</si>
  <si>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</si>
  <si>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</si>
  <si>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</si>
  <si>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</si>
  <si>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</si>
  <si>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</si>
  <si>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</si>
  <si>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</si>
  <si>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</si>
  <si>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</si>
  <si>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</si>
  <si>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</si>
  <si>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</si>
  <si>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</si>
  <si>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</si>
  <si>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</si>
  <si>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</si>
  <si>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</si>
  <si>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</si>
  <si>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</si>
  <si>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</si>
  <si>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</si>
  <si>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</si>
  <si>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</si>
  <si>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</si>
  <si>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</si>
  <si>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</si>
  <si>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</si>
  <si>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</si>
  <si>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130</t>
  </si>
  <si>
    <t>0040</t>
  </si>
  <si>
    <t>IT DATABASE ADMIN AN</t>
  </si>
  <si>
    <t>0001</t>
  </si>
  <si>
    <t>00</t>
  </si>
  <si>
    <t>SSAA</t>
  </si>
  <si>
    <t>001</t>
  </si>
  <si>
    <t>01725</t>
  </si>
  <si>
    <t>K</t>
  </si>
  <si>
    <t>F</t>
  </si>
  <si>
    <t>NR</t>
  </si>
  <si>
    <t xml:space="preserve">CONTRERAS, ROGER </t>
  </si>
  <si>
    <t>CONTRERAS</t>
  </si>
  <si>
    <t>ROGER</t>
  </si>
  <si>
    <t xml:space="preserve">              </t>
  </si>
  <si>
    <t>00000</t>
  </si>
  <si>
    <t>H</t>
  </si>
  <si>
    <t>FS</t>
  </si>
  <si>
    <t>E</t>
  </si>
  <si>
    <t>N</t>
  </si>
  <si>
    <t>Y</t>
  </si>
  <si>
    <t xml:space="preserve">    </t>
  </si>
  <si>
    <t>0039</t>
  </si>
  <si>
    <t>IT SOFTWARE ENGINEER</t>
  </si>
  <si>
    <t>01715</t>
  </si>
  <si>
    <t>L</t>
  </si>
  <si>
    <t>PHAM, TAI T.</t>
  </si>
  <si>
    <t>PHAM</t>
  </si>
  <si>
    <t>TAI</t>
  </si>
  <si>
    <t>T</t>
  </si>
  <si>
    <t>9999</t>
  </si>
  <si>
    <t xml:space="preserve">TEMPORARY EMPLOYEES </t>
  </si>
  <si>
    <t>95000</t>
  </si>
  <si>
    <t>V</t>
  </si>
  <si>
    <t>NG</t>
  </si>
  <si>
    <t>0037</t>
  </si>
  <si>
    <t>FINANCIAL TECHNICIAN</t>
  </si>
  <si>
    <t>04248</t>
  </si>
  <si>
    <t>ERICKSEN, TIFFANY A.</t>
  </si>
  <si>
    <t>ERICKSEN</t>
  </si>
  <si>
    <t>TIFFANY</t>
  </si>
  <si>
    <t>ANN</t>
  </si>
  <si>
    <t>9995</t>
  </si>
  <si>
    <t>0036</t>
  </si>
  <si>
    <t xml:space="preserve">CUSTOMER SVC REP 2  </t>
  </si>
  <si>
    <t>01120</t>
  </si>
  <si>
    <t>FORREY, ANDREW J.</t>
  </si>
  <si>
    <t>FORREY</t>
  </si>
  <si>
    <t>ANDREW</t>
  </si>
  <si>
    <t>J</t>
  </si>
  <si>
    <t>0035</t>
  </si>
  <si>
    <t>KRISTENSEN, DONNA A.</t>
  </si>
  <si>
    <t>KRISTENSEN</t>
  </si>
  <si>
    <t>DONNA</t>
  </si>
  <si>
    <t>A</t>
  </si>
  <si>
    <t>0028</t>
  </si>
  <si>
    <t>0034</t>
  </si>
  <si>
    <t>HAWKINS, TYLER A.</t>
  </si>
  <si>
    <t>HAWKINS</t>
  </si>
  <si>
    <t>TYLER</t>
  </si>
  <si>
    <t>0025</t>
  </si>
  <si>
    <t xml:space="preserve">OFFICE SPECIALIST 2 </t>
  </si>
  <si>
    <t>01239</t>
  </si>
  <si>
    <t>G</t>
  </si>
  <si>
    <t>0033</t>
  </si>
  <si>
    <t>FINANCIAL SPECIALIST</t>
  </si>
  <si>
    <t>04246</t>
  </si>
  <si>
    <t>ABBOTT, KATHY L.</t>
  </si>
  <si>
    <t>ABBOTT</t>
  </si>
  <si>
    <t>KATHY</t>
  </si>
  <si>
    <t>LYNN</t>
  </si>
  <si>
    <t>0032</t>
  </si>
  <si>
    <t xml:space="preserve">DEP SEC OF STATE    </t>
  </si>
  <si>
    <t>22501</t>
  </si>
  <si>
    <t>HANCOCK, JASON A.</t>
  </si>
  <si>
    <t>HANCOCK</t>
  </si>
  <si>
    <t>JASON</t>
  </si>
  <si>
    <t>0031</t>
  </si>
  <si>
    <t>01726</t>
  </si>
  <si>
    <t xml:space="preserve">VANCE, RODGER </t>
  </si>
  <si>
    <t>VANCE</t>
  </si>
  <si>
    <t>RODGER</t>
  </si>
  <si>
    <t>0030</t>
  </si>
  <si>
    <t>IT INFO SECURITY ENG</t>
  </si>
  <si>
    <t>01733</t>
  </si>
  <si>
    <t>IRVIN, CLARK J.</t>
  </si>
  <si>
    <t>IRVIN</t>
  </si>
  <si>
    <t>CLARK</t>
  </si>
  <si>
    <t>0029</t>
  </si>
  <si>
    <t>IT OPS &amp; SUPPORT ANA</t>
  </si>
  <si>
    <t>01709</t>
  </si>
  <si>
    <t>CAHN, ROBERT M.</t>
  </si>
  <si>
    <t>CAHN</t>
  </si>
  <si>
    <t>ROBERT</t>
  </si>
  <si>
    <t>M</t>
  </si>
  <si>
    <t>0027</t>
  </si>
  <si>
    <t>01736</t>
  </si>
  <si>
    <t>O</t>
  </si>
  <si>
    <t>BRANDON, BRETT D.</t>
  </si>
  <si>
    <t>BRANDON</t>
  </si>
  <si>
    <t>BRETT</t>
  </si>
  <si>
    <t>D</t>
  </si>
  <si>
    <t>0026</t>
  </si>
  <si>
    <t>COMMUNICATIONS MANAG</t>
  </si>
  <si>
    <t>05581</t>
  </si>
  <si>
    <t>LOGAN, ROBERT L.</t>
  </si>
  <si>
    <t>LOGAN</t>
  </si>
  <si>
    <t>0024</t>
  </si>
  <si>
    <t>CRONYN, FOSTER C.</t>
  </si>
  <si>
    <t>CRONYN</t>
  </si>
  <si>
    <t>FOSTER</t>
  </si>
  <si>
    <t>C</t>
  </si>
  <si>
    <t>0023</t>
  </si>
  <si>
    <t xml:space="preserve">ELECTIONS ASSISTANT </t>
  </si>
  <si>
    <t>22506</t>
  </si>
  <si>
    <t xml:space="preserve">MILLARD, SHERYL </t>
  </si>
  <si>
    <t>MILLARD</t>
  </si>
  <si>
    <t>SHERYL</t>
  </si>
  <si>
    <t>0022</t>
  </si>
  <si>
    <t>LE TELLIER, MICHAEL J.</t>
  </si>
  <si>
    <t>LE TELLIER</t>
  </si>
  <si>
    <t>MICHAEL</t>
  </si>
  <si>
    <t>0021</t>
  </si>
  <si>
    <t>CHIEF DEP SEC OF STA</t>
  </si>
  <si>
    <t>22503</t>
  </si>
  <si>
    <t>HOUCK, CHAD A.</t>
  </si>
  <si>
    <t>HOUCK</t>
  </si>
  <si>
    <t>CHAD</t>
  </si>
  <si>
    <t>ALLEN</t>
  </si>
  <si>
    <t>0020</t>
  </si>
  <si>
    <t>ELECT SUNSHINE SPECI</t>
  </si>
  <si>
    <t>22511</t>
  </si>
  <si>
    <t>CARRERO, JAIR D.</t>
  </si>
  <si>
    <t>CARRERO</t>
  </si>
  <si>
    <t>JAIR</t>
  </si>
  <si>
    <t>22512</t>
  </si>
  <si>
    <t>0019</t>
  </si>
  <si>
    <t>ELECT SUNSHINE RECOR</t>
  </si>
  <si>
    <t>CASSIDY, GARRON C.</t>
  </si>
  <si>
    <t>CASSIDY</t>
  </si>
  <si>
    <t>GARRON</t>
  </si>
  <si>
    <t>0012</t>
  </si>
  <si>
    <t>04249</t>
  </si>
  <si>
    <t>I</t>
  </si>
  <si>
    <t>BROWN, CYNTHIA R.</t>
  </si>
  <si>
    <t>BROWN</t>
  </si>
  <si>
    <t>CYNTHIA</t>
  </si>
  <si>
    <t>R</t>
  </si>
  <si>
    <t>0010</t>
  </si>
  <si>
    <t xml:space="preserve">SHINE, RACHEL </t>
  </si>
  <si>
    <t>SHINE</t>
  </si>
  <si>
    <t>RACHEL</t>
  </si>
  <si>
    <t>0009</t>
  </si>
  <si>
    <t xml:space="preserve">BUSINESS DIRECTOR   </t>
  </si>
  <si>
    <t>22505</t>
  </si>
  <si>
    <t>HUNTER, KIMBERLY A.</t>
  </si>
  <si>
    <t>HUNTER</t>
  </si>
  <si>
    <t>KIMBERLY</t>
  </si>
  <si>
    <t>0008</t>
  </si>
  <si>
    <t>ADMINISTRATIVE ASSIS</t>
  </si>
  <si>
    <t>16005</t>
  </si>
  <si>
    <t>HUDDLESTON, AMILY M.</t>
  </si>
  <si>
    <t>HUDDLESTON</t>
  </si>
  <si>
    <t>AMILY</t>
  </si>
  <si>
    <t>0006</t>
  </si>
  <si>
    <t>BEATTY, TIFFANY L.</t>
  </si>
  <si>
    <t>BEATTY</t>
  </si>
  <si>
    <t>0002</t>
  </si>
  <si>
    <t xml:space="preserve">DIRECTOR GOVERNMENT </t>
  </si>
  <si>
    <t>22510</t>
  </si>
  <si>
    <t>MASON, LISA R.</t>
  </si>
  <si>
    <t>MASON</t>
  </si>
  <si>
    <t>LISA</t>
  </si>
  <si>
    <t>RAE</t>
  </si>
  <si>
    <t xml:space="preserve">SECRETARY OF STATE  </t>
  </si>
  <si>
    <t>22500</t>
  </si>
  <si>
    <t>DENNEY, LAWERENCE E.</t>
  </si>
  <si>
    <t>DENNEY</t>
  </si>
  <si>
    <t>LAWERENCE</t>
  </si>
  <si>
    <t>FE</t>
  </si>
  <si>
    <t>0043</t>
  </si>
  <si>
    <t>ELECTIONS OFFICE MAN</t>
  </si>
  <si>
    <t>22509</t>
  </si>
  <si>
    <t xml:space="preserve">DIZON  III, FELICISIMO </t>
  </si>
  <si>
    <t>DIZON  III</t>
  </si>
  <si>
    <t>FELICISIMO</t>
  </si>
  <si>
    <t>0042</t>
  </si>
  <si>
    <t>LAING, JUDY L.</t>
  </si>
  <si>
    <t>LAING</t>
  </si>
  <si>
    <t>JUDY</t>
  </si>
  <si>
    <t>7702</t>
  </si>
  <si>
    <t>COMMUNICATIONS SPECI</t>
  </si>
  <si>
    <t>0348</t>
  </si>
  <si>
    <t>27</t>
  </si>
  <si>
    <t>SSAF</t>
  </si>
  <si>
    <t>16054</t>
  </si>
  <si>
    <t>7703</t>
  </si>
  <si>
    <t xml:space="preserve">ELEC SECURITY/CYBER </t>
  </si>
  <si>
    <t>22515</t>
  </si>
  <si>
    <t>BRANDON, BLAKE D.</t>
  </si>
  <si>
    <t>BLAKE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</si>
  <si>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</si>
  <si>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</si>
  <si>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</si>
  <si>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</si>
  <si>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</si>
  <si>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</si>
  <si>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</si>
  <si>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</si>
  <si>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</si>
  <si>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</si>
  <si>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</si>
  <si>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</si>
  <si>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</si>
  <si>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</si>
  <si>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</si>
  <si>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</si>
  <si>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</si>
  <si>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</si>
  <si>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</si>
  <si>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</si>
  <si>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</si>
  <si>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</si>
  <si>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</si>
  <si>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</si>
  <si>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</si>
  <si>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</si>
  <si>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</si>
  <si>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</si>
  <si>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</si>
  <si>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</si>
  <si>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</si>
  <si>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</si>
  <si>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</si>
  <si>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</si>
  <si>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</si>
  <si>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</si>
  <si>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</si>
  <si>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</si>
  <si>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</si>
  <si>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</si>
  <si>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</si>
  <si>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</si>
  <si>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</si>
  <si>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</si>
  <si>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</si>
  <si>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</si>
  <si>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</si>
  <si>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</si>
  <si>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SSAA 0001-00</t>
  </si>
  <si>
    <t>SSAA 0001</t>
  </si>
  <si>
    <t>Secretary of State</t>
  </si>
  <si>
    <t>General</t>
  </si>
  <si>
    <t>0001-00</t>
  </si>
  <si>
    <t>10000</t>
  </si>
  <si>
    <t>Secretary of State, General   SSAA-0001-00</t>
  </si>
  <si>
    <t>SSAF 0348-27</t>
  </si>
  <si>
    <t>SSAF 0348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</si>
  <si>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</si>
  <si>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</si>
  <si>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</si>
  <si>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</si>
  <si>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</si>
  <si>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</si>
  <si>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</si>
  <si>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</si>
  <si>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Permanent Total</t>
  </si>
  <si>
    <t>Group</t>
  </si>
  <si>
    <t>Group Total</t>
  </si>
  <si>
    <t>Agency Fund Total</t>
  </si>
  <si>
    <t>DU 10.51 (Already added to Form)</t>
  </si>
  <si>
    <t xml:space="preserve">FY24 Needed Salary for the Secretary of State </t>
  </si>
  <si>
    <t>VB</t>
  </si>
  <si>
    <t>Rounded Salary</t>
  </si>
  <si>
    <t>Rounded VB</t>
  </si>
  <si>
    <t>Rounded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</si>
</sst>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  <numFmt numFmtId="186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495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0" fontId="5" fillId="0" borderId="6" xfId="0" applyFont="1" applyBorder="1"/>
    <xf numFmtId="0" fontId="5" fillId="0" borderId="7" xfId="0" applyFont="1" applyBorder="1"/>
    <xf numFmtId="0" fontId="5" fillId="0" borderId="15" xfId="0" applyFont="1" applyBorder="1"/>
    <xf numFmtId="186" fontId="5" fillId="0" borderId="11" xfId="8" applyNumberFormat="1" applyFont="1" applyBorder="1"/>
    <xf numFmtId="186" fontId="5" fillId="0" borderId="1" xfId="8" applyNumberFormat="1" applyFont="1" applyBorder="1"/>
    <xf numFmtId="186" fontId="5" fillId="0" borderId="14" xfId="8" applyNumberFormat="1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186" fontId="5" fillId="0" borderId="9" xfId="8" applyNumberFormat="1" applyFont="1" applyBorder="1"/>
    <xf numFmtId="186" fontId="5" fillId="0" borderId="0" xfId="8" applyNumberFormat="1" applyFont="1" applyBorder="1"/>
    <xf numFmtId="186" fontId="5" fillId="0" borderId="10" xfId="8" applyNumberFormat="1" applyFont="1" applyBorder="1"/>
  </cellXfs>
  <cellStyles count="9">
    <cellStyle name="Comma" xfId="5" builtinId="3"/>
    <cellStyle name="Comma 2" xfId="2" xr:uid="{00000000-0005-0000-0000-000001000000}"/>
    <cellStyle name="Currency" xfId="8" builtinId="4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562F-6CFD-4483-9FB8-889C76D7EFA9}">
  <sheetPr codeName="Sheet6">
    <pageSetUpPr fitToPage="1"/>
  </sheetPr>
  <dimension ref="A1:CP80"/>
  <sheetViews>
    <sheetView showGridLines="0" tabSelected="1" topLeftCell="A49" zoomScaleNormal="100" workbookViewId="0">
      <selection activeCell="P71" sqref="P71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414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130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414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417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414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415</v>
      </c>
      <c r="J5" s="412"/>
      <c r="K5" s="412"/>
      <c r="L5" s="411"/>
      <c r="M5" s="352" t="s">
        <v>113</v>
      </c>
      <c r="N5" s="32" t="s">
        <v>416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"&amp;'SSAA|0001-00'!FiscalYear-1&amp;" SALARY"</f>
        <v>FY 2023 SALARY</v>
      </c>
      <c r="H8" s="50" t="str">
        <f>"FY "&amp;'SSAA|0001-00'!FiscalYear-1&amp;" HEALTH BENEFITS"</f>
        <v>FY 2023 HEALTH BENEFITS</v>
      </c>
      <c r="I8" s="50" t="str">
        <f>"FY "&amp;'SSAA|0001-00'!FiscalYear-1&amp;" VAR BENEFITS"</f>
        <v>FY 2023 VAR BENEFITS</v>
      </c>
      <c r="J8" s="50" t="str">
        <f>"FY "&amp;'SSAA|0001-00'!FiscalYear-1&amp;" TOTAL"</f>
        <v>FY 2023 TOTAL</v>
      </c>
      <c r="K8" s="50" t="str">
        <f>"FY "&amp;'SSAA|0001-00'!FiscalYear&amp;" SALARY CHANGE"</f>
        <v>FY 2024 SALARY CHANGE</v>
      </c>
      <c r="L8" s="50" t="str">
        <f>"FY "&amp;'SSAA|0001-00'!FiscalYear&amp;" CHG HEALTH BENEFITS"</f>
        <v>FY 2024 CHG HEALTH BENEFITS</v>
      </c>
      <c r="M8" s="50" t="str">
        <f>"FY "&amp;'SSAA|0001-00'!FiscalYear&amp;"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[0]!SSAA000100col_INC_FTI</f>
        <v>27</v>
      </c>
      <c r="G10" s="218">
        <f>[0]!SSAA000100col_FTI_SALARY_PERM</f>
        <v>1638478.4000000004</v>
      </c>
      <c r="H10" s="218">
        <f>[0]!SSAA000100col_HEALTH_PERM</f>
        <v>337500</v>
      </c>
      <c r="I10" s="218">
        <f>[0]!SSAA000100col_TOT_VB_PERM</f>
        <v>335740.60894399992</v>
      </c>
      <c r="J10" s="219">
        <f>SUM(G10:I10)</f>
        <v>2311719.0089440001</v>
      </c>
      <c r="K10" s="219">
        <f>[0]!SSAA000100col_1_27TH_PP</f>
        <v>0</v>
      </c>
      <c r="L10" s="218">
        <f>[0]!SSAA000100col_HEALTH_PERM_CHG</f>
        <v>33750</v>
      </c>
      <c r="M10" s="218">
        <f>[0]!SSAA000100col_TOT_VB_PERM_CHG</f>
        <v>-12124.740160000014</v>
      </c>
      <c r="N10" s="218">
        <f>SUM(L10:M10)</f>
        <v>21625.259839999984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16400</v>
      </c>
      <c r="AB10" s="335">
        <f>ROUND(PermVarBen*CECPerm+(CECPerm*PermVarBenChg),-2)</f>
        <v>3200</v>
      </c>
      <c r="AC10" s="335">
        <f>SUM(AA10:AB10)</f>
        <v>19600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[0]!SSAA000100col_Group_Salary</f>
        <v>0</v>
      </c>
      <c r="H11" s="218">
        <v>0</v>
      </c>
      <c r="I11" s="218">
        <f>[0]!SSAA000100col_Group_Ben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[0]!SSAA000100col_TOTAL_ELECT_PCN_FTI</f>
        <v>1</v>
      </c>
      <c r="G12" s="218">
        <f>[0]!SSAA000100col_FTI_SALARY_ELECT</f>
        <v>117556.7</v>
      </c>
      <c r="H12" s="218">
        <f>[0]!SSAA000100col_HEALTH_ELECT</f>
        <v>12500</v>
      </c>
      <c r="I12" s="218">
        <f>[0]!SSAA000100col_TOT_VB_ELECT</f>
        <v>24088.543397000001</v>
      </c>
      <c r="J12" s="219">
        <f>SUM(G12:I12)</f>
        <v>154145.24339700001</v>
      </c>
      <c r="K12" s="268"/>
      <c r="L12" s="218">
        <f>[0]!SSAA000100col_HEALTH_ELECT_CHG</f>
        <v>1250</v>
      </c>
      <c r="M12" s="218">
        <f>[0]!SSAA000100col_TOT_VB_ELECT_CHG</f>
        <v>-869.91958000000113</v>
      </c>
      <c r="N12" s="219">
        <f>SUM(L12:M12)</f>
        <v>380.08041999999887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28</v>
      </c>
      <c r="G13" s="221">
        <f>SUM(G10:G12)</f>
        <v>1756035.1000000003</v>
      </c>
      <c r="H13" s="221">
        <f>SUM(H10:H12)</f>
        <v>350000</v>
      </c>
      <c r="I13" s="221">
        <f>SUM(I10:I12)</f>
        <v>359829.15234099992</v>
      </c>
      <c r="J13" s="219">
        <f>SUM(G13:I13)</f>
        <v>2465864.2523410004</v>
      </c>
      <c r="K13" s="268"/>
      <c r="L13" s="219">
        <f>SUM(L10:L12)</f>
        <v>35000</v>
      </c>
      <c r="M13" s="219">
        <f>SUM(M10:M12)</f>
        <v>-12994.659740000016</v>
      </c>
      <c r="N13" s="219">
        <f>SUM(N10:N12)</f>
        <v>22005.340259999983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"&amp;'SSAA|0001-00'!FiscalYear-1</f>
        <v>FY 2023</v>
      </c>
      <c r="D15" s="158" t="s">
        <v>31</v>
      </c>
      <c r="E15" s="355">
        <v>2583300</v>
      </c>
      <c r="F15" s="55">
        <v>29</v>
      </c>
      <c r="G15" s="223">
        <f>IF(OrigApprop=0,0,(G13/$J$13)*OrigApprop)</f>
        <v>1839665.5328951476</v>
      </c>
      <c r="H15" s="223">
        <f>IF(OrigApprop=0,0,(H13/$J$13)*OrigApprop)</f>
        <v>366668.60275930783</v>
      </c>
      <c r="I15" s="223">
        <f>IF(G15=0,0,(I13/$J$13)*OrigApprop)</f>
        <v>376965.86434554454</v>
      </c>
      <c r="J15" s="223">
        <f>SUM(G15:I15)</f>
        <v>2583300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1</v>
      </c>
      <c r="G16" s="162">
        <f>G15-G13</f>
        <v>83630.432895147242</v>
      </c>
      <c r="H16" s="162">
        <f>H15-H13</f>
        <v>16668.602759307832</v>
      </c>
      <c r="I16" s="162">
        <f>I15-I13</f>
        <v>17136.712004544621</v>
      </c>
      <c r="J16" s="162">
        <f>J15-J13</f>
        <v>117435.74765899964</v>
      </c>
      <c r="K16" s="269"/>
      <c r="L16" s="56" t="str">
        <f>IF('SSAA|0001-00'!OrigApprop=0,"No Original Appropriation amount in DU 3.00 for this fund","Calculated "&amp;IF('SSAA|0001-00'!AdjustedTotal&gt;0,"overfunding ","underfunding ")&amp;"is "&amp;TEXT('SSAA|0001-00'!AdjustedTotal/'SSAA|0001-00'!AppropTotal,"#.0%;(#.0% );0% ;")&amp;" of Original Appropriation")</f>
        <v>Calculated overfunding is 4.5%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27</v>
      </c>
      <c r="G38" s="191">
        <f>SUMIF($E10:$E35,$E38,$G10:$G35)</f>
        <v>1638478.4000000004</v>
      </c>
      <c r="H38" s="192">
        <f>SUMIF($E10:$E35,$E38,$H10:$H35)</f>
        <v>337500</v>
      </c>
      <c r="I38" s="192">
        <f>SUMIF($E10:$E35,$E38,$I10:$I35)</f>
        <v>335740.60894399992</v>
      </c>
      <c r="J38" s="192">
        <f>SUM(G38:I38)</f>
        <v>2311719.0089440001</v>
      </c>
      <c r="K38" s="166"/>
      <c r="L38" s="191">
        <f>SUMIF($E10:$E35,$E38,$L10:$L35)</f>
        <v>33750</v>
      </c>
      <c r="M38" s="192">
        <f>SUMIF($E10:$E35,$E38,$M10:$M35)</f>
        <v>-12124.740160000014</v>
      </c>
      <c r="N38" s="192">
        <f>SUM(L38:M38)</f>
        <v>21625.259839999984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16400</v>
      </c>
      <c r="AB38" s="338">
        <f>ROUND((AdjPermVB*CECPerm+AdjPermVBBY*CECPerm),-2)</f>
        <v>3200</v>
      </c>
      <c r="AC38" s="338">
        <f>SUM(AA38:AB38)</f>
        <v>19600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1</v>
      </c>
      <c r="G40" s="193">
        <f>SUMIF($E10:$E35,$E40,$G10:$G35)</f>
        <v>117556.7</v>
      </c>
      <c r="H40" s="152">
        <f>SUMIF($E10:$E35,$E40,$H10:$H35)</f>
        <v>12500</v>
      </c>
      <c r="I40" s="152">
        <f>SUMIF($E10:$E35,$E40,$I10:$I35)</f>
        <v>24088.543397000001</v>
      </c>
      <c r="J40" s="152">
        <f>SUM(G40:I40)</f>
        <v>154145.24339700001</v>
      </c>
      <c r="K40" s="259"/>
      <c r="L40" s="193">
        <f>SUMIF($E10:$E35,$E40,$L10:$L35)</f>
        <v>1250</v>
      </c>
      <c r="M40" s="152">
        <f>SUMIF($E10:$E35,$E40,$M10:$M35)</f>
        <v>-869.91958000000113</v>
      </c>
      <c r="N40" s="152">
        <f>SUM(L40:M40)</f>
        <v>380.08041999999887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28</v>
      </c>
      <c r="G41" s="195">
        <f>SUM($G$38:$G$40)</f>
        <v>1756035.1000000003</v>
      </c>
      <c r="H41" s="162">
        <f>SUM($H$38:$H$40)</f>
        <v>350000</v>
      </c>
      <c r="I41" s="162">
        <f>SUM($I$38:$I$40)</f>
        <v>359829.15234099992</v>
      </c>
      <c r="J41" s="162">
        <f>SUM($J$38:$J$40)</f>
        <v>2465864.2523410004</v>
      </c>
      <c r="K41" s="259"/>
      <c r="L41" s="195">
        <f>SUM($L$38:$L$40)</f>
        <v>35000</v>
      </c>
      <c r="M41" s="162">
        <f>SUM($M$38:$M$40)</f>
        <v>-12994.659740000016</v>
      </c>
      <c r="N41" s="162">
        <f>SUM(L41:M41)</f>
        <v>22005.340259999983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1</v>
      </c>
      <c r="G43" s="206">
        <f>G51-G41</f>
        <v>83630.432895147242</v>
      </c>
      <c r="H43" s="159">
        <f>H51-H41</f>
        <v>16668.602759307832</v>
      </c>
      <c r="I43" s="159">
        <f>I51-I41</f>
        <v>17136.712004544621</v>
      </c>
      <c r="J43" s="159">
        <f>SUM(G43:I43)</f>
        <v>117435.74765899969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4.5%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1</v>
      </c>
      <c r="G44" s="206">
        <f>G60-G41</f>
        <v>83664.899999999674</v>
      </c>
      <c r="H44" s="159">
        <f>H60-H41</f>
        <v>16700</v>
      </c>
      <c r="I44" s="159">
        <f>I60-I41</f>
        <v>17170.847659000079</v>
      </c>
      <c r="J44" s="159">
        <f>SUM(G44:I44)</f>
        <v>117535.74765899975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4.5%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>
        <f>G67-G41-G63</f>
        <v>83664.899999999674</v>
      </c>
      <c r="H45" s="206">
        <f>H67-H41-H63</f>
        <v>16700</v>
      </c>
      <c r="I45" s="206">
        <f>I67-I41-I63</f>
        <v>17170.847659000079</v>
      </c>
      <c r="J45" s="159">
        <f>SUM(G45:I45)</f>
        <v>117535.74765899975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4.5%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2583300</v>
      </c>
      <c r="F51" s="272">
        <f>AppropFTP</f>
        <v>29</v>
      </c>
      <c r="G51" s="274">
        <f>IF(E51=0,0,(G41/$J$41)*$E$51)</f>
        <v>1839665.5328951476</v>
      </c>
      <c r="H51" s="274">
        <f>IF(E51=0,0,(H41/$J$41)*$E$51)</f>
        <v>366668.60275930783</v>
      </c>
      <c r="I51" s="275">
        <f>IF(E51=0,0,(I41/$J$41)*$E$51)</f>
        <v>376965.86434554454</v>
      </c>
      <c r="J51" s="90">
        <f>SUM(G51:I51)</f>
        <v>2583300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29</v>
      </c>
      <c r="G52" s="79">
        <f>ROUND(G51,-2)</f>
        <v>1839700</v>
      </c>
      <c r="H52" s="79">
        <f>ROUND(H51,-2)</f>
        <v>366700</v>
      </c>
      <c r="I52" s="266">
        <f>ROUND(I51,-2)</f>
        <v>377000</v>
      </c>
      <c r="J52" s="80">
        <f>ROUND(J51,-2)</f>
        <v>2583300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29</v>
      </c>
      <c r="G56" s="80">
        <f>SUM(G52:G55)</f>
        <v>1839700</v>
      </c>
      <c r="H56" s="80">
        <f>SUM(H52:H55)</f>
        <v>366700</v>
      </c>
      <c r="I56" s="260">
        <f>SUM(I52:I55)</f>
        <v>377000</v>
      </c>
      <c r="J56" s="80">
        <f>SUM(J52:J55)</f>
        <v>2583300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29</v>
      </c>
      <c r="G60" s="80">
        <f>SUM(G56:G59)</f>
        <v>1839700</v>
      </c>
      <c r="H60" s="80">
        <f>SUM(H56:H59)</f>
        <v>366700</v>
      </c>
      <c r="I60" s="260">
        <f>SUM(I56:I59)</f>
        <v>377000</v>
      </c>
      <c r="J60" s="80">
        <f>SUM(J56:J59)</f>
        <v>2583300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29</v>
      </c>
      <c r="G67" s="80">
        <f>SUM(G60:G64)</f>
        <v>1839700</v>
      </c>
      <c r="H67" s="80">
        <f>SUM(H60:H64)</f>
        <v>366700</v>
      </c>
      <c r="I67" s="80">
        <f>SUM(I60:I64)</f>
        <v>377000</v>
      </c>
      <c r="J67" s="80">
        <f>SUM(J60:J64)</f>
        <v>2583300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35000</v>
      </c>
      <c r="I68" s="113"/>
      <c r="J68" s="287">
        <f>SUM(G68:I68)</f>
        <v>35000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-13000</v>
      </c>
      <c r="J69" s="287">
        <f>SUM(G69:I69)</f>
        <v>-13000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>
        <v>3</v>
      </c>
      <c r="F71" s="288"/>
      <c r="G71" s="92">
        <v>5600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1100</v>
      </c>
      <c r="J71" s="113">
        <f t="shared" ref="J71:J74" si="11">SUM(G71:I71)</f>
        <v>6700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16400</v>
      </c>
      <c r="H72" s="287"/>
      <c r="I72" s="287">
        <f>ROUND(($G72*PermVBBY+$G72*Retire1BY),-2)</f>
        <v>3200</v>
      </c>
      <c r="J72" s="113">
        <f>SUM(G72:I72)</f>
        <v>19600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29</v>
      </c>
      <c r="G75" s="80">
        <f>SUM(G67:G74)</f>
        <v>1861700</v>
      </c>
      <c r="H75" s="80">
        <f>SUM(H67:H74)</f>
        <v>401700</v>
      </c>
      <c r="I75" s="80">
        <f>SUM(I67:I74)</f>
        <v>368300</v>
      </c>
      <c r="J75" s="80">
        <f>SUM(J67:K74)</f>
        <v>2631600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29</v>
      </c>
      <c r="G80" s="80">
        <f>SUM(G75:G79)</f>
        <v>1861700</v>
      </c>
      <c r="H80" s="80">
        <f>SUM(H75:H79)</f>
        <v>401700</v>
      </c>
      <c r="I80" s="80">
        <f>SUM(I75:I79)</f>
        <v>368300</v>
      </c>
      <c r="J80" s="80">
        <f>SUM(J75:J79)</f>
        <v>2631600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6" priority="8">
      <formula>$J$44&lt;0</formula>
    </cfRule>
  </conditionalFormatting>
  <conditionalFormatting sqref="K43">
    <cfRule type="expression" dxfId="15" priority="7">
      <formula>$J$43&lt;0</formula>
    </cfRule>
  </conditionalFormatting>
  <conditionalFormatting sqref="L16">
    <cfRule type="expression" dxfId="14" priority="6">
      <formula>$J$16&lt;0</formula>
    </cfRule>
  </conditionalFormatting>
  <conditionalFormatting sqref="K45">
    <cfRule type="expression" dxfId="13" priority="5">
      <formula>$J$44&lt;0</formula>
    </cfRule>
  </conditionalFormatting>
  <conditionalFormatting sqref="K43:N45">
    <cfRule type="containsText" dxfId="12" priority="4" operator="containsText" text="underfunding">
      <formula>NOT(ISERROR(SEARCH("underfunding",K43)))</formula>
    </cfRule>
  </conditionalFormatting>
  <conditionalFormatting sqref="K44">
    <cfRule type="expression" dxfId="11" priority="3">
      <formula>$J$44&lt;0</formula>
    </cfRule>
  </conditionalFormatting>
  <conditionalFormatting sqref="K45">
    <cfRule type="expression" dxfId="10" priority="2">
      <formula>$J$44&lt;0</formula>
    </cfRule>
  </conditionalFormatting>
  <conditionalFormatting sqref="K45">
    <cfRule type="expression" dxfId="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AD092-FBCF-4AEE-B34C-72F9AEBB04B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S58"/>
  <sheetViews>
    <sheetView workbookViewId="0">
      <pane xSplit="3" ySplit="1" topLeftCell="BG38" activePane="bottomRight" state="frozen"/>
      <selection pane="topRight" activeCell="D1" sqref="D1"/>
      <selection pane="bottomLeft" activeCell="A2" sqref="A2"/>
      <selection pane="bottomRight" activeCell="AS49" sqref="AS49:BA58"/>
    </sheetView>
  </sheetViews>
  <sheetFormatPr defaultRowHeight="15" x14ac:dyDescent="0.25"/>
  <cols>
    <col min="45" max="53" width="15.7109375" customWidth="1"/>
    <col min="54" max="54" width="12" bestFit="1" customWidth="1"/>
    <col min="55" max="55" width="10.85546875" bestFit="1" customWidth="1"/>
    <col min="56" max="56" width="12" bestFit="1" customWidth="1"/>
    <col min="57" max="57" width="10.85546875" bestFit="1" customWidth="1"/>
    <col min="58" max="58" width="12" bestFit="1" customWidth="1"/>
    <col min="59" max="59" width="10.85546875" bestFit="1" customWidth="1"/>
    <col min="60" max="61" width="9.28515625" bestFit="1" customWidth="1"/>
    <col min="62" max="62" width="9.7109375" bestFit="1" customWidth="1"/>
    <col min="63" max="63" width="9.28515625" bestFit="1" customWidth="1"/>
    <col min="64" max="64" width="12" bestFit="1" customWidth="1"/>
    <col min="65" max="65" width="10.85546875" bestFit="1" customWidth="1"/>
    <col min="66" max="66" width="12" bestFit="1" customWidth="1"/>
    <col min="67" max="67" width="10.85546875" bestFit="1" customWidth="1"/>
    <col min="68" max="68" width="12" bestFit="1" customWidth="1"/>
    <col min="69" max="69" width="10.85546875" bestFit="1" customWidth="1"/>
    <col min="70" max="70" width="12" bestFit="1" customWidth="1"/>
    <col min="71" max="71" width="10.855468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2" bestFit="1" customWidth="1"/>
    <col min="77" max="78" width="10.85546875" bestFit="1" customWidth="1"/>
    <col min="79" max="79" width="9.7109375" bestFit="1" customWidth="1"/>
    <col min="80" max="81" width="9.28515625" bestFit="1" customWidth="1"/>
    <col min="82" max="82" width="11.5703125" bestFit="1" customWidth="1"/>
    <col min="83" max="87" width="9.28515625" bestFit="1" customWidth="1"/>
    <col min="88" max="88" width="11.5703125" bestFit="1" customWidth="1"/>
    <col min="89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364</v>
      </c>
      <c r="AT1" s="387" t="s">
        <v>365</v>
      </c>
      <c r="AU1" s="387" t="s">
        <v>366</v>
      </c>
      <c r="AV1" s="387" t="s">
        <v>367</v>
      </c>
      <c r="AW1" s="387" t="s">
        <v>368</v>
      </c>
      <c r="AX1" s="387" t="s">
        <v>369</v>
      </c>
      <c r="AY1" s="387" t="s">
        <v>370</v>
      </c>
      <c r="AZ1" s="387" t="s">
        <v>371</v>
      </c>
      <c r="BA1" s="389" t="s">
        <v>372</v>
      </c>
      <c r="BB1" s="390" t="s">
        <v>373</v>
      </c>
      <c r="BC1" s="390" t="s">
        <v>374</v>
      </c>
      <c r="BD1" s="390" t="s">
        <v>375</v>
      </c>
      <c r="BE1" s="390" t="s">
        <v>376</v>
      </c>
      <c r="BF1" s="390" t="s">
        <v>377</v>
      </c>
      <c r="BG1" s="390" t="s">
        <v>378</v>
      </c>
      <c r="BH1" s="390" t="s">
        <v>379</v>
      </c>
      <c r="BI1" s="390" t="s">
        <v>380</v>
      </c>
      <c r="BJ1" s="390" t="s">
        <v>381</v>
      </c>
      <c r="BK1" s="390" t="s">
        <v>382</v>
      </c>
      <c r="BL1" s="391" t="s">
        <v>383</v>
      </c>
      <c r="BM1" s="391" t="s">
        <v>384</v>
      </c>
      <c r="BN1" s="390" t="s">
        <v>385</v>
      </c>
      <c r="BO1" s="390" t="s">
        <v>386</v>
      </c>
      <c r="BP1" s="390" t="s">
        <v>387</v>
      </c>
      <c r="BQ1" s="390" t="s">
        <v>388</v>
      </c>
      <c r="BR1" s="390" t="s">
        <v>389</v>
      </c>
      <c r="BS1" s="390" t="s">
        <v>390</v>
      </c>
      <c r="BT1" s="390" t="s">
        <v>391</v>
      </c>
      <c r="BU1" s="390" t="s">
        <v>392</v>
      </c>
      <c r="BV1" s="390" t="s">
        <v>393</v>
      </c>
      <c r="BW1" s="390" t="s">
        <v>394</v>
      </c>
      <c r="BX1" s="391" t="s">
        <v>395</v>
      </c>
      <c r="BY1" s="391" t="s">
        <v>396</v>
      </c>
      <c r="BZ1" s="390" t="s">
        <v>397</v>
      </c>
      <c r="CA1" s="390" t="s">
        <v>398</v>
      </c>
      <c r="CB1" s="390" t="s">
        <v>399</v>
      </c>
      <c r="CC1" s="390" t="s">
        <v>400</v>
      </c>
      <c r="CD1" s="390" t="s">
        <v>401</v>
      </c>
      <c r="CE1" s="390" t="s">
        <v>402</v>
      </c>
      <c r="CF1" s="390" t="s">
        <v>403</v>
      </c>
      <c r="CG1" s="390" t="s">
        <v>404</v>
      </c>
      <c r="CH1" s="390" t="s">
        <v>405</v>
      </c>
      <c r="CI1" s="390" t="s">
        <v>406</v>
      </c>
      <c r="CJ1" s="391" t="s">
        <v>407</v>
      </c>
      <c r="CK1" s="391" t="s">
        <v>408</v>
      </c>
      <c r="CL1" s="392" t="s">
        <v>409</v>
      </c>
      <c r="CM1" s="392" t="s">
        <v>410</v>
      </c>
      <c r="CN1" s="392" t="s">
        <v>411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47232.01</v>
      </c>
      <c r="U2" s="381">
        <v>452.3</v>
      </c>
      <c r="V2" s="381">
        <v>21653.82</v>
      </c>
      <c r="W2" s="381">
        <v>50128</v>
      </c>
      <c r="X2" s="381">
        <v>22771.71</v>
      </c>
      <c r="Y2" s="381">
        <v>50128</v>
      </c>
      <c r="Z2" s="381">
        <v>23650.76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24.1</v>
      </c>
      <c r="AI2" s="382">
        <v>6368.6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184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IF(AT2=0,"",IF(AND(AT2=1,M2="F",SUMIF(C2:C35,C2,AS2:AS35)&lt;=1),SUMIF(C2:C35,C2,AS2:AS35),IF(AND(AT2=1,M2="F",SUMIF(C2:C35,C2,AS2:AS35)&gt;1),1,"")))</f>
        <v>1</v>
      </c>
      <c r="AV2" s="388" t="str">
        <f>IF(AT2=0,"",IF(AND(AT2=3,M2="F",SUMIF(C2:C35,C2,AS2:AS35)&lt;=1),SUMIF(C2:C35,C2,AS2:AS35),IF(AND(AT2=3,M2="F",SUMIF(C2:C35,C2,AS2:AS35)&gt;1),1,"")))</f>
        <v/>
      </c>
      <c r="AW2" s="388">
        <f>SUMIF(C2:C35,C2,O2:O35)</f>
        <v>1</v>
      </c>
      <c r="AX2" s="388">
        <f>IF(AND(M2="F",AS2&lt;&gt;0),SUMIF(C2:C35,C2,W2:W35),0)</f>
        <v>50128</v>
      </c>
      <c r="AY2" s="388">
        <f>IF(AT2=1,W2,"")</f>
        <v>50128</v>
      </c>
      <c r="AZ2" s="388" t="str">
        <f>IF(AT2=3,W2,"")</f>
        <v/>
      </c>
      <c r="BA2" s="388">
        <f>IF(AT2=1,Y2-W2,0)</f>
        <v>0</v>
      </c>
      <c r="BB2" s="388">
        <f t="shared" ref="BB2:BB35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35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35" si="2">IF(AND(AT2&lt;&gt;0,AX2&gt;=MAXSSDI),SSDI*MAXSSDI*P2,IF(AT2&lt;&gt;0,SSDI*W2,0))</f>
        <v>3107.9360000000001</v>
      </c>
      <c r="BE2" s="388">
        <f t="shared" ref="BE2:BE35" si="3">IF(AT2&lt;&gt;0,SSHI*W2,0)</f>
        <v>726.85599999999999</v>
      </c>
      <c r="BF2" s="388">
        <f t="shared" ref="BF2:BF35" si="4">IF(AND(AT2&lt;&gt;0,AN2&lt;&gt;"NE"),VLOOKUP(AN2,Retirement_Rates,3,FALSE)*W2,0)</f>
        <v>5985.2832000000008</v>
      </c>
      <c r="BG2" s="388">
        <f t="shared" ref="BG2:BG35" si="5">IF(AND(AT2&lt;&gt;0,AJ2&lt;&gt;"PF"),Life*W2,0)</f>
        <v>361.42288000000002</v>
      </c>
      <c r="BH2" s="388">
        <f t="shared" ref="BH2:BH35" si="6">IF(AND(AT2&lt;&gt;0,AM2="Y"),UI*W2,0)</f>
        <v>0</v>
      </c>
      <c r="BI2" s="388">
        <f t="shared" ref="BI2:BI35" si="7">IF(AND(AT2&lt;&gt;0,N2&lt;&gt;"NR"),DHR*W2,0)</f>
        <v>0</v>
      </c>
      <c r="BJ2" s="388">
        <f t="shared" ref="BJ2:BJ35" si="8">IF(AT2&lt;&gt;0,WC*W2,0)</f>
        <v>90.230400000000003</v>
      </c>
      <c r="BK2" s="388">
        <f t="shared" ref="BK2:BK35" si="9">IF(OR(AND(AT2&lt;&gt;0,AJ2&lt;&gt;"PF",AN2&lt;&gt;"NE",AG2&lt;&gt;"A"),AND(AL2="E",OR(AT2=1,AT2=3))),Sick*W2,0)</f>
        <v>0</v>
      </c>
      <c r="BL2" s="388">
        <f>IF(AT2=1,SUM(BD2:BK2),0)</f>
        <v>10271.728480000002</v>
      </c>
      <c r="BM2" s="388">
        <f>IF(AT2=3,SUM(BD2:BK2),0)</f>
        <v>0</v>
      </c>
      <c r="BN2" s="388">
        <f t="shared" ref="BN2:BN35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35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35" si="12">IF(AND(AT2&lt;&gt;0,(AX2+BA2)&gt;=MAXSSDIBY),SSDIBY*MAXSSDIBY*P2,IF(AT2&lt;&gt;0,SSDIBY*W2,0))</f>
        <v>3107.9360000000001</v>
      </c>
      <c r="BQ2" s="388">
        <f t="shared" ref="BQ2:BQ35" si="13">IF(AT2&lt;&gt;0,SSHIBY*W2,0)</f>
        <v>726.85599999999999</v>
      </c>
      <c r="BR2" s="388">
        <f t="shared" ref="BR2:BR35" si="14">IF(AND(AT2&lt;&gt;0,AN2&lt;&gt;"NE"),VLOOKUP(AN2,Retirement_Rates,4,FALSE)*W2,0)</f>
        <v>5604.3103999999994</v>
      </c>
      <c r="BS2" s="388">
        <f t="shared" ref="BS2:BS35" si="15">IF(AND(AT2&lt;&gt;0,AJ2&lt;&gt;"PF"),LifeBY*W2,0)</f>
        <v>361.42288000000002</v>
      </c>
      <c r="BT2" s="388">
        <f t="shared" ref="BT2:BT35" si="16">IF(AND(AT2&lt;&gt;0,AM2="Y"),UIBY*W2,0)</f>
        <v>0</v>
      </c>
      <c r="BU2" s="388">
        <f t="shared" ref="BU2:BU35" si="17">IF(AND(AT2&lt;&gt;0,N2&lt;&gt;"NR"),DHRBY*W2,0)</f>
        <v>0</v>
      </c>
      <c r="BV2" s="388">
        <f t="shared" ref="BV2:BV35" si="18">IF(AT2&lt;&gt;0,WCBY*W2,0)</f>
        <v>100.256</v>
      </c>
      <c r="BW2" s="388">
        <f t="shared" ref="BW2:BW35" si="19">IF(OR(AND(AT2&lt;&gt;0,AJ2&lt;&gt;"PF",AN2&lt;&gt;"NE",AG2&lt;&gt;"A"),AND(AL2="E",OR(AT2=1,AT2=3))),SickBY*W2,0)</f>
        <v>0</v>
      </c>
      <c r="BX2" s="388">
        <f>IF(AT2=1,SUM(BP2:BW2),0)</f>
        <v>9900.7812799999992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35" si="20">IF(AT2&lt;&gt;0,SSHICHG*Y2,0)</f>
        <v>0</v>
      </c>
      <c r="CD2" s="388">
        <f t="shared" ref="CD2:CD35" si="21">IF(AND(AT2&lt;&gt;0,AN2&lt;&gt;"NE"),VLOOKUP(AN2,Retirement_Rates,5,FALSE)*Y2,0)</f>
        <v>-380.97280000000046</v>
      </c>
      <c r="CE2" s="388">
        <f t="shared" ref="CE2:CE35" si="22">IF(AND(AT2&lt;&gt;0,AJ2&lt;&gt;"PF"),LifeCHG*Y2,0)</f>
        <v>0</v>
      </c>
      <c r="CF2" s="388">
        <f t="shared" ref="CF2:CF35" si="23">IF(AND(AT2&lt;&gt;0,AM2="Y"),UICHG*Y2,0)</f>
        <v>0</v>
      </c>
      <c r="CG2" s="388">
        <f t="shared" ref="CG2:CG35" si="24">IF(AND(AT2&lt;&gt;0,N2&lt;&gt;"NR"),DHRCHG*Y2,0)</f>
        <v>0</v>
      </c>
      <c r="CH2" s="388">
        <f t="shared" ref="CH2:CH35" si="25">IF(AT2&lt;&gt;0,WCCHG*Y2,0)</f>
        <v>10.025600000000004</v>
      </c>
      <c r="CI2" s="388">
        <f t="shared" ref="CI2:CI35" si="26">IF(OR(AND(AT2&lt;&gt;0,AJ2&lt;&gt;"PF",AN2&lt;&gt;"NE",AG2&lt;&gt;"A"),AND(AL2="E",OR(AT2=1,AT2=3))),SickCHG*Y2,0)</f>
        <v>0</v>
      </c>
      <c r="CJ2" s="388">
        <f>IF(AT2=1,SUM(CB2:CI2),0)</f>
        <v>-370.94720000000046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172</v>
      </c>
      <c r="N3" s="377" t="s">
        <v>173</v>
      </c>
      <c r="O3" s="380">
        <v>1</v>
      </c>
      <c r="P3" s="386">
        <v>1</v>
      </c>
      <c r="Q3" s="386">
        <v>1</v>
      </c>
      <c r="R3" s="381">
        <v>80</v>
      </c>
      <c r="S3" s="386">
        <v>1</v>
      </c>
      <c r="T3" s="381">
        <v>69461.899999999994</v>
      </c>
      <c r="U3" s="381">
        <v>0</v>
      </c>
      <c r="V3" s="381">
        <v>25951.09</v>
      </c>
      <c r="W3" s="381">
        <v>72051.199999999997</v>
      </c>
      <c r="X3" s="381">
        <v>27263.99</v>
      </c>
      <c r="Y3" s="381">
        <v>72051.199999999997</v>
      </c>
      <c r="Z3" s="381">
        <v>27980.81</v>
      </c>
      <c r="AA3" s="377" t="s">
        <v>189</v>
      </c>
      <c r="AB3" s="377" t="s">
        <v>190</v>
      </c>
      <c r="AC3" s="377" t="s">
        <v>191</v>
      </c>
      <c r="AD3" s="377" t="s">
        <v>192</v>
      </c>
      <c r="AE3" s="377" t="s">
        <v>187</v>
      </c>
      <c r="AF3" s="377" t="s">
        <v>178</v>
      </c>
      <c r="AG3" s="377" t="s">
        <v>179</v>
      </c>
      <c r="AH3" s="382">
        <v>34.64</v>
      </c>
      <c r="AI3" s="382">
        <v>30182.3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1</v>
      </c>
      <c r="AR3" s="384" t="s">
        <v>184</v>
      </c>
      <c r="AS3" s="388">
        <f t="shared" ref="AS3:AS35" si="27">IF(((AO3/80)*AP3*P3)&gt;1,AQ3,((AO3/80)*AP3*P3))</f>
        <v>1</v>
      </c>
      <c r="AT3">
        <f t="shared" ref="AT3:AT35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IF(AT3=0,"",IF(AND(AT3=1,M3="F",SUMIF(C2:C35,C3,AS2:AS35)&lt;=1),SUMIF(C2:C35,C3,AS2:AS35),IF(AND(AT3=1,M3="F",SUMIF(C2:C35,C3,AS2:AS35)&gt;1),1,"")))</f>
        <v>1</v>
      </c>
      <c r="AV3" s="388" t="str">
        <f>IF(AT3=0,"",IF(AND(AT3=3,M3="F",SUMIF(C2:C35,C3,AS2:AS35)&lt;=1),SUMIF(C2:C35,C3,AS2:AS35),IF(AND(AT3=3,M3="F",SUMIF(C2:C35,C3,AS2:AS35)&gt;1),1,"")))</f>
        <v/>
      </c>
      <c r="AW3" s="388">
        <f>SUMIF(C2:C35,C3,O2:O35)</f>
        <v>1</v>
      </c>
      <c r="AX3" s="388">
        <f>IF(AND(M3="F",AS3&lt;&gt;0),SUMIF(C2:C35,C3,W2:W35),0)</f>
        <v>72051.199999999997</v>
      </c>
      <c r="AY3" s="388">
        <f t="shared" ref="AY3:AY35" si="29">IF(AT3=1,W3,"")</f>
        <v>72051.199999999997</v>
      </c>
      <c r="AZ3" s="388" t="str">
        <f t="shared" ref="AZ3:AZ35" si="30">IF(AT3=3,W3,"")</f>
        <v/>
      </c>
      <c r="BA3" s="388">
        <f t="shared" ref="BA3:BA35" si="31">IF(AT3=1,Y3-W3,0)</f>
        <v>0</v>
      </c>
      <c r="BB3" s="388">
        <f t="shared" si="0"/>
        <v>12500</v>
      </c>
      <c r="BC3" s="388">
        <f t="shared" si="1"/>
        <v>0</v>
      </c>
      <c r="BD3" s="388">
        <f t="shared" si="2"/>
        <v>4467.1743999999999</v>
      </c>
      <c r="BE3" s="388">
        <f t="shared" si="3"/>
        <v>1044.7424000000001</v>
      </c>
      <c r="BF3" s="388">
        <f t="shared" si="4"/>
        <v>8602.9132800000007</v>
      </c>
      <c r="BG3" s="388">
        <f t="shared" si="5"/>
        <v>519.48915199999999</v>
      </c>
      <c r="BH3" s="388">
        <f t="shared" si="6"/>
        <v>0</v>
      </c>
      <c r="BI3" s="388">
        <f t="shared" si="7"/>
        <v>0</v>
      </c>
      <c r="BJ3" s="388">
        <f t="shared" si="8"/>
        <v>129.69216</v>
      </c>
      <c r="BK3" s="388">
        <f t="shared" si="9"/>
        <v>0</v>
      </c>
      <c r="BL3" s="388">
        <f t="shared" ref="BL3:BL35" si="32">IF(AT3=1,SUM(BD3:BK3),0)</f>
        <v>14764.011392</v>
      </c>
      <c r="BM3" s="388">
        <f t="shared" ref="BM3:BM35" si="33">IF(AT3=3,SUM(BD3:BK3),0)</f>
        <v>0</v>
      </c>
      <c r="BN3" s="388">
        <f t="shared" si="10"/>
        <v>13750</v>
      </c>
      <c r="BO3" s="388">
        <f t="shared" si="11"/>
        <v>0</v>
      </c>
      <c r="BP3" s="388">
        <f t="shared" si="12"/>
        <v>4467.1743999999999</v>
      </c>
      <c r="BQ3" s="388">
        <f t="shared" si="13"/>
        <v>1044.7424000000001</v>
      </c>
      <c r="BR3" s="388">
        <f t="shared" si="14"/>
        <v>8055.3241599999992</v>
      </c>
      <c r="BS3" s="388">
        <f t="shared" si="15"/>
        <v>519.48915199999999</v>
      </c>
      <c r="BT3" s="388">
        <f t="shared" si="16"/>
        <v>0</v>
      </c>
      <c r="BU3" s="388">
        <f t="shared" si="17"/>
        <v>0</v>
      </c>
      <c r="BV3" s="388">
        <f t="shared" si="18"/>
        <v>144.10239999999999</v>
      </c>
      <c r="BW3" s="388">
        <f t="shared" si="19"/>
        <v>0</v>
      </c>
      <c r="BX3" s="388">
        <f t="shared" ref="BX3:BX35" si="34">IF(AT3=1,SUM(BP3:BW3),0)</f>
        <v>14230.832511999999</v>
      </c>
      <c r="BY3" s="388">
        <f t="shared" ref="BY3:BY35" si="35">IF(AT3=3,SUM(BP3:BW3),0)</f>
        <v>0</v>
      </c>
      <c r="BZ3" s="388">
        <f t="shared" ref="BZ3:BZ35" si="36">IF(AT3=1,BN3-BB3,0)</f>
        <v>1250</v>
      </c>
      <c r="CA3" s="388">
        <f t="shared" ref="CA3:CA35" si="37">IF(AT3=3,BO3-BC3,0)</f>
        <v>0</v>
      </c>
      <c r="CB3" s="388">
        <f t="shared" ref="CB3:CB35" si="38">BP3-BD3</f>
        <v>0</v>
      </c>
      <c r="CC3" s="388">
        <f t="shared" si="20"/>
        <v>0</v>
      </c>
      <c r="CD3" s="388">
        <f t="shared" si="21"/>
        <v>-547.58912000000066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14.410240000000005</v>
      </c>
      <c r="CI3" s="388">
        <f t="shared" si="26"/>
        <v>0</v>
      </c>
      <c r="CJ3" s="388">
        <f t="shared" ref="CJ3:CJ35" si="39">IF(AT3=1,SUM(CB3:CI3),0)</f>
        <v>-533.17888000000062</v>
      </c>
      <c r="CK3" s="388" t="str">
        <f t="shared" ref="CK3:CK35" si="40">IF(AT3=3,SUM(CB3:CI3),"")</f>
        <v/>
      </c>
      <c r="CL3" s="388" t="str">
        <f t="shared" ref="CL3:CL35" si="41">IF(OR(N3="NG",AG3="D"),(T3+U3),"")</f>
        <v/>
      </c>
      <c r="CM3" s="388" t="str">
        <f t="shared" ref="CM3:CM35" si="42">IF(OR(N3="NG",AG3="D"),V3,"")</f>
        <v/>
      </c>
      <c r="CN3" s="388" t="str">
        <f t="shared" ref="CN3:CN35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193</v>
      </c>
      <c r="D4" s="377" t="s">
        <v>194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195</v>
      </c>
      <c r="L4" s="377" t="s">
        <v>167</v>
      </c>
      <c r="M4" s="377" t="s">
        <v>196</v>
      </c>
      <c r="N4" s="377" t="s">
        <v>197</v>
      </c>
      <c r="O4" s="380">
        <v>0</v>
      </c>
      <c r="P4" s="386">
        <v>1</v>
      </c>
      <c r="Q4" s="386">
        <v>0</v>
      </c>
      <c r="R4" s="381">
        <v>0</v>
      </c>
      <c r="S4" s="386">
        <v>0</v>
      </c>
      <c r="T4" s="381">
        <v>0</v>
      </c>
      <c r="U4" s="381">
        <v>0</v>
      </c>
      <c r="V4" s="381">
        <v>0</v>
      </c>
      <c r="W4" s="381">
        <v>0</v>
      </c>
      <c r="X4" s="381">
        <v>0</v>
      </c>
      <c r="Y4" s="381">
        <v>0</v>
      </c>
      <c r="Z4" s="381">
        <v>0</v>
      </c>
      <c r="AA4" s="379"/>
      <c r="AB4" s="377" t="s">
        <v>45</v>
      </c>
      <c r="AC4" s="377" t="s">
        <v>45</v>
      </c>
      <c r="AD4" s="379"/>
      <c r="AE4" s="379"/>
      <c r="AF4" s="379"/>
      <c r="AG4" s="379"/>
      <c r="AH4" s="380">
        <v>0</v>
      </c>
      <c r="AI4" s="380">
        <v>0</v>
      </c>
      <c r="AJ4" s="379"/>
      <c r="AK4" s="379"/>
      <c r="AL4" s="377" t="s">
        <v>182</v>
      </c>
      <c r="AM4" s="379"/>
      <c r="AN4" s="379"/>
      <c r="AO4" s="380">
        <v>0</v>
      </c>
      <c r="AP4" s="386">
        <v>0</v>
      </c>
      <c r="AQ4" s="386">
        <v>0</v>
      </c>
      <c r="AR4" s="385"/>
      <c r="AS4" s="388">
        <f t="shared" si="27"/>
        <v>0</v>
      </c>
      <c r="AT4">
        <f t="shared" si="28"/>
        <v>0</v>
      </c>
      <c r="AU4" s="388" t="str">
        <f>IF(AT4=0,"",IF(AND(AT4=1,M4="F",SUMIF(C2:C35,C4,AS2:AS35)&lt;=1),SUMIF(C2:C35,C4,AS2:AS35),IF(AND(AT4=1,M4="F",SUMIF(C2:C35,C4,AS2:AS35)&gt;1),1,"")))</f>
        <v/>
      </c>
      <c r="AV4" s="388" t="str">
        <f>IF(AT4=0,"",IF(AND(AT4=3,M4="F",SUMIF(C2:C35,C4,AS2:AS35)&lt;=1),SUMIF(C2:C35,C4,AS2:AS35),IF(AND(AT4=3,M4="F",SUMIF(C2:C35,C4,AS2:AS35)&gt;1),1,"")))</f>
        <v/>
      </c>
      <c r="AW4" s="388">
        <f>SUMIF(C2:C35,C4,O2:O35)</f>
        <v>0</v>
      </c>
      <c r="AX4" s="388">
        <f>IF(AND(M4="F",AS4&lt;&gt;0),SUMIF(C2:C35,C4,W2:W35),0)</f>
        <v>0</v>
      </c>
      <c r="AY4" s="388" t="str">
        <f t="shared" si="29"/>
        <v/>
      </c>
      <c r="AZ4" s="388" t="str">
        <f t="shared" si="30"/>
        <v/>
      </c>
      <c r="BA4" s="388">
        <f t="shared" si="31"/>
        <v>0</v>
      </c>
      <c r="BB4" s="388">
        <f t="shared" si="0"/>
        <v>0</v>
      </c>
      <c r="BC4" s="388">
        <f t="shared" si="1"/>
        <v>0</v>
      </c>
      <c r="BD4" s="388">
        <f t="shared" si="2"/>
        <v>0</v>
      </c>
      <c r="BE4" s="388">
        <f t="shared" si="3"/>
        <v>0</v>
      </c>
      <c r="BF4" s="388">
        <f t="shared" si="4"/>
        <v>0</v>
      </c>
      <c r="BG4" s="388">
        <f t="shared" si="5"/>
        <v>0</v>
      </c>
      <c r="BH4" s="388">
        <f t="shared" si="6"/>
        <v>0</v>
      </c>
      <c r="BI4" s="388">
        <f t="shared" si="7"/>
        <v>0</v>
      </c>
      <c r="BJ4" s="388">
        <f t="shared" si="8"/>
        <v>0</v>
      </c>
      <c r="BK4" s="388">
        <f t="shared" si="9"/>
        <v>0</v>
      </c>
      <c r="BL4" s="388">
        <f t="shared" si="32"/>
        <v>0</v>
      </c>
      <c r="BM4" s="388">
        <f t="shared" si="33"/>
        <v>0</v>
      </c>
      <c r="BN4" s="388">
        <f t="shared" si="10"/>
        <v>0</v>
      </c>
      <c r="BO4" s="388">
        <f t="shared" si="11"/>
        <v>0</v>
      </c>
      <c r="BP4" s="388">
        <f t="shared" si="12"/>
        <v>0</v>
      </c>
      <c r="BQ4" s="388">
        <f t="shared" si="13"/>
        <v>0</v>
      </c>
      <c r="BR4" s="388">
        <f t="shared" si="14"/>
        <v>0</v>
      </c>
      <c r="BS4" s="388">
        <f t="shared" si="15"/>
        <v>0</v>
      </c>
      <c r="BT4" s="388">
        <f t="shared" si="16"/>
        <v>0</v>
      </c>
      <c r="BU4" s="388">
        <f t="shared" si="17"/>
        <v>0</v>
      </c>
      <c r="BV4" s="388">
        <f t="shared" si="18"/>
        <v>0</v>
      </c>
      <c r="BW4" s="388">
        <f t="shared" si="19"/>
        <v>0</v>
      </c>
      <c r="BX4" s="388">
        <f t="shared" si="34"/>
        <v>0</v>
      </c>
      <c r="BY4" s="388">
        <f t="shared" si="35"/>
        <v>0</v>
      </c>
      <c r="BZ4" s="388">
        <f t="shared" si="36"/>
        <v>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0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0</v>
      </c>
      <c r="CI4" s="388">
        <f t="shared" si="26"/>
        <v>0</v>
      </c>
      <c r="CJ4" s="388">
        <f t="shared" si="39"/>
        <v>0</v>
      </c>
      <c r="CK4" s="388" t="str">
        <f t="shared" si="40"/>
        <v/>
      </c>
      <c r="CL4" s="388">
        <f t="shared" si="41"/>
        <v>0</v>
      </c>
      <c r="CM4" s="388">
        <f t="shared" si="42"/>
        <v>0</v>
      </c>
      <c r="CN4" s="388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198</v>
      </c>
      <c r="D5" s="377" t="s">
        <v>199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200</v>
      </c>
      <c r="L5" s="377" t="s">
        <v>179</v>
      </c>
      <c r="M5" s="377" t="s">
        <v>172</v>
      </c>
      <c r="N5" s="377" t="s">
        <v>173</v>
      </c>
      <c r="O5" s="380">
        <v>1</v>
      </c>
      <c r="P5" s="386">
        <v>1</v>
      </c>
      <c r="Q5" s="386">
        <v>1</v>
      </c>
      <c r="R5" s="381">
        <v>80</v>
      </c>
      <c r="S5" s="386">
        <v>1</v>
      </c>
      <c r="T5" s="381">
        <v>41054.449999999997</v>
      </c>
      <c r="U5" s="381">
        <v>0</v>
      </c>
      <c r="V5" s="381">
        <v>20117.849999999999</v>
      </c>
      <c r="W5" s="381">
        <v>44116.800000000003</v>
      </c>
      <c r="X5" s="381">
        <v>21539.96</v>
      </c>
      <c r="Y5" s="381">
        <v>44116.800000000003</v>
      </c>
      <c r="Z5" s="381">
        <v>22463.49</v>
      </c>
      <c r="AA5" s="377" t="s">
        <v>201</v>
      </c>
      <c r="AB5" s="377" t="s">
        <v>202</v>
      </c>
      <c r="AC5" s="377" t="s">
        <v>203</v>
      </c>
      <c r="AD5" s="377" t="s">
        <v>204</v>
      </c>
      <c r="AE5" s="377" t="s">
        <v>200</v>
      </c>
      <c r="AF5" s="377" t="s">
        <v>178</v>
      </c>
      <c r="AG5" s="377" t="s">
        <v>179</v>
      </c>
      <c r="AH5" s="382">
        <v>21.21</v>
      </c>
      <c r="AI5" s="382">
        <v>10051.799999999999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1</v>
      </c>
      <c r="AR5" s="384" t="s">
        <v>184</v>
      </c>
      <c r="AS5" s="388">
        <f t="shared" si="27"/>
        <v>1</v>
      </c>
      <c r="AT5">
        <f t="shared" si="28"/>
        <v>1</v>
      </c>
      <c r="AU5" s="388">
        <f>IF(AT5=0,"",IF(AND(AT5=1,M5="F",SUMIF(C2:C35,C5,AS2:AS35)&lt;=1),SUMIF(C2:C35,C5,AS2:AS35),IF(AND(AT5=1,M5="F",SUMIF(C2:C35,C5,AS2:AS35)&gt;1),1,"")))</f>
        <v>1</v>
      </c>
      <c r="AV5" s="388" t="str">
        <f>IF(AT5=0,"",IF(AND(AT5=3,M5="F",SUMIF(C2:C35,C5,AS2:AS35)&lt;=1),SUMIF(C2:C35,C5,AS2:AS35),IF(AND(AT5=3,M5="F",SUMIF(C2:C35,C5,AS2:AS35)&gt;1),1,"")))</f>
        <v/>
      </c>
      <c r="AW5" s="388">
        <f>SUMIF(C2:C35,C5,O2:O35)</f>
        <v>1</v>
      </c>
      <c r="AX5" s="388">
        <f>IF(AND(M5="F",AS5&lt;&gt;0),SUMIF(C2:C35,C5,W2:W35),0)</f>
        <v>44116.800000000003</v>
      </c>
      <c r="AY5" s="388">
        <f t="shared" si="29"/>
        <v>44116.800000000003</v>
      </c>
      <c r="AZ5" s="388" t="str">
        <f t="shared" si="30"/>
        <v/>
      </c>
      <c r="BA5" s="388">
        <f t="shared" si="31"/>
        <v>0</v>
      </c>
      <c r="BB5" s="388">
        <f t="shared" si="0"/>
        <v>12500</v>
      </c>
      <c r="BC5" s="388">
        <f t="shared" si="1"/>
        <v>0</v>
      </c>
      <c r="BD5" s="388">
        <f t="shared" si="2"/>
        <v>2735.2416000000003</v>
      </c>
      <c r="BE5" s="388">
        <f t="shared" si="3"/>
        <v>639.69360000000006</v>
      </c>
      <c r="BF5" s="388">
        <f t="shared" si="4"/>
        <v>5267.5459200000005</v>
      </c>
      <c r="BG5" s="388">
        <f t="shared" si="5"/>
        <v>318.08212800000001</v>
      </c>
      <c r="BH5" s="388">
        <f t="shared" si="6"/>
        <v>0</v>
      </c>
      <c r="BI5" s="388">
        <f t="shared" si="7"/>
        <v>0</v>
      </c>
      <c r="BJ5" s="388">
        <f t="shared" si="8"/>
        <v>79.410240000000002</v>
      </c>
      <c r="BK5" s="388">
        <f t="shared" si="9"/>
        <v>0</v>
      </c>
      <c r="BL5" s="388">
        <f t="shared" si="32"/>
        <v>9039.9734879999996</v>
      </c>
      <c r="BM5" s="388">
        <f t="shared" si="33"/>
        <v>0</v>
      </c>
      <c r="BN5" s="388">
        <f t="shared" si="10"/>
        <v>13750</v>
      </c>
      <c r="BO5" s="388">
        <f t="shared" si="11"/>
        <v>0</v>
      </c>
      <c r="BP5" s="388">
        <f t="shared" si="12"/>
        <v>2735.2416000000003</v>
      </c>
      <c r="BQ5" s="388">
        <f t="shared" si="13"/>
        <v>639.69360000000006</v>
      </c>
      <c r="BR5" s="388">
        <f t="shared" si="14"/>
        <v>4932.2582400000001</v>
      </c>
      <c r="BS5" s="388">
        <f t="shared" si="15"/>
        <v>318.08212800000001</v>
      </c>
      <c r="BT5" s="388">
        <f t="shared" si="16"/>
        <v>0</v>
      </c>
      <c r="BU5" s="388">
        <f t="shared" si="17"/>
        <v>0</v>
      </c>
      <c r="BV5" s="388">
        <f t="shared" si="18"/>
        <v>88.23360000000001</v>
      </c>
      <c r="BW5" s="388">
        <f t="shared" si="19"/>
        <v>0</v>
      </c>
      <c r="BX5" s="388">
        <f t="shared" si="34"/>
        <v>8713.5091680000005</v>
      </c>
      <c r="BY5" s="388">
        <f t="shared" si="35"/>
        <v>0</v>
      </c>
      <c r="BZ5" s="388">
        <f t="shared" si="36"/>
        <v>1250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-335.28768000000042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8.8233600000000045</v>
      </c>
      <c r="CI5" s="388">
        <f t="shared" si="26"/>
        <v>0</v>
      </c>
      <c r="CJ5" s="388">
        <f t="shared" si="39"/>
        <v>-326.46432000000044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205</v>
      </c>
      <c r="D6" s="377" t="s">
        <v>194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195</v>
      </c>
      <c r="L6" s="377" t="s">
        <v>167</v>
      </c>
      <c r="M6" s="377" t="s">
        <v>196</v>
      </c>
      <c r="N6" s="377" t="s">
        <v>197</v>
      </c>
      <c r="O6" s="380">
        <v>0</v>
      </c>
      <c r="P6" s="386">
        <v>1</v>
      </c>
      <c r="Q6" s="386">
        <v>0</v>
      </c>
      <c r="R6" s="381">
        <v>0</v>
      </c>
      <c r="S6" s="386">
        <v>0</v>
      </c>
      <c r="T6" s="381">
        <v>0</v>
      </c>
      <c r="U6" s="381">
        <v>0</v>
      </c>
      <c r="V6" s="381">
        <v>0</v>
      </c>
      <c r="W6" s="381">
        <v>0</v>
      </c>
      <c r="X6" s="381">
        <v>0</v>
      </c>
      <c r="Y6" s="381">
        <v>0</v>
      </c>
      <c r="Z6" s="381">
        <v>0</v>
      </c>
      <c r="AA6" s="379"/>
      <c r="AB6" s="377" t="s">
        <v>45</v>
      </c>
      <c r="AC6" s="377" t="s">
        <v>45</v>
      </c>
      <c r="AD6" s="379"/>
      <c r="AE6" s="379"/>
      <c r="AF6" s="379"/>
      <c r="AG6" s="379"/>
      <c r="AH6" s="380">
        <v>0</v>
      </c>
      <c r="AI6" s="380">
        <v>0</v>
      </c>
      <c r="AJ6" s="379"/>
      <c r="AK6" s="379"/>
      <c r="AL6" s="377" t="s">
        <v>182</v>
      </c>
      <c r="AM6" s="379"/>
      <c r="AN6" s="379"/>
      <c r="AO6" s="380">
        <v>0</v>
      </c>
      <c r="AP6" s="386">
        <v>0</v>
      </c>
      <c r="AQ6" s="386">
        <v>0</v>
      </c>
      <c r="AR6" s="385"/>
      <c r="AS6" s="388">
        <f t="shared" si="27"/>
        <v>0</v>
      </c>
      <c r="AT6">
        <f t="shared" si="28"/>
        <v>0</v>
      </c>
      <c r="AU6" s="388" t="str">
        <f>IF(AT6=0,"",IF(AND(AT6=1,M6="F",SUMIF(C2:C35,C6,AS2:AS35)&lt;=1),SUMIF(C2:C35,C6,AS2:AS35),IF(AND(AT6=1,M6="F",SUMIF(C2:C35,C6,AS2:AS35)&gt;1),1,"")))</f>
        <v/>
      </c>
      <c r="AV6" s="388" t="str">
        <f>IF(AT6=0,"",IF(AND(AT6=3,M6="F",SUMIF(C2:C35,C6,AS2:AS35)&lt;=1),SUMIF(C2:C35,C6,AS2:AS35),IF(AND(AT6=3,M6="F",SUMIF(C2:C35,C6,AS2:AS35)&gt;1),1,"")))</f>
        <v/>
      </c>
      <c r="AW6" s="388">
        <f>SUMIF(C2:C35,C6,O2:O35)</f>
        <v>0</v>
      </c>
      <c r="AX6" s="388">
        <f>IF(AND(M6="F",AS6&lt;&gt;0),SUMIF(C2:C35,C6,W2:W35),0)</f>
        <v>0</v>
      </c>
      <c r="AY6" s="388" t="str">
        <f t="shared" si="29"/>
        <v/>
      </c>
      <c r="AZ6" s="388" t="str">
        <f t="shared" si="30"/>
        <v/>
      </c>
      <c r="BA6" s="388">
        <f t="shared" si="31"/>
        <v>0</v>
      </c>
      <c r="BB6" s="388">
        <f t="shared" si="0"/>
        <v>0</v>
      </c>
      <c r="BC6" s="388">
        <f t="shared" si="1"/>
        <v>0</v>
      </c>
      <c r="BD6" s="388">
        <f t="shared" si="2"/>
        <v>0</v>
      </c>
      <c r="BE6" s="388">
        <f t="shared" si="3"/>
        <v>0</v>
      </c>
      <c r="BF6" s="388">
        <f t="shared" si="4"/>
        <v>0</v>
      </c>
      <c r="BG6" s="388">
        <f t="shared" si="5"/>
        <v>0</v>
      </c>
      <c r="BH6" s="388">
        <f t="shared" si="6"/>
        <v>0</v>
      </c>
      <c r="BI6" s="388">
        <f t="shared" si="7"/>
        <v>0</v>
      </c>
      <c r="BJ6" s="388">
        <f t="shared" si="8"/>
        <v>0</v>
      </c>
      <c r="BK6" s="388">
        <f t="shared" si="9"/>
        <v>0</v>
      </c>
      <c r="BL6" s="388">
        <f t="shared" si="32"/>
        <v>0</v>
      </c>
      <c r="BM6" s="388">
        <f t="shared" si="33"/>
        <v>0</v>
      </c>
      <c r="BN6" s="388">
        <f t="shared" si="10"/>
        <v>0</v>
      </c>
      <c r="BO6" s="388">
        <f t="shared" si="11"/>
        <v>0</v>
      </c>
      <c r="BP6" s="388">
        <f t="shared" si="12"/>
        <v>0</v>
      </c>
      <c r="BQ6" s="388">
        <f t="shared" si="13"/>
        <v>0</v>
      </c>
      <c r="BR6" s="388">
        <f t="shared" si="14"/>
        <v>0</v>
      </c>
      <c r="BS6" s="388">
        <f t="shared" si="15"/>
        <v>0</v>
      </c>
      <c r="BT6" s="388">
        <f t="shared" si="16"/>
        <v>0</v>
      </c>
      <c r="BU6" s="388">
        <f t="shared" si="17"/>
        <v>0</v>
      </c>
      <c r="BV6" s="388">
        <f t="shared" si="18"/>
        <v>0</v>
      </c>
      <c r="BW6" s="388">
        <f t="shared" si="19"/>
        <v>0</v>
      </c>
      <c r="BX6" s="388">
        <f t="shared" si="34"/>
        <v>0</v>
      </c>
      <c r="BY6" s="388">
        <f t="shared" si="35"/>
        <v>0</v>
      </c>
      <c r="BZ6" s="388">
        <f t="shared" si="36"/>
        <v>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0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0</v>
      </c>
      <c r="CI6" s="388">
        <f t="shared" si="26"/>
        <v>0</v>
      </c>
      <c r="CJ6" s="388">
        <f t="shared" si="39"/>
        <v>0</v>
      </c>
      <c r="CK6" s="388" t="str">
        <f t="shared" si="40"/>
        <v/>
      </c>
      <c r="CL6" s="388">
        <f t="shared" si="41"/>
        <v>0</v>
      </c>
      <c r="CM6" s="388">
        <f t="shared" si="42"/>
        <v>0</v>
      </c>
      <c r="CN6" s="388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206</v>
      </c>
      <c r="D7" s="377" t="s">
        <v>207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208</v>
      </c>
      <c r="L7" s="377" t="s">
        <v>179</v>
      </c>
      <c r="M7" s="377" t="s">
        <v>172</v>
      </c>
      <c r="N7" s="377" t="s">
        <v>173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22633.08</v>
      </c>
      <c r="U7" s="381">
        <v>0</v>
      </c>
      <c r="V7" s="381">
        <v>13454.62</v>
      </c>
      <c r="W7" s="381">
        <v>38563.199999999997</v>
      </c>
      <c r="X7" s="381">
        <v>20401.96</v>
      </c>
      <c r="Y7" s="381">
        <v>38563.199999999997</v>
      </c>
      <c r="Z7" s="381">
        <v>21366.59</v>
      </c>
      <c r="AA7" s="377" t="s">
        <v>209</v>
      </c>
      <c r="AB7" s="377" t="s">
        <v>210</v>
      </c>
      <c r="AC7" s="377" t="s">
        <v>211</v>
      </c>
      <c r="AD7" s="377" t="s">
        <v>212</v>
      </c>
      <c r="AE7" s="377" t="s">
        <v>208</v>
      </c>
      <c r="AF7" s="377" t="s">
        <v>178</v>
      </c>
      <c r="AG7" s="377" t="s">
        <v>179</v>
      </c>
      <c r="AH7" s="382">
        <v>18.54</v>
      </c>
      <c r="AI7" s="382">
        <v>472.5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184</v>
      </c>
      <c r="AS7" s="388">
        <f t="shared" si="27"/>
        <v>1</v>
      </c>
      <c r="AT7">
        <f t="shared" si="28"/>
        <v>1</v>
      </c>
      <c r="AU7" s="388">
        <f>IF(AT7=0,"",IF(AND(AT7=1,M7="F",SUMIF(C2:C35,C7,AS2:AS35)&lt;=1),SUMIF(C2:C35,C7,AS2:AS35),IF(AND(AT7=1,M7="F",SUMIF(C2:C35,C7,AS2:AS35)&gt;1),1,"")))</f>
        <v>1</v>
      </c>
      <c r="AV7" s="388" t="str">
        <f>IF(AT7=0,"",IF(AND(AT7=3,M7="F",SUMIF(C2:C35,C7,AS2:AS35)&lt;=1),SUMIF(C2:C35,C7,AS2:AS35),IF(AND(AT7=3,M7="F",SUMIF(C2:C35,C7,AS2:AS35)&gt;1),1,"")))</f>
        <v/>
      </c>
      <c r="AW7" s="388">
        <f>SUMIF(C2:C35,C7,O2:O35)</f>
        <v>1</v>
      </c>
      <c r="AX7" s="388">
        <f>IF(AND(M7="F",AS7&lt;&gt;0),SUMIF(C2:C35,C7,W2:W35),0)</f>
        <v>38563.199999999997</v>
      </c>
      <c r="AY7" s="388">
        <f t="shared" si="29"/>
        <v>38563.199999999997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2390.9184</v>
      </c>
      <c r="BE7" s="388">
        <f t="shared" si="3"/>
        <v>559.16639999999995</v>
      </c>
      <c r="BF7" s="388">
        <f t="shared" si="4"/>
        <v>4604.4460799999997</v>
      </c>
      <c r="BG7" s="388">
        <f t="shared" si="5"/>
        <v>278.04067199999997</v>
      </c>
      <c r="BH7" s="388">
        <f t="shared" si="6"/>
        <v>0</v>
      </c>
      <c r="BI7" s="388">
        <f t="shared" si="7"/>
        <v>0</v>
      </c>
      <c r="BJ7" s="388">
        <f t="shared" si="8"/>
        <v>69.413759999999996</v>
      </c>
      <c r="BK7" s="388">
        <f t="shared" si="9"/>
        <v>0</v>
      </c>
      <c r="BL7" s="388">
        <f t="shared" si="32"/>
        <v>7901.9853120000007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2390.9184</v>
      </c>
      <c r="BQ7" s="388">
        <f t="shared" si="13"/>
        <v>559.16639999999995</v>
      </c>
      <c r="BR7" s="388">
        <f t="shared" si="14"/>
        <v>4311.3657599999997</v>
      </c>
      <c r="BS7" s="388">
        <f t="shared" si="15"/>
        <v>278.04067199999997</v>
      </c>
      <c r="BT7" s="388">
        <f t="shared" si="16"/>
        <v>0</v>
      </c>
      <c r="BU7" s="388">
        <f t="shared" si="17"/>
        <v>0</v>
      </c>
      <c r="BV7" s="388">
        <f t="shared" si="18"/>
        <v>77.12639999999999</v>
      </c>
      <c r="BW7" s="388">
        <f t="shared" si="19"/>
        <v>0</v>
      </c>
      <c r="BX7" s="388">
        <f t="shared" si="34"/>
        <v>7616.6176319999995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-293.08032000000037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7.712640000000003</v>
      </c>
      <c r="CI7" s="388">
        <f t="shared" si="26"/>
        <v>0</v>
      </c>
      <c r="CJ7" s="388">
        <f t="shared" si="39"/>
        <v>-285.36768000000035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213</v>
      </c>
      <c r="D8" s="377" t="s">
        <v>207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208</v>
      </c>
      <c r="L8" s="377" t="s">
        <v>179</v>
      </c>
      <c r="M8" s="377" t="s">
        <v>172</v>
      </c>
      <c r="N8" s="377" t="s">
        <v>173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41827.74</v>
      </c>
      <c r="U8" s="381">
        <v>0</v>
      </c>
      <c r="V8" s="381">
        <v>20438.22</v>
      </c>
      <c r="W8" s="381">
        <v>44033.599999999999</v>
      </c>
      <c r="X8" s="381">
        <v>21522.91</v>
      </c>
      <c r="Y8" s="381">
        <v>44033.599999999999</v>
      </c>
      <c r="Z8" s="381">
        <v>22447.05</v>
      </c>
      <c r="AA8" s="377" t="s">
        <v>214</v>
      </c>
      <c r="AB8" s="377" t="s">
        <v>215</v>
      </c>
      <c r="AC8" s="377" t="s">
        <v>216</v>
      </c>
      <c r="AD8" s="377" t="s">
        <v>217</v>
      </c>
      <c r="AE8" s="377" t="s">
        <v>208</v>
      </c>
      <c r="AF8" s="377" t="s">
        <v>178</v>
      </c>
      <c r="AG8" s="377" t="s">
        <v>179</v>
      </c>
      <c r="AH8" s="382">
        <v>21.17</v>
      </c>
      <c r="AI8" s="382">
        <v>35919.199999999997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1</v>
      </c>
      <c r="AR8" s="384" t="s">
        <v>184</v>
      </c>
      <c r="AS8" s="388">
        <f t="shared" si="27"/>
        <v>1</v>
      </c>
      <c r="AT8">
        <f t="shared" si="28"/>
        <v>1</v>
      </c>
      <c r="AU8" s="388">
        <f>IF(AT8=0,"",IF(AND(AT8=1,M8="F",SUMIF(C2:C35,C8,AS2:AS35)&lt;=1),SUMIF(C2:C35,C8,AS2:AS35),IF(AND(AT8=1,M8="F",SUMIF(C2:C35,C8,AS2:AS35)&gt;1),1,"")))</f>
        <v>1</v>
      </c>
      <c r="AV8" s="388" t="str">
        <f>IF(AT8=0,"",IF(AND(AT8=3,M8="F",SUMIF(C2:C35,C8,AS2:AS35)&lt;=1),SUMIF(C2:C35,C8,AS2:AS35),IF(AND(AT8=3,M8="F",SUMIF(C2:C35,C8,AS2:AS35)&gt;1),1,"")))</f>
        <v/>
      </c>
      <c r="AW8" s="388">
        <f>SUMIF(C2:C35,C8,O2:O35)</f>
        <v>1</v>
      </c>
      <c r="AX8" s="388">
        <f>IF(AND(M8="F",AS8&lt;&gt;0),SUMIF(C2:C35,C8,W2:W35),0)</f>
        <v>44033.599999999999</v>
      </c>
      <c r="AY8" s="388">
        <f t="shared" si="29"/>
        <v>44033.599999999999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2730.0832</v>
      </c>
      <c r="BE8" s="388">
        <f t="shared" si="3"/>
        <v>638.48720000000003</v>
      </c>
      <c r="BF8" s="388">
        <f t="shared" si="4"/>
        <v>5257.6118400000005</v>
      </c>
      <c r="BG8" s="388">
        <f t="shared" si="5"/>
        <v>317.48225600000001</v>
      </c>
      <c r="BH8" s="388">
        <f t="shared" si="6"/>
        <v>0</v>
      </c>
      <c r="BI8" s="388">
        <f t="shared" si="7"/>
        <v>0</v>
      </c>
      <c r="BJ8" s="388">
        <f t="shared" si="8"/>
        <v>79.260480000000001</v>
      </c>
      <c r="BK8" s="388">
        <f t="shared" si="9"/>
        <v>0</v>
      </c>
      <c r="BL8" s="388">
        <f t="shared" si="32"/>
        <v>9022.9249760000002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2730.0832</v>
      </c>
      <c r="BQ8" s="388">
        <f t="shared" si="13"/>
        <v>638.48720000000003</v>
      </c>
      <c r="BR8" s="388">
        <f t="shared" si="14"/>
        <v>4922.9564799999998</v>
      </c>
      <c r="BS8" s="388">
        <f t="shared" si="15"/>
        <v>317.48225600000001</v>
      </c>
      <c r="BT8" s="388">
        <f t="shared" si="16"/>
        <v>0</v>
      </c>
      <c r="BU8" s="388">
        <f t="shared" si="17"/>
        <v>0</v>
      </c>
      <c r="BV8" s="388">
        <f t="shared" si="18"/>
        <v>88.0672</v>
      </c>
      <c r="BW8" s="388">
        <f t="shared" si="19"/>
        <v>0</v>
      </c>
      <c r="BX8" s="388">
        <f t="shared" si="34"/>
        <v>8697.0763359999983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-334.65536000000043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8.8067200000000039</v>
      </c>
      <c r="CI8" s="388">
        <f t="shared" si="26"/>
        <v>0</v>
      </c>
      <c r="CJ8" s="388">
        <f t="shared" si="39"/>
        <v>-325.84864000000044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218</v>
      </c>
      <c r="D9" s="377" t="s">
        <v>207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208</v>
      </c>
      <c r="L9" s="377" t="s">
        <v>179</v>
      </c>
      <c r="M9" s="377" t="s">
        <v>196</v>
      </c>
      <c r="N9" s="377" t="s">
        <v>173</v>
      </c>
      <c r="O9" s="380">
        <v>0</v>
      </c>
      <c r="P9" s="386">
        <v>1</v>
      </c>
      <c r="Q9" s="386">
        <v>1</v>
      </c>
      <c r="R9" s="381">
        <v>80</v>
      </c>
      <c r="S9" s="386">
        <v>1</v>
      </c>
      <c r="T9" s="381">
        <v>16803.400000000001</v>
      </c>
      <c r="U9" s="381">
        <v>0</v>
      </c>
      <c r="V9" s="381">
        <v>976.85</v>
      </c>
      <c r="W9" s="381">
        <v>19266</v>
      </c>
      <c r="X9" s="381">
        <v>8669.7000000000007</v>
      </c>
      <c r="Y9" s="381">
        <v>19266</v>
      </c>
      <c r="Z9" s="381">
        <v>8977.9500000000007</v>
      </c>
      <c r="AA9" s="379"/>
      <c r="AB9" s="377" t="s">
        <v>45</v>
      </c>
      <c r="AC9" s="377" t="s">
        <v>45</v>
      </c>
      <c r="AD9" s="379"/>
      <c r="AE9" s="379"/>
      <c r="AF9" s="379"/>
      <c r="AG9" s="379"/>
      <c r="AH9" s="380">
        <v>0</v>
      </c>
      <c r="AI9" s="380">
        <v>0</v>
      </c>
      <c r="AJ9" s="379"/>
      <c r="AK9" s="379"/>
      <c r="AL9" s="377" t="s">
        <v>182</v>
      </c>
      <c r="AM9" s="379"/>
      <c r="AN9" s="379"/>
      <c r="AO9" s="380">
        <v>0</v>
      </c>
      <c r="AP9" s="386">
        <v>0</v>
      </c>
      <c r="AQ9" s="386">
        <v>0</v>
      </c>
      <c r="AR9" s="385"/>
      <c r="AS9" s="388">
        <f t="shared" si="27"/>
        <v>0</v>
      </c>
      <c r="AT9">
        <f t="shared" si="28"/>
        <v>0</v>
      </c>
      <c r="AU9" s="388" t="str">
        <f>IF(AT9=0,"",IF(AND(AT9=1,M9="F",SUMIF(C2:C35,C9,AS2:AS35)&lt;=1),SUMIF(C2:C35,C9,AS2:AS35),IF(AND(AT9=1,M9="F",SUMIF(C2:C35,C9,AS2:AS35)&gt;1),1,"")))</f>
        <v/>
      </c>
      <c r="AV9" s="388" t="str">
        <f>IF(AT9=0,"",IF(AND(AT9=3,M9="F",SUMIF(C2:C35,C9,AS2:AS35)&lt;=1),SUMIF(C2:C35,C9,AS2:AS35),IF(AND(AT9=3,M9="F",SUMIF(C2:C35,C9,AS2:AS35)&gt;1),1,"")))</f>
        <v/>
      </c>
      <c r="AW9" s="388">
        <f>SUMIF(C2:C35,C9,O2:O35)</f>
        <v>0</v>
      </c>
      <c r="AX9" s="388">
        <f>IF(AND(M9="F",AS9&lt;&gt;0),SUMIF(C2:C35,C9,W2:W35),0)</f>
        <v>0</v>
      </c>
      <c r="AY9" s="388" t="str">
        <f t="shared" si="29"/>
        <v/>
      </c>
      <c r="AZ9" s="388" t="str">
        <f t="shared" si="30"/>
        <v/>
      </c>
      <c r="BA9" s="388">
        <f t="shared" si="31"/>
        <v>0</v>
      </c>
      <c r="BB9" s="388">
        <f t="shared" si="0"/>
        <v>0</v>
      </c>
      <c r="BC9" s="388">
        <f t="shared" si="1"/>
        <v>0</v>
      </c>
      <c r="BD9" s="388">
        <f t="shared" si="2"/>
        <v>0</v>
      </c>
      <c r="BE9" s="388">
        <f t="shared" si="3"/>
        <v>0</v>
      </c>
      <c r="BF9" s="388">
        <f t="shared" si="4"/>
        <v>0</v>
      </c>
      <c r="BG9" s="388">
        <f t="shared" si="5"/>
        <v>0</v>
      </c>
      <c r="BH9" s="388">
        <f t="shared" si="6"/>
        <v>0</v>
      </c>
      <c r="BI9" s="388">
        <f t="shared" si="7"/>
        <v>0</v>
      </c>
      <c r="BJ9" s="388">
        <f t="shared" si="8"/>
        <v>0</v>
      </c>
      <c r="BK9" s="388">
        <f t="shared" si="9"/>
        <v>0</v>
      </c>
      <c r="BL9" s="388">
        <f t="shared" si="32"/>
        <v>0</v>
      </c>
      <c r="BM9" s="388">
        <f t="shared" si="33"/>
        <v>0</v>
      </c>
      <c r="BN9" s="388">
        <f t="shared" si="10"/>
        <v>0</v>
      </c>
      <c r="BO9" s="388">
        <f t="shared" si="11"/>
        <v>0</v>
      </c>
      <c r="BP9" s="388">
        <f t="shared" si="12"/>
        <v>0</v>
      </c>
      <c r="BQ9" s="388">
        <f t="shared" si="13"/>
        <v>0</v>
      </c>
      <c r="BR9" s="388">
        <f t="shared" si="14"/>
        <v>0</v>
      </c>
      <c r="BS9" s="388">
        <f t="shared" si="15"/>
        <v>0</v>
      </c>
      <c r="BT9" s="388">
        <f t="shared" si="16"/>
        <v>0</v>
      </c>
      <c r="BU9" s="388">
        <f t="shared" si="17"/>
        <v>0</v>
      </c>
      <c r="BV9" s="388">
        <f t="shared" si="18"/>
        <v>0</v>
      </c>
      <c r="BW9" s="388">
        <f t="shared" si="19"/>
        <v>0</v>
      </c>
      <c r="BX9" s="388">
        <f t="shared" si="34"/>
        <v>0</v>
      </c>
      <c r="BY9" s="388">
        <f t="shared" si="35"/>
        <v>0</v>
      </c>
      <c r="BZ9" s="388">
        <f t="shared" si="36"/>
        <v>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0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0</v>
      </c>
      <c r="CI9" s="388">
        <f t="shared" si="26"/>
        <v>0</v>
      </c>
      <c r="CJ9" s="388">
        <f t="shared" si="39"/>
        <v>0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0001-00</v>
      </c>
    </row>
    <row r="10" spans="1:92" ht="15.75" thickBot="1" x14ac:dyDescent="0.3">
      <c r="A10" s="377" t="s">
        <v>162</v>
      </c>
      <c r="B10" s="377" t="s">
        <v>163</v>
      </c>
      <c r="C10" s="377" t="s">
        <v>219</v>
      </c>
      <c r="D10" s="377" t="s">
        <v>207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208</v>
      </c>
      <c r="L10" s="377" t="s">
        <v>179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41817.599999999999</v>
      </c>
      <c r="U10" s="381">
        <v>0</v>
      </c>
      <c r="V10" s="381">
        <v>20436.54</v>
      </c>
      <c r="W10" s="381">
        <v>44241.599999999999</v>
      </c>
      <c r="X10" s="381">
        <v>21565.52</v>
      </c>
      <c r="Y10" s="381">
        <v>44241.599999999999</v>
      </c>
      <c r="Z10" s="381">
        <v>22488.14</v>
      </c>
      <c r="AA10" s="377" t="s">
        <v>220</v>
      </c>
      <c r="AB10" s="377" t="s">
        <v>221</v>
      </c>
      <c r="AC10" s="377" t="s">
        <v>222</v>
      </c>
      <c r="AD10" s="377" t="s">
        <v>204</v>
      </c>
      <c r="AE10" s="377" t="s">
        <v>208</v>
      </c>
      <c r="AF10" s="377" t="s">
        <v>178</v>
      </c>
      <c r="AG10" s="377" t="s">
        <v>179</v>
      </c>
      <c r="AH10" s="382">
        <v>21.27</v>
      </c>
      <c r="AI10" s="380">
        <v>9462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IF(AT10=0,"",IF(AND(AT10=1,M10="F",SUMIF(C2:C35,C10,AS2:AS35)&lt;=1),SUMIF(C2:C35,C10,AS2:AS35),IF(AND(AT10=1,M10="F",SUMIF(C2:C35,C10,AS2:AS35)&gt;1),1,"")))</f>
        <v>1</v>
      </c>
      <c r="AV10" s="388" t="str">
        <f>IF(AT10=0,"",IF(AND(AT10=3,M10="F",SUMIF(C2:C35,C10,AS2:AS35)&lt;=1),SUMIF(C2:C35,C10,AS2:AS35),IF(AND(AT10=3,M10="F",SUMIF(C2:C35,C10,AS2:AS35)&gt;1),1,"")))</f>
        <v/>
      </c>
      <c r="AW10" s="388">
        <f>SUMIF(C2:C35,C10,O2:O35)</f>
        <v>1</v>
      </c>
      <c r="AX10" s="388">
        <f>IF(AND(M10="F",AS10&lt;&gt;0),SUMIF(C2:C35,C10,W2:W35),0)</f>
        <v>44241.599999999999</v>
      </c>
      <c r="AY10" s="388">
        <f t="shared" si="29"/>
        <v>44241.599999999999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2742.9791999999998</v>
      </c>
      <c r="BE10" s="388">
        <f t="shared" si="3"/>
        <v>641.50319999999999</v>
      </c>
      <c r="BF10" s="388">
        <f t="shared" si="4"/>
        <v>5282.44704</v>
      </c>
      <c r="BG10" s="388">
        <f t="shared" si="5"/>
        <v>318.98193600000002</v>
      </c>
      <c r="BH10" s="388">
        <f t="shared" si="6"/>
        <v>0</v>
      </c>
      <c r="BI10" s="388">
        <f t="shared" si="7"/>
        <v>0</v>
      </c>
      <c r="BJ10" s="388">
        <f t="shared" si="8"/>
        <v>79.634879999999995</v>
      </c>
      <c r="BK10" s="388">
        <f t="shared" si="9"/>
        <v>0</v>
      </c>
      <c r="BL10" s="388">
        <f t="shared" si="32"/>
        <v>9065.5462559999996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2742.9791999999998</v>
      </c>
      <c r="BQ10" s="388">
        <f t="shared" si="13"/>
        <v>641.50319999999999</v>
      </c>
      <c r="BR10" s="388">
        <f t="shared" si="14"/>
        <v>4946.2108799999996</v>
      </c>
      <c r="BS10" s="388">
        <f t="shared" si="15"/>
        <v>318.98193600000002</v>
      </c>
      <c r="BT10" s="388">
        <f t="shared" si="16"/>
        <v>0</v>
      </c>
      <c r="BU10" s="388">
        <f t="shared" si="17"/>
        <v>0</v>
      </c>
      <c r="BV10" s="388">
        <f t="shared" si="18"/>
        <v>88.483199999999997</v>
      </c>
      <c r="BW10" s="388">
        <f t="shared" si="19"/>
        <v>0</v>
      </c>
      <c r="BX10" s="388">
        <f t="shared" si="34"/>
        <v>8738.1584160000002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-336.23616000000044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8.8483200000000028</v>
      </c>
      <c r="CI10" s="388">
        <f t="shared" si="26"/>
        <v>0</v>
      </c>
      <c r="CJ10" s="388">
        <f t="shared" si="39"/>
        <v>-327.38784000000044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0001-00</v>
      </c>
    </row>
    <row r="11" spans="1:92" ht="15.75" thickBot="1" x14ac:dyDescent="0.3">
      <c r="A11" s="377" t="s">
        <v>162</v>
      </c>
      <c r="B11" s="377" t="s">
        <v>163</v>
      </c>
      <c r="C11" s="377" t="s">
        <v>223</v>
      </c>
      <c r="D11" s="377" t="s">
        <v>224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225</v>
      </c>
      <c r="L11" s="377" t="s">
        <v>226</v>
      </c>
      <c r="M11" s="377" t="s">
        <v>196</v>
      </c>
      <c r="N11" s="377" t="s">
        <v>173</v>
      </c>
      <c r="O11" s="380">
        <v>0</v>
      </c>
      <c r="P11" s="386">
        <v>1</v>
      </c>
      <c r="Q11" s="386">
        <v>1</v>
      </c>
      <c r="R11" s="381">
        <v>80</v>
      </c>
      <c r="S11" s="386">
        <v>1</v>
      </c>
      <c r="T11" s="381">
        <v>0</v>
      </c>
      <c r="U11" s="381">
        <v>0</v>
      </c>
      <c r="V11" s="381">
        <v>0</v>
      </c>
      <c r="W11" s="381">
        <v>32760</v>
      </c>
      <c r="X11" s="381">
        <v>14742</v>
      </c>
      <c r="Y11" s="381">
        <v>32760</v>
      </c>
      <c r="Z11" s="381">
        <v>15266.16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182</v>
      </c>
      <c r="AM11" s="379"/>
      <c r="AN11" s="379"/>
      <c r="AO11" s="380">
        <v>0</v>
      </c>
      <c r="AP11" s="386">
        <v>0</v>
      </c>
      <c r="AQ11" s="386">
        <v>0</v>
      </c>
      <c r="AR11" s="385"/>
      <c r="AS11" s="388">
        <f t="shared" si="27"/>
        <v>0</v>
      </c>
      <c r="AT11">
        <f t="shared" si="28"/>
        <v>0</v>
      </c>
      <c r="AU11" s="388" t="str">
        <f>IF(AT11=0,"",IF(AND(AT11=1,M11="F",SUMIF(C2:C35,C11,AS2:AS35)&lt;=1),SUMIF(C2:C35,C11,AS2:AS35),IF(AND(AT11=1,M11="F",SUMIF(C2:C35,C11,AS2:AS35)&gt;1),1,"")))</f>
        <v/>
      </c>
      <c r="AV11" s="388" t="str">
        <f>IF(AT11=0,"",IF(AND(AT11=3,M11="F",SUMIF(C2:C35,C11,AS2:AS35)&lt;=1),SUMIF(C2:C35,C11,AS2:AS35),IF(AND(AT11=3,M11="F",SUMIF(C2:C35,C11,AS2:AS35)&gt;1),1,"")))</f>
        <v/>
      </c>
      <c r="AW11" s="388">
        <f>SUMIF(C2:C35,C11,O2:O35)</f>
        <v>0</v>
      </c>
      <c r="AX11" s="388">
        <f>IF(AND(M11="F",AS11&lt;&gt;0),SUMIF(C2:C35,C11,W2:W35),0)</f>
        <v>0</v>
      </c>
      <c r="AY11" s="388" t="str">
        <f t="shared" si="29"/>
        <v/>
      </c>
      <c r="AZ11" s="388" t="str">
        <f t="shared" si="30"/>
        <v/>
      </c>
      <c r="BA11" s="388">
        <f t="shared" si="31"/>
        <v>0</v>
      </c>
      <c r="BB11" s="388">
        <f t="shared" si="0"/>
        <v>0</v>
      </c>
      <c r="BC11" s="388">
        <f t="shared" si="1"/>
        <v>0</v>
      </c>
      <c r="BD11" s="388">
        <f t="shared" si="2"/>
        <v>0</v>
      </c>
      <c r="BE11" s="388">
        <f t="shared" si="3"/>
        <v>0</v>
      </c>
      <c r="BF11" s="388">
        <f t="shared" si="4"/>
        <v>0</v>
      </c>
      <c r="BG11" s="388">
        <f t="shared" si="5"/>
        <v>0</v>
      </c>
      <c r="BH11" s="388">
        <f t="shared" si="6"/>
        <v>0</v>
      </c>
      <c r="BI11" s="388">
        <f t="shared" si="7"/>
        <v>0</v>
      </c>
      <c r="BJ11" s="388">
        <f t="shared" si="8"/>
        <v>0</v>
      </c>
      <c r="BK11" s="388">
        <f t="shared" si="9"/>
        <v>0</v>
      </c>
      <c r="BL11" s="388">
        <f t="shared" si="32"/>
        <v>0</v>
      </c>
      <c r="BM11" s="388">
        <f t="shared" si="33"/>
        <v>0</v>
      </c>
      <c r="BN11" s="388">
        <f t="shared" si="10"/>
        <v>0</v>
      </c>
      <c r="BO11" s="388">
        <f t="shared" si="11"/>
        <v>0</v>
      </c>
      <c r="BP11" s="388">
        <f t="shared" si="12"/>
        <v>0</v>
      </c>
      <c r="BQ11" s="388">
        <f t="shared" si="13"/>
        <v>0</v>
      </c>
      <c r="BR11" s="388">
        <f t="shared" si="14"/>
        <v>0</v>
      </c>
      <c r="BS11" s="388">
        <f t="shared" si="15"/>
        <v>0</v>
      </c>
      <c r="BT11" s="388">
        <f t="shared" si="16"/>
        <v>0</v>
      </c>
      <c r="BU11" s="388">
        <f t="shared" si="17"/>
        <v>0</v>
      </c>
      <c r="BV11" s="388">
        <f t="shared" si="18"/>
        <v>0</v>
      </c>
      <c r="BW11" s="388">
        <f t="shared" si="19"/>
        <v>0</v>
      </c>
      <c r="BX11" s="388">
        <f t="shared" si="34"/>
        <v>0</v>
      </c>
      <c r="BY11" s="388">
        <f t="shared" si="35"/>
        <v>0</v>
      </c>
      <c r="BZ11" s="388">
        <f t="shared" si="36"/>
        <v>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0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0</v>
      </c>
      <c r="CI11" s="388">
        <f t="shared" si="26"/>
        <v>0</v>
      </c>
      <c r="CJ11" s="388">
        <f t="shared" si="39"/>
        <v>0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0001-00</v>
      </c>
    </row>
    <row r="12" spans="1:92" ht="15.75" thickBot="1" x14ac:dyDescent="0.3">
      <c r="A12" s="377" t="s">
        <v>162</v>
      </c>
      <c r="B12" s="377" t="s">
        <v>163</v>
      </c>
      <c r="C12" s="377" t="s">
        <v>227</v>
      </c>
      <c r="D12" s="377" t="s">
        <v>228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229</v>
      </c>
      <c r="L12" s="377" t="s">
        <v>171</v>
      </c>
      <c r="M12" s="377" t="s">
        <v>172</v>
      </c>
      <c r="N12" s="377" t="s">
        <v>173</v>
      </c>
      <c r="O12" s="380">
        <v>1</v>
      </c>
      <c r="P12" s="386">
        <v>1</v>
      </c>
      <c r="Q12" s="386">
        <v>1</v>
      </c>
      <c r="R12" s="381">
        <v>80</v>
      </c>
      <c r="S12" s="386">
        <v>1</v>
      </c>
      <c r="T12" s="381">
        <v>61274.76</v>
      </c>
      <c r="U12" s="381">
        <v>0</v>
      </c>
      <c r="V12" s="381">
        <v>24104.2</v>
      </c>
      <c r="W12" s="381">
        <v>63856</v>
      </c>
      <c r="X12" s="381">
        <v>25584.720000000001</v>
      </c>
      <c r="Y12" s="381">
        <v>63856</v>
      </c>
      <c r="Z12" s="381">
        <v>26362.19</v>
      </c>
      <c r="AA12" s="377" t="s">
        <v>230</v>
      </c>
      <c r="AB12" s="377" t="s">
        <v>231</v>
      </c>
      <c r="AC12" s="377" t="s">
        <v>232</v>
      </c>
      <c r="AD12" s="377" t="s">
        <v>233</v>
      </c>
      <c r="AE12" s="377" t="s">
        <v>229</v>
      </c>
      <c r="AF12" s="377" t="s">
        <v>178</v>
      </c>
      <c r="AG12" s="377" t="s">
        <v>179</v>
      </c>
      <c r="AH12" s="382">
        <v>30.7</v>
      </c>
      <c r="AI12" s="382">
        <v>9326.2999999999993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1</v>
      </c>
      <c r="AR12" s="384" t="s">
        <v>184</v>
      </c>
      <c r="AS12" s="388">
        <f t="shared" si="27"/>
        <v>1</v>
      </c>
      <c r="AT12">
        <f t="shared" si="28"/>
        <v>1</v>
      </c>
      <c r="AU12" s="388">
        <f>IF(AT12=0,"",IF(AND(AT12=1,M12="F",SUMIF(C2:C35,C12,AS2:AS35)&lt;=1),SUMIF(C2:C35,C12,AS2:AS35),IF(AND(AT12=1,M12="F",SUMIF(C2:C35,C12,AS2:AS35)&gt;1),1,"")))</f>
        <v>1</v>
      </c>
      <c r="AV12" s="388" t="str">
        <f>IF(AT12=0,"",IF(AND(AT12=3,M12="F",SUMIF(C2:C35,C12,AS2:AS35)&lt;=1),SUMIF(C2:C35,C12,AS2:AS35),IF(AND(AT12=3,M12="F",SUMIF(C2:C35,C12,AS2:AS35)&gt;1),1,"")))</f>
        <v/>
      </c>
      <c r="AW12" s="388">
        <f>SUMIF(C2:C35,C12,O2:O35)</f>
        <v>1</v>
      </c>
      <c r="AX12" s="388">
        <f>IF(AND(M12="F",AS12&lt;&gt;0),SUMIF(C2:C35,C12,W2:W35),0)</f>
        <v>63856</v>
      </c>
      <c r="AY12" s="388">
        <f t="shared" si="29"/>
        <v>63856</v>
      </c>
      <c r="AZ12" s="388" t="str">
        <f t="shared" si="30"/>
        <v/>
      </c>
      <c r="BA12" s="388">
        <f t="shared" si="31"/>
        <v>0</v>
      </c>
      <c r="BB12" s="388">
        <f t="shared" si="0"/>
        <v>12500</v>
      </c>
      <c r="BC12" s="388">
        <f t="shared" si="1"/>
        <v>0</v>
      </c>
      <c r="BD12" s="388">
        <f t="shared" si="2"/>
        <v>3959.0720000000001</v>
      </c>
      <c r="BE12" s="388">
        <f t="shared" si="3"/>
        <v>925.91200000000003</v>
      </c>
      <c r="BF12" s="388">
        <f t="shared" si="4"/>
        <v>7624.4064000000008</v>
      </c>
      <c r="BG12" s="388">
        <f t="shared" si="5"/>
        <v>460.40176000000002</v>
      </c>
      <c r="BH12" s="388">
        <f t="shared" si="6"/>
        <v>0</v>
      </c>
      <c r="BI12" s="388">
        <f t="shared" si="7"/>
        <v>0</v>
      </c>
      <c r="BJ12" s="388">
        <f t="shared" si="8"/>
        <v>114.9408</v>
      </c>
      <c r="BK12" s="388">
        <f t="shared" si="9"/>
        <v>0</v>
      </c>
      <c r="BL12" s="388">
        <f t="shared" si="32"/>
        <v>13084.732960000001</v>
      </c>
      <c r="BM12" s="388">
        <f t="shared" si="33"/>
        <v>0</v>
      </c>
      <c r="BN12" s="388">
        <f t="shared" si="10"/>
        <v>13750</v>
      </c>
      <c r="BO12" s="388">
        <f t="shared" si="11"/>
        <v>0</v>
      </c>
      <c r="BP12" s="388">
        <f t="shared" si="12"/>
        <v>3959.0720000000001</v>
      </c>
      <c r="BQ12" s="388">
        <f t="shared" si="13"/>
        <v>925.91200000000003</v>
      </c>
      <c r="BR12" s="388">
        <f t="shared" si="14"/>
        <v>7139.1008000000002</v>
      </c>
      <c r="BS12" s="388">
        <f t="shared" si="15"/>
        <v>460.40176000000002</v>
      </c>
      <c r="BT12" s="388">
        <f t="shared" si="16"/>
        <v>0</v>
      </c>
      <c r="BU12" s="388">
        <f t="shared" si="17"/>
        <v>0</v>
      </c>
      <c r="BV12" s="388">
        <f t="shared" si="18"/>
        <v>127.712</v>
      </c>
      <c r="BW12" s="388">
        <f t="shared" si="19"/>
        <v>0</v>
      </c>
      <c r="BX12" s="388">
        <f t="shared" si="34"/>
        <v>12612.198560000001</v>
      </c>
      <c r="BY12" s="388">
        <f t="shared" si="35"/>
        <v>0</v>
      </c>
      <c r="BZ12" s="388">
        <f t="shared" si="36"/>
        <v>1250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-485.3056000000006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12.771200000000006</v>
      </c>
      <c r="CI12" s="388">
        <f t="shared" si="26"/>
        <v>0</v>
      </c>
      <c r="CJ12" s="388">
        <f t="shared" si="39"/>
        <v>-472.53440000000057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0001-00</v>
      </c>
    </row>
    <row r="13" spans="1:92" ht="15.75" thickBot="1" x14ac:dyDescent="0.3">
      <c r="A13" s="377" t="s">
        <v>162</v>
      </c>
      <c r="B13" s="377" t="s">
        <v>163</v>
      </c>
      <c r="C13" s="377" t="s">
        <v>234</v>
      </c>
      <c r="D13" s="377" t="s">
        <v>235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236</v>
      </c>
      <c r="L13" s="377" t="s">
        <v>167</v>
      </c>
      <c r="M13" s="377" t="s">
        <v>172</v>
      </c>
      <c r="N13" s="377" t="s">
        <v>173</v>
      </c>
      <c r="O13" s="380">
        <v>1</v>
      </c>
      <c r="P13" s="386">
        <v>1</v>
      </c>
      <c r="Q13" s="386">
        <v>1</v>
      </c>
      <c r="R13" s="381">
        <v>80</v>
      </c>
      <c r="S13" s="386">
        <v>1</v>
      </c>
      <c r="T13" s="381">
        <v>108019.2</v>
      </c>
      <c r="U13" s="381">
        <v>0</v>
      </c>
      <c r="V13" s="381">
        <v>33988.629999999997</v>
      </c>
      <c r="W13" s="381">
        <v>111883.2</v>
      </c>
      <c r="X13" s="381">
        <v>35425.949999999997</v>
      </c>
      <c r="Y13" s="381">
        <v>111883.2</v>
      </c>
      <c r="Z13" s="381">
        <v>35848.019999999997</v>
      </c>
      <c r="AA13" s="377" t="s">
        <v>237</v>
      </c>
      <c r="AB13" s="377" t="s">
        <v>238</v>
      </c>
      <c r="AC13" s="377" t="s">
        <v>239</v>
      </c>
      <c r="AD13" s="377" t="s">
        <v>217</v>
      </c>
      <c r="AE13" s="377" t="s">
        <v>236</v>
      </c>
      <c r="AF13" s="377" t="s">
        <v>178</v>
      </c>
      <c r="AG13" s="377" t="s">
        <v>179</v>
      </c>
      <c r="AH13" s="382">
        <v>53.79</v>
      </c>
      <c r="AI13" s="382">
        <v>42299.3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6">
        <v>1</v>
      </c>
      <c r="AQ13" s="386">
        <v>1</v>
      </c>
      <c r="AR13" s="384" t="s">
        <v>184</v>
      </c>
      <c r="AS13" s="388">
        <f t="shared" si="27"/>
        <v>1</v>
      </c>
      <c r="AT13">
        <f t="shared" si="28"/>
        <v>1</v>
      </c>
      <c r="AU13" s="388">
        <f>IF(AT13=0,"",IF(AND(AT13=1,M13="F",SUMIF(C2:C35,C13,AS2:AS35)&lt;=1),SUMIF(C2:C35,C13,AS2:AS35),IF(AND(AT13=1,M13="F",SUMIF(C2:C35,C13,AS2:AS35)&gt;1),1,"")))</f>
        <v>1</v>
      </c>
      <c r="AV13" s="388" t="str">
        <f>IF(AT13=0,"",IF(AND(AT13=3,M13="F",SUMIF(C2:C35,C13,AS2:AS35)&lt;=1),SUMIF(C2:C35,C13,AS2:AS35),IF(AND(AT13=3,M13="F",SUMIF(C2:C35,C13,AS2:AS35)&gt;1),1,"")))</f>
        <v/>
      </c>
      <c r="AW13" s="388">
        <f>SUMIF(C2:C35,C13,O2:O35)</f>
        <v>1</v>
      </c>
      <c r="AX13" s="388">
        <f>IF(AND(M13="F",AS13&lt;&gt;0),SUMIF(C2:C35,C13,W2:W35),0)</f>
        <v>111883.2</v>
      </c>
      <c r="AY13" s="388">
        <f t="shared" si="29"/>
        <v>111883.2</v>
      </c>
      <c r="AZ13" s="388" t="str">
        <f t="shared" si="30"/>
        <v/>
      </c>
      <c r="BA13" s="388">
        <f t="shared" si="31"/>
        <v>0</v>
      </c>
      <c r="BB13" s="388">
        <f t="shared" si="0"/>
        <v>12500</v>
      </c>
      <c r="BC13" s="388">
        <f t="shared" si="1"/>
        <v>0</v>
      </c>
      <c r="BD13" s="388">
        <f t="shared" si="2"/>
        <v>6936.7583999999997</v>
      </c>
      <c r="BE13" s="388">
        <f t="shared" si="3"/>
        <v>1622.3063999999999</v>
      </c>
      <c r="BF13" s="388">
        <f t="shared" si="4"/>
        <v>13358.854080000001</v>
      </c>
      <c r="BG13" s="388">
        <f t="shared" si="5"/>
        <v>806.67787199999998</v>
      </c>
      <c r="BH13" s="388">
        <f t="shared" si="6"/>
        <v>0</v>
      </c>
      <c r="BI13" s="388">
        <f t="shared" si="7"/>
        <v>0</v>
      </c>
      <c r="BJ13" s="388">
        <f t="shared" si="8"/>
        <v>201.38976</v>
      </c>
      <c r="BK13" s="388">
        <f t="shared" si="9"/>
        <v>0</v>
      </c>
      <c r="BL13" s="388">
        <f t="shared" si="32"/>
        <v>22925.986511999999</v>
      </c>
      <c r="BM13" s="388">
        <f t="shared" si="33"/>
        <v>0</v>
      </c>
      <c r="BN13" s="388">
        <f t="shared" si="10"/>
        <v>13750</v>
      </c>
      <c r="BO13" s="388">
        <f t="shared" si="11"/>
        <v>0</v>
      </c>
      <c r="BP13" s="388">
        <f t="shared" si="12"/>
        <v>6936.7583999999997</v>
      </c>
      <c r="BQ13" s="388">
        <f t="shared" si="13"/>
        <v>1622.3063999999999</v>
      </c>
      <c r="BR13" s="388">
        <f t="shared" si="14"/>
        <v>12508.54176</v>
      </c>
      <c r="BS13" s="388">
        <f t="shared" si="15"/>
        <v>806.67787199999998</v>
      </c>
      <c r="BT13" s="388">
        <f t="shared" si="16"/>
        <v>0</v>
      </c>
      <c r="BU13" s="388">
        <f t="shared" si="17"/>
        <v>0</v>
      </c>
      <c r="BV13" s="388">
        <f t="shared" si="18"/>
        <v>223.7664</v>
      </c>
      <c r="BW13" s="388">
        <f t="shared" si="19"/>
        <v>0</v>
      </c>
      <c r="BX13" s="388">
        <f t="shared" si="34"/>
        <v>22098.050832000001</v>
      </c>
      <c r="BY13" s="388">
        <f t="shared" si="35"/>
        <v>0</v>
      </c>
      <c r="BZ13" s="388">
        <f t="shared" si="36"/>
        <v>1250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-850.31232000000102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22.376640000000009</v>
      </c>
      <c r="CI13" s="388">
        <f t="shared" si="26"/>
        <v>0</v>
      </c>
      <c r="CJ13" s="388">
        <f t="shared" si="39"/>
        <v>-827.93568000000096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0001-00</v>
      </c>
    </row>
    <row r="14" spans="1:92" ht="15.75" thickBot="1" x14ac:dyDescent="0.3">
      <c r="A14" s="377" t="s">
        <v>162</v>
      </c>
      <c r="B14" s="377" t="s">
        <v>163</v>
      </c>
      <c r="C14" s="377" t="s">
        <v>240</v>
      </c>
      <c r="D14" s="377" t="s">
        <v>165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241</v>
      </c>
      <c r="L14" s="377" t="s">
        <v>188</v>
      </c>
      <c r="M14" s="377" t="s">
        <v>172</v>
      </c>
      <c r="N14" s="377" t="s">
        <v>173</v>
      </c>
      <c r="O14" s="380">
        <v>1</v>
      </c>
      <c r="P14" s="386">
        <v>1</v>
      </c>
      <c r="Q14" s="386">
        <v>1</v>
      </c>
      <c r="R14" s="381">
        <v>80</v>
      </c>
      <c r="S14" s="386">
        <v>1</v>
      </c>
      <c r="T14" s="381">
        <v>63425.599999999999</v>
      </c>
      <c r="U14" s="381">
        <v>89.34</v>
      </c>
      <c r="V14" s="381">
        <v>24933.1</v>
      </c>
      <c r="W14" s="381">
        <v>65769.600000000006</v>
      </c>
      <c r="X14" s="381">
        <v>25976.82</v>
      </c>
      <c r="Y14" s="381">
        <v>65769.600000000006</v>
      </c>
      <c r="Z14" s="381">
        <v>26740.12</v>
      </c>
      <c r="AA14" s="377" t="s">
        <v>242</v>
      </c>
      <c r="AB14" s="377" t="s">
        <v>243</v>
      </c>
      <c r="AC14" s="377" t="s">
        <v>244</v>
      </c>
      <c r="AD14" s="377" t="s">
        <v>177</v>
      </c>
      <c r="AE14" s="377" t="s">
        <v>241</v>
      </c>
      <c r="AF14" s="377" t="s">
        <v>178</v>
      </c>
      <c r="AG14" s="377" t="s">
        <v>179</v>
      </c>
      <c r="AH14" s="382">
        <v>31.62</v>
      </c>
      <c r="AI14" s="382">
        <v>34985.800000000003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6">
        <v>1</v>
      </c>
      <c r="AQ14" s="386">
        <v>1</v>
      </c>
      <c r="AR14" s="384" t="s">
        <v>184</v>
      </c>
      <c r="AS14" s="388">
        <f t="shared" si="27"/>
        <v>1</v>
      </c>
      <c r="AT14">
        <f t="shared" si="28"/>
        <v>1</v>
      </c>
      <c r="AU14" s="388">
        <f>IF(AT14=0,"",IF(AND(AT14=1,M14="F",SUMIF(C2:C35,C14,AS2:AS35)&lt;=1),SUMIF(C2:C35,C14,AS2:AS35),IF(AND(AT14=1,M14="F",SUMIF(C2:C35,C14,AS2:AS35)&gt;1),1,"")))</f>
        <v>1</v>
      </c>
      <c r="AV14" s="388" t="str">
        <f>IF(AT14=0,"",IF(AND(AT14=3,M14="F",SUMIF(C2:C35,C14,AS2:AS35)&lt;=1),SUMIF(C2:C35,C14,AS2:AS35),IF(AND(AT14=3,M14="F",SUMIF(C2:C35,C14,AS2:AS35)&gt;1),1,"")))</f>
        <v/>
      </c>
      <c r="AW14" s="388">
        <f>SUMIF(C2:C35,C14,O2:O35)</f>
        <v>1</v>
      </c>
      <c r="AX14" s="388">
        <f>IF(AND(M14="F",AS14&lt;&gt;0),SUMIF(C2:C35,C14,W2:W35),0)</f>
        <v>65769.600000000006</v>
      </c>
      <c r="AY14" s="388">
        <f t="shared" si="29"/>
        <v>65769.600000000006</v>
      </c>
      <c r="AZ14" s="388" t="str">
        <f t="shared" si="30"/>
        <v/>
      </c>
      <c r="BA14" s="388">
        <f t="shared" si="31"/>
        <v>0</v>
      </c>
      <c r="BB14" s="388">
        <f t="shared" si="0"/>
        <v>12500</v>
      </c>
      <c r="BC14" s="388">
        <f t="shared" si="1"/>
        <v>0</v>
      </c>
      <c r="BD14" s="388">
        <f t="shared" si="2"/>
        <v>4077.7152000000006</v>
      </c>
      <c r="BE14" s="388">
        <f t="shared" si="3"/>
        <v>953.65920000000017</v>
      </c>
      <c r="BF14" s="388">
        <f t="shared" si="4"/>
        <v>7852.8902400000015</v>
      </c>
      <c r="BG14" s="388">
        <f t="shared" si="5"/>
        <v>474.19881600000008</v>
      </c>
      <c r="BH14" s="388">
        <f t="shared" si="6"/>
        <v>0</v>
      </c>
      <c r="BI14" s="388">
        <f t="shared" si="7"/>
        <v>0</v>
      </c>
      <c r="BJ14" s="388">
        <f t="shared" si="8"/>
        <v>118.38528000000001</v>
      </c>
      <c r="BK14" s="388">
        <f t="shared" si="9"/>
        <v>0</v>
      </c>
      <c r="BL14" s="388">
        <f t="shared" si="32"/>
        <v>13476.848736000002</v>
      </c>
      <c r="BM14" s="388">
        <f t="shared" si="33"/>
        <v>0</v>
      </c>
      <c r="BN14" s="388">
        <f t="shared" si="10"/>
        <v>13750</v>
      </c>
      <c r="BO14" s="388">
        <f t="shared" si="11"/>
        <v>0</v>
      </c>
      <c r="BP14" s="388">
        <f t="shared" si="12"/>
        <v>4077.7152000000006</v>
      </c>
      <c r="BQ14" s="388">
        <f t="shared" si="13"/>
        <v>953.65920000000017</v>
      </c>
      <c r="BR14" s="388">
        <f t="shared" si="14"/>
        <v>7353.0412800000004</v>
      </c>
      <c r="BS14" s="388">
        <f t="shared" si="15"/>
        <v>474.19881600000008</v>
      </c>
      <c r="BT14" s="388">
        <f t="shared" si="16"/>
        <v>0</v>
      </c>
      <c r="BU14" s="388">
        <f t="shared" si="17"/>
        <v>0</v>
      </c>
      <c r="BV14" s="388">
        <f t="shared" si="18"/>
        <v>131.53920000000002</v>
      </c>
      <c r="BW14" s="388">
        <f t="shared" si="19"/>
        <v>0</v>
      </c>
      <c r="BX14" s="388">
        <f t="shared" si="34"/>
        <v>12990.153696000001</v>
      </c>
      <c r="BY14" s="388">
        <f t="shared" si="35"/>
        <v>0</v>
      </c>
      <c r="BZ14" s="388">
        <f t="shared" si="36"/>
        <v>1250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-499.84896000000066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13.153920000000006</v>
      </c>
      <c r="CI14" s="388">
        <f t="shared" si="26"/>
        <v>0</v>
      </c>
      <c r="CJ14" s="388">
        <f t="shared" si="39"/>
        <v>-486.69504000000063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245</v>
      </c>
      <c r="D15" s="377" t="s">
        <v>246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247</v>
      </c>
      <c r="L15" s="377" t="s">
        <v>188</v>
      </c>
      <c r="M15" s="377" t="s">
        <v>172</v>
      </c>
      <c r="N15" s="377" t="s">
        <v>173</v>
      </c>
      <c r="O15" s="380">
        <v>1</v>
      </c>
      <c r="P15" s="386">
        <v>1</v>
      </c>
      <c r="Q15" s="386">
        <v>1</v>
      </c>
      <c r="R15" s="381">
        <v>80</v>
      </c>
      <c r="S15" s="386">
        <v>1</v>
      </c>
      <c r="T15" s="381">
        <v>30105.360000000001</v>
      </c>
      <c r="U15" s="381">
        <v>0</v>
      </c>
      <c r="V15" s="381">
        <v>12223.03</v>
      </c>
      <c r="W15" s="381">
        <v>58926.400000000001</v>
      </c>
      <c r="X15" s="381">
        <v>24574.58</v>
      </c>
      <c r="Y15" s="381">
        <v>58926.400000000001</v>
      </c>
      <c r="Z15" s="381">
        <v>25388.53</v>
      </c>
      <c r="AA15" s="377" t="s">
        <v>248</v>
      </c>
      <c r="AB15" s="377" t="s">
        <v>249</v>
      </c>
      <c r="AC15" s="377" t="s">
        <v>250</v>
      </c>
      <c r="AD15" s="377" t="s">
        <v>212</v>
      </c>
      <c r="AE15" s="377" t="s">
        <v>247</v>
      </c>
      <c r="AF15" s="377" t="s">
        <v>178</v>
      </c>
      <c r="AG15" s="377" t="s">
        <v>179</v>
      </c>
      <c r="AH15" s="382">
        <v>28.33</v>
      </c>
      <c r="AI15" s="380">
        <v>4734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6">
        <v>1</v>
      </c>
      <c r="AQ15" s="386">
        <v>1</v>
      </c>
      <c r="AR15" s="384" t="s">
        <v>184</v>
      </c>
      <c r="AS15" s="388">
        <f t="shared" si="27"/>
        <v>1</v>
      </c>
      <c r="AT15">
        <f t="shared" si="28"/>
        <v>1</v>
      </c>
      <c r="AU15" s="388">
        <f>IF(AT15=0,"",IF(AND(AT15=1,M15="F",SUMIF(C2:C35,C15,AS2:AS35)&lt;=1),SUMIF(C2:C35,C15,AS2:AS35),IF(AND(AT15=1,M15="F",SUMIF(C2:C35,C15,AS2:AS35)&gt;1),1,"")))</f>
        <v>1</v>
      </c>
      <c r="AV15" s="388" t="str">
        <f>IF(AT15=0,"",IF(AND(AT15=3,M15="F",SUMIF(C2:C35,C15,AS2:AS35)&lt;=1),SUMIF(C2:C35,C15,AS2:AS35),IF(AND(AT15=3,M15="F",SUMIF(C2:C35,C15,AS2:AS35)&gt;1),1,"")))</f>
        <v/>
      </c>
      <c r="AW15" s="388">
        <f>SUMIF(C2:C35,C15,O2:O35)</f>
        <v>1</v>
      </c>
      <c r="AX15" s="388">
        <f>IF(AND(M15="F",AS15&lt;&gt;0),SUMIF(C2:C35,C15,W2:W35),0)</f>
        <v>58926.400000000001</v>
      </c>
      <c r="AY15" s="388">
        <f t="shared" si="29"/>
        <v>58926.400000000001</v>
      </c>
      <c r="AZ15" s="388" t="str">
        <f t="shared" si="30"/>
        <v/>
      </c>
      <c r="BA15" s="388">
        <f t="shared" si="31"/>
        <v>0</v>
      </c>
      <c r="BB15" s="388">
        <f t="shared" si="0"/>
        <v>12500</v>
      </c>
      <c r="BC15" s="388">
        <f t="shared" si="1"/>
        <v>0</v>
      </c>
      <c r="BD15" s="388">
        <f t="shared" si="2"/>
        <v>3653.4367999999999</v>
      </c>
      <c r="BE15" s="388">
        <f t="shared" si="3"/>
        <v>854.43280000000004</v>
      </c>
      <c r="BF15" s="388">
        <f t="shared" si="4"/>
        <v>7035.8121600000004</v>
      </c>
      <c r="BG15" s="388">
        <f t="shared" si="5"/>
        <v>424.85934400000002</v>
      </c>
      <c r="BH15" s="388">
        <f t="shared" si="6"/>
        <v>0</v>
      </c>
      <c r="BI15" s="388">
        <f t="shared" si="7"/>
        <v>0</v>
      </c>
      <c r="BJ15" s="388">
        <f t="shared" si="8"/>
        <v>106.06752</v>
      </c>
      <c r="BK15" s="388">
        <f t="shared" si="9"/>
        <v>0</v>
      </c>
      <c r="BL15" s="388">
        <f t="shared" si="32"/>
        <v>12074.608624</v>
      </c>
      <c r="BM15" s="388">
        <f t="shared" si="33"/>
        <v>0</v>
      </c>
      <c r="BN15" s="388">
        <f t="shared" si="10"/>
        <v>13750</v>
      </c>
      <c r="BO15" s="388">
        <f t="shared" si="11"/>
        <v>0</v>
      </c>
      <c r="BP15" s="388">
        <f t="shared" si="12"/>
        <v>3653.4367999999999</v>
      </c>
      <c r="BQ15" s="388">
        <f t="shared" si="13"/>
        <v>854.43280000000004</v>
      </c>
      <c r="BR15" s="388">
        <f t="shared" si="14"/>
        <v>6587.9715200000001</v>
      </c>
      <c r="BS15" s="388">
        <f t="shared" si="15"/>
        <v>424.85934400000002</v>
      </c>
      <c r="BT15" s="388">
        <f t="shared" si="16"/>
        <v>0</v>
      </c>
      <c r="BU15" s="388">
        <f t="shared" si="17"/>
        <v>0</v>
      </c>
      <c r="BV15" s="388">
        <f t="shared" si="18"/>
        <v>117.8528</v>
      </c>
      <c r="BW15" s="388">
        <f t="shared" si="19"/>
        <v>0</v>
      </c>
      <c r="BX15" s="388">
        <f t="shared" si="34"/>
        <v>11638.553264000002</v>
      </c>
      <c r="BY15" s="388">
        <f t="shared" si="35"/>
        <v>0</v>
      </c>
      <c r="BZ15" s="388">
        <f t="shared" si="36"/>
        <v>1250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-447.84064000000058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11.785280000000006</v>
      </c>
      <c r="CI15" s="388">
        <f t="shared" si="26"/>
        <v>0</v>
      </c>
      <c r="CJ15" s="388">
        <f t="shared" si="39"/>
        <v>-436.05536000000058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0001-00</v>
      </c>
    </row>
    <row r="16" spans="1:92" ht="15.75" thickBot="1" x14ac:dyDescent="0.3">
      <c r="A16" s="377" t="s">
        <v>162</v>
      </c>
      <c r="B16" s="377" t="s">
        <v>163</v>
      </c>
      <c r="C16" s="377" t="s">
        <v>251</v>
      </c>
      <c r="D16" s="377" t="s">
        <v>252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253</v>
      </c>
      <c r="L16" s="377" t="s">
        <v>171</v>
      </c>
      <c r="M16" s="377" t="s">
        <v>172</v>
      </c>
      <c r="N16" s="377" t="s">
        <v>173</v>
      </c>
      <c r="O16" s="380">
        <v>1</v>
      </c>
      <c r="P16" s="386">
        <v>1</v>
      </c>
      <c r="Q16" s="386">
        <v>1</v>
      </c>
      <c r="R16" s="381">
        <v>80</v>
      </c>
      <c r="S16" s="386">
        <v>1</v>
      </c>
      <c r="T16" s="381">
        <v>55651.199999999997</v>
      </c>
      <c r="U16" s="381">
        <v>0</v>
      </c>
      <c r="V16" s="381">
        <v>22990.57</v>
      </c>
      <c r="W16" s="381">
        <v>58219.199999999997</v>
      </c>
      <c r="X16" s="381">
        <v>24429.68</v>
      </c>
      <c r="Y16" s="381">
        <v>58219.199999999997</v>
      </c>
      <c r="Z16" s="381">
        <v>25248.85</v>
      </c>
      <c r="AA16" s="377" t="s">
        <v>254</v>
      </c>
      <c r="AB16" s="377" t="s">
        <v>255</v>
      </c>
      <c r="AC16" s="377" t="s">
        <v>256</v>
      </c>
      <c r="AD16" s="377" t="s">
        <v>257</v>
      </c>
      <c r="AE16" s="377" t="s">
        <v>253</v>
      </c>
      <c r="AF16" s="377" t="s">
        <v>178</v>
      </c>
      <c r="AG16" s="377" t="s">
        <v>179</v>
      </c>
      <c r="AH16" s="382">
        <v>27.99</v>
      </c>
      <c r="AI16" s="382">
        <v>4895.5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6">
        <v>1</v>
      </c>
      <c r="AQ16" s="386">
        <v>1</v>
      </c>
      <c r="AR16" s="384" t="s">
        <v>184</v>
      </c>
      <c r="AS16" s="388">
        <f t="shared" si="27"/>
        <v>1</v>
      </c>
      <c r="AT16">
        <f t="shared" si="28"/>
        <v>1</v>
      </c>
      <c r="AU16" s="388">
        <f>IF(AT16=0,"",IF(AND(AT16=1,M16="F",SUMIF(C2:C35,C16,AS2:AS35)&lt;=1),SUMIF(C2:C35,C16,AS2:AS35),IF(AND(AT16=1,M16="F",SUMIF(C2:C35,C16,AS2:AS35)&gt;1),1,"")))</f>
        <v>1</v>
      </c>
      <c r="AV16" s="388" t="str">
        <f>IF(AT16=0,"",IF(AND(AT16=3,M16="F",SUMIF(C2:C35,C16,AS2:AS35)&lt;=1),SUMIF(C2:C35,C16,AS2:AS35),IF(AND(AT16=3,M16="F",SUMIF(C2:C35,C16,AS2:AS35)&gt;1),1,"")))</f>
        <v/>
      </c>
      <c r="AW16" s="388">
        <f>SUMIF(C2:C35,C16,O2:O35)</f>
        <v>1</v>
      </c>
      <c r="AX16" s="388">
        <f>IF(AND(M16="F",AS16&lt;&gt;0),SUMIF(C2:C35,C16,W2:W35),0)</f>
        <v>58219.199999999997</v>
      </c>
      <c r="AY16" s="388">
        <f t="shared" si="29"/>
        <v>58219.199999999997</v>
      </c>
      <c r="AZ16" s="388" t="str">
        <f t="shared" si="30"/>
        <v/>
      </c>
      <c r="BA16" s="388">
        <f t="shared" si="31"/>
        <v>0</v>
      </c>
      <c r="BB16" s="388">
        <f t="shared" si="0"/>
        <v>12500</v>
      </c>
      <c r="BC16" s="388">
        <f t="shared" si="1"/>
        <v>0</v>
      </c>
      <c r="BD16" s="388">
        <f t="shared" si="2"/>
        <v>3609.5903999999996</v>
      </c>
      <c r="BE16" s="388">
        <f t="shared" si="3"/>
        <v>844.17840000000001</v>
      </c>
      <c r="BF16" s="388">
        <f t="shared" si="4"/>
        <v>6951.37248</v>
      </c>
      <c r="BG16" s="388">
        <f t="shared" si="5"/>
        <v>419.76043199999998</v>
      </c>
      <c r="BH16" s="388">
        <f t="shared" si="6"/>
        <v>0</v>
      </c>
      <c r="BI16" s="388">
        <f t="shared" si="7"/>
        <v>0</v>
      </c>
      <c r="BJ16" s="388">
        <f t="shared" si="8"/>
        <v>104.79455999999999</v>
      </c>
      <c r="BK16" s="388">
        <f t="shared" si="9"/>
        <v>0</v>
      </c>
      <c r="BL16" s="388">
        <f t="shared" si="32"/>
        <v>11929.696271999999</v>
      </c>
      <c r="BM16" s="388">
        <f t="shared" si="33"/>
        <v>0</v>
      </c>
      <c r="BN16" s="388">
        <f t="shared" si="10"/>
        <v>13750</v>
      </c>
      <c r="BO16" s="388">
        <f t="shared" si="11"/>
        <v>0</v>
      </c>
      <c r="BP16" s="388">
        <f t="shared" si="12"/>
        <v>3609.5903999999996</v>
      </c>
      <c r="BQ16" s="388">
        <f t="shared" si="13"/>
        <v>844.17840000000001</v>
      </c>
      <c r="BR16" s="388">
        <f t="shared" si="14"/>
        <v>6508.9065599999994</v>
      </c>
      <c r="BS16" s="388">
        <f t="shared" si="15"/>
        <v>419.76043199999998</v>
      </c>
      <c r="BT16" s="388">
        <f t="shared" si="16"/>
        <v>0</v>
      </c>
      <c r="BU16" s="388">
        <f t="shared" si="17"/>
        <v>0</v>
      </c>
      <c r="BV16" s="388">
        <f t="shared" si="18"/>
        <v>116.4384</v>
      </c>
      <c r="BW16" s="388">
        <f t="shared" si="19"/>
        <v>0</v>
      </c>
      <c r="BX16" s="388">
        <f t="shared" si="34"/>
        <v>11498.874191999999</v>
      </c>
      <c r="BY16" s="388">
        <f t="shared" si="35"/>
        <v>0</v>
      </c>
      <c r="BZ16" s="388">
        <f t="shared" si="36"/>
        <v>1250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-442.46592000000055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11.643840000000004</v>
      </c>
      <c r="CI16" s="388">
        <f t="shared" si="26"/>
        <v>0</v>
      </c>
      <c r="CJ16" s="388">
        <f t="shared" si="39"/>
        <v>-430.82208000000054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0001-00</v>
      </c>
    </row>
    <row r="17" spans="1:92" ht="15.75" thickBot="1" x14ac:dyDescent="0.3">
      <c r="A17" s="377" t="s">
        <v>162</v>
      </c>
      <c r="B17" s="377" t="s">
        <v>163</v>
      </c>
      <c r="C17" s="377" t="s">
        <v>258</v>
      </c>
      <c r="D17" s="377" t="s">
        <v>246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259</v>
      </c>
      <c r="L17" s="377" t="s">
        <v>260</v>
      </c>
      <c r="M17" s="377" t="s">
        <v>172</v>
      </c>
      <c r="N17" s="377" t="s">
        <v>173</v>
      </c>
      <c r="O17" s="380">
        <v>1</v>
      </c>
      <c r="P17" s="386">
        <v>1</v>
      </c>
      <c r="Q17" s="386">
        <v>1</v>
      </c>
      <c r="R17" s="381">
        <v>80</v>
      </c>
      <c r="S17" s="386">
        <v>1</v>
      </c>
      <c r="T17" s="381">
        <v>78566.41</v>
      </c>
      <c r="U17" s="381">
        <v>0</v>
      </c>
      <c r="V17" s="381">
        <v>28038.95</v>
      </c>
      <c r="W17" s="381">
        <v>81806.399999999994</v>
      </c>
      <c r="X17" s="381">
        <v>29262.93</v>
      </c>
      <c r="Y17" s="381">
        <v>81806.399999999994</v>
      </c>
      <c r="Z17" s="381">
        <v>29907.56</v>
      </c>
      <c r="AA17" s="377" t="s">
        <v>261</v>
      </c>
      <c r="AB17" s="377" t="s">
        <v>262</v>
      </c>
      <c r="AC17" s="377" t="s">
        <v>263</v>
      </c>
      <c r="AD17" s="377" t="s">
        <v>264</v>
      </c>
      <c r="AE17" s="377" t="s">
        <v>259</v>
      </c>
      <c r="AF17" s="377" t="s">
        <v>178</v>
      </c>
      <c r="AG17" s="377" t="s">
        <v>179</v>
      </c>
      <c r="AH17" s="382">
        <v>39.33</v>
      </c>
      <c r="AI17" s="380">
        <v>31521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1</v>
      </c>
      <c r="AR17" s="384" t="s">
        <v>184</v>
      </c>
      <c r="AS17" s="388">
        <f t="shared" si="27"/>
        <v>1</v>
      </c>
      <c r="AT17">
        <f t="shared" si="28"/>
        <v>1</v>
      </c>
      <c r="AU17" s="388">
        <f>IF(AT17=0,"",IF(AND(AT17=1,M17="F",SUMIF(C2:C35,C17,AS2:AS35)&lt;=1),SUMIF(C2:C35,C17,AS2:AS35),IF(AND(AT17=1,M17="F",SUMIF(C2:C35,C17,AS2:AS35)&gt;1),1,"")))</f>
        <v>1</v>
      </c>
      <c r="AV17" s="388" t="str">
        <f>IF(AT17=0,"",IF(AND(AT17=3,M17="F",SUMIF(C2:C35,C17,AS2:AS35)&lt;=1),SUMIF(C2:C35,C17,AS2:AS35),IF(AND(AT17=3,M17="F",SUMIF(C2:C35,C17,AS2:AS35)&gt;1),1,"")))</f>
        <v/>
      </c>
      <c r="AW17" s="388">
        <f>SUMIF(C2:C35,C17,O2:O35)</f>
        <v>1</v>
      </c>
      <c r="AX17" s="388">
        <f>IF(AND(M17="F",AS17&lt;&gt;0),SUMIF(C2:C35,C17,W2:W35),0)</f>
        <v>81806.399999999994</v>
      </c>
      <c r="AY17" s="388">
        <f t="shared" si="29"/>
        <v>81806.399999999994</v>
      </c>
      <c r="AZ17" s="388" t="str">
        <f t="shared" si="30"/>
        <v/>
      </c>
      <c r="BA17" s="388">
        <f t="shared" si="31"/>
        <v>0</v>
      </c>
      <c r="BB17" s="388">
        <f t="shared" si="0"/>
        <v>12500</v>
      </c>
      <c r="BC17" s="388">
        <f t="shared" si="1"/>
        <v>0</v>
      </c>
      <c r="BD17" s="388">
        <f t="shared" si="2"/>
        <v>5071.9967999999999</v>
      </c>
      <c r="BE17" s="388">
        <f t="shared" si="3"/>
        <v>1186.1928</v>
      </c>
      <c r="BF17" s="388">
        <f t="shared" si="4"/>
        <v>9767.6841600000007</v>
      </c>
      <c r="BG17" s="388">
        <f t="shared" si="5"/>
        <v>589.82414399999993</v>
      </c>
      <c r="BH17" s="388">
        <f t="shared" si="6"/>
        <v>0</v>
      </c>
      <c r="BI17" s="388">
        <f t="shared" si="7"/>
        <v>0</v>
      </c>
      <c r="BJ17" s="388">
        <f t="shared" si="8"/>
        <v>147.25152</v>
      </c>
      <c r="BK17" s="388">
        <f t="shared" si="9"/>
        <v>0</v>
      </c>
      <c r="BL17" s="388">
        <f t="shared" si="32"/>
        <v>16762.949424000002</v>
      </c>
      <c r="BM17" s="388">
        <f t="shared" si="33"/>
        <v>0</v>
      </c>
      <c r="BN17" s="388">
        <f t="shared" si="10"/>
        <v>13750</v>
      </c>
      <c r="BO17" s="388">
        <f t="shared" si="11"/>
        <v>0</v>
      </c>
      <c r="BP17" s="388">
        <f t="shared" si="12"/>
        <v>5071.9967999999999</v>
      </c>
      <c r="BQ17" s="388">
        <f t="shared" si="13"/>
        <v>1186.1928</v>
      </c>
      <c r="BR17" s="388">
        <f t="shared" si="14"/>
        <v>9145.9555199999995</v>
      </c>
      <c r="BS17" s="388">
        <f t="shared" si="15"/>
        <v>589.82414399999993</v>
      </c>
      <c r="BT17" s="388">
        <f t="shared" si="16"/>
        <v>0</v>
      </c>
      <c r="BU17" s="388">
        <f t="shared" si="17"/>
        <v>0</v>
      </c>
      <c r="BV17" s="388">
        <f t="shared" si="18"/>
        <v>163.61279999999999</v>
      </c>
      <c r="BW17" s="388">
        <f t="shared" si="19"/>
        <v>0</v>
      </c>
      <c r="BX17" s="388">
        <f t="shared" si="34"/>
        <v>16157.582064</v>
      </c>
      <c r="BY17" s="388">
        <f t="shared" si="35"/>
        <v>0</v>
      </c>
      <c r="BZ17" s="388">
        <f t="shared" si="36"/>
        <v>1250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-621.72864000000072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16.361280000000008</v>
      </c>
      <c r="CI17" s="388">
        <f t="shared" si="26"/>
        <v>0</v>
      </c>
      <c r="CJ17" s="388">
        <f t="shared" si="39"/>
        <v>-605.36736000000076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0001-00</v>
      </c>
    </row>
    <row r="18" spans="1:92" ht="15.75" thickBot="1" x14ac:dyDescent="0.3">
      <c r="A18" s="377" t="s">
        <v>162</v>
      </c>
      <c r="B18" s="377" t="s">
        <v>163</v>
      </c>
      <c r="C18" s="377" t="s">
        <v>265</v>
      </c>
      <c r="D18" s="377" t="s">
        <v>266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267</v>
      </c>
      <c r="L18" s="377" t="s">
        <v>182</v>
      </c>
      <c r="M18" s="377" t="s">
        <v>172</v>
      </c>
      <c r="N18" s="377" t="s">
        <v>173</v>
      </c>
      <c r="O18" s="380">
        <v>1</v>
      </c>
      <c r="P18" s="386">
        <v>1</v>
      </c>
      <c r="Q18" s="386">
        <v>1</v>
      </c>
      <c r="R18" s="381">
        <v>80</v>
      </c>
      <c r="S18" s="386">
        <v>1</v>
      </c>
      <c r="T18" s="381">
        <v>57849.599999999999</v>
      </c>
      <c r="U18" s="381">
        <v>0</v>
      </c>
      <c r="V18" s="381">
        <v>23310.75</v>
      </c>
      <c r="W18" s="381">
        <v>60465.599999999999</v>
      </c>
      <c r="X18" s="381">
        <v>24889.98</v>
      </c>
      <c r="Y18" s="381">
        <v>60465.599999999999</v>
      </c>
      <c r="Z18" s="381">
        <v>25692.54</v>
      </c>
      <c r="AA18" s="377" t="s">
        <v>268</v>
      </c>
      <c r="AB18" s="377" t="s">
        <v>269</v>
      </c>
      <c r="AC18" s="377" t="s">
        <v>256</v>
      </c>
      <c r="AD18" s="377" t="s">
        <v>188</v>
      </c>
      <c r="AE18" s="377" t="s">
        <v>267</v>
      </c>
      <c r="AF18" s="377" t="s">
        <v>178</v>
      </c>
      <c r="AG18" s="377" t="s">
        <v>179</v>
      </c>
      <c r="AH18" s="382">
        <v>29.07</v>
      </c>
      <c r="AI18" s="382">
        <v>5816.5</v>
      </c>
      <c r="AJ18" s="377" t="s">
        <v>180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80</v>
      </c>
      <c r="AP18" s="386">
        <v>1</v>
      </c>
      <c r="AQ18" s="386">
        <v>1</v>
      </c>
      <c r="AR18" s="384" t="s">
        <v>184</v>
      </c>
      <c r="AS18" s="388">
        <f t="shared" si="27"/>
        <v>1</v>
      </c>
      <c r="AT18">
        <f t="shared" si="28"/>
        <v>1</v>
      </c>
      <c r="AU18" s="388">
        <f>IF(AT18=0,"",IF(AND(AT18=1,M18="F",SUMIF(C2:C35,C18,AS2:AS35)&lt;=1),SUMIF(C2:C35,C18,AS2:AS35),IF(AND(AT18=1,M18="F",SUMIF(C2:C35,C18,AS2:AS35)&gt;1),1,"")))</f>
        <v>1</v>
      </c>
      <c r="AV18" s="388" t="str">
        <f>IF(AT18=0,"",IF(AND(AT18=3,M18="F",SUMIF(C2:C35,C18,AS2:AS35)&lt;=1),SUMIF(C2:C35,C18,AS2:AS35),IF(AND(AT18=3,M18="F",SUMIF(C2:C35,C18,AS2:AS35)&gt;1),1,"")))</f>
        <v/>
      </c>
      <c r="AW18" s="388">
        <f>SUMIF(C2:C35,C18,O2:O35)</f>
        <v>1</v>
      </c>
      <c r="AX18" s="388">
        <f>IF(AND(M18="F",AS18&lt;&gt;0),SUMIF(C2:C35,C18,W2:W35),0)</f>
        <v>60465.599999999999</v>
      </c>
      <c r="AY18" s="388">
        <f t="shared" si="29"/>
        <v>60465.599999999999</v>
      </c>
      <c r="AZ18" s="388" t="str">
        <f t="shared" si="30"/>
        <v/>
      </c>
      <c r="BA18" s="388">
        <f t="shared" si="31"/>
        <v>0</v>
      </c>
      <c r="BB18" s="388">
        <f t="shared" si="0"/>
        <v>12500</v>
      </c>
      <c r="BC18" s="388">
        <f t="shared" si="1"/>
        <v>0</v>
      </c>
      <c r="BD18" s="388">
        <f t="shared" si="2"/>
        <v>3748.8671999999997</v>
      </c>
      <c r="BE18" s="388">
        <f t="shared" si="3"/>
        <v>876.75120000000004</v>
      </c>
      <c r="BF18" s="388">
        <f t="shared" si="4"/>
        <v>7219.5926399999998</v>
      </c>
      <c r="BG18" s="388">
        <f t="shared" si="5"/>
        <v>435.956976</v>
      </c>
      <c r="BH18" s="388">
        <f t="shared" si="6"/>
        <v>0</v>
      </c>
      <c r="BI18" s="388">
        <f t="shared" si="7"/>
        <v>0</v>
      </c>
      <c r="BJ18" s="388">
        <f t="shared" si="8"/>
        <v>108.83807999999999</v>
      </c>
      <c r="BK18" s="388">
        <f t="shared" si="9"/>
        <v>0</v>
      </c>
      <c r="BL18" s="388">
        <f t="shared" si="32"/>
        <v>12390.006095999997</v>
      </c>
      <c r="BM18" s="388">
        <f t="shared" si="33"/>
        <v>0</v>
      </c>
      <c r="BN18" s="388">
        <f t="shared" si="10"/>
        <v>13750</v>
      </c>
      <c r="BO18" s="388">
        <f t="shared" si="11"/>
        <v>0</v>
      </c>
      <c r="BP18" s="388">
        <f t="shared" si="12"/>
        <v>3748.8671999999997</v>
      </c>
      <c r="BQ18" s="388">
        <f t="shared" si="13"/>
        <v>876.75120000000004</v>
      </c>
      <c r="BR18" s="388">
        <f t="shared" si="14"/>
        <v>6760.0540799999999</v>
      </c>
      <c r="BS18" s="388">
        <f t="shared" si="15"/>
        <v>435.956976</v>
      </c>
      <c r="BT18" s="388">
        <f t="shared" si="16"/>
        <v>0</v>
      </c>
      <c r="BU18" s="388">
        <f t="shared" si="17"/>
        <v>0</v>
      </c>
      <c r="BV18" s="388">
        <f t="shared" si="18"/>
        <v>120.9312</v>
      </c>
      <c r="BW18" s="388">
        <f t="shared" si="19"/>
        <v>0</v>
      </c>
      <c r="BX18" s="388">
        <f t="shared" si="34"/>
        <v>11942.560656</v>
      </c>
      <c r="BY18" s="388">
        <f t="shared" si="35"/>
        <v>0</v>
      </c>
      <c r="BZ18" s="388">
        <f t="shared" si="36"/>
        <v>1250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-459.53856000000059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12.093120000000006</v>
      </c>
      <c r="CI18" s="388">
        <f t="shared" si="26"/>
        <v>0</v>
      </c>
      <c r="CJ18" s="388">
        <f t="shared" si="39"/>
        <v>-447.44544000000059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0001-00</v>
      </c>
    </row>
    <row r="19" spans="1:92" ht="15.75" thickBot="1" x14ac:dyDescent="0.3">
      <c r="A19" s="377" t="s">
        <v>162</v>
      </c>
      <c r="B19" s="377" t="s">
        <v>163</v>
      </c>
      <c r="C19" s="377" t="s">
        <v>270</v>
      </c>
      <c r="D19" s="377" t="s">
        <v>235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236</v>
      </c>
      <c r="L19" s="377" t="s">
        <v>167</v>
      </c>
      <c r="M19" s="377" t="s">
        <v>172</v>
      </c>
      <c r="N19" s="377" t="s">
        <v>173</v>
      </c>
      <c r="O19" s="380">
        <v>1</v>
      </c>
      <c r="P19" s="386">
        <v>1</v>
      </c>
      <c r="Q19" s="386">
        <v>1</v>
      </c>
      <c r="R19" s="381">
        <v>80</v>
      </c>
      <c r="S19" s="386">
        <v>1</v>
      </c>
      <c r="T19" s="381">
        <v>105939.2</v>
      </c>
      <c r="U19" s="381">
        <v>0</v>
      </c>
      <c r="V19" s="381">
        <v>33661.78</v>
      </c>
      <c r="W19" s="381">
        <v>109803.2</v>
      </c>
      <c r="X19" s="381">
        <v>34999.75</v>
      </c>
      <c r="Y19" s="381">
        <v>109803.2</v>
      </c>
      <c r="Z19" s="381">
        <v>35437.199999999997</v>
      </c>
      <c r="AA19" s="377" t="s">
        <v>271</v>
      </c>
      <c r="AB19" s="377" t="s">
        <v>272</v>
      </c>
      <c r="AC19" s="377" t="s">
        <v>273</v>
      </c>
      <c r="AD19" s="377" t="s">
        <v>274</v>
      </c>
      <c r="AE19" s="377" t="s">
        <v>236</v>
      </c>
      <c r="AF19" s="377" t="s">
        <v>178</v>
      </c>
      <c r="AG19" s="377" t="s">
        <v>179</v>
      </c>
      <c r="AH19" s="382">
        <v>52.79</v>
      </c>
      <c r="AI19" s="382">
        <v>5940.5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6">
        <v>1</v>
      </c>
      <c r="AQ19" s="386">
        <v>1</v>
      </c>
      <c r="AR19" s="384" t="s">
        <v>184</v>
      </c>
      <c r="AS19" s="388">
        <f t="shared" si="27"/>
        <v>1</v>
      </c>
      <c r="AT19">
        <f t="shared" si="28"/>
        <v>1</v>
      </c>
      <c r="AU19" s="388">
        <f>IF(AT19=0,"",IF(AND(AT19=1,M19="F",SUMIF(C2:C35,C19,AS2:AS35)&lt;=1),SUMIF(C2:C35,C19,AS2:AS35),IF(AND(AT19=1,M19="F",SUMIF(C2:C35,C19,AS2:AS35)&gt;1),1,"")))</f>
        <v>1</v>
      </c>
      <c r="AV19" s="388" t="str">
        <f>IF(AT19=0,"",IF(AND(AT19=3,M19="F",SUMIF(C2:C35,C19,AS2:AS35)&lt;=1),SUMIF(C2:C35,C19,AS2:AS35),IF(AND(AT19=3,M19="F",SUMIF(C2:C35,C19,AS2:AS35)&gt;1),1,"")))</f>
        <v/>
      </c>
      <c r="AW19" s="388">
        <f>SUMIF(C2:C35,C19,O2:O35)</f>
        <v>1</v>
      </c>
      <c r="AX19" s="388">
        <f>IF(AND(M19="F",AS19&lt;&gt;0),SUMIF(C2:C35,C19,W2:W35),0)</f>
        <v>109803.2</v>
      </c>
      <c r="AY19" s="388">
        <f t="shared" si="29"/>
        <v>109803.2</v>
      </c>
      <c r="AZ19" s="388" t="str">
        <f t="shared" si="30"/>
        <v/>
      </c>
      <c r="BA19" s="388">
        <f t="shared" si="31"/>
        <v>0</v>
      </c>
      <c r="BB19" s="388">
        <f t="shared" si="0"/>
        <v>12500</v>
      </c>
      <c r="BC19" s="388">
        <f t="shared" si="1"/>
        <v>0</v>
      </c>
      <c r="BD19" s="388">
        <f t="shared" si="2"/>
        <v>6807.7983999999997</v>
      </c>
      <c r="BE19" s="388">
        <f t="shared" si="3"/>
        <v>1592.1464000000001</v>
      </c>
      <c r="BF19" s="388">
        <f t="shared" si="4"/>
        <v>13110.50208</v>
      </c>
      <c r="BG19" s="388">
        <f t="shared" si="5"/>
        <v>791.68107199999997</v>
      </c>
      <c r="BH19" s="388">
        <f t="shared" si="6"/>
        <v>0</v>
      </c>
      <c r="BI19" s="388">
        <f t="shared" si="7"/>
        <v>0</v>
      </c>
      <c r="BJ19" s="388">
        <f t="shared" si="8"/>
        <v>197.64576</v>
      </c>
      <c r="BK19" s="388">
        <f t="shared" si="9"/>
        <v>0</v>
      </c>
      <c r="BL19" s="388">
        <f t="shared" si="32"/>
        <v>22499.773711999998</v>
      </c>
      <c r="BM19" s="388">
        <f t="shared" si="33"/>
        <v>0</v>
      </c>
      <c r="BN19" s="388">
        <f t="shared" si="10"/>
        <v>13750</v>
      </c>
      <c r="BO19" s="388">
        <f t="shared" si="11"/>
        <v>0</v>
      </c>
      <c r="BP19" s="388">
        <f t="shared" si="12"/>
        <v>6807.7983999999997</v>
      </c>
      <c r="BQ19" s="388">
        <f t="shared" si="13"/>
        <v>1592.1464000000001</v>
      </c>
      <c r="BR19" s="388">
        <f t="shared" si="14"/>
        <v>12275.99776</v>
      </c>
      <c r="BS19" s="388">
        <f t="shared" si="15"/>
        <v>791.68107199999997</v>
      </c>
      <c r="BT19" s="388">
        <f t="shared" si="16"/>
        <v>0</v>
      </c>
      <c r="BU19" s="388">
        <f t="shared" si="17"/>
        <v>0</v>
      </c>
      <c r="BV19" s="388">
        <f t="shared" si="18"/>
        <v>219.60640000000001</v>
      </c>
      <c r="BW19" s="388">
        <f t="shared" si="19"/>
        <v>0</v>
      </c>
      <c r="BX19" s="388">
        <f t="shared" si="34"/>
        <v>21687.230031999999</v>
      </c>
      <c r="BY19" s="388">
        <f t="shared" si="35"/>
        <v>0</v>
      </c>
      <c r="BZ19" s="388">
        <f t="shared" si="36"/>
        <v>1250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-834.50432000000103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21.960640000000009</v>
      </c>
      <c r="CI19" s="388">
        <f t="shared" si="26"/>
        <v>0</v>
      </c>
      <c r="CJ19" s="388">
        <f t="shared" si="39"/>
        <v>-812.54368000000102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0001-00</v>
      </c>
    </row>
    <row r="20" spans="1:92" ht="15.75" thickBot="1" x14ac:dyDescent="0.3">
      <c r="A20" s="377" t="s">
        <v>162</v>
      </c>
      <c r="B20" s="377" t="s">
        <v>163</v>
      </c>
      <c r="C20" s="377" t="s">
        <v>275</v>
      </c>
      <c r="D20" s="377" t="s">
        <v>276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277</v>
      </c>
      <c r="L20" s="377" t="s">
        <v>171</v>
      </c>
      <c r="M20" s="377" t="s">
        <v>172</v>
      </c>
      <c r="N20" s="377" t="s">
        <v>173</v>
      </c>
      <c r="O20" s="380">
        <v>1</v>
      </c>
      <c r="P20" s="386">
        <v>1</v>
      </c>
      <c r="Q20" s="386">
        <v>1</v>
      </c>
      <c r="R20" s="381">
        <v>80</v>
      </c>
      <c r="S20" s="386">
        <v>1</v>
      </c>
      <c r="T20" s="381">
        <v>49817.599999999999</v>
      </c>
      <c r="U20" s="381">
        <v>316.83</v>
      </c>
      <c r="V20" s="381">
        <v>22036.39</v>
      </c>
      <c r="W20" s="381">
        <v>54121.599999999999</v>
      </c>
      <c r="X20" s="381">
        <v>23590.02</v>
      </c>
      <c r="Y20" s="381">
        <v>54121.599999999999</v>
      </c>
      <c r="Z20" s="381">
        <v>24439.53</v>
      </c>
      <c r="AA20" s="377" t="s">
        <v>278</v>
      </c>
      <c r="AB20" s="377" t="s">
        <v>279</v>
      </c>
      <c r="AC20" s="377" t="s">
        <v>280</v>
      </c>
      <c r="AD20" s="377" t="s">
        <v>177</v>
      </c>
      <c r="AE20" s="377" t="s">
        <v>277</v>
      </c>
      <c r="AF20" s="377" t="s">
        <v>178</v>
      </c>
      <c r="AG20" s="377" t="s">
        <v>179</v>
      </c>
      <c r="AH20" s="382">
        <v>26.02</v>
      </c>
      <c r="AI20" s="382">
        <v>14878.1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6">
        <v>1</v>
      </c>
      <c r="AQ20" s="386">
        <v>1</v>
      </c>
      <c r="AR20" s="384" t="s">
        <v>184</v>
      </c>
      <c r="AS20" s="388">
        <f t="shared" si="27"/>
        <v>1</v>
      </c>
      <c r="AT20">
        <f t="shared" si="28"/>
        <v>1</v>
      </c>
      <c r="AU20" s="388">
        <f>IF(AT20=0,"",IF(AND(AT20=1,M20="F",SUMIF(C2:C35,C20,AS2:AS35)&lt;=1),SUMIF(C2:C35,C20,AS2:AS35),IF(AND(AT20=1,M20="F",SUMIF(C2:C35,C20,AS2:AS35)&gt;1),1,"")))</f>
        <v>1</v>
      </c>
      <c r="AV20" s="388" t="str">
        <f>IF(AT20=0,"",IF(AND(AT20=3,M20="F",SUMIF(C2:C35,C20,AS2:AS35)&lt;=1),SUMIF(C2:C35,C20,AS2:AS35),IF(AND(AT20=3,M20="F",SUMIF(C2:C35,C20,AS2:AS35)&gt;1),1,"")))</f>
        <v/>
      </c>
      <c r="AW20" s="388">
        <f>SUMIF(C2:C35,C20,O2:O35)</f>
        <v>1</v>
      </c>
      <c r="AX20" s="388">
        <f>IF(AND(M20="F",AS20&lt;&gt;0),SUMIF(C2:C35,C20,W2:W35),0)</f>
        <v>54121.599999999999</v>
      </c>
      <c r="AY20" s="388">
        <f t="shared" si="29"/>
        <v>54121.599999999999</v>
      </c>
      <c r="AZ20" s="388" t="str">
        <f t="shared" si="30"/>
        <v/>
      </c>
      <c r="BA20" s="388">
        <f t="shared" si="31"/>
        <v>0</v>
      </c>
      <c r="BB20" s="388">
        <f t="shared" si="0"/>
        <v>12500</v>
      </c>
      <c r="BC20" s="388">
        <f t="shared" si="1"/>
        <v>0</v>
      </c>
      <c r="BD20" s="388">
        <f t="shared" si="2"/>
        <v>3355.5391999999997</v>
      </c>
      <c r="BE20" s="388">
        <f t="shared" si="3"/>
        <v>784.76319999999998</v>
      </c>
      <c r="BF20" s="388">
        <f t="shared" si="4"/>
        <v>6462.1190400000005</v>
      </c>
      <c r="BG20" s="388">
        <f t="shared" si="5"/>
        <v>390.21673600000003</v>
      </c>
      <c r="BH20" s="388">
        <f t="shared" si="6"/>
        <v>0</v>
      </c>
      <c r="BI20" s="388">
        <f t="shared" si="7"/>
        <v>0</v>
      </c>
      <c r="BJ20" s="388">
        <f t="shared" si="8"/>
        <v>97.418880000000001</v>
      </c>
      <c r="BK20" s="388">
        <f t="shared" si="9"/>
        <v>0</v>
      </c>
      <c r="BL20" s="388">
        <f t="shared" si="32"/>
        <v>11090.057056</v>
      </c>
      <c r="BM20" s="388">
        <f t="shared" si="33"/>
        <v>0</v>
      </c>
      <c r="BN20" s="388">
        <f t="shared" si="10"/>
        <v>13750</v>
      </c>
      <c r="BO20" s="388">
        <f t="shared" si="11"/>
        <v>0</v>
      </c>
      <c r="BP20" s="388">
        <f t="shared" si="12"/>
        <v>3355.5391999999997</v>
      </c>
      <c r="BQ20" s="388">
        <f t="shared" si="13"/>
        <v>784.76319999999998</v>
      </c>
      <c r="BR20" s="388">
        <f t="shared" si="14"/>
        <v>6050.7948799999995</v>
      </c>
      <c r="BS20" s="388">
        <f t="shared" si="15"/>
        <v>390.21673600000003</v>
      </c>
      <c r="BT20" s="388">
        <f t="shared" si="16"/>
        <v>0</v>
      </c>
      <c r="BU20" s="388">
        <f t="shared" si="17"/>
        <v>0</v>
      </c>
      <c r="BV20" s="388">
        <f t="shared" si="18"/>
        <v>108.2432</v>
      </c>
      <c r="BW20" s="388">
        <f t="shared" si="19"/>
        <v>0</v>
      </c>
      <c r="BX20" s="388">
        <f t="shared" si="34"/>
        <v>10689.557215999999</v>
      </c>
      <c r="BY20" s="388">
        <f t="shared" si="35"/>
        <v>0</v>
      </c>
      <c r="BZ20" s="388">
        <f t="shared" si="36"/>
        <v>1250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-411.32416000000052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10.824320000000005</v>
      </c>
      <c r="CI20" s="388">
        <f t="shared" si="26"/>
        <v>0</v>
      </c>
      <c r="CJ20" s="388">
        <f t="shared" si="39"/>
        <v>-400.49984000000052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0001-00</v>
      </c>
    </row>
    <row r="21" spans="1:92" ht="15.75" thickBot="1" x14ac:dyDescent="0.3">
      <c r="A21" s="377" t="s">
        <v>162</v>
      </c>
      <c r="B21" s="377" t="s">
        <v>163</v>
      </c>
      <c r="C21" s="377" t="s">
        <v>281</v>
      </c>
      <c r="D21" s="377" t="s">
        <v>252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253</v>
      </c>
      <c r="L21" s="377" t="s">
        <v>171</v>
      </c>
      <c r="M21" s="377" t="s">
        <v>172</v>
      </c>
      <c r="N21" s="377" t="s">
        <v>173</v>
      </c>
      <c r="O21" s="380">
        <v>1</v>
      </c>
      <c r="P21" s="386">
        <v>1</v>
      </c>
      <c r="Q21" s="386">
        <v>1</v>
      </c>
      <c r="R21" s="381">
        <v>80</v>
      </c>
      <c r="S21" s="386">
        <v>1</v>
      </c>
      <c r="T21" s="381">
        <v>40086.629999999997</v>
      </c>
      <c r="U21" s="381">
        <v>7.8</v>
      </c>
      <c r="V21" s="381">
        <v>15892.94</v>
      </c>
      <c r="W21" s="381">
        <v>55120</v>
      </c>
      <c r="X21" s="381">
        <v>23794.62</v>
      </c>
      <c r="Y21" s="381">
        <v>55120</v>
      </c>
      <c r="Z21" s="381">
        <v>24636.74</v>
      </c>
      <c r="AA21" s="377" t="s">
        <v>282</v>
      </c>
      <c r="AB21" s="377" t="s">
        <v>283</v>
      </c>
      <c r="AC21" s="377" t="s">
        <v>284</v>
      </c>
      <c r="AD21" s="377" t="s">
        <v>212</v>
      </c>
      <c r="AE21" s="377" t="s">
        <v>253</v>
      </c>
      <c r="AF21" s="377" t="s">
        <v>178</v>
      </c>
      <c r="AG21" s="377" t="s">
        <v>179</v>
      </c>
      <c r="AH21" s="382">
        <v>26.5</v>
      </c>
      <c r="AI21" s="380">
        <v>160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1</v>
      </c>
      <c r="AR21" s="384" t="s">
        <v>184</v>
      </c>
      <c r="AS21" s="388">
        <f t="shared" si="27"/>
        <v>1</v>
      </c>
      <c r="AT21">
        <f t="shared" si="28"/>
        <v>1</v>
      </c>
      <c r="AU21" s="388">
        <f>IF(AT21=0,"",IF(AND(AT21=1,M21="F",SUMIF(C2:C35,C21,AS2:AS35)&lt;=1),SUMIF(C2:C35,C21,AS2:AS35),IF(AND(AT21=1,M21="F",SUMIF(C2:C35,C21,AS2:AS35)&gt;1),1,"")))</f>
        <v>1</v>
      </c>
      <c r="AV21" s="388" t="str">
        <f>IF(AT21=0,"",IF(AND(AT21=3,M21="F",SUMIF(C2:C35,C21,AS2:AS35)&lt;=1),SUMIF(C2:C35,C21,AS2:AS35),IF(AND(AT21=3,M21="F",SUMIF(C2:C35,C21,AS2:AS35)&gt;1),1,"")))</f>
        <v/>
      </c>
      <c r="AW21" s="388">
        <f>SUMIF(C2:C35,C21,O2:O35)</f>
        <v>1</v>
      </c>
      <c r="AX21" s="388">
        <f>IF(AND(M21="F",AS21&lt;&gt;0),SUMIF(C2:C35,C21,W2:W35),0)</f>
        <v>55120</v>
      </c>
      <c r="AY21" s="388">
        <f t="shared" si="29"/>
        <v>55120</v>
      </c>
      <c r="AZ21" s="388" t="str">
        <f t="shared" si="30"/>
        <v/>
      </c>
      <c r="BA21" s="388">
        <f t="shared" si="31"/>
        <v>0</v>
      </c>
      <c r="BB21" s="388">
        <f t="shared" si="0"/>
        <v>12500</v>
      </c>
      <c r="BC21" s="388">
        <f t="shared" si="1"/>
        <v>0</v>
      </c>
      <c r="BD21" s="388">
        <f t="shared" si="2"/>
        <v>3417.44</v>
      </c>
      <c r="BE21" s="388">
        <f t="shared" si="3"/>
        <v>799.24</v>
      </c>
      <c r="BF21" s="388">
        <f t="shared" si="4"/>
        <v>6581.3280000000004</v>
      </c>
      <c r="BG21" s="388">
        <f t="shared" si="5"/>
        <v>397.41520000000003</v>
      </c>
      <c r="BH21" s="388">
        <f t="shared" si="6"/>
        <v>0</v>
      </c>
      <c r="BI21" s="388">
        <f t="shared" si="7"/>
        <v>0</v>
      </c>
      <c r="BJ21" s="388">
        <f t="shared" si="8"/>
        <v>99.215999999999994</v>
      </c>
      <c r="BK21" s="388">
        <f t="shared" si="9"/>
        <v>0</v>
      </c>
      <c r="BL21" s="388">
        <f t="shared" si="32"/>
        <v>11294.639200000001</v>
      </c>
      <c r="BM21" s="388">
        <f t="shared" si="33"/>
        <v>0</v>
      </c>
      <c r="BN21" s="388">
        <f t="shared" si="10"/>
        <v>13750</v>
      </c>
      <c r="BO21" s="388">
        <f t="shared" si="11"/>
        <v>0</v>
      </c>
      <c r="BP21" s="388">
        <f t="shared" si="12"/>
        <v>3417.44</v>
      </c>
      <c r="BQ21" s="388">
        <f t="shared" si="13"/>
        <v>799.24</v>
      </c>
      <c r="BR21" s="388">
        <f t="shared" si="14"/>
        <v>6162.4160000000002</v>
      </c>
      <c r="BS21" s="388">
        <f t="shared" si="15"/>
        <v>397.41520000000003</v>
      </c>
      <c r="BT21" s="388">
        <f t="shared" si="16"/>
        <v>0</v>
      </c>
      <c r="BU21" s="388">
        <f t="shared" si="17"/>
        <v>0</v>
      </c>
      <c r="BV21" s="388">
        <f t="shared" si="18"/>
        <v>110.24000000000001</v>
      </c>
      <c r="BW21" s="388">
        <f t="shared" si="19"/>
        <v>0</v>
      </c>
      <c r="BX21" s="388">
        <f t="shared" si="34"/>
        <v>10886.751200000001</v>
      </c>
      <c r="BY21" s="388">
        <f t="shared" si="35"/>
        <v>0</v>
      </c>
      <c r="BZ21" s="388">
        <f t="shared" si="36"/>
        <v>1250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-418.91200000000055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11.024000000000004</v>
      </c>
      <c r="CI21" s="388">
        <f t="shared" si="26"/>
        <v>0</v>
      </c>
      <c r="CJ21" s="388">
        <f t="shared" si="39"/>
        <v>-407.88800000000055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0001-00</v>
      </c>
    </row>
    <row r="22" spans="1:92" ht="15.75" thickBot="1" x14ac:dyDescent="0.3">
      <c r="A22" s="377" t="s">
        <v>162</v>
      </c>
      <c r="B22" s="377" t="s">
        <v>163</v>
      </c>
      <c r="C22" s="377" t="s">
        <v>285</v>
      </c>
      <c r="D22" s="377" t="s">
        <v>286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287</v>
      </c>
      <c r="L22" s="377" t="s">
        <v>167</v>
      </c>
      <c r="M22" s="377" t="s">
        <v>172</v>
      </c>
      <c r="N22" s="377" t="s">
        <v>173</v>
      </c>
      <c r="O22" s="380">
        <v>1</v>
      </c>
      <c r="P22" s="386">
        <v>1</v>
      </c>
      <c r="Q22" s="386">
        <v>1</v>
      </c>
      <c r="R22" s="381">
        <v>80</v>
      </c>
      <c r="S22" s="386">
        <v>1</v>
      </c>
      <c r="T22" s="381">
        <v>114297.60000000001</v>
      </c>
      <c r="U22" s="381">
        <v>0</v>
      </c>
      <c r="V22" s="381">
        <v>35285.800000000003</v>
      </c>
      <c r="W22" s="381">
        <v>118289.60000000001</v>
      </c>
      <c r="X22" s="381">
        <v>36738.69</v>
      </c>
      <c r="Y22" s="381">
        <v>118289.60000000001</v>
      </c>
      <c r="Z22" s="381">
        <v>37113.339999999997</v>
      </c>
      <c r="AA22" s="377" t="s">
        <v>288</v>
      </c>
      <c r="AB22" s="377" t="s">
        <v>289</v>
      </c>
      <c r="AC22" s="377" t="s">
        <v>290</v>
      </c>
      <c r="AD22" s="377" t="s">
        <v>291</v>
      </c>
      <c r="AE22" s="377" t="s">
        <v>287</v>
      </c>
      <c r="AF22" s="377" t="s">
        <v>178</v>
      </c>
      <c r="AG22" s="377" t="s">
        <v>179</v>
      </c>
      <c r="AH22" s="382">
        <v>56.87</v>
      </c>
      <c r="AI22" s="380">
        <v>12080</v>
      </c>
      <c r="AJ22" s="377" t="s">
        <v>180</v>
      </c>
      <c r="AK22" s="377" t="s">
        <v>181</v>
      </c>
      <c r="AL22" s="377" t="s">
        <v>182</v>
      </c>
      <c r="AM22" s="377" t="s">
        <v>183</v>
      </c>
      <c r="AN22" s="377" t="s">
        <v>66</v>
      </c>
      <c r="AO22" s="380">
        <v>80</v>
      </c>
      <c r="AP22" s="386">
        <v>1</v>
      </c>
      <c r="AQ22" s="386">
        <v>1</v>
      </c>
      <c r="AR22" s="384" t="s">
        <v>184</v>
      </c>
      <c r="AS22" s="388">
        <f t="shared" si="27"/>
        <v>1</v>
      </c>
      <c r="AT22">
        <f t="shared" si="28"/>
        <v>1</v>
      </c>
      <c r="AU22" s="388">
        <f>IF(AT22=0,"",IF(AND(AT22=1,M22="F",SUMIF(C2:C35,C22,AS2:AS35)&lt;=1),SUMIF(C2:C35,C22,AS2:AS35),IF(AND(AT22=1,M22="F",SUMIF(C2:C35,C22,AS2:AS35)&gt;1),1,"")))</f>
        <v>1</v>
      </c>
      <c r="AV22" s="388" t="str">
        <f>IF(AT22=0,"",IF(AND(AT22=3,M22="F",SUMIF(C2:C35,C22,AS2:AS35)&lt;=1),SUMIF(C2:C35,C22,AS2:AS35),IF(AND(AT22=3,M22="F",SUMIF(C2:C35,C22,AS2:AS35)&gt;1),1,"")))</f>
        <v/>
      </c>
      <c r="AW22" s="388">
        <f>SUMIF(C2:C35,C22,O2:O35)</f>
        <v>1</v>
      </c>
      <c r="AX22" s="388">
        <f>IF(AND(M22="F",AS22&lt;&gt;0),SUMIF(C2:C35,C22,W2:W35),0)</f>
        <v>118289.60000000001</v>
      </c>
      <c r="AY22" s="388">
        <f t="shared" si="29"/>
        <v>118289.60000000001</v>
      </c>
      <c r="AZ22" s="388" t="str">
        <f t="shared" si="30"/>
        <v/>
      </c>
      <c r="BA22" s="388">
        <f t="shared" si="31"/>
        <v>0</v>
      </c>
      <c r="BB22" s="388">
        <f t="shared" si="0"/>
        <v>12500</v>
      </c>
      <c r="BC22" s="388">
        <f t="shared" si="1"/>
        <v>0</v>
      </c>
      <c r="BD22" s="388">
        <f t="shared" si="2"/>
        <v>7333.9552000000003</v>
      </c>
      <c r="BE22" s="388">
        <f t="shared" si="3"/>
        <v>1715.1992000000002</v>
      </c>
      <c r="BF22" s="388">
        <f t="shared" si="4"/>
        <v>14123.778240000001</v>
      </c>
      <c r="BG22" s="388">
        <f t="shared" si="5"/>
        <v>852.86801600000013</v>
      </c>
      <c r="BH22" s="388">
        <f t="shared" si="6"/>
        <v>0</v>
      </c>
      <c r="BI22" s="388">
        <f t="shared" si="7"/>
        <v>0</v>
      </c>
      <c r="BJ22" s="388">
        <f t="shared" si="8"/>
        <v>212.92128</v>
      </c>
      <c r="BK22" s="388">
        <f t="shared" si="9"/>
        <v>0</v>
      </c>
      <c r="BL22" s="388">
        <f t="shared" si="32"/>
        <v>24238.721936000002</v>
      </c>
      <c r="BM22" s="388">
        <f t="shared" si="33"/>
        <v>0</v>
      </c>
      <c r="BN22" s="388">
        <f t="shared" si="10"/>
        <v>13750</v>
      </c>
      <c r="BO22" s="388">
        <f t="shared" si="11"/>
        <v>0</v>
      </c>
      <c r="BP22" s="388">
        <f t="shared" si="12"/>
        <v>7333.9552000000003</v>
      </c>
      <c r="BQ22" s="388">
        <f t="shared" si="13"/>
        <v>1715.1992000000002</v>
      </c>
      <c r="BR22" s="388">
        <f t="shared" si="14"/>
        <v>13224.77728</v>
      </c>
      <c r="BS22" s="388">
        <f t="shared" si="15"/>
        <v>852.86801600000013</v>
      </c>
      <c r="BT22" s="388">
        <f t="shared" si="16"/>
        <v>0</v>
      </c>
      <c r="BU22" s="388">
        <f t="shared" si="17"/>
        <v>0</v>
      </c>
      <c r="BV22" s="388">
        <f t="shared" si="18"/>
        <v>236.57920000000001</v>
      </c>
      <c r="BW22" s="388">
        <f t="shared" si="19"/>
        <v>0</v>
      </c>
      <c r="BX22" s="388">
        <f t="shared" si="34"/>
        <v>23363.378896000002</v>
      </c>
      <c r="BY22" s="388">
        <f t="shared" si="35"/>
        <v>0</v>
      </c>
      <c r="BZ22" s="388">
        <f t="shared" si="36"/>
        <v>1250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-899.00096000000121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23.657920000000011</v>
      </c>
      <c r="CI22" s="388">
        <f t="shared" si="26"/>
        <v>0</v>
      </c>
      <c r="CJ22" s="388">
        <f t="shared" si="39"/>
        <v>-875.34304000000122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0001-00</v>
      </c>
    </row>
    <row r="23" spans="1:92" ht="15.75" thickBot="1" x14ac:dyDescent="0.3">
      <c r="A23" s="377" t="s">
        <v>162</v>
      </c>
      <c r="B23" s="377" t="s">
        <v>163</v>
      </c>
      <c r="C23" s="377" t="s">
        <v>292</v>
      </c>
      <c r="D23" s="377" t="s">
        <v>293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294</v>
      </c>
      <c r="L23" s="377" t="s">
        <v>167</v>
      </c>
      <c r="M23" s="377" t="s">
        <v>172</v>
      </c>
      <c r="N23" s="377" t="s">
        <v>173</v>
      </c>
      <c r="O23" s="380">
        <v>1</v>
      </c>
      <c r="P23" s="386">
        <v>1</v>
      </c>
      <c r="Q23" s="386">
        <v>1</v>
      </c>
      <c r="R23" s="381">
        <v>80</v>
      </c>
      <c r="S23" s="386">
        <v>1</v>
      </c>
      <c r="T23" s="381">
        <v>46940.82</v>
      </c>
      <c r="U23" s="381">
        <v>4.37</v>
      </c>
      <c r="V23" s="381">
        <v>21252.03</v>
      </c>
      <c r="W23" s="381">
        <v>49316.800000000003</v>
      </c>
      <c r="X23" s="381">
        <v>22605.49</v>
      </c>
      <c r="Y23" s="381">
        <v>49316.800000000003</v>
      </c>
      <c r="Z23" s="381">
        <v>23490.54</v>
      </c>
      <c r="AA23" s="377" t="s">
        <v>295</v>
      </c>
      <c r="AB23" s="377" t="s">
        <v>296</v>
      </c>
      <c r="AC23" s="377" t="s">
        <v>297</v>
      </c>
      <c r="AD23" s="377" t="s">
        <v>264</v>
      </c>
      <c r="AE23" s="377" t="s">
        <v>298</v>
      </c>
      <c r="AF23" s="377" t="s">
        <v>178</v>
      </c>
      <c r="AG23" s="377" t="s">
        <v>179</v>
      </c>
      <c r="AH23" s="382">
        <v>23.71</v>
      </c>
      <c r="AI23" s="382">
        <v>6397.7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6">
        <v>1</v>
      </c>
      <c r="AQ23" s="386">
        <v>1</v>
      </c>
      <c r="AR23" s="384" t="s">
        <v>184</v>
      </c>
      <c r="AS23" s="388">
        <f t="shared" si="27"/>
        <v>1</v>
      </c>
      <c r="AT23">
        <f t="shared" si="28"/>
        <v>1</v>
      </c>
      <c r="AU23" s="388">
        <f>IF(AT23=0,"",IF(AND(AT23=1,M23="F",SUMIF(C2:C35,C23,AS2:AS35)&lt;=1),SUMIF(C2:C35,C23,AS2:AS35),IF(AND(AT23=1,M23="F",SUMIF(C2:C35,C23,AS2:AS35)&gt;1),1,"")))</f>
        <v>1</v>
      </c>
      <c r="AV23" s="388" t="str">
        <f>IF(AT23=0,"",IF(AND(AT23=3,M23="F",SUMIF(C2:C35,C23,AS2:AS35)&lt;=1),SUMIF(C2:C35,C23,AS2:AS35),IF(AND(AT23=3,M23="F",SUMIF(C2:C35,C23,AS2:AS35)&gt;1),1,"")))</f>
        <v/>
      </c>
      <c r="AW23" s="388">
        <f>SUMIF(C2:C35,C23,O2:O35)</f>
        <v>1</v>
      </c>
      <c r="AX23" s="388">
        <f>IF(AND(M23="F",AS23&lt;&gt;0),SUMIF(C2:C35,C23,W2:W35),0)</f>
        <v>49316.800000000003</v>
      </c>
      <c r="AY23" s="388">
        <f t="shared" si="29"/>
        <v>49316.800000000003</v>
      </c>
      <c r="AZ23" s="388" t="str">
        <f t="shared" si="30"/>
        <v/>
      </c>
      <c r="BA23" s="388">
        <f t="shared" si="31"/>
        <v>0</v>
      </c>
      <c r="BB23" s="388">
        <f t="shared" si="0"/>
        <v>12500</v>
      </c>
      <c r="BC23" s="388">
        <f t="shared" si="1"/>
        <v>0</v>
      </c>
      <c r="BD23" s="388">
        <f t="shared" si="2"/>
        <v>3057.6416000000004</v>
      </c>
      <c r="BE23" s="388">
        <f t="shared" si="3"/>
        <v>715.09360000000004</v>
      </c>
      <c r="BF23" s="388">
        <f t="shared" si="4"/>
        <v>5888.4259200000006</v>
      </c>
      <c r="BG23" s="388">
        <f t="shared" si="5"/>
        <v>355.57412800000003</v>
      </c>
      <c r="BH23" s="388">
        <f t="shared" si="6"/>
        <v>0</v>
      </c>
      <c r="BI23" s="388">
        <f t="shared" si="7"/>
        <v>0</v>
      </c>
      <c r="BJ23" s="388">
        <f t="shared" si="8"/>
        <v>88.770240000000001</v>
      </c>
      <c r="BK23" s="388">
        <f t="shared" si="9"/>
        <v>0</v>
      </c>
      <c r="BL23" s="388">
        <f t="shared" si="32"/>
        <v>10105.505488000001</v>
      </c>
      <c r="BM23" s="388">
        <f t="shared" si="33"/>
        <v>0</v>
      </c>
      <c r="BN23" s="388">
        <f t="shared" si="10"/>
        <v>13750</v>
      </c>
      <c r="BO23" s="388">
        <f t="shared" si="11"/>
        <v>0</v>
      </c>
      <c r="BP23" s="388">
        <f t="shared" si="12"/>
        <v>3057.6416000000004</v>
      </c>
      <c r="BQ23" s="388">
        <f t="shared" si="13"/>
        <v>715.09360000000004</v>
      </c>
      <c r="BR23" s="388">
        <f t="shared" si="14"/>
        <v>5513.6182399999998</v>
      </c>
      <c r="BS23" s="388">
        <f t="shared" si="15"/>
        <v>355.57412800000003</v>
      </c>
      <c r="BT23" s="388">
        <f t="shared" si="16"/>
        <v>0</v>
      </c>
      <c r="BU23" s="388">
        <f t="shared" si="17"/>
        <v>0</v>
      </c>
      <c r="BV23" s="388">
        <f t="shared" si="18"/>
        <v>98.633600000000001</v>
      </c>
      <c r="BW23" s="388">
        <f t="shared" si="19"/>
        <v>0</v>
      </c>
      <c r="BX23" s="388">
        <f t="shared" si="34"/>
        <v>9740.5611680000002</v>
      </c>
      <c r="BY23" s="388">
        <f t="shared" si="35"/>
        <v>0</v>
      </c>
      <c r="BZ23" s="388">
        <f t="shared" si="36"/>
        <v>1250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-374.80768000000052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9.8633600000000055</v>
      </c>
      <c r="CI23" s="388">
        <f t="shared" si="26"/>
        <v>0</v>
      </c>
      <c r="CJ23" s="388">
        <f t="shared" si="39"/>
        <v>-364.94432000000052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0001-00</v>
      </c>
    </row>
    <row r="24" spans="1:92" ht="15.75" thickBot="1" x14ac:dyDescent="0.3">
      <c r="A24" s="377" t="s">
        <v>162</v>
      </c>
      <c r="B24" s="377" t="s">
        <v>163</v>
      </c>
      <c r="C24" s="377" t="s">
        <v>299</v>
      </c>
      <c r="D24" s="377" t="s">
        <v>300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298</v>
      </c>
      <c r="L24" s="377" t="s">
        <v>167</v>
      </c>
      <c r="M24" s="377" t="s">
        <v>172</v>
      </c>
      <c r="N24" s="377" t="s">
        <v>173</v>
      </c>
      <c r="O24" s="380">
        <v>1</v>
      </c>
      <c r="P24" s="386">
        <v>1</v>
      </c>
      <c r="Q24" s="386">
        <v>1</v>
      </c>
      <c r="R24" s="381">
        <v>80</v>
      </c>
      <c r="S24" s="386">
        <v>1</v>
      </c>
      <c r="T24" s="381">
        <v>45477.87</v>
      </c>
      <c r="U24" s="381">
        <v>79.59</v>
      </c>
      <c r="V24" s="381">
        <v>20701.29</v>
      </c>
      <c r="W24" s="381">
        <v>40705.599999999999</v>
      </c>
      <c r="X24" s="381">
        <v>20840.96</v>
      </c>
      <c r="Y24" s="381">
        <v>40705.599999999999</v>
      </c>
      <c r="Z24" s="381">
        <v>21789.74</v>
      </c>
      <c r="AA24" s="377" t="s">
        <v>301</v>
      </c>
      <c r="AB24" s="377" t="s">
        <v>302</v>
      </c>
      <c r="AC24" s="377" t="s">
        <v>303</v>
      </c>
      <c r="AD24" s="377" t="s">
        <v>274</v>
      </c>
      <c r="AE24" s="377" t="s">
        <v>298</v>
      </c>
      <c r="AF24" s="377" t="s">
        <v>178</v>
      </c>
      <c r="AG24" s="377" t="s">
        <v>179</v>
      </c>
      <c r="AH24" s="382">
        <v>19.57</v>
      </c>
      <c r="AI24" s="380">
        <v>786</v>
      </c>
      <c r="AJ24" s="377" t="s">
        <v>180</v>
      </c>
      <c r="AK24" s="377" t="s">
        <v>181</v>
      </c>
      <c r="AL24" s="377" t="s">
        <v>182</v>
      </c>
      <c r="AM24" s="377" t="s">
        <v>183</v>
      </c>
      <c r="AN24" s="377" t="s">
        <v>66</v>
      </c>
      <c r="AO24" s="380">
        <v>80</v>
      </c>
      <c r="AP24" s="386">
        <v>1</v>
      </c>
      <c r="AQ24" s="386">
        <v>1</v>
      </c>
      <c r="AR24" s="384" t="s">
        <v>184</v>
      </c>
      <c r="AS24" s="388">
        <f t="shared" si="27"/>
        <v>1</v>
      </c>
      <c r="AT24">
        <f t="shared" si="28"/>
        <v>1</v>
      </c>
      <c r="AU24" s="388">
        <f>IF(AT24=0,"",IF(AND(AT24=1,M24="F",SUMIF(C2:C35,C24,AS2:AS35)&lt;=1),SUMIF(C2:C35,C24,AS2:AS35),IF(AND(AT24=1,M24="F",SUMIF(C2:C35,C24,AS2:AS35)&gt;1),1,"")))</f>
        <v>1</v>
      </c>
      <c r="AV24" s="388" t="str">
        <f>IF(AT24=0,"",IF(AND(AT24=3,M24="F",SUMIF(C2:C35,C24,AS2:AS35)&lt;=1),SUMIF(C2:C35,C24,AS2:AS35),IF(AND(AT24=3,M24="F",SUMIF(C2:C35,C24,AS2:AS35)&gt;1),1,"")))</f>
        <v/>
      </c>
      <c r="AW24" s="388">
        <f>SUMIF(C2:C35,C24,O2:O35)</f>
        <v>1</v>
      </c>
      <c r="AX24" s="388">
        <f>IF(AND(M24="F",AS24&lt;&gt;0),SUMIF(C2:C35,C24,W2:W35),0)</f>
        <v>40705.599999999999</v>
      </c>
      <c r="AY24" s="388">
        <f t="shared" si="29"/>
        <v>40705.599999999999</v>
      </c>
      <c r="AZ24" s="388" t="str">
        <f t="shared" si="30"/>
        <v/>
      </c>
      <c r="BA24" s="388">
        <f t="shared" si="31"/>
        <v>0</v>
      </c>
      <c r="BB24" s="388">
        <f t="shared" si="0"/>
        <v>12500</v>
      </c>
      <c r="BC24" s="388">
        <f t="shared" si="1"/>
        <v>0</v>
      </c>
      <c r="BD24" s="388">
        <f t="shared" si="2"/>
        <v>2523.7471999999998</v>
      </c>
      <c r="BE24" s="388">
        <f t="shared" si="3"/>
        <v>590.23120000000006</v>
      </c>
      <c r="BF24" s="388">
        <f t="shared" si="4"/>
        <v>4860.2486399999998</v>
      </c>
      <c r="BG24" s="388">
        <f t="shared" si="5"/>
        <v>293.48737599999998</v>
      </c>
      <c r="BH24" s="388">
        <f t="shared" si="6"/>
        <v>0</v>
      </c>
      <c r="BI24" s="388">
        <f t="shared" si="7"/>
        <v>0</v>
      </c>
      <c r="BJ24" s="388">
        <f t="shared" si="8"/>
        <v>73.270079999999993</v>
      </c>
      <c r="BK24" s="388">
        <f t="shared" si="9"/>
        <v>0</v>
      </c>
      <c r="BL24" s="388">
        <f t="shared" si="32"/>
        <v>8340.9844959999991</v>
      </c>
      <c r="BM24" s="388">
        <f t="shared" si="33"/>
        <v>0</v>
      </c>
      <c r="BN24" s="388">
        <f t="shared" si="10"/>
        <v>13750</v>
      </c>
      <c r="BO24" s="388">
        <f t="shared" si="11"/>
        <v>0</v>
      </c>
      <c r="BP24" s="388">
        <f t="shared" si="12"/>
        <v>2523.7471999999998</v>
      </c>
      <c r="BQ24" s="388">
        <f t="shared" si="13"/>
        <v>590.23120000000006</v>
      </c>
      <c r="BR24" s="388">
        <f t="shared" si="14"/>
        <v>4550.8860799999993</v>
      </c>
      <c r="BS24" s="388">
        <f t="shared" si="15"/>
        <v>293.48737599999998</v>
      </c>
      <c r="BT24" s="388">
        <f t="shared" si="16"/>
        <v>0</v>
      </c>
      <c r="BU24" s="388">
        <f t="shared" si="17"/>
        <v>0</v>
      </c>
      <c r="BV24" s="388">
        <f t="shared" si="18"/>
        <v>81.411199999999994</v>
      </c>
      <c r="BW24" s="388">
        <f t="shared" si="19"/>
        <v>0</v>
      </c>
      <c r="BX24" s="388">
        <f t="shared" si="34"/>
        <v>8039.7630559999989</v>
      </c>
      <c r="BY24" s="388">
        <f t="shared" si="35"/>
        <v>0</v>
      </c>
      <c r="BZ24" s="388">
        <f t="shared" si="36"/>
        <v>1250</v>
      </c>
      <c r="CA24" s="388">
        <f t="shared" si="37"/>
        <v>0</v>
      </c>
      <c r="CB24" s="388">
        <f t="shared" si="38"/>
        <v>0</v>
      </c>
      <c r="CC24" s="388">
        <f t="shared" si="20"/>
        <v>0</v>
      </c>
      <c r="CD24" s="388">
        <f t="shared" si="21"/>
        <v>-309.36256000000037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8.1411200000000026</v>
      </c>
      <c r="CI24" s="388">
        <f t="shared" si="26"/>
        <v>0</v>
      </c>
      <c r="CJ24" s="388">
        <f t="shared" si="39"/>
        <v>-301.22144000000037</v>
      </c>
      <c r="CK24" s="388" t="str">
        <f t="shared" si="40"/>
        <v/>
      </c>
      <c r="CL24" s="388" t="str">
        <f t="shared" si="41"/>
        <v/>
      </c>
      <c r="CM24" s="388" t="str">
        <f t="shared" si="42"/>
        <v/>
      </c>
      <c r="CN24" s="388" t="str">
        <f t="shared" si="43"/>
        <v>0001-00</v>
      </c>
    </row>
    <row r="25" spans="1:92" ht="15.75" thickBot="1" x14ac:dyDescent="0.3">
      <c r="A25" s="377" t="s">
        <v>162</v>
      </c>
      <c r="B25" s="377" t="s">
        <v>163</v>
      </c>
      <c r="C25" s="377" t="s">
        <v>304</v>
      </c>
      <c r="D25" s="377" t="s">
        <v>199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305</v>
      </c>
      <c r="L25" s="377" t="s">
        <v>306</v>
      </c>
      <c r="M25" s="377" t="s">
        <v>172</v>
      </c>
      <c r="N25" s="377" t="s">
        <v>173</v>
      </c>
      <c r="O25" s="380">
        <v>1</v>
      </c>
      <c r="P25" s="386">
        <v>1</v>
      </c>
      <c r="Q25" s="386">
        <v>1</v>
      </c>
      <c r="R25" s="381">
        <v>80</v>
      </c>
      <c r="S25" s="386">
        <v>1</v>
      </c>
      <c r="T25" s="381">
        <v>51044.800000000003</v>
      </c>
      <c r="U25" s="381">
        <v>0</v>
      </c>
      <c r="V25" s="381">
        <v>22226.23</v>
      </c>
      <c r="W25" s="381">
        <v>53580.800000000003</v>
      </c>
      <c r="X25" s="381">
        <v>23479.21</v>
      </c>
      <c r="Y25" s="381">
        <v>53580.800000000003</v>
      </c>
      <c r="Z25" s="381">
        <v>24332.720000000001</v>
      </c>
      <c r="AA25" s="377" t="s">
        <v>307</v>
      </c>
      <c r="AB25" s="377" t="s">
        <v>308</v>
      </c>
      <c r="AC25" s="377" t="s">
        <v>309</v>
      </c>
      <c r="AD25" s="377" t="s">
        <v>310</v>
      </c>
      <c r="AE25" s="377" t="s">
        <v>305</v>
      </c>
      <c r="AF25" s="377" t="s">
        <v>178</v>
      </c>
      <c r="AG25" s="377" t="s">
        <v>179</v>
      </c>
      <c r="AH25" s="382">
        <v>25.76</v>
      </c>
      <c r="AI25" s="382">
        <v>70448.2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6">
        <v>1</v>
      </c>
      <c r="AQ25" s="386">
        <v>1</v>
      </c>
      <c r="AR25" s="384" t="s">
        <v>184</v>
      </c>
      <c r="AS25" s="388">
        <f t="shared" si="27"/>
        <v>1</v>
      </c>
      <c r="AT25">
        <f t="shared" si="28"/>
        <v>1</v>
      </c>
      <c r="AU25" s="388">
        <f>IF(AT25=0,"",IF(AND(AT25=1,M25="F",SUMIF(C2:C35,C25,AS2:AS35)&lt;=1),SUMIF(C2:C35,C25,AS2:AS35),IF(AND(AT25=1,M25="F",SUMIF(C2:C35,C25,AS2:AS35)&gt;1),1,"")))</f>
        <v>1</v>
      </c>
      <c r="AV25" s="388" t="str">
        <f>IF(AT25=0,"",IF(AND(AT25=3,M25="F",SUMIF(C2:C35,C25,AS2:AS35)&lt;=1),SUMIF(C2:C35,C25,AS2:AS35),IF(AND(AT25=3,M25="F",SUMIF(C2:C35,C25,AS2:AS35)&gt;1),1,"")))</f>
        <v/>
      </c>
      <c r="AW25" s="388">
        <f>SUMIF(C2:C35,C25,O2:O35)</f>
        <v>1</v>
      </c>
      <c r="AX25" s="388">
        <f>IF(AND(M25="F",AS25&lt;&gt;0),SUMIF(C2:C35,C25,W2:W35),0)</f>
        <v>53580.800000000003</v>
      </c>
      <c r="AY25" s="388">
        <f t="shared" si="29"/>
        <v>53580.800000000003</v>
      </c>
      <c r="AZ25" s="388" t="str">
        <f t="shared" si="30"/>
        <v/>
      </c>
      <c r="BA25" s="388">
        <f t="shared" si="31"/>
        <v>0</v>
      </c>
      <c r="BB25" s="388">
        <f t="shared" si="0"/>
        <v>12500</v>
      </c>
      <c r="BC25" s="388">
        <f t="shared" si="1"/>
        <v>0</v>
      </c>
      <c r="BD25" s="388">
        <f t="shared" si="2"/>
        <v>3322.0096000000003</v>
      </c>
      <c r="BE25" s="388">
        <f t="shared" si="3"/>
        <v>776.92160000000013</v>
      </c>
      <c r="BF25" s="388">
        <f t="shared" si="4"/>
        <v>6397.547520000001</v>
      </c>
      <c r="BG25" s="388">
        <f t="shared" si="5"/>
        <v>386.31756800000005</v>
      </c>
      <c r="BH25" s="388">
        <f t="shared" si="6"/>
        <v>0</v>
      </c>
      <c r="BI25" s="388">
        <f t="shared" si="7"/>
        <v>0</v>
      </c>
      <c r="BJ25" s="388">
        <f t="shared" si="8"/>
        <v>96.445440000000005</v>
      </c>
      <c r="BK25" s="388">
        <f t="shared" si="9"/>
        <v>0</v>
      </c>
      <c r="BL25" s="388">
        <f t="shared" si="32"/>
        <v>10979.241728000003</v>
      </c>
      <c r="BM25" s="388">
        <f t="shared" si="33"/>
        <v>0</v>
      </c>
      <c r="BN25" s="388">
        <f t="shared" si="10"/>
        <v>13750</v>
      </c>
      <c r="BO25" s="388">
        <f t="shared" si="11"/>
        <v>0</v>
      </c>
      <c r="BP25" s="388">
        <f t="shared" si="12"/>
        <v>3322.0096000000003</v>
      </c>
      <c r="BQ25" s="388">
        <f t="shared" si="13"/>
        <v>776.92160000000013</v>
      </c>
      <c r="BR25" s="388">
        <f t="shared" si="14"/>
        <v>5990.3334400000003</v>
      </c>
      <c r="BS25" s="388">
        <f t="shared" si="15"/>
        <v>386.31756800000005</v>
      </c>
      <c r="BT25" s="388">
        <f t="shared" si="16"/>
        <v>0</v>
      </c>
      <c r="BU25" s="388">
        <f t="shared" si="17"/>
        <v>0</v>
      </c>
      <c r="BV25" s="388">
        <f t="shared" si="18"/>
        <v>107.16160000000001</v>
      </c>
      <c r="BW25" s="388">
        <f t="shared" si="19"/>
        <v>0</v>
      </c>
      <c r="BX25" s="388">
        <f t="shared" si="34"/>
        <v>10582.743808000001</v>
      </c>
      <c r="BY25" s="388">
        <f t="shared" si="35"/>
        <v>0</v>
      </c>
      <c r="BZ25" s="388">
        <f t="shared" si="36"/>
        <v>1250</v>
      </c>
      <c r="CA25" s="388">
        <f t="shared" si="37"/>
        <v>0</v>
      </c>
      <c r="CB25" s="388">
        <f t="shared" si="38"/>
        <v>0</v>
      </c>
      <c r="CC25" s="388">
        <f t="shared" si="20"/>
        <v>0</v>
      </c>
      <c r="CD25" s="388">
        <f t="shared" si="21"/>
        <v>-407.21408000000054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10.716160000000006</v>
      </c>
      <c r="CI25" s="388">
        <f t="shared" si="26"/>
        <v>0</v>
      </c>
      <c r="CJ25" s="388">
        <f t="shared" si="39"/>
        <v>-396.49792000000053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0001-00</v>
      </c>
    </row>
    <row r="26" spans="1:92" ht="15.75" thickBot="1" x14ac:dyDescent="0.3">
      <c r="A26" s="377" t="s">
        <v>162</v>
      </c>
      <c r="B26" s="377" t="s">
        <v>163</v>
      </c>
      <c r="C26" s="377" t="s">
        <v>311</v>
      </c>
      <c r="D26" s="377" t="s">
        <v>224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225</v>
      </c>
      <c r="L26" s="377" t="s">
        <v>226</v>
      </c>
      <c r="M26" s="377" t="s">
        <v>172</v>
      </c>
      <c r="N26" s="377" t="s">
        <v>173</v>
      </c>
      <c r="O26" s="380">
        <v>1</v>
      </c>
      <c r="P26" s="386">
        <v>1</v>
      </c>
      <c r="Q26" s="386">
        <v>1</v>
      </c>
      <c r="R26" s="381">
        <v>80</v>
      </c>
      <c r="S26" s="386">
        <v>1</v>
      </c>
      <c r="T26" s="381">
        <v>19731.599999999999</v>
      </c>
      <c r="U26" s="381">
        <v>0</v>
      </c>
      <c r="V26" s="381">
        <v>11832.64</v>
      </c>
      <c r="W26" s="381">
        <v>38563.199999999997</v>
      </c>
      <c r="X26" s="381">
        <v>20401.96</v>
      </c>
      <c r="Y26" s="381">
        <v>38563.199999999997</v>
      </c>
      <c r="Z26" s="381">
        <v>21366.59</v>
      </c>
      <c r="AA26" s="377" t="s">
        <v>312</v>
      </c>
      <c r="AB26" s="377" t="s">
        <v>313</v>
      </c>
      <c r="AC26" s="377" t="s">
        <v>314</v>
      </c>
      <c r="AD26" s="377" t="s">
        <v>177</v>
      </c>
      <c r="AE26" s="377" t="s">
        <v>208</v>
      </c>
      <c r="AF26" s="377" t="s">
        <v>178</v>
      </c>
      <c r="AG26" s="377" t="s">
        <v>179</v>
      </c>
      <c r="AH26" s="382">
        <v>18.54</v>
      </c>
      <c r="AI26" s="382">
        <v>1216.8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6">
        <v>1</v>
      </c>
      <c r="AQ26" s="386">
        <v>1</v>
      </c>
      <c r="AR26" s="384" t="s">
        <v>184</v>
      </c>
      <c r="AS26" s="388">
        <f t="shared" si="27"/>
        <v>1</v>
      </c>
      <c r="AT26">
        <f t="shared" si="28"/>
        <v>1</v>
      </c>
      <c r="AU26" s="388">
        <f>IF(AT26=0,"",IF(AND(AT26=1,M26="F",SUMIF(C2:C35,C26,AS2:AS35)&lt;=1),SUMIF(C2:C35,C26,AS2:AS35),IF(AND(AT26=1,M26="F",SUMIF(C2:C35,C26,AS2:AS35)&gt;1),1,"")))</f>
        <v>1</v>
      </c>
      <c r="AV26" s="388" t="str">
        <f>IF(AT26=0,"",IF(AND(AT26=3,M26="F",SUMIF(C2:C35,C26,AS2:AS35)&lt;=1),SUMIF(C2:C35,C26,AS2:AS35),IF(AND(AT26=3,M26="F",SUMIF(C2:C35,C26,AS2:AS35)&gt;1),1,"")))</f>
        <v/>
      </c>
      <c r="AW26" s="388">
        <f>SUMIF(C2:C35,C26,O2:O35)</f>
        <v>1</v>
      </c>
      <c r="AX26" s="388">
        <f>IF(AND(M26="F",AS26&lt;&gt;0),SUMIF(C2:C35,C26,W2:W35),0)</f>
        <v>38563.199999999997</v>
      </c>
      <c r="AY26" s="388">
        <f t="shared" si="29"/>
        <v>38563.199999999997</v>
      </c>
      <c r="AZ26" s="388" t="str">
        <f t="shared" si="30"/>
        <v/>
      </c>
      <c r="BA26" s="388">
        <f t="shared" si="31"/>
        <v>0</v>
      </c>
      <c r="BB26" s="388">
        <f t="shared" si="0"/>
        <v>12500</v>
      </c>
      <c r="BC26" s="388">
        <f t="shared" si="1"/>
        <v>0</v>
      </c>
      <c r="BD26" s="388">
        <f t="shared" si="2"/>
        <v>2390.9184</v>
      </c>
      <c r="BE26" s="388">
        <f t="shared" si="3"/>
        <v>559.16639999999995</v>
      </c>
      <c r="BF26" s="388">
        <f t="shared" si="4"/>
        <v>4604.4460799999997</v>
      </c>
      <c r="BG26" s="388">
        <f t="shared" si="5"/>
        <v>278.04067199999997</v>
      </c>
      <c r="BH26" s="388">
        <f t="shared" si="6"/>
        <v>0</v>
      </c>
      <c r="BI26" s="388">
        <f t="shared" si="7"/>
        <v>0</v>
      </c>
      <c r="BJ26" s="388">
        <f t="shared" si="8"/>
        <v>69.413759999999996</v>
      </c>
      <c r="BK26" s="388">
        <f t="shared" si="9"/>
        <v>0</v>
      </c>
      <c r="BL26" s="388">
        <f t="shared" si="32"/>
        <v>7901.9853120000007</v>
      </c>
      <c r="BM26" s="388">
        <f t="shared" si="33"/>
        <v>0</v>
      </c>
      <c r="BN26" s="388">
        <f t="shared" si="10"/>
        <v>13750</v>
      </c>
      <c r="BO26" s="388">
        <f t="shared" si="11"/>
        <v>0</v>
      </c>
      <c r="BP26" s="388">
        <f t="shared" si="12"/>
        <v>2390.9184</v>
      </c>
      <c r="BQ26" s="388">
        <f t="shared" si="13"/>
        <v>559.16639999999995</v>
      </c>
      <c r="BR26" s="388">
        <f t="shared" si="14"/>
        <v>4311.3657599999997</v>
      </c>
      <c r="BS26" s="388">
        <f t="shared" si="15"/>
        <v>278.04067199999997</v>
      </c>
      <c r="BT26" s="388">
        <f t="shared" si="16"/>
        <v>0</v>
      </c>
      <c r="BU26" s="388">
        <f t="shared" si="17"/>
        <v>0</v>
      </c>
      <c r="BV26" s="388">
        <f t="shared" si="18"/>
        <v>77.12639999999999</v>
      </c>
      <c r="BW26" s="388">
        <f t="shared" si="19"/>
        <v>0</v>
      </c>
      <c r="BX26" s="388">
        <f t="shared" si="34"/>
        <v>7616.6176319999995</v>
      </c>
      <c r="BY26" s="388">
        <f t="shared" si="35"/>
        <v>0</v>
      </c>
      <c r="BZ26" s="388">
        <f t="shared" si="36"/>
        <v>1250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-293.08032000000037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7.712640000000003</v>
      </c>
      <c r="CI26" s="388">
        <f t="shared" si="26"/>
        <v>0</v>
      </c>
      <c r="CJ26" s="388">
        <f t="shared" si="39"/>
        <v>-285.36768000000035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0001-00</v>
      </c>
    </row>
    <row r="27" spans="1:92" ht="15.75" thickBot="1" x14ac:dyDescent="0.3">
      <c r="A27" s="377" t="s">
        <v>162</v>
      </c>
      <c r="B27" s="377" t="s">
        <v>163</v>
      </c>
      <c r="C27" s="377" t="s">
        <v>315</v>
      </c>
      <c r="D27" s="377" t="s">
        <v>316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317</v>
      </c>
      <c r="L27" s="377" t="s">
        <v>167</v>
      </c>
      <c r="M27" s="377" t="s">
        <v>172</v>
      </c>
      <c r="N27" s="377" t="s">
        <v>173</v>
      </c>
      <c r="O27" s="380">
        <v>1</v>
      </c>
      <c r="P27" s="386">
        <v>1</v>
      </c>
      <c r="Q27" s="386">
        <v>1</v>
      </c>
      <c r="R27" s="381">
        <v>80</v>
      </c>
      <c r="S27" s="386">
        <v>1</v>
      </c>
      <c r="T27" s="381">
        <v>71883.23</v>
      </c>
      <c r="U27" s="381">
        <v>0</v>
      </c>
      <c r="V27" s="381">
        <v>26481.82</v>
      </c>
      <c r="W27" s="381">
        <v>74672</v>
      </c>
      <c r="X27" s="381">
        <v>27801.01</v>
      </c>
      <c r="Y27" s="381">
        <v>74672</v>
      </c>
      <c r="Z27" s="381">
        <v>28498.44</v>
      </c>
      <c r="AA27" s="377" t="s">
        <v>318</v>
      </c>
      <c r="AB27" s="377" t="s">
        <v>319</v>
      </c>
      <c r="AC27" s="377" t="s">
        <v>320</v>
      </c>
      <c r="AD27" s="377" t="s">
        <v>217</v>
      </c>
      <c r="AE27" s="377" t="s">
        <v>317</v>
      </c>
      <c r="AF27" s="377" t="s">
        <v>178</v>
      </c>
      <c r="AG27" s="377" t="s">
        <v>179</v>
      </c>
      <c r="AH27" s="382">
        <v>35.9</v>
      </c>
      <c r="AI27" s="382">
        <v>44658.3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6">
        <v>1</v>
      </c>
      <c r="AQ27" s="386">
        <v>1</v>
      </c>
      <c r="AR27" s="384" t="s">
        <v>184</v>
      </c>
      <c r="AS27" s="388">
        <f t="shared" si="27"/>
        <v>1</v>
      </c>
      <c r="AT27">
        <f t="shared" si="28"/>
        <v>1</v>
      </c>
      <c r="AU27" s="388">
        <f>IF(AT27=0,"",IF(AND(AT27=1,M27="F",SUMIF(C2:C35,C27,AS2:AS35)&lt;=1),SUMIF(C2:C35,C27,AS2:AS35),IF(AND(AT27=1,M27="F",SUMIF(C2:C35,C27,AS2:AS35)&gt;1),1,"")))</f>
        <v>1</v>
      </c>
      <c r="AV27" s="388" t="str">
        <f>IF(AT27=0,"",IF(AND(AT27=3,M27="F",SUMIF(C2:C35,C27,AS2:AS35)&lt;=1),SUMIF(C2:C35,C27,AS2:AS35),IF(AND(AT27=3,M27="F",SUMIF(C2:C35,C27,AS2:AS35)&gt;1),1,"")))</f>
        <v/>
      </c>
      <c r="AW27" s="388">
        <f>SUMIF(C2:C35,C27,O2:O35)</f>
        <v>1</v>
      </c>
      <c r="AX27" s="388">
        <f>IF(AND(M27="F",AS27&lt;&gt;0),SUMIF(C2:C35,C27,W2:W35),0)</f>
        <v>74672</v>
      </c>
      <c r="AY27" s="388">
        <f t="shared" si="29"/>
        <v>74672</v>
      </c>
      <c r="AZ27" s="388" t="str">
        <f t="shared" si="30"/>
        <v/>
      </c>
      <c r="BA27" s="388">
        <f t="shared" si="31"/>
        <v>0</v>
      </c>
      <c r="BB27" s="388">
        <f t="shared" si="0"/>
        <v>12500</v>
      </c>
      <c r="BC27" s="388">
        <f t="shared" si="1"/>
        <v>0</v>
      </c>
      <c r="BD27" s="388">
        <f t="shared" si="2"/>
        <v>4629.6639999999998</v>
      </c>
      <c r="BE27" s="388">
        <f t="shared" si="3"/>
        <v>1082.7440000000001</v>
      </c>
      <c r="BF27" s="388">
        <f t="shared" si="4"/>
        <v>8915.8368000000009</v>
      </c>
      <c r="BG27" s="388">
        <f t="shared" si="5"/>
        <v>538.38512000000003</v>
      </c>
      <c r="BH27" s="388">
        <f t="shared" si="6"/>
        <v>0</v>
      </c>
      <c r="BI27" s="388">
        <f t="shared" si="7"/>
        <v>0</v>
      </c>
      <c r="BJ27" s="388">
        <f t="shared" si="8"/>
        <v>134.40959999999998</v>
      </c>
      <c r="BK27" s="388">
        <f t="shared" si="9"/>
        <v>0</v>
      </c>
      <c r="BL27" s="388">
        <f t="shared" si="32"/>
        <v>15301.039520000002</v>
      </c>
      <c r="BM27" s="388">
        <f t="shared" si="33"/>
        <v>0</v>
      </c>
      <c r="BN27" s="388">
        <f t="shared" si="10"/>
        <v>13750</v>
      </c>
      <c r="BO27" s="388">
        <f t="shared" si="11"/>
        <v>0</v>
      </c>
      <c r="BP27" s="388">
        <f t="shared" si="12"/>
        <v>4629.6639999999998</v>
      </c>
      <c r="BQ27" s="388">
        <f t="shared" si="13"/>
        <v>1082.7440000000001</v>
      </c>
      <c r="BR27" s="388">
        <f t="shared" si="14"/>
        <v>8348.3295999999991</v>
      </c>
      <c r="BS27" s="388">
        <f t="shared" si="15"/>
        <v>538.38512000000003</v>
      </c>
      <c r="BT27" s="388">
        <f t="shared" si="16"/>
        <v>0</v>
      </c>
      <c r="BU27" s="388">
        <f t="shared" si="17"/>
        <v>0</v>
      </c>
      <c r="BV27" s="388">
        <f t="shared" si="18"/>
        <v>149.34399999999999</v>
      </c>
      <c r="BW27" s="388">
        <f t="shared" si="19"/>
        <v>0</v>
      </c>
      <c r="BX27" s="388">
        <f t="shared" si="34"/>
        <v>14748.466719999999</v>
      </c>
      <c r="BY27" s="388">
        <f t="shared" si="35"/>
        <v>0</v>
      </c>
      <c r="BZ27" s="388">
        <f t="shared" si="36"/>
        <v>1250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-567.50720000000069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14.934400000000007</v>
      </c>
      <c r="CI27" s="388">
        <f t="shared" si="26"/>
        <v>0</v>
      </c>
      <c r="CJ27" s="388">
        <f t="shared" si="39"/>
        <v>-552.57280000000071</v>
      </c>
      <c r="CK27" s="388" t="str">
        <f t="shared" si="40"/>
        <v/>
      </c>
      <c r="CL27" s="388" t="str">
        <f t="shared" si="41"/>
        <v/>
      </c>
      <c r="CM27" s="388" t="str">
        <f t="shared" si="42"/>
        <v/>
      </c>
      <c r="CN27" s="388" t="str">
        <f t="shared" si="43"/>
        <v>0001-00</v>
      </c>
    </row>
    <row r="28" spans="1:92" ht="15.75" thickBot="1" x14ac:dyDescent="0.3">
      <c r="A28" s="377" t="s">
        <v>162</v>
      </c>
      <c r="B28" s="377" t="s">
        <v>163</v>
      </c>
      <c r="C28" s="377" t="s">
        <v>321</v>
      </c>
      <c r="D28" s="377" t="s">
        <v>322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323</v>
      </c>
      <c r="L28" s="377" t="s">
        <v>167</v>
      </c>
      <c r="M28" s="377" t="s">
        <v>172</v>
      </c>
      <c r="N28" s="377" t="s">
        <v>173</v>
      </c>
      <c r="O28" s="380">
        <v>1</v>
      </c>
      <c r="P28" s="386">
        <v>1</v>
      </c>
      <c r="Q28" s="386">
        <v>1</v>
      </c>
      <c r="R28" s="381">
        <v>80</v>
      </c>
      <c r="S28" s="386">
        <v>1</v>
      </c>
      <c r="T28" s="381">
        <v>31011.02</v>
      </c>
      <c r="U28" s="381">
        <v>0</v>
      </c>
      <c r="V28" s="381">
        <v>18683.46</v>
      </c>
      <c r="W28" s="381">
        <v>38563.199999999997</v>
      </c>
      <c r="X28" s="381">
        <v>20401.96</v>
      </c>
      <c r="Y28" s="381">
        <v>38563.199999999997</v>
      </c>
      <c r="Z28" s="381">
        <v>21366.59</v>
      </c>
      <c r="AA28" s="377" t="s">
        <v>324</v>
      </c>
      <c r="AB28" s="377" t="s">
        <v>325</v>
      </c>
      <c r="AC28" s="377" t="s">
        <v>326</v>
      </c>
      <c r="AD28" s="377" t="s">
        <v>257</v>
      </c>
      <c r="AE28" s="377" t="s">
        <v>323</v>
      </c>
      <c r="AF28" s="377" t="s">
        <v>178</v>
      </c>
      <c r="AG28" s="377" t="s">
        <v>179</v>
      </c>
      <c r="AH28" s="382">
        <v>18.54</v>
      </c>
      <c r="AI28" s="380">
        <v>1118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6">
        <v>1</v>
      </c>
      <c r="AQ28" s="386">
        <v>1</v>
      </c>
      <c r="AR28" s="384" t="s">
        <v>184</v>
      </c>
      <c r="AS28" s="388">
        <f t="shared" si="27"/>
        <v>1</v>
      </c>
      <c r="AT28">
        <f t="shared" si="28"/>
        <v>1</v>
      </c>
      <c r="AU28" s="388">
        <f>IF(AT28=0,"",IF(AND(AT28=1,M28="F",SUMIF(C2:C35,C28,AS2:AS35)&lt;=1),SUMIF(C2:C35,C28,AS2:AS35),IF(AND(AT28=1,M28="F",SUMIF(C2:C35,C28,AS2:AS35)&gt;1),1,"")))</f>
        <v>1</v>
      </c>
      <c r="AV28" s="388" t="str">
        <f>IF(AT28=0,"",IF(AND(AT28=3,M28="F",SUMIF(C2:C35,C28,AS2:AS35)&lt;=1),SUMIF(C2:C35,C28,AS2:AS35),IF(AND(AT28=3,M28="F",SUMIF(C2:C35,C28,AS2:AS35)&gt;1),1,"")))</f>
        <v/>
      </c>
      <c r="AW28" s="388">
        <f>SUMIF(C2:C35,C28,O2:O35)</f>
        <v>1</v>
      </c>
      <c r="AX28" s="388">
        <f>IF(AND(M28="F",AS28&lt;&gt;0),SUMIF(C2:C35,C28,W2:W35),0)</f>
        <v>38563.199999999997</v>
      </c>
      <c r="AY28" s="388">
        <f t="shared" si="29"/>
        <v>38563.199999999997</v>
      </c>
      <c r="AZ28" s="388" t="str">
        <f t="shared" si="30"/>
        <v/>
      </c>
      <c r="BA28" s="388">
        <f t="shared" si="31"/>
        <v>0</v>
      </c>
      <c r="BB28" s="388">
        <f t="shared" si="0"/>
        <v>12500</v>
      </c>
      <c r="BC28" s="388">
        <f t="shared" si="1"/>
        <v>0</v>
      </c>
      <c r="BD28" s="388">
        <f t="shared" si="2"/>
        <v>2390.9184</v>
      </c>
      <c r="BE28" s="388">
        <f t="shared" si="3"/>
        <v>559.16639999999995</v>
      </c>
      <c r="BF28" s="388">
        <f t="shared" si="4"/>
        <v>4604.4460799999997</v>
      </c>
      <c r="BG28" s="388">
        <f t="shared" si="5"/>
        <v>278.04067199999997</v>
      </c>
      <c r="BH28" s="388">
        <f t="shared" si="6"/>
        <v>0</v>
      </c>
      <c r="BI28" s="388">
        <f t="shared" si="7"/>
        <v>0</v>
      </c>
      <c r="BJ28" s="388">
        <f t="shared" si="8"/>
        <v>69.413759999999996</v>
      </c>
      <c r="BK28" s="388">
        <f t="shared" si="9"/>
        <v>0</v>
      </c>
      <c r="BL28" s="388">
        <f t="shared" si="32"/>
        <v>7901.9853120000007</v>
      </c>
      <c r="BM28" s="388">
        <f t="shared" si="33"/>
        <v>0</v>
      </c>
      <c r="BN28" s="388">
        <f t="shared" si="10"/>
        <v>13750</v>
      </c>
      <c r="BO28" s="388">
        <f t="shared" si="11"/>
        <v>0</v>
      </c>
      <c r="BP28" s="388">
        <f t="shared" si="12"/>
        <v>2390.9184</v>
      </c>
      <c r="BQ28" s="388">
        <f t="shared" si="13"/>
        <v>559.16639999999995</v>
      </c>
      <c r="BR28" s="388">
        <f t="shared" si="14"/>
        <v>4311.3657599999997</v>
      </c>
      <c r="BS28" s="388">
        <f t="shared" si="15"/>
        <v>278.04067199999997</v>
      </c>
      <c r="BT28" s="388">
        <f t="shared" si="16"/>
        <v>0</v>
      </c>
      <c r="BU28" s="388">
        <f t="shared" si="17"/>
        <v>0</v>
      </c>
      <c r="BV28" s="388">
        <f t="shared" si="18"/>
        <v>77.12639999999999</v>
      </c>
      <c r="BW28" s="388">
        <f t="shared" si="19"/>
        <v>0</v>
      </c>
      <c r="BX28" s="388">
        <f t="shared" si="34"/>
        <v>7616.6176319999995</v>
      </c>
      <c r="BY28" s="388">
        <f t="shared" si="35"/>
        <v>0</v>
      </c>
      <c r="BZ28" s="388">
        <f t="shared" si="36"/>
        <v>1250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-293.08032000000037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7.712640000000003</v>
      </c>
      <c r="CI28" s="388">
        <f t="shared" si="26"/>
        <v>0</v>
      </c>
      <c r="CJ28" s="388">
        <f t="shared" si="39"/>
        <v>-285.36768000000035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0001-00</v>
      </c>
    </row>
    <row r="29" spans="1:92" ht="15.75" thickBot="1" x14ac:dyDescent="0.3">
      <c r="A29" s="377" t="s">
        <v>162</v>
      </c>
      <c r="B29" s="377" t="s">
        <v>163</v>
      </c>
      <c r="C29" s="377" t="s">
        <v>327</v>
      </c>
      <c r="D29" s="377" t="s">
        <v>207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208</v>
      </c>
      <c r="L29" s="377" t="s">
        <v>179</v>
      </c>
      <c r="M29" s="377" t="s">
        <v>172</v>
      </c>
      <c r="N29" s="377" t="s">
        <v>173</v>
      </c>
      <c r="O29" s="380">
        <v>1</v>
      </c>
      <c r="P29" s="386">
        <v>1</v>
      </c>
      <c r="Q29" s="386">
        <v>1</v>
      </c>
      <c r="R29" s="381">
        <v>80</v>
      </c>
      <c r="S29" s="386">
        <v>1</v>
      </c>
      <c r="T29" s="381">
        <v>42021.54</v>
      </c>
      <c r="U29" s="381">
        <v>0</v>
      </c>
      <c r="V29" s="381">
        <v>20550.66</v>
      </c>
      <c r="W29" s="381">
        <v>44033.599999999999</v>
      </c>
      <c r="X29" s="381">
        <v>21522.91</v>
      </c>
      <c r="Y29" s="381">
        <v>44033.599999999999</v>
      </c>
      <c r="Z29" s="381">
        <v>22447.05</v>
      </c>
      <c r="AA29" s="377" t="s">
        <v>328</v>
      </c>
      <c r="AB29" s="377" t="s">
        <v>329</v>
      </c>
      <c r="AC29" s="377" t="s">
        <v>203</v>
      </c>
      <c r="AD29" s="377" t="s">
        <v>233</v>
      </c>
      <c r="AE29" s="377" t="s">
        <v>208</v>
      </c>
      <c r="AF29" s="377" t="s">
        <v>178</v>
      </c>
      <c r="AG29" s="377" t="s">
        <v>179</v>
      </c>
      <c r="AH29" s="382">
        <v>21.17</v>
      </c>
      <c r="AI29" s="382">
        <v>16087.1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6">
        <v>1</v>
      </c>
      <c r="AQ29" s="386">
        <v>1</v>
      </c>
      <c r="AR29" s="384" t="s">
        <v>184</v>
      </c>
      <c r="AS29" s="388">
        <f t="shared" si="27"/>
        <v>1</v>
      </c>
      <c r="AT29">
        <f t="shared" si="28"/>
        <v>1</v>
      </c>
      <c r="AU29" s="388">
        <f>IF(AT29=0,"",IF(AND(AT29=1,M29="F",SUMIF(C2:C35,C29,AS2:AS35)&lt;=1),SUMIF(C2:C35,C29,AS2:AS35),IF(AND(AT29=1,M29="F",SUMIF(C2:C35,C29,AS2:AS35)&gt;1),1,"")))</f>
        <v>1</v>
      </c>
      <c r="AV29" s="388" t="str">
        <f>IF(AT29=0,"",IF(AND(AT29=3,M29="F",SUMIF(C2:C35,C29,AS2:AS35)&lt;=1),SUMIF(C2:C35,C29,AS2:AS35),IF(AND(AT29=3,M29="F",SUMIF(C2:C35,C29,AS2:AS35)&gt;1),1,"")))</f>
        <v/>
      </c>
      <c r="AW29" s="388">
        <f>SUMIF(C2:C35,C29,O2:O35)</f>
        <v>1</v>
      </c>
      <c r="AX29" s="388">
        <f>IF(AND(M29="F",AS29&lt;&gt;0),SUMIF(C2:C35,C29,W2:W35),0)</f>
        <v>44033.599999999999</v>
      </c>
      <c r="AY29" s="388">
        <f t="shared" si="29"/>
        <v>44033.599999999999</v>
      </c>
      <c r="AZ29" s="388" t="str">
        <f t="shared" si="30"/>
        <v/>
      </c>
      <c r="BA29" s="388">
        <f t="shared" si="31"/>
        <v>0</v>
      </c>
      <c r="BB29" s="388">
        <f t="shared" si="0"/>
        <v>12500</v>
      </c>
      <c r="BC29" s="388">
        <f t="shared" si="1"/>
        <v>0</v>
      </c>
      <c r="BD29" s="388">
        <f t="shared" si="2"/>
        <v>2730.0832</v>
      </c>
      <c r="BE29" s="388">
        <f t="shared" si="3"/>
        <v>638.48720000000003</v>
      </c>
      <c r="BF29" s="388">
        <f t="shared" si="4"/>
        <v>5257.6118400000005</v>
      </c>
      <c r="BG29" s="388">
        <f t="shared" si="5"/>
        <v>317.48225600000001</v>
      </c>
      <c r="BH29" s="388">
        <f t="shared" si="6"/>
        <v>0</v>
      </c>
      <c r="BI29" s="388">
        <f t="shared" si="7"/>
        <v>0</v>
      </c>
      <c r="BJ29" s="388">
        <f t="shared" si="8"/>
        <v>79.260480000000001</v>
      </c>
      <c r="BK29" s="388">
        <f t="shared" si="9"/>
        <v>0</v>
      </c>
      <c r="BL29" s="388">
        <f t="shared" si="32"/>
        <v>9022.9249760000002</v>
      </c>
      <c r="BM29" s="388">
        <f t="shared" si="33"/>
        <v>0</v>
      </c>
      <c r="BN29" s="388">
        <f t="shared" si="10"/>
        <v>13750</v>
      </c>
      <c r="BO29" s="388">
        <f t="shared" si="11"/>
        <v>0</v>
      </c>
      <c r="BP29" s="388">
        <f t="shared" si="12"/>
        <v>2730.0832</v>
      </c>
      <c r="BQ29" s="388">
        <f t="shared" si="13"/>
        <v>638.48720000000003</v>
      </c>
      <c r="BR29" s="388">
        <f t="shared" si="14"/>
        <v>4922.9564799999998</v>
      </c>
      <c r="BS29" s="388">
        <f t="shared" si="15"/>
        <v>317.48225600000001</v>
      </c>
      <c r="BT29" s="388">
        <f t="shared" si="16"/>
        <v>0</v>
      </c>
      <c r="BU29" s="388">
        <f t="shared" si="17"/>
        <v>0</v>
      </c>
      <c r="BV29" s="388">
        <f t="shared" si="18"/>
        <v>88.0672</v>
      </c>
      <c r="BW29" s="388">
        <f t="shared" si="19"/>
        <v>0</v>
      </c>
      <c r="BX29" s="388">
        <f t="shared" si="34"/>
        <v>8697.0763359999983</v>
      </c>
      <c r="BY29" s="388">
        <f t="shared" si="35"/>
        <v>0</v>
      </c>
      <c r="BZ29" s="388">
        <f t="shared" si="36"/>
        <v>1250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-334.65536000000043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8.8067200000000039</v>
      </c>
      <c r="CI29" s="388">
        <f t="shared" si="26"/>
        <v>0</v>
      </c>
      <c r="CJ29" s="388">
        <f t="shared" si="39"/>
        <v>-325.84864000000044</v>
      </c>
      <c r="CK29" s="388" t="str">
        <f t="shared" si="40"/>
        <v/>
      </c>
      <c r="CL29" s="388" t="str">
        <f t="shared" si="41"/>
        <v/>
      </c>
      <c r="CM29" s="388" t="str">
        <f t="shared" si="42"/>
        <v/>
      </c>
      <c r="CN29" s="388" t="str">
        <f t="shared" si="43"/>
        <v>0001-00</v>
      </c>
    </row>
    <row r="30" spans="1:92" ht="15.75" thickBot="1" x14ac:dyDescent="0.3">
      <c r="A30" s="377" t="s">
        <v>162</v>
      </c>
      <c r="B30" s="377" t="s">
        <v>163</v>
      </c>
      <c r="C30" s="377" t="s">
        <v>330</v>
      </c>
      <c r="D30" s="377" t="s">
        <v>331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332</v>
      </c>
      <c r="L30" s="377" t="s">
        <v>167</v>
      </c>
      <c r="M30" s="377" t="s">
        <v>172</v>
      </c>
      <c r="N30" s="377" t="s">
        <v>173</v>
      </c>
      <c r="O30" s="380">
        <v>1</v>
      </c>
      <c r="P30" s="386">
        <v>1</v>
      </c>
      <c r="Q30" s="386">
        <v>1</v>
      </c>
      <c r="R30" s="381">
        <v>80</v>
      </c>
      <c r="S30" s="386">
        <v>1</v>
      </c>
      <c r="T30" s="381">
        <v>63749.26</v>
      </c>
      <c r="U30" s="381">
        <v>0</v>
      </c>
      <c r="V30" s="381">
        <v>25018.240000000002</v>
      </c>
      <c r="W30" s="381">
        <v>66268.800000000003</v>
      </c>
      <c r="X30" s="381">
        <v>26079.11</v>
      </c>
      <c r="Y30" s="381">
        <v>66268.800000000003</v>
      </c>
      <c r="Z30" s="381">
        <v>26838.720000000001</v>
      </c>
      <c r="AA30" s="377" t="s">
        <v>333</v>
      </c>
      <c r="AB30" s="377" t="s">
        <v>334</v>
      </c>
      <c r="AC30" s="377" t="s">
        <v>335</v>
      </c>
      <c r="AD30" s="377" t="s">
        <v>336</v>
      </c>
      <c r="AE30" s="377" t="s">
        <v>332</v>
      </c>
      <c r="AF30" s="377" t="s">
        <v>178</v>
      </c>
      <c r="AG30" s="377" t="s">
        <v>179</v>
      </c>
      <c r="AH30" s="382">
        <v>31.86</v>
      </c>
      <c r="AI30" s="382">
        <v>35025.199999999997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6">
        <v>1</v>
      </c>
      <c r="AQ30" s="386">
        <v>1</v>
      </c>
      <c r="AR30" s="384" t="s">
        <v>184</v>
      </c>
      <c r="AS30" s="388">
        <f t="shared" si="27"/>
        <v>1</v>
      </c>
      <c r="AT30">
        <f t="shared" si="28"/>
        <v>1</v>
      </c>
      <c r="AU30" s="388">
        <f>IF(AT30=0,"",IF(AND(AT30=1,M30="F",SUMIF(C2:C35,C30,AS2:AS35)&lt;=1),SUMIF(C2:C35,C30,AS2:AS35),IF(AND(AT30=1,M30="F",SUMIF(C2:C35,C30,AS2:AS35)&gt;1),1,"")))</f>
        <v>1</v>
      </c>
      <c r="AV30" s="388" t="str">
        <f>IF(AT30=0,"",IF(AND(AT30=3,M30="F",SUMIF(C2:C35,C30,AS2:AS35)&lt;=1),SUMIF(C2:C35,C30,AS2:AS35),IF(AND(AT30=3,M30="F",SUMIF(C2:C35,C30,AS2:AS35)&gt;1),1,"")))</f>
        <v/>
      </c>
      <c r="AW30" s="388">
        <f>SUMIF(C2:C35,C30,O2:O35)</f>
        <v>1</v>
      </c>
      <c r="AX30" s="388">
        <f>IF(AND(M30="F",AS30&lt;&gt;0),SUMIF(C2:C35,C30,W2:W35),0)</f>
        <v>66268.800000000003</v>
      </c>
      <c r="AY30" s="388">
        <f t="shared" si="29"/>
        <v>66268.800000000003</v>
      </c>
      <c r="AZ30" s="388" t="str">
        <f t="shared" si="30"/>
        <v/>
      </c>
      <c r="BA30" s="388">
        <f t="shared" si="31"/>
        <v>0</v>
      </c>
      <c r="BB30" s="388">
        <f t="shared" si="0"/>
        <v>12500</v>
      </c>
      <c r="BC30" s="388">
        <f t="shared" si="1"/>
        <v>0</v>
      </c>
      <c r="BD30" s="388">
        <f t="shared" si="2"/>
        <v>4108.6656000000003</v>
      </c>
      <c r="BE30" s="388">
        <f t="shared" si="3"/>
        <v>960.89760000000012</v>
      </c>
      <c r="BF30" s="388">
        <f t="shared" si="4"/>
        <v>7912.4947200000006</v>
      </c>
      <c r="BG30" s="388">
        <f t="shared" si="5"/>
        <v>477.79804800000005</v>
      </c>
      <c r="BH30" s="388">
        <f t="shared" si="6"/>
        <v>0</v>
      </c>
      <c r="BI30" s="388">
        <f t="shared" si="7"/>
        <v>0</v>
      </c>
      <c r="BJ30" s="388">
        <f t="shared" si="8"/>
        <v>119.28384</v>
      </c>
      <c r="BK30" s="388">
        <f t="shared" si="9"/>
        <v>0</v>
      </c>
      <c r="BL30" s="388">
        <f t="shared" si="32"/>
        <v>13579.139808000002</v>
      </c>
      <c r="BM30" s="388">
        <f t="shared" si="33"/>
        <v>0</v>
      </c>
      <c r="BN30" s="388">
        <f t="shared" si="10"/>
        <v>13750</v>
      </c>
      <c r="BO30" s="388">
        <f t="shared" si="11"/>
        <v>0</v>
      </c>
      <c r="BP30" s="388">
        <f t="shared" si="12"/>
        <v>4108.6656000000003</v>
      </c>
      <c r="BQ30" s="388">
        <f t="shared" si="13"/>
        <v>960.89760000000012</v>
      </c>
      <c r="BR30" s="388">
        <f t="shared" si="14"/>
        <v>7408.8518400000003</v>
      </c>
      <c r="BS30" s="388">
        <f t="shared" si="15"/>
        <v>477.79804800000005</v>
      </c>
      <c r="BT30" s="388">
        <f t="shared" si="16"/>
        <v>0</v>
      </c>
      <c r="BU30" s="388">
        <f t="shared" si="17"/>
        <v>0</v>
      </c>
      <c r="BV30" s="388">
        <f t="shared" si="18"/>
        <v>132.5376</v>
      </c>
      <c r="BW30" s="388">
        <f t="shared" si="19"/>
        <v>0</v>
      </c>
      <c r="BX30" s="388">
        <f t="shared" si="34"/>
        <v>13088.750688</v>
      </c>
      <c r="BY30" s="388">
        <f t="shared" si="35"/>
        <v>0</v>
      </c>
      <c r="BZ30" s="388">
        <f t="shared" si="36"/>
        <v>1250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-503.64288000000067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13.253760000000007</v>
      </c>
      <c r="CI30" s="388">
        <f t="shared" si="26"/>
        <v>0</v>
      </c>
      <c r="CJ30" s="388">
        <f t="shared" si="39"/>
        <v>-490.38912000000067</v>
      </c>
      <c r="CK30" s="388" t="str">
        <f t="shared" si="40"/>
        <v/>
      </c>
      <c r="CL30" s="388" t="str">
        <f t="shared" si="41"/>
        <v/>
      </c>
      <c r="CM30" s="388" t="str">
        <f t="shared" si="42"/>
        <v/>
      </c>
      <c r="CN30" s="388" t="str">
        <f t="shared" si="43"/>
        <v>0001-00</v>
      </c>
    </row>
    <row r="31" spans="1:92" ht="15.75" thickBot="1" x14ac:dyDescent="0.3">
      <c r="A31" s="377" t="s">
        <v>162</v>
      </c>
      <c r="B31" s="377" t="s">
        <v>163</v>
      </c>
      <c r="C31" s="377" t="s">
        <v>166</v>
      </c>
      <c r="D31" s="377" t="s">
        <v>337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338</v>
      </c>
      <c r="L31" s="377" t="s">
        <v>167</v>
      </c>
      <c r="M31" s="377" t="s">
        <v>172</v>
      </c>
      <c r="N31" s="377" t="s">
        <v>173</v>
      </c>
      <c r="O31" s="380">
        <v>1</v>
      </c>
      <c r="P31" s="386">
        <v>1</v>
      </c>
      <c r="Q31" s="386">
        <v>1</v>
      </c>
      <c r="R31" s="381">
        <v>80</v>
      </c>
      <c r="S31" s="386">
        <v>1</v>
      </c>
      <c r="T31" s="381">
        <v>117556.7</v>
      </c>
      <c r="U31" s="381">
        <v>0</v>
      </c>
      <c r="V31" s="381">
        <v>35889.4</v>
      </c>
      <c r="W31" s="381">
        <v>117556.7</v>
      </c>
      <c r="X31" s="381">
        <v>36588.519999999997</v>
      </c>
      <c r="Y31" s="381">
        <v>117556.7</v>
      </c>
      <c r="Z31" s="381">
        <v>36968.6</v>
      </c>
      <c r="AA31" s="377" t="s">
        <v>339</v>
      </c>
      <c r="AB31" s="377" t="s">
        <v>340</v>
      </c>
      <c r="AC31" s="377" t="s">
        <v>341</v>
      </c>
      <c r="AD31" s="377" t="s">
        <v>181</v>
      </c>
      <c r="AE31" s="377" t="s">
        <v>338</v>
      </c>
      <c r="AF31" s="377" t="s">
        <v>178</v>
      </c>
      <c r="AG31" s="377" t="s">
        <v>217</v>
      </c>
      <c r="AH31" s="382">
        <v>117556.7</v>
      </c>
      <c r="AI31" s="380">
        <v>49594</v>
      </c>
      <c r="AJ31" s="377" t="s">
        <v>342</v>
      </c>
      <c r="AK31" s="377" t="s">
        <v>181</v>
      </c>
      <c r="AL31" s="377" t="s">
        <v>182</v>
      </c>
      <c r="AM31" s="377" t="s">
        <v>182</v>
      </c>
      <c r="AN31" s="377" t="s">
        <v>66</v>
      </c>
      <c r="AO31" s="380">
        <v>80</v>
      </c>
      <c r="AP31" s="386">
        <v>1</v>
      </c>
      <c r="AQ31" s="386">
        <v>1</v>
      </c>
      <c r="AR31" s="384" t="s">
        <v>184</v>
      </c>
      <c r="AS31" s="388">
        <f t="shared" si="27"/>
        <v>1</v>
      </c>
      <c r="AT31">
        <f t="shared" si="28"/>
        <v>3</v>
      </c>
      <c r="AU31" s="388" t="str">
        <f>IF(AT31=0,"",IF(AND(AT31=1,M31="F",SUMIF(C2:C35,C31,AS2:AS35)&lt;=1),SUMIF(C2:C35,C31,AS2:AS35),IF(AND(AT31=1,M31="F",SUMIF(C2:C35,C31,AS2:AS35)&gt;1),1,"")))</f>
        <v/>
      </c>
      <c r="AV31" s="388">
        <f>IF(AT31=0,"",IF(AND(AT31=3,M31="F",SUMIF(C2:C35,C31,AS2:AS35)&lt;=1),SUMIF(C2:C35,C31,AS2:AS35),IF(AND(AT31=3,M31="F",SUMIF(C2:C35,C31,AS2:AS35)&gt;1),1,"")))</f>
        <v>1</v>
      </c>
      <c r="AW31" s="388">
        <f>SUMIF(C2:C35,C31,O2:O35)</f>
        <v>1</v>
      </c>
      <c r="AX31" s="388">
        <f>IF(AND(M31="F",AS31&lt;&gt;0),SUMIF(C2:C35,C31,W2:W35),0)</f>
        <v>117556.7</v>
      </c>
      <c r="AY31" s="388" t="str">
        <f t="shared" si="29"/>
        <v/>
      </c>
      <c r="AZ31" s="388">
        <f t="shared" si="30"/>
        <v>117556.7</v>
      </c>
      <c r="BA31" s="388">
        <f t="shared" si="31"/>
        <v>0</v>
      </c>
      <c r="BB31" s="388">
        <f t="shared" si="0"/>
        <v>0</v>
      </c>
      <c r="BC31" s="388">
        <f t="shared" si="1"/>
        <v>12500</v>
      </c>
      <c r="BD31" s="388">
        <f t="shared" si="2"/>
        <v>7288.5153999999993</v>
      </c>
      <c r="BE31" s="388">
        <f t="shared" si="3"/>
        <v>1704.57215</v>
      </c>
      <c r="BF31" s="388">
        <f t="shared" si="4"/>
        <v>14036.269980000001</v>
      </c>
      <c r="BG31" s="388">
        <f t="shared" si="5"/>
        <v>847.58380699999998</v>
      </c>
      <c r="BH31" s="388">
        <f t="shared" si="6"/>
        <v>0</v>
      </c>
      <c r="BI31" s="388">
        <f t="shared" si="7"/>
        <v>0</v>
      </c>
      <c r="BJ31" s="388">
        <f t="shared" si="8"/>
        <v>211.60205999999999</v>
      </c>
      <c r="BK31" s="388">
        <f t="shared" si="9"/>
        <v>0</v>
      </c>
      <c r="BL31" s="388">
        <f t="shared" si="32"/>
        <v>0</v>
      </c>
      <c r="BM31" s="388">
        <f t="shared" si="33"/>
        <v>24088.543397000001</v>
      </c>
      <c r="BN31" s="388">
        <f t="shared" si="10"/>
        <v>0</v>
      </c>
      <c r="BO31" s="388">
        <f t="shared" si="11"/>
        <v>13750</v>
      </c>
      <c r="BP31" s="388">
        <f t="shared" si="12"/>
        <v>7288.5153999999993</v>
      </c>
      <c r="BQ31" s="388">
        <f t="shared" si="13"/>
        <v>1704.57215</v>
      </c>
      <c r="BR31" s="388">
        <f t="shared" si="14"/>
        <v>13142.839059999998</v>
      </c>
      <c r="BS31" s="388">
        <f t="shared" si="15"/>
        <v>847.58380699999998</v>
      </c>
      <c r="BT31" s="388">
        <f t="shared" si="16"/>
        <v>0</v>
      </c>
      <c r="BU31" s="388">
        <f t="shared" si="17"/>
        <v>0</v>
      </c>
      <c r="BV31" s="388">
        <f t="shared" si="18"/>
        <v>235.11340000000001</v>
      </c>
      <c r="BW31" s="388">
        <f t="shared" si="19"/>
        <v>0</v>
      </c>
      <c r="BX31" s="388">
        <f t="shared" si="34"/>
        <v>0</v>
      </c>
      <c r="BY31" s="388">
        <f t="shared" si="35"/>
        <v>23218.623816999996</v>
      </c>
      <c r="BZ31" s="388">
        <f t="shared" si="36"/>
        <v>0</v>
      </c>
      <c r="CA31" s="388">
        <f t="shared" si="37"/>
        <v>1250</v>
      </c>
      <c r="CB31" s="388">
        <f t="shared" si="38"/>
        <v>0</v>
      </c>
      <c r="CC31" s="388">
        <f t="shared" si="20"/>
        <v>0</v>
      </c>
      <c r="CD31" s="388">
        <f t="shared" si="21"/>
        <v>-893.43092000000115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23.511340000000011</v>
      </c>
      <c r="CI31" s="388">
        <f t="shared" si="26"/>
        <v>0</v>
      </c>
      <c r="CJ31" s="388">
        <f t="shared" si="39"/>
        <v>0</v>
      </c>
      <c r="CK31" s="388">
        <f t="shared" si="40"/>
        <v>-869.91958000000113</v>
      </c>
      <c r="CL31" s="388" t="str">
        <f t="shared" si="41"/>
        <v/>
      </c>
      <c r="CM31" s="388" t="str">
        <f t="shared" si="42"/>
        <v/>
      </c>
      <c r="CN31" s="388" t="str">
        <f t="shared" si="43"/>
        <v>0001-00</v>
      </c>
    </row>
    <row r="32" spans="1:92" ht="15.75" thickBot="1" x14ac:dyDescent="0.3">
      <c r="A32" s="377" t="s">
        <v>162</v>
      </c>
      <c r="B32" s="377" t="s">
        <v>163</v>
      </c>
      <c r="C32" s="377" t="s">
        <v>343</v>
      </c>
      <c r="D32" s="377" t="s">
        <v>344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345</v>
      </c>
      <c r="L32" s="377" t="s">
        <v>188</v>
      </c>
      <c r="M32" s="377" t="s">
        <v>172</v>
      </c>
      <c r="N32" s="377" t="s">
        <v>173</v>
      </c>
      <c r="O32" s="380">
        <v>1</v>
      </c>
      <c r="P32" s="386">
        <v>1</v>
      </c>
      <c r="Q32" s="386">
        <v>1</v>
      </c>
      <c r="R32" s="381">
        <v>80</v>
      </c>
      <c r="S32" s="386">
        <v>1</v>
      </c>
      <c r="T32" s="381">
        <v>39013.64</v>
      </c>
      <c r="U32" s="381">
        <v>0</v>
      </c>
      <c r="V32" s="381">
        <v>16401.71</v>
      </c>
      <c r="W32" s="381">
        <v>57241.599999999999</v>
      </c>
      <c r="X32" s="381">
        <v>24229.35</v>
      </c>
      <c r="Y32" s="381">
        <v>57241.599999999999</v>
      </c>
      <c r="Z32" s="381">
        <v>25055.77</v>
      </c>
      <c r="AA32" s="377" t="s">
        <v>346</v>
      </c>
      <c r="AB32" s="377" t="s">
        <v>347</v>
      </c>
      <c r="AC32" s="377" t="s">
        <v>348</v>
      </c>
      <c r="AD32" s="377" t="s">
        <v>177</v>
      </c>
      <c r="AE32" s="377" t="s">
        <v>345</v>
      </c>
      <c r="AF32" s="377" t="s">
        <v>178</v>
      </c>
      <c r="AG32" s="377" t="s">
        <v>179</v>
      </c>
      <c r="AH32" s="382">
        <v>27.52</v>
      </c>
      <c r="AI32" s="382">
        <v>1485.6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6">
        <v>1</v>
      </c>
      <c r="AQ32" s="386">
        <v>1</v>
      </c>
      <c r="AR32" s="384" t="s">
        <v>184</v>
      </c>
      <c r="AS32" s="388">
        <f t="shared" si="27"/>
        <v>1</v>
      </c>
      <c r="AT32">
        <f t="shared" si="28"/>
        <v>1</v>
      </c>
      <c r="AU32" s="388">
        <f>IF(AT32=0,"",IF(AND(AT32=1,M32="F",SUMIF(C2:C35,C32,AS2:AS35)&lt;=1),SUMIF(C2:C35,C32,AS2:AS35),IF(AND(AT32=1,M32="F",SUMIF(C2:C35,C32,AS2:AS35)&gt;1),1,"")))</f>
        <v>1</v>
      </c>
      <c r="AV32" s="388" t="str">
        <f>IF(AT32=0,"",IF(AND(AT32=3,M32="F",SUMIF(C2:C35,C32,AS2:AS35)&lt;=1),SUMIF(C2:C35,C32,AS2:AS35),IF(AND(AT32=3,M32="F",SUMIF(C2:C35,C32,AS2:AS35)&gt;1),1,"")))</f>
        <v/>
      </c>
      <c r="AW32" s="388">
        <f>SUMIF(C2:C35,C32,O2:O35)</f>
        <v>1</v>
      </c>
      <c r="AX32" s="388">
        <f>IF(AND(M32="F",AS32&lt;&gt;0),SUMIF(C2:C35,C32,W2:W35),0)</f>
        <v>57241.599999999999</v>
      </c>
      <c r="AY32" s="388">
        <f t="shared" si="29"/>
        <v>57241.599999999999</v>
      </c>
      <c r="AZ32" s="388" t="str">
        <f t="shared" si="30"/>
        <v/>
      </c>
      <c r="BA32" s="388">
        <f t="shared" si="31"/>
        <v>0</v>
      </c>
      <c r="BB32" s="388">
        <f t="shared" si="0"/>
        <v>12500</v>
      </c>
      <c r="BC32" s="388">
        <f t="shared" si="1"/>
        <v>0</v>
      </c>
      <c r="BD32" s="388">
        <f t="shared" si="2"/>
        <v>3548.9791999999998</v>
      </c>
      <c r="BE32" s="388">
        <f t="shared" si="3"/>
        <v>830.00319999999999</v>
      </c>
      <c r="BF32" s="388">
        <f t="shared" si="4"/>
        <v>6834.6470399999998</v>
      </c>
      <c r="BG32" s="388">
        <f t="shared" si="5"/>
        <v>412.71193599999998</v>
      </c>
      <c r="BH32" s="388">
        <f t="shared" si="6"/>
        <v>0</v>
      </c>
      <c r="BI32" s="388">
        <f t="shared" si="7"/>
        <v>0</v>
      </c>
      <c r="BJ32" s="388">
        <f t="shared" si="8"/>
        <v>103.03488</v>
      </c>
      <c r="BK32" s="388">
        <f t="shared" si="9"/>
        <v>0</v>
      </c>
      <c r="BL32" s="388">
        <f t="shared" si="32"/>
        <v>11729.376256</v>
      </c>
      <c r="BM32" s="388">
        <f t="shared" si="33"/>
        <v>0</v>
      </c>
      <c r="BN32" s="388">
        <f t="shared" si="10"/>
        <v>13750</v>
      </c>
      <c r="BO32" s="388">
        <f t="shared" si="11"/>
        <v>0</v>
      </c>
      <c r="BP32" s="388">
        <f t="shared" si="12"/>
        <v>3548.9791999999998</v>
      </c>
      <c r="BQ32" s="388">
        <f t="shared" si="13"/>
        <v>830.00319999999999</v>
      </c>
      <c r="BR32" s="388">
        <f t="shared" si="14"/>
        <v>6399.6108799999993</v>
      </c>
      <c r="BS32" s="388">
        <f t="shared" si="15"/>
        <v>412.71193599999998</v>
      </c>
      <c r="BT32" s="388">
        <f t="shared" si="16"/>
        <v>0</v>
      </c>
      <c r="BU32" s="388">
        <f t="shared" si="17"/>
        <v>0</v>
      </c>
      <c r="BV32" s="388">
        <f t="shared" si="18"/>
        <v>114.4832</v>
      </c>
      <c r="BW32" s="388">
        <f t="shared" si="19"/>
        <v>0</v>
      </c>
      <c r="BX32" s="388">
        <f t="shared" si="34"/>
        <v>11305.788415999999</v>
      </c>
      <c r="BY32" s="388">
        <f t="shared" si="35"/>
        <v>0</v>
      </c>
      <c r="BZ32" s="388">
        <f t="shared" si="36"/>
        <v>1250</v>
      </c>
      <c r="CA32" s="388">
        <f t="shared" si="37"/>
        <v>0</v>
      </c>
      <c r="CB32" s="388">
        <f t="shared" si="38"/>
        <v>0</v>
      </c>
      <c r="CC32" s="388">
        <f t="shared" si="20"/>
        <v>0</v>
      </c>
      <c r="CD32" s="388">
        <f t="shared" si="21"/>
        <v>-435.03616000000051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11.448320000000004</v>
      </c>
      <c r="CI32" s="388">
        <f t="shared" si="26"/>
        <v>0</v>
      </c>
      <c r="CJ32" s="388">
        <f t="shared" si="39"/>
        <v>-423.58784000000048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0001-00</v>
      </c>
    </row>
    <row r="33" spans="1:92" ht="15.75" thickBot="1" x14ac:dyDescent="0.3">
      <c r="A33" s="377" t="s">
        <v>162</v>
      </c>
      <c r="B33" s="377" t="s">
        <v>163</v>
      </c>
      <c r="C33" s="377" t="s">
        <v>349</v>
      </c>
      <c r="D33" s="377" t="s">
        <v>207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208</v>
      </c>
      <c r="L33" s="377" t="s">
        <v>179</v>
      </c>
      <c r="M33" s="377" t="s">
        <v>172</v>
      </c>
      <c r="N33" s="377" t="s">
        <v>173</v>
      </c>
      <c r="O33" s="380">
        <v>1</v>
      </c>
      <c r="P33" s="386">
        <v>1</v>
      </c>
      <c r="Q33" s="386">
        <v>1</v>
      </c>
      <c r="R33" s="381">
        <v>80</v>
      </c>
      <c r="S33" s="386">
        <v>1</v>
      </c>
      <c r="T33" s="381">
        <v>41896.31</v>
      </c>
      <c r="U33" s="381">
        <v>0</v>
      </c>
      <c r="V33" s="381">
        <v>20420.45</v>
      </c>
      <c r="W33" s="381">
        <v>44137.599999999999</v>
      </c>
      <c r="X33" s="381">
        <v>21544.21</v>
      </c>
      <c r="Y33" s="381">
        <v>44137.599999999999</v>
      </c>
      <c r="Z33" s="381">
        <v>22467.599999999999</v>
      </c>
      <c r="AA33" s="377" t="s">
        <v>350</v>
      </c>
      <c r="AB33" s="377" t="s">
        <v>351</v>
      </c>
      <c r="AC33" s="377" t="s">
        <v>352</v>
      </c>
      <c r="AD33" s="377" t="s">
        <v>188</v>
      </c>
      <c r="AE33" s="377" t="s">
        <v>208</v>
      </c>
      <c r="AF33" s="377" t="s">
        <v>178</v>
      </c>
      <c r="AG33" s="377" t="s">
        <v>179</v>
      </c>
      <c r="AH33" s="382">
        <v>21.22</v>
      </c>
      <c r="AI33" s="382">
        <v>25334.7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6">
        <v>1</v>
      </c>
      <c r="AQ33" s="386">
        <v>1</v>
      </c>
      <c r="AR33" s="384" t="s">
        <v>184</v>
      </c>
      <c r="AS33" s="388">
        <f t="shared" si="27"/>
        <v>1</v>
      </c>
      <c r="AT33">
        <f t="shared" si="28"/>
        <v>1</v>
      </c>
      <c r="AU33" s="388">
        <f>IF(AT33=0,"",IF(AND(AT33=1,M33="F",SUMIF(C2:C35,C33,AS2:AS35)&lt;=1),SUMIF(C2:C35,C33,AS2:AS35),IF(AND(AT33=1,M33="F",SUMIF(C2:C35,C33,AS2:AS35)&gt;1),1,"")))</f>
        <v>1</v>
      </c>
      <c r="AV33" s="388" t="str">
        <f>IF(AT33=0,"",IF(AND(AT33=3,M33="F",SUMIF(C2:C35,C33,AS2:AS35)&lt;=1),SUMIF(C2:C35,C33,AS2:AS35),IF(AND(AT33=3,M33="F",SUMIF(C2:C35,C33,AS2:AS35)&gt;1),1,"")))</f>
        <v/>
      </c>
      <c r="AW33" s="388">
        <f>SUMIF(C2:C35,C33,O2:O35)</f>
        <v>1</v>
      </c>
      <c r="AX33" s="388">
        <f>IF(AND(M33="F",AS33&lt;&gt;0),SUMIF(C2:C35,C33,W2:W35),0)</f>
        <v>44137.599999999999</v>
      </c>
      <c r="AY33" s="388">
        <f t="shared" si="29"/>
        <v>44137.599999999999</v>
      </c>
      <c r="AZ33" s="388" t="str">
        <f t="shared" si="30"/>
        <v/>
      </c>
      <c r="BA33" s="388">
        <f t="shared" si="31"/>
        <v>0</v>
      </c>
      <c r="BB33" s="388">
        <f t="shared" si="0"/>
        <v>12500</v>
      </c>
      <c r="BC33" s="388">
        <f t="shared" si="1"/>
        <v>0</v>
      </c>
      <c r="BD33" s="388">
        <f t="shared" si="2"/>
        <v>2736.5311999999999</v>
      </c>
      <c r="BE33" s="388">
        <f t="shared" si="3"/>
        <v>639.99520000000007</v>
      </c>
      <c r="BF33" s="388">
        <f t="shared" si="4"/>
        <v>5270.0294400000002</v>
      </c>
      <c r="BG33" s="388">
        <f t="shared" si="5"/>
        <v>318.23209600000001</v>
      </c>
      <c r="BH33" s="388">
        <f t="shared" si="6"/>
        <v>0</v>
      </c>
      <c r="BI33" s="388">
        <f t="shared" si="7"/>
        <v>0</v>
      </c>
      <c r="BJ33" s="388">
        <f t="shared" si="8"/>
        <v>79.447679999999991</v>
      </c>
      <c r="BK33" s="388">
        <f t="shared" si="9"/>
        <v>0</v>
      </c>
      <c r="BL33" s="388">
        <f t="shared" si="32"/>
        <v>9044.2356159999999</v>
      </c>
      <c r="BM33" s="388">
        <f t="shared" si="33"/>
        <v>0</v>
      </c>
      <c r="BN33" s="388">
        <f t="shared" si="10"/>
        <v>13750</v>
      </c>
      <c r="BO33" s="388">
        <f t="shared" si="11"/>
        <v>0</v>
      </c>
      <c r="BP33" s="388">
        <f t="shared" si="12"/>
        <v>2736.5311999999999</v>
      </c>
      <c r="BQ33" s="388">
        <f t="shared" si="13"/>
        <v>639.99520000000007</v>
      </c>
      <c r="BR33" s="388">
        <f t="shared" si="14"/>
        <v>4934.5836799999997</v>
      </c>
      <c r="BS33" s="388">
        <f t="shared" si="15"/>
        <v>318.23209600000001</v>
      </c>
      <c r="BT33" s="388">
        <f t="shared" si="16"/>
        <v>0</v>
      </c>
      <c r="BU33" s="388">
        <f t="shared" si="17"/>
        <v>0</v>
      </c>
      <c r="BV33" s="388">
        <f t="shared" si="18"/>
        <v>88.275199999999998</v>
      </c>
      <c r="BW33" s="388">
        <f t="shared" si="19"/>
        <v>0</v>
      </c>
      <c r="BX33" s="388">
        <f t="shared" si="34"/>
        <v>8717.6173759999983</v>
      </c>
      <c r="BY33" s="388">
        <f t="shared" si="35"/>
        <v>0</v>
      </c>
      <c r="BZ33" s="388">
        <f t="shared" si="36"/>
        <v>1250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-335.4457600000004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8.8275200000000034</v>
      </c>
      <c r="CI33" s="388">
        <f t="shared" si="26"/>
        <v>0</v>
      </c>
      <c r="CJ33" s="388">
        <f t="shared" si="39"/>
        <v>-326.61824000000041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0001-00</v>
      </c>
    </row>
    <row r="34" spans="1:92" ht="15.75" thickBot="1" x14ac:dyDescent="0.3">
      <c r="A34" s="377" t="s">
        <v>162</v>
      </c>
      <c r="B34" s="377" t="s">
        <v>163</v>
      </c>
      <c r="C34" s="377" t="s">
        <v>353</v>
      </c>
      <c r="D34" s="377" t="s">
        <v>354</v>
      </c>
      <c r="E34" s="377" t="s">
        <v>355</v>
      </c>
      <c r="F34" s="383" t="s">
        <v>356</v>
      </c>
      <c r="G34" s="377" t="s">
        <v>357</v>
      </c>
      <c r="H34" s="379"/>
      <c r="I34" s="379"/>
      <c r="J34" s="377" t="s">
        <v>169</v>
      </c>
      <c r="K34" s="377" t="s">
        <v>358</v>
      </c>
      <c r="L34" s="377" t="s">
        <v>167</v>
      </c>
      <c r="M34" s="377" t="s">
        <v>196</v>
      </c>
      <c r="N34" s="377" t="s">
        <v>173</v>
      </c>
      <c r="O34" s="380">
        <v>0</v>
      </c>
      <c r="P34" s="386">
        <v>1</v>
      </c>
      <c r="Q34" s="386">
        <v>1</v>
      </c>
      <c r="R34" s="381">
        <v>80</v>
      </c>
      <c r="S34" s="386">
        <v>1</v>
      </c>
      <c r="T34" s="381">
        <v>0</v>
      </c>
      <c r="U34" s="381">
        <v>0</v>
      </c>
      <c r="V34" s="381">
        <v>0</v>
      </c>
      <c r="W34" s="381">
        <v>43160</v>
      </c>
      <c r="X34" s="381">
        <v>19422</v>
      </c>
      <c r="Y34" s="381">
        <v>43160</v>
      </c>
      <c r="Z34" s="381">
        <v>20112.560000000001</v>
      </c>
      <c r="AA34" s="379"/>
      <c r="AB34" s="377" t="s">
        <v>45</v>
      </c>
      <c r="AC34" s="377" t="s">
        <v>45</v>
      </c>
      <c r="AD34" s="379"/>
      <c r="AE34" s="379"/>
      <c r="AF34" s="379"/>
      <c r="AG34" s="379"/>
      <c r="AH34" s="380">
        <v>0</v>
      </c>
      <c r="AI34" s="380">
        <v>0</v>
      </c>
      <c r="AJ34" s="379"/>
      <c r="AK34" s="379"/>
      <c r="AL34" s="377" t="s">
        <v>182</v>
      </c>
      <c r="AM34" s="379"/>
      <c r="AN34" s="379"/>
      <c r="AO34" s="380">
        <v>0</v>
      </c>
      <c r="AP34" s="386">
        <v>0</v>
      </c>
      <c r="AQ34" s="386">
        <v>0</v>
      </c>
      <c r="AR34" s="385"/>
      <c r="AS34" s="388">
        <f t="shared" si="27"/>
        <v>0</v>
      </c>
      <c r="AT34">
        <f t="shared" si="28"/>
        <v>0</v>
      </c>
      <c r="AU34" s="388" t="str">
        <f>IF(AT34=0,"",IF(AND(AT34=1,M34="F",SUMIF(C2:C35,C34,AS2:AS35)&lt;=1),SUMIF(C2:C35,C34,AS2:AS35),IF(AND(AT34=1,M34="F",SUMIF(C2:C35,C34,AS2:AS35)&gt;1),1,"")))</f>
        <v/>
      </c>
      <c r="AV34" s="388" t="str">
        <f>IF(AT34=0,"",IF(AND(AT34=3,M34="F",SUMIF(C2:C35,C34,AS2:AS35)&lt;=1),SUMIF(C2:C35,C34,AS2:AS35),IF(AND(AT34=3,M34="F",SUMIF(C2:C35,C34,AS2:AS35)&gt;1),1,"")))</f>
        <v/>
      </c>
      <c r="AW34" s="388">
        <f>SUMIF(C2:C35,C34,O2:O35)</f>
        <v>0</v>
      </c>
      <c r="AX34" s="388">
        <f>IF(AND(M34="F",AS34&lt;&gt;0),SUMIF(C2:C35,C34,W2:W35),0)</f>
        <v>0</v>
      </c>
      <c r="AY34" s="388" t="str">
        <f t="shared" si="29"/>
        <v/>
      </c>
      <c r="AZ34" s="388" t="str">
        <f t="shared" si="30"/>
        <v/>
      </c>
      <c r="BA34" s="388">
        <f t="shared" si="31"/>
        <v>0</v>
      </c>
      <c r="BB34" s="388">
        <f t="shared" si="0"/>
        <v>0</v>
      </c>
      <c r="BC34" s="388">
        <f t="shared" si="1"/>
        <v>0</v>
      </c>
      <c r="BD34" s="388">
        <f t="shared" si="2"/>
        <v>0</v>
      </c>
      <c r="BE34" s="388">
        <f t="shared" si="3"/>
        <v>0</v>
      </c>
      <c r="BF34" s="388">
        <f t="shared" si="4"/>
        <v>0</v>
      </c>
      <c r="BG34" s="388">
        <f t="shared" si="5"/>
        <v>0</v>
      </c>
      <c r="BH34" s="388">
        <f t="shared" si="6"/>
        <v>0</v>
      </c>
      <c r="BI34" s="388">
        <f t="shared" si="7"/>
        <v>0</v>
      </c>
      <c r="BJ34" s="388">
        <f t="shared" si="8"/>
        <v>0</v>
      </c>
      <c r="BK34" s="388">
        <f t="shared" si="9"/>
        <v>0</v>
      </c>
      <c r="BL34" s="388">
        <f t="shared" si="32"/>
        <v>0</v>
      </c>
      <c r="BM34" s="388">
        <f t="shared" si="33"/>
        <v>0</v>
      </c>
      <c r="BN34" s="388">
        <f t="shared" si="10"/>
        <v>0</v>
      </c>
      <c r="BO34" s="388">
        <f t="shared" si="11"/>
        <v>0</v>
      </c>
      <c r="BP34" s="388">
        <f t="shared" si="12"/>
        <v>0</v>
      </c>
      <c r="BQ34" s="388">
        <f t="shared" si="13"/>
        <v>0</v>
      </c>
      <c r="BR34" s="388">
        <f t="shared" si="14"/>
        <v>0</v>
      </c>
      <c r="BS34" s="388">
        <f t="shared" si="15"/>
        <v>0</v>
      </c>
      <c r="BT34" s="388">
        <f t="shared" si="16"/>
        <v>0</v>
      </c>
      <c r="BU34" s="388">
        <f t="shared" si="17"/>
        <v>0</v>
      </c>
      <c r="BV34" s="388">
        <f t="shared" si="18"/>
        <v>0</v>
      </c>
      <c r="BW34" s="388">
        <f t="shared" si="19"/>
        <v>0</v>
      </c>
      <c r="BX34" s="388">
        <f t="shared" si="34"/>
        <v>0</v>
      </c>
      <c r="BY34" s="388">
        <f t="shared" si="35"/>
        <v>0</v>
      </c>
      <c r="BZ34" s="388">
        <f t="shared" si="36"/>
        <v>0</v>
      </c>
      <c r="CA34" s="388">
        <f t="shared" si="37"/>
        <v>0</v>
      </c>
      <c r="CB34" s="388">
        <f t="shared" si="38"/>
        <v>0</v>
      </c>
      <c r="CC34" s="388">
        <f t="shared" si="20"/>
        <v>0</v>
      </c>
      <c r="CD34" s="388">
        <f t="shared" si="21"/>
        <v>0</v>
      </c>
      <c r="CE34" s="388">
        <f t="shared" si="22"/>
        <v>0</v>
      </c>
      <c r="CF34" s="388">
        <f t="shared" si="23"/>
        <v>0</v>
      </c>
      <c r="CG34" s="388">
        <f t="shared" si="24"/>
        <v>0</v>
      </c>
      <c r="CH34" s="388">
        <f t="shared" si="25"/>
        <v>0</v>
      </c>
      <c r="CI34" s="388">
        <f t="shared" si="26"/>
        <v>0</v>
      </c>
      <c r="CJ34" s="388">
        <f t="shared" si="39"/>
        <v>0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0348-27</v>
      </c>
    </row>
    <row r="35" spans="1:92" ht="15.75" thickBot="1" x14ac:dyDescent="0.3">
      <c r="A35" s="377" t="s">
        <v>162</v>
      </c>
      <c r="B35" s="377" t="s">
        <v>163</v>
      </c>
      <c r="C35" s="377" t="s">
        <v>359</v>
      </c>
      <c r="D35" s="377" t="s">
        <v>360</v>
      </c>
      <c r="E35" s="377" t="s">
        <v>355</v>
      </c>
      <c r="F35" s="383" t="s">
        <v>356</v>
      </c>
      <c r="G35" s="377" t="s">
        <v>357</v>
      </c>
      <c r="H35" s="379"/>
      <c r="I35" s="379"/>
      <c r="J35" s="377" t="s">
        <v>169</v>
      </c>
      <c r="K35" s="377" t="s">
        <v>361</v>
      </c>
      <c r="L35" s="377" t="s">
        <v>182</v>
      </c>
      <c r="M35" s="377" t="s">
        <v>172</v>
      </c>
      <c r="N35" s="377" t="s">
        <v>173</v>
      </c>
      <c r="O35" s="380">
        <v>1</v>
      </c>
      <c r="P35" s="386">
        <v>1</v>
      </c>
      <c r="Q35" s="386">
        <v>1</v>
      </c>
      <c r="R35" s="381">
        <v>80</v>
      </c>
      <c r="S35" s="386">
        <v>1</v>
      </c>
      <c r="T35" s="381">
        <v>8550</v>
      </c>
      <c r="U35" s="381">
        <v>0</v>
      </c>
      <c r="V35" s="381">
        <v>3817.14</v>
      </c>
      <c r="W35" s="381">
        <v>72800</v>
      </c>
      <c r="X35" s="381">
        <v>27417.439999999999</v>
      </c>
      <c r="Y35" s="381">
        <v>72800</v>
      </c>
      <c r="Z35" s="381">
        <v>28128.720000000001</v>
      </c>
      <c r="AA35" s="377" t="s">
        <v>362</v>
      </c>
      <c r="AB35" s="377" t="s">
        <v>262</v>
      </c>
      <c r="AC35" s="377" t="s">
        <v>363</v>
      </c>
      <c r="AD35" s="377" t="s">
        <v>264</v>
      </c>
      <c r="AE35" s="377" t="s">
        <v>361</v>
      </c>
      <c r="AF35" s="377" t="s">
        <v>178</v>
      </c>
      <c r="AG35" s="377" t="s">
        <v>179</v>
      </c>
      <c r="AH35" s="380">
        <v>35</v>
      </c>
      <c r="AI35" s="382">
        <v>11462.6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6">
        <v>1</v>
      </c>
      <c r="AQ35" s="386">
        <v>1</v>
      </c>
      <c r="AR35" s="384" t="s">
        <v>184</v>
      </c>
      <c r="AS35" s="388">
        <f t="shared" si="27"/>
        <v>1</v>
      </c>
      <c r="AT35">
        <f t="shared" si="28"/>
        <v>1</v>
      </c>
      <c r="AU35" s="388">
        <f>IF(AT35=0,"",IF(AND(AT35=1,M35="F",SUMIF(C2:C35,C35,AS2:AS35)&lt;=1),SUMIF(C2:C35,C35,AS2:AS35),IF(AND(AT35=1,M35="F",SUMIF(C2:C35,C35,AS2:AS35)&gt;1),1,"")))</f>
        <v>1</v>
      </c>
      <c r="AV35" s="388" t="str">
        <f>IF(AT35=0,"",IF(AND(AT35=3,M35="F",SUMIF(C2:C35,C35,AS2:AS35)&lt;=1),SUMIF(C2:C35,C35,AS2:AS35),IF(AND(AT35=3,M35="F",SUMIF(C2:C35,C35,AS2:AS35)&gt;1),1,"")))</f>
        <v/>
      </c>
      <c r="AW35" s="388">
        <f>SUMIF(C2:C35,C35,O2:O35)</f>
        <v>1</v>
      </c>
      <c r="AX35" s="388">
        <f>IF(AND(M35="F",AS35&lt;&gt;0),SUMIF(C2:C35,C35,W2:W35),0)</f>
        <v>72800</v>
      </c>
      <c r="AY35" s="388">
        <f t="shared" si="29"/>
        <v>72800</v>
      </c>
      <c r="AZ35" s="388" t="str">
        <f t="shared" si="30"/>
        <v/>
      </c>
      <c r="BA35" s="388">
        <f t="shared" si="31"/>
        <v>0</v>
      </c>
      <c r="BB35" s="388">
        <f t="shared" si="0"/>
        <v>12500</v>
      </c>
      <c r="BC35" s="388">
        <f t="shared" si="1"/>
        <v>0</v>
      </c>
      <c r="BD35" s="388">
        <f t="shared" si="2"/>
        <v>4513.6000000000004</v>
      </c>
      <c r="BE35" s="388">
        <f t="shared" si="3"/>
        <v>1055.6000000000001</v>
      </c>
      <c r="BF35" s="388">
        <f t="shared" si="4"/>
        <v>8692.32</v>
      </c>
      <c r="BG35" s="388">
        <f t="shared" si="5"/>
        <v>524.88800000000003</v>
      </c>
      <c r="BH35" s="388">
        <f t="shared" si="6"/>
        <v>0</v>
      </c>
      <c r="BI35" s="388">
        <f t="shared" si="7"/>
        <v>0</v>
      </c>
      <c r="BJ35" s="388">
        <f t="shared" si="8"/>
        <v>131.04</v>
      </c>
      <c r="BK35" s="388">
        <f t="shared" si="9"/>
        <v>0</v>
      </c>
      <c r="BL35" s="388">
        <f t="shared" si="32"/>
        <v>14917.448000000002</v>
      </c>
      <c r="BM35" s="388">
        <f t="shared" si="33"/>
        <v>0</v>
      </c>
      <c r="BN35" s="388">
        <f t="shared" si="10"/>
        <v>13750</v>
      </c>
      <c r="BO35" s="388">
        <f t="shared" si="11"/>
        <v>0</v>
      </c>
      <c r="BP35" s="388">
        <f t="shared" si="12"/>
        <v>4513.6000000000004</v>
      </c>
      <c r="BQ35" s="388">
        <f t="shared" si="13"/>
        <v>1055.6000000000001</v>
      </c>
      <c r="BR35" s="388">
        <f t="shared" si="14"/>
        <v>8139.04</v>
      </c>
      <c r="BS35" s="388">
        <f t="shared" si="15"/>
        <v>524.88800000000003</v>
      </c>
      <c r="BT35" s="388">
        <f t="shared" si="16"/>
        <v>0</v>
      </c>
      <c r="BU35" s="388">
        <f t="shared" si="17"/>
        <v>0</v>
      </c>
      <c r="BV35" s="388">
        <f t="shared" si="18"/>
        <v>145.6</v>
      </c>
      <c r="BW35" s="388">
        <f t="shared" si="19"/>
        <v>0</v>
      </c>
      <c r="BX35" s="388">
        <f t="shared" si="34"/>
        <v>14378.728000000003</v>
      </c>
      <c r="BY35" s="388">
        <f t="shared" si="35"/>
        <v>0</v>
      </c>
      <c r="BZ35" s="388">
        <f t="shared" si="36"/>
        <v>1250</v>
      </c>
      <c r="CA35" s="388">
        <f t="shared" si="37"/>
        <v>0</v>
      </c>
      <c r="CB35" s="388">
        <f t="shared" si="38"/>
        <v>0</v>
      </c>
      <c r="CC35" s="388">
        <f t="shared" si="20"/>
        <v>0</v>
      </c>
      <c r="CD35" s="388">
        <f t="shared" si="21"/>
        <v>-553.28000000000065</v>
      </c>
      <c r="CE35" s="388">
        <f t="shared" si="22"/>
        <v>0</v>
      </c>
      <c r="CF35" s="388">
        <f t="shared" si="23"/>
        <v>0</v>
      </c>
      <c r="CG35" s="388">
        <f t="shared" si="24"/>
        <v>0</v>
      </c>
      <c r="CH35" s="388">
        <f t="shared" si="25"/>
        <v>14.560000000000006</v>
      </c>
      <c r="CI35" s="388">
        <f t="shared" si="26"/>
        <v>0</v>
      </c>
      <c r="CJ35" s="388">
        <f t="shared" si="39"/>
        <v>-538.7200000000006</v>
      </c>
      <c r="CK35" s="388" t="str">
        <f t="shared" si="40"/>
        <v/>
      </c>
      <c r="CL35" s="388" t="str">
        <f t="shared" si="41"/>
        <v/>
      </c>
      <c r="CM35" s="388" t="str">
        <f t="shared" si="42"/>
        <v/>
      </c>
      <c r="CN35" s="388" t="str">
        <f t="shared" si="43"/>
        <v>0348-27</v>
      </c>
    </row>
    <row r="37" spans="1:92" ht="21" x14ac:dyDescent="0.35">
      <c r="AQ37" s="251" t="s">
        <v>421</v>
      </c>
    </row>
    <row r="38" spans="1:92" ht="15.75" thickBot="1" x14ac:dyDescent="0.3">
      <c r="AR38" t="s">
        <v>412</v>
      </c>
      <c r="AS38" s="388">
        <f>SUMIFS(AS2:AS35,G2:G35,"SSAA",E2:E35,"0001",F2:F35,"00",AT2:AT35,1)</f>
        <v>27</v>
      </c>
      <c r="AT38" s="388">
        <f>SUMIFS(AS2:AS35,G2:G35,"SSAA",E2:E35,"0001",F2:F35,"00",AT2:AT35,3)</f>
        <v>1</v>
      </c>
      <c r="AU38" s="388">
        <f>SUMIFS(AU2:AU35,G2:G35,"SSAA",E2:E35,"0001",F2:F35,"00")</f>
        <v>27</v>
      </c>
      <c r="AV38" s="388">
        <f>SUMIFS(AV2:AV35,G2:G35,"SSAA",E2:E35,"0001",F2:F35,"00")</f>
        <v>1</v>
      </c>
      <c r="AW38" s="388">
        <f>SUMIFS(AW2:AW35,G2:G35,"SSAA",E2:E35,"0001",F2:F35,"00")</f>
        <v>28</v>
      </c>
      <c r="AX38" s="388">
        <f>SUMIFS(AX2:AX35,G2:G35,"SSAA",E2:E35,"0001",F2:F35,"00")</f>
        <v>1756035.1000000003</v>
      </c>
      <c r="AY38" s="388">
        <f>SUMIFS(AY2:AY35,G2:G35,"SSAA",E2:E35,"0001",F2:F35,"00")</f>
        <v>1638478.4000000004</v>
      </c>
      <c r="AZ38" s="388">
        <f>SUMIFS(AZ2:AZ35,G2:G35,"SSAA",E2:E35,"0001",F2:F35,"00")</f>
        <v>117556.7</v>
      </c>
      <c r="BA38" s="388">
        <f>SUMIFS(BA2:BA35,G2:G35,"SSAA",E2:E35,"0001",F2:F35,"00")</f>
        <v>0</v>
      </c>
      <c r="BB38" s="388">
        <f>SUMIFS(BB2:BB35,G2:G35,"SSAA",E2:E35,"0001",F2:F35,"00")</f>
        <v>337500</v>
      </c>
      <c r="BC38" s="388">
        <f>SUMIFS(BC2:BC35,G2:G35,"SSAA",E2:E35,"0001",F2:F35,"00")</f>
        <v>12500</v>
      </c>
      <c r="BD38" s="388">
        <f>SUMIFS(BD2:BD35,G2:G35,"SSAA",E2:E35,"0001",F2:F35,"00")</f>
        <v>108874.17619999999</v>
      </c>
      <c r="BE38" s="388">
        <f>SUMIFS(BE2:BE35,G2:G35,"SSAA",E2:E35,"0001",F2:F35,"00")</f>
        <v>25462.508949999996</v>
      </c>
      <c r="BF38" s="388">
        <f>SUMIFS(BF2:BF35,G2:G35,"SSAA",E2:E35,"0001",F2:F35,"00")</f>
        <v>209670.59094000002</v>
      </c>
      <c r="BG38" s="388">
        <f>SUMIFS(BG2:BG35,G2:G35,"SSAA",E2:E35,"0001",F2:F35,"00")</f>
        <v>12661.013071000001</v>
      </c>
      <c r="BH38" s="388">
        <f>SUMIFS(BH2:BH35,G2:G35,"SSAA",E2:E35,"0001",F2:F35,"00")</f>
        <v>0</v>
      </c>
      <c r="BI38" s="388">
        <f>SUMIFS(BI2:BI35,G2:G35,"SSAA",E2:E35,"0001",F2:F35,"00")</f>
        <v>0</v>
      </c>
      <c r="BJ38" s="388">
        <f>SUMIFS(BJ2:BJ35,G2:G35,"SSAA",E2:E35,"0001",F2:F35,"00")</f>
        <v>3160.8631799999994</v>
      </c>
      <c r="BK38" s="388">
        <f>SUMIFS(BK2:BK35,G2:G35,"SSAA",E2:E35,"0001",F2:F35,"00")</f>
        <v>0</v>
      </c>
      <c r="BL38" s="388">
        <f>SUMIFS(BL2:BL35,G2:G35,"SSAA",E2:E35,"0001",F2:F35,"00")</f>
        <v>335740.60894399992</v>
      </c>
      <c r="BM38" s="388">
        <f>SUMIFS(BM2:BM35,G2:G35,"SSAA",E2:E35,"0001",F2:F35,"00")</f>
        <v>24088.543397000001</v>
      </c>
      <c r="BN38" s="388">
        <f>SUMIFS(BN2:BN35,G2:G35,"SSAA",E2:E35,"0001",F2:F35,"00")</f>
        <v>371250</v>
      </c>
      <c r="BO38" s="388">
        <f>SUMIFS(BO2:BO35,G2:G35,"SSAA",E2:E35,"0001",F2:F35,"00")</f>
        <v>13750</v>
      </c>
      <c r="BP38" s="388">
        <f>SUMIFS(BP2:BP35,G2:G35,"SSAA",E2:E35,"0001",F2:F35,"00")</f>
        <v>108874.17619999999</v>
      </c>
      <c r="BQ38" s="388">
        <f>SUMIFS(BQ2:BQ35,G2:G35,"SSAA",E2:E35,"0001",F2:F35,"00")</f>
        <v>25462.508949999996</v>
      </c>
      <c r="BR38" s="388">
        <f>SUMIFS(BR2:BR35,G2:G35,"SSAA",E2:E35,"0001",F2:F35,"00")</f>
        <v>196324.72417999993</v>
      </c>
      <c r="BS38" s="388">
        <f>SUMIFS(BS2:BS35,G2:G35,"SSAA",E2:E35,"0001",F2:F35,"00")</f>
        <v>12661.013071000001</v>
      </c>
      <c r="BT38" s="388">
        <f>SUMIFS(BT2:BT35,G2:G35,"SSAA",E2:E35,"0001",F2:F35,"00")</f>
        <v>0</v>
      </c>
      <c r="BU38" s="388">
        <f>SUMIFS(BU2:BU35,G2:G35,"SSAA",E2:E35,"0001",F2:F35,"00")</f>
        <v>0</v>
      </c>
      <c r="BV38" s="388">
        <f>SUMIFS(BV2:BV35,G2:G35,"SSAA",E2:E35,"0001",F2:F35,"00")</f>
        <v>3512.0702000000006</v>
      </c>
      <c r="BW38" s="388">
        <f>SUMIFS(BW2:BW35,G2:G35,"SSAA",E2:E35,"0001",F2:F35,"00")</f>
        <v>0</v>
      </c>
      <c r="BX38" s="388">
        <f>SUMIFS(BX2:BX35,G2:G35,"SSAA",E2:E35,"0001",F2:F35,"00")</f>
        <v>323615.86878399999</v>
      </c>
      <c r="BY38" s="388">
        <f>SUMIFS(BY2:BY35,G2:G35,"SSAA",E2:E35,"0001",F2:F35,"00")</f>
        <v>23218.623816999996</v>
      </c>
      <c r="BZ38" s="388">
        <f>SUMIFS(BZ2:BZ35,G2:G35,"SSAA",E2:E35,"0001",F2:F35,"00")</f>
        <v>33750</v>
      </c>
      <c r="CA38" s="388">
        <f>SUMIFS(CA2:CA35,G2:G35,"SSAA",E2:E35,"0001",F2:F35,"00")</f>
        <v>1250</v>
      </c>
      <c r="CB38" s="388">
        <f>SUMIFS(CB2:CB35,G2:G35,"SSAA",E2:E35,"0001",F2:F35,"00")</f>
        <v>0</v>
      </c>
      <c r="CC38" s="388">
        <f>SUMIFS(CC2:CC35,G2:G35,"SSAA",E2:E35,"0001",F2:F35,"00")</f>
        <v>0</v>
      </c>
      <c r="CD38" s="388">
        <f>SUMIFS(CD2:CD35,G2:G35,"SSAA",E2:E35,"0001",F2:F35,"00")</f>
        <v>-13345.866760000015</v>
      </c>
      <c r="CE38" s="388">
        <f>SUMIFS(CE2:CE35,G2:G35,"SSAA",E2:E35,"0001",F2:F35,"00")</f>
        <v>0</v>
      </c>
      <c r="CF38" s="388">
        <f>SUMIFS(CF2:CF35,G2:G35,"SSAA",E2:E35,"0001",F2:F35,"00")</f>
        <v>0</v>
      </c>
      <c r="CG38" s="388">
        <f>SUMIFS(CG2:CG35,G2:G35,"SSAA",E2:E35,"0001",F2:F35,"00")</f>
        <v>0</v>
      </c>
      <c r="CH38" s="388">
        <f>SUMIFS(CH2:CH35,G2:G35,"SSAA",E2:E35,"0001",F2:F35,"00")</f>
        <v>351.20702000000011</v>
      </c>
      <c r="CI38" s="388">
        <f>SUMIFS(CI2:CI35,G2:G35,"SSAA",E2:E35,"0001",F2:F35,"00")</f>
        <v>0</v>
      </c>
      <c r="CJ38" s="388">
        <f>SUMIFS(CJ2:CJ35,G2:G35,"SSAA",E2:E35,"0001",F2:F35,"00")</f>
        <v>-12124.740160000014</v>
      </c>
      <c r="CK38" s="388">
        <f>SUMIFS(CK2:CK35,G2:G35,"SSAA",E2:E35,"0001",F2:F35,"00")</f>
        <v>-869.91958000000113</v>
      </c>
      <c r="CL38" s="388">
        <f>SUMIFS(CL2:CL35,G2:G35,"SSAA",E2:E35,"0001",F2:F35,"00")</f>
        <v>0</v>
      </c>
      <c r="CM38" s="388">
        <f>SUMIFS(CM2:CM35,G2:G35,"SSAA",E2:E35,"0001",F2:F35,"00")</f>
        <v>0</v>
      </c>
    </row>
    <row r="39" spans="1:92" ht="18.75" x14ac:dyDescent="0.3">
      <c r="AQ39" s="394" t="s">
        <v>413</v>
      </c>
      <c r="AS39" s="395">
        <f t="shared" ref="AS39:CM39" si="44">SUM(AS38:AS38)</f>
        <v>27</v>
      </c>
      <c r="AT39" s="395">
        <f t="shared" si="44"/>
        <v>1</v>
      </c>
      <c r="AU39" s="395">
        <f t="shared" si="44"/>
        <v>27</v>
      </c>
      <c r="AV39" s="395">
        <f t="shared" si="44"/>
        <v>1</v>
      </c>
      <c r="AW39" s="395">
        <f t="shared" si="44"/>
        <v>28</v>
      </c>
      <c r="AX39" s="395">
        <f t="shared" si="44"/>
        <v>1756035.1000000003</v>
      </c>
      <c r="AY39" s="395">
        <f t="shared" si="44"/>
        <v>1638478.4000000004</v>
      </c>
      <c r="AZ39" s="395">
        <f t="shared" si="44"/>
        <v>117556.7</v>
      </c>
      <c r="BA39" s="395">
        <f t="shared" si="44"/>
        <v>0</v>
      </c>
      <c r="BB39" s="395">
        <f t="shared" si="44"/>
        <v>337500</v>
      </c>
      <c r="BC39" s="395">
        <f t="shared" si="44"/>
        <v>12500</v>
      </c>
      <c r="BD39" s="395">
        <f t="shared" si="44"/>
        <v>108874.17619999999</v>
      </c>
      <c r="BE39" s="395">
        <f t="shared" si="44"/>
        <v>25462.508949999996</v>
      </c>
      <c r="BF39" s="395">
        <f t="shared" si="44"/>
        <v>209670.59094000002</v>
      </c>
      <c r="BG39" s="395">
        <f t="shared" si="44"/>
        <v>12661.013071000001</v>
      </c>
      <c r="BH39" s="395">
        <f t="shared" si="44"/>
        <v>0</v>
      </c>
      <c r="BI39" s="395">
        <f t="shared" si="44"/>
        <v>0</v>
      </c>
      <c r="BJ39" s="395">
        <f t="shared" si="44"/>
        <v>3160.8631799999994</v>
      </c>
      <c r="BK39" s="395">
        <f t="shared" si="44"/>
        <v>0</v>
      </c>
      <c r="BL39" s="395">
        <f t="shared" si="44"/>
        <v>335740.60894399992</v>
      </c>
      <c r="BM39" s="395">
        <f t="shared" si="44"/>
        <v>24088.543397000001</v>
      </c>
      <c r="BN39" s="395">
        <f t="shared" si="44"/>
        <v>371250</v>
      </c>
      <c r="BO39" s="395">
        <f t="shared" si="44"/>
        <v>13750</v>
      </c>
      <c r="BP39" s="395">
        <f t="shared" si="44"/>
        <v>108874.17619999999</v>
      </c>
      <c r="BQ39" s="395">
        <f t="shared" si="44"/>
        <v>25462.508949999996</v>
      </c>
      <c r="BR39" s="395">
        <f t="shared" si="44"/>
        <v>196324.72417999993</v>
      </c>
      <c r="BS39" s="395">
        <f t="shared" si="44"/>
        <v>12661.013071000001</v>
      </c>
      <c r="BT39" s="395">
        <f t="shared" si="44"/>
        <v>0</v>
      </c>
      <c r="BU39" s="395">
        <f t="shared" si="44"/>
        <v>0</v>
      </c>
      <c r="BV39" s="395">
        <f t="shared" si="44"/>
        <v>3512.0702000000006</v>
      </c>
      <c r="BW39" s="395">
        <f t="shared" si="44"/>
        <v>0</v>
      </c>
      <c r="BX39" s="395">
        <f t="shared" si="44"/>
        <v>323615.86878399999</v>
      </c>
      <c r="BY39" s="395">
        <f t="shared" si="44"/>
        <v>23218.623816999996</v>
      </c>
      <c r="BZ39" s="395">
        <f t="shared" si="44"/>
        <v>33750</v>
      </c>
      <c r="CA39" s="395">
        <f t="shared" si="44"/>
        <v>1250</v>
      </c>
      <c r="CB39" s="395">
        <f t="shared" si="44"/>
        <v>0</v>
      </c>
      <c r="CC39" s="395">
        <f t="shared" si="44"/>
        <v>0</v>
      </c>
      <c r="CD39" s="395">
        <f t="shared" si="44"/>
        <v>-13345.866760000015</v>
      </c>
      <c r="CE39" s="395">
        <f t="shared" si="44"/>
        <v>0</v>
      </c>
      <c r="CF39" s="395">
        <f t="shared" si="44"/>
        <v>0</v>
      </c>
      <c r="CG39" s="395">
        <f t="shared" si="44"/>
        <v>0</v>
      </c>
      <c r="CH39" s="395">
        <f t="shared" si="44"/>
        <v>351.20702000000011</v>
      </c>
      <c r="CI39" s="395">
        <f t="shared" si="44"/>
        <v>0</v>
      </c>
      <c r="CJ39" s="395">
        <f t="shared" si="44"/>
        <v>-12124.740160000014</v>
      </c>
      <c r="CK39" s="395">
        <f t="shared" si="44"/>
        <v>-869.91958000000113</v>
      </c>
      <c r="CL39" s="395">
        <f t="shared" si="44"/>
        <v>0</v>
      </c>
      <c r="CM39" s="395">
        <f t="shared" si="44"/>
        <v>0</v>
      </c>
    </row>
    <row r="40" spans="1:92" ht="15.75" thickBot="1" x14ac:dyDescent="0.3">
      <c r="AR40" t="s">
        <v>419</v>
      </c>
      <c r="AS40" s="388">
        <f>SUMIFS(AS2:AS35,G2:G35,"SSAF",E2:E35,"0348",F2:F35,"27",AT2:AT35,1)</f>
        <v>1</v>
      </c>
      <c r="AT40" s="388">
        <f>SUMIFS(AS2:AS35,G2:G35,"SSAF",E2:E35,"0348",F2:F35,"27",AT2:AT35,3)</f>
        <v>0</v>
      </c>
      <c r="AU40" s="388">
        <f>SUMIFS(AU2:AU35,G2:G35,"SSAF",E2:E35,"0348",F2:F35,"27")</f>
        <v>1</v>
      </c>
      <c r="AV40" s="388">
        <f>SUMIFS(AV2:AV35,G2:G35,"SSAF",E2:E35,"0348",F2:F35,"27")</f>
        <v>0</v>
      </c>
      <c r="AW40" s="388">
        <f>SUMIFS(AW2:AW35,G2:G35,"SSAF",E2:E35,"0348",F2:F35,"27")</f>
        <v>1</v>
      </c>
      <c r="AX40" s="388">
        <f>SUMIFS(AX2:AX35,G2:G35,"SSAF",E2:E35,"0348",F2:F35,"27")</f>
        <v>72800</v>
      </c>
      <c r="AY40" s="388">
        <f>SUMIFS(AY2:AY35,G2:G35,"SSAF",E2:E35,"0348",F2:F35,"27")</f>
        <v>72800</v>
      </c>
      <c r="AZ40" s="388">
        <f>SUMIFS(AZ2:AZ35,G2:G35,"SSAF",E2:E35,"0348",F2:F35,"27")</f>
        <v>0</v>
      </c>
      <c r="BA40" s="388">
        <f>SUMIFS(BA2:BA35,G2:G35,"SSAF",E2:E35,"0348",F2:F35,"27")</f>
        <v>0</v>
      </c>
      <c r="BB40" s="388">
        <f>SUMIFS(BB2:BB35,G2:G35,"SSAF",E2:E35,"0348",F2:F35,"27")</f>
        <v>12500</v>
      </c>
      <c r="BC40" s="388">
        <f>SUMIFS(BC2:BC35,G2:G35,"SSAF",E2:E35,"0348",F2:F35,"27")</f>
        <v>0</v>
      </c>
      <c r="BD40" s="388">
        <f>SUMIFS(BD2:BD35,G2:G35,"SSAF",E2:E35,"0348",F2:F35,"27")</f>
        <v>4513.6000000000004</v>
      </c>
      <c r="BE40" s="388">
        <f>SUMIFS(BE2:BE35,G2:G35,"SSAF",E2:E35,"0348",F2:F35,"27")</f>
        <v>1055.6000000000001</v>
      </c>
      <c r="BF40" s="388">
        <f>SUMIFS(BF2:BF35,G2:G35,"SSAF",E2:E35,"0348",F2:F35,"27")</f>
        <v>8692.32</v>
      </c>
      <c r="BG40" s="388">
        <f>SUMIFS(BG2:BG35,G2:G35,"SSAF",E2:E35,"0348",F2:F35,"27")</f>
        <v>524.88800000000003</v>
      </c>
      <c r="BH40" s="388">
        <f>SUMIFS(BH2:BH35,G2:G35,"SSAF",E2:E35,"0348",F2:F35,"27")</f>
        <v>0</v>
      </c>
      <c r="BI40" s="388">
        <f>SUMIFS(BI2:BI35,G2:G35,"SSAF",E2:E35,"0348",F2:F35,"27")</f>
        <v>0</v>
      </c>
      <c r="BJ40" s="388">
        <f>SUMIFS(BJ2:BJ35,G2:G35,"SSAF",E2:E35,"0348",F2:F35,"27")</f>
        <v>131.04</v>
      </c>
      <c r="BK40" s="388">
        <f>SUMIFS(BK2:BK35,G2:G35,"SSAF",E2:E35,"0348",F2:F35,"27")</f>
        <v>0</v>
      </c>
      <c r="BL40" s="388">
        <f>SUMIFS(BL2:BL35,G2:G35,"SSAF",E2:E35,"0348",F2:F35,"27")</f>
        <v>14917.448000000002</v>
      </c>
      <c r="BM40" s="388">
        <f>SUMIFS(BM2:BM35,G2:G35,"SSAF",E2:E35,"0348",F2:F35,"27")</f>
        <v>0</v>
      </c>
      <c r="BN40" s="388">
        <f>SUMIFS(BN2:BN35,G2:G35,"SSAF",E2:E35,"0348",F2:F35,"27")</f>
        <v>13750</v>
      </c>
      <c r="BO40" s="388">
        <f>SUMIFS(BO2:BO35,G2:G35,"SSAF",E2:E35,"0348",F2:F35,"27")</f>
        <v>0</v>
      </c>
      <c r="BP40" s="388">
        <f>SUMIFS(BP2:BP35,G2:G35,"SSAF",E2:E35,"0348",F2:F35,"27")</f>
        <v>4513.6000000000004</v>
      </c>
      <c r="BQ40" s="388">
        <f>SUMIFS(BQ2:BQ35,G2:G35,"SSAF",E2:E35,"0348",F2:F35,"27")</f>
        <v>1055.6000000000001</v>
      </c>
      <c r="BR40" s="388">
        <f>SUMIFS(BR2:BR35,G2:G35,"SSAF",E2:E35,"0348",F2:F35,"27")</f>
        <v>8139.04</v>
      </c>
      <c r="BS40" s="388">
        <f>SUMIFS(BS2:BS35,G2:G35,"SSAF",E2:E35,"0348",F2:F35,"27")</f>
        <v>524.88800000000003</v>
      </c>
      <c r="BT40" s="388">
        <f>SUMIFS(BT2:BT35,G2:G35,"SSAF",E2:E35,"0348",F2:F35,"27")</f>
        <v>0</v>
      </c>
      <c r="BU40" s="388">
        <f>SUMIFS(BU2:BU35,G2:G35,"SSAF",E2:E35,"0348",F2:F35,"27")</f>
        <v>0</v>
      </c>
      <c r="BV40" s="388">
        <f>SUMIFS(BV2:BV35,G2:G35,"SSAF",E2:E35,"0348",F2:F35,"27")</f>
        <v>145.6</v>
      </c>
      <c r="BW40" s="388">
        <f>SUMIFS(BW2:BW35,G2:G35,"SSAF",E2:E35,"0348",F2:F35,"27")</f>
        <v>0</v>
      </c>
      <c r="BX40" s="388">
        <f>SUMIFS(BX2:BX35,G2:G35,"SSAF",E2:E35,"0348",F2:F35,"27")</f>
        <v>14378.728000000003</v>
      </c>
      <c r="BY40" s="388">
        <f>SUMIFS(BY2:BY35,G2:G35,"SSAF",E2:E35,"0348",F2:F35,"27")</f>
        <v>0</v>
      </c>
      <c r="BZ40" s="388">
        <f>SUMIFS(BZ2:BZ35,G2:G35,"SSAF",E2:E35,"0348",F2:F35,"27")</f>
        <v>1250</v>
      </c>
      <c r="CA40" s="388">
        <f>SUMIFS(CA2:CA35,G2:G35,"SSAF",E2:E35,"0348",F2:F35,"27")</f>
        <v>0</v>
      </c>
      <c r="CB40" s="388">
        <f>SUMIFS(CB2:CB35,G2:G35,"SSAF",E2:E35,"0348",F2:F35,"27")</f>
        <v>0</v>
      </c>
      <c r="CC40" s="388">
        <f>SUMIFS(CC2:CC35,G2:G35,"SSAF",E2:E35,"0348",F2:F35,"27")</f>
        <v>0</v>
      </c>
      <c r="CD40" s="388">
        <f>SUMIFS(CD2:CD35,G2:G35,"SSAF",E2:E35,"0348",F2:F35,"27")</f>
        <v>-553.28000000000065</v>
      </c>
      <c r="CE40" s="388">
        <f>SUMIFS(CE2:CE35,G2:G35,"SSAF",E2:E35,"0348",F2:F35,"27")</f>
        <v>0</v>
      </c>
      <c r="CF40" s="388">
        <f>SUMIFS(CF2:CF35,G2:G35,"SSAF",E2:E35,"0348",F2:F35,"27")</f>
        <v>0</v>
      </c>
      <c r="CG40" s="388">
        <f>SUMIFS(CG2:CG35,G2:G35,"SSAF",E2:E35,"0348",F2:F35,"27")</f>
        <v>0</v>
      </c>
      <c r="CH40" s="388">
        <f>SUMIFS(CH2:CH35,G2:G35,"SSAF",E2:E35,"0348",F2:F35,"27")</f>
        <v>14.560000000000006</v>
      </c>
      <c r="CI40" s="388">
        <f>SUMIFS(CI2:CI35,G2:G35,"SSAF",E2:E35,"0348",F2:F35,"27")</f>
        <v>0</v>
      </c>
      <c r="CJ40" s="388">
        <f>SUMIFS(CJ2:CJ35,G2:G35,"SSAF",E2:E35,"0348",F2:F35,"27")</f>
        <v>-538.7200000000006</v>
      </c>
      <c r="CK40" s="388">
        <f>SUMIFS(CK2:CK35,G2:G35,"SSAF",E2:E35,"0348",F2:F35,"27")</f>
        <v>0</v>
      </c>
      <c r="CL40" s="388">
        <f>SUMIFS(CL2:CL35,G2:G35,"SSAF",E2:E35,"0348",F2:F35,"27")</f>
        <v>0</v>
      </c>
      <c r="CM40" s="388">
        <f>SUMIFS(CM2:CM35,G2:G35,"SSAF",E2:E35,"0348",F2:F35,"27")</f>
        <v>0</v>
      </c>
    </row>
    <row r="41" spans="1:92" ht="18.75" x14ac:dyDescent="0.3">
      <c r="AQ41" s="394" t="s">
        <v>420</v>
      </c>
      <c r="AS41" s="395">
        <f t="shared" ref="AS41:CM41" si="45">SUM(AS40:AS40)</f>
        <v>1</v>
      </c>
      <c r="AT41" s="395">
        <f t="shared" si="45"/>
        <v>0</v>
      </c>
      <c r="AU41" s="395">
        <f t="shared" si="45"/>
        <v>1</v>
      </c>
      <c r="AV41" s="395">
        <f t="shared" si="45"/>
        <v>0</v>
      </c>
      <c r="AW41" s="395">
        <f t="shared" si="45"/>
        <v>1</v>
      </c>
      <c r="AX41" s="395">
        <f t="shared" si="45"/>
        <v>72800</v>
      </c>
      <c r="AY41" s="395">
        <f t="shared" si="45"/>
        <v>72800</v>
      </c>
      <c r="AZ41" s="395">
        <f t="shared" si="45"/>
        <v>0</v>
      </c>
      <c r="BA41" s="395">
        <f t="shared" si="45"/>
        <v>0</v>
      </c>
      <c r="BB41" s="395">
        <f t="shared" si="45"/>
        <v>12500</v>
      </c>
      <c r="BC41" s="395">
        <f t="shared" si="45"/>
        <v>0</v>
      </c>
      <c r="BD41" s="395">
        <f t="shared" si="45"/>
        <v>4513.6000000000004</v>
      </c>
      <c r="BE41" s="395">
        <f t="shared" si="45"/>
        <v>1055.6000000000001</v>
      </c>
      <c r="BF41" s="395">
        <f t="shared" si="45"/>
        <v>8692.32</v>
      </c>
      <c r="BG41" s="395">
        <f t="shared" si="45"/>
        <v>524.88800000000003</v>
      </c>
      <c r="BH41" s="395">
        <f t="shared" si="45"/>
        <v>0</v>
      </c>
      <c r="BI41" s="395">
        <f t="shared" si="45"/>
        <v>0</v>
      </c>
      <c r="BJ41" s="395">
        <f t="shared" si="45"/>
        <v>131.04</v>
      </c>
      <c r="BK41" s="395">
        <f t="shared" si="45"/>
        <v>0</v>
      </c>
      <c r="BL41" s="395">
        <f t="shared" si="45"/>
        <v>14917.448000000002</v>
      </c>
      <c r="BM41" s="395">
        <f t="shared" si="45"/>
        <v>0</v>
      </c>
      <c r="BN41" s="395">
        <f t="shared" si="45"/>
        <v>13750</v>
      </c>
      <c r="BO41" s="395">
        <f t="shared" si="45"/>
        <v>0</v>
      </c>
      <c r="BP41" s="395">
        <f t="shared" si="45"/>
        <v>4513.6000000000004</v>
      </c>
      <c r="BQ41" s="395">
        <f t="shared" si="45"/>
        <v>1055.6000000000001</v>
      </c>
      <c r="BR41" s="395">
        <f t="shared" si="45"/>
        <v>8139.04</v>
      </c>
      <c r="BS41" s="395">
        <f t="shared" si="45"/>
        <v>524.88800000000003</v>
      </c>
      <c r="BT41" s="395">
        <f t="shared" si="45"/>
        <v>0</v>
      </c>
      <c r="BU41" s="395">
        <f t="shared" si="45"/>
        <v>0</v>
      </c>
      <c r="BV41" s="395">
        <f t="shared" si="45"/>
        <v>145.6</v>
      </c>
      <c r="BW41" s="395">
        <f t="shared" si="45"/>
        <v>0</v>
      </c>
      <c r="BX41" s="395">
        <f t="shared" si="45"/>
        <v>14378.728000000003</v>
      </c>
      <c r="BY41" s="395">
        <f t="shared" si="45"/>
        <v>0</v>
      </c>
      <c r="BZ41" s="395">
        <f t="shared" si="45"/>
        <v>1250</v>
      </c>
      <c r="CA41" s="395">
        <f t="shared" si="45"/>
        <v>0</v>
      </c>
      <c r="CB41" s="395">
        <f t="shared" si="45"/>
        <v>0</v>
      </c>
      <c r="CC41" s="395">
        <f t="shared" si="45"/>
        <v>0</v>
      </c>
      <c r="CD41" s="395">
        <f t="shared" si="45"/>
        <v>-553.28000000000065</v>
      </c>
      <c r="CE41" s="395">
        <f t="shared" si="45"/>
        <v>0</v>
      </c>
      <c r="CF41" s="395">
        <f t="shared" si="45"/>
        <v>0</v>
      </c>
      <c r="CG41" s="395">
        <f t="shared" si="45"/>
        <v>0</v>
      </c>
      <c r="CH41" s="395">
        <f t="shared" si="45"/>
        <v>14.560000000000006</v>
      </c>
      <c r="CI41" s="395">
        <f t="shared" si="45"/>
        <v>0</v>
      </c>
      <c r="CJ41" s="395">
        <f t="shared" si="45"/>
        <v>-538.7200000000006</v>
      </c>
      <c r="CK41" s="395">
        <f t="shared" si="45"/>
        <v>0</v>
      </c>
      <c r="CL41" s="395">
        <f t="shared" si="45"/>
        <v>0</v>
      </c>
      <c r="CM41" s="395">
        <f t="shared" si="45"/>
        <v>0</v>
      </c>
    </row>
    <row r="42" spans="1:92" x14ac:dyDescent="0.25"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</row>
    <row r="43" spans="1:92" ht="21" x14ac:dyDescent="0.35">
      <c r="AO43" s="251" t="s">
        <v>95</v>
      </c>
      <c r="AP43" s="251"/>
      <c r="AQ43" s="251"/>
    </row>
    <row r="45" spans="1:92" ht="21" x14ac:dyDescent="0.35">
      <c r="AO45" s="252"/>
      <c r="AP45" s="252"/>
      <c r="AQ45" s="252"/>
    </row>
    <row r="46" spans="1:92" ht="15.75" x14ac:dyDescent="0.25">
      <c r="AS46" s="374" t="s">
        <v>81</v>
      </c>
      <c r="AT46" s="478" t="s">
        <v>424</v>
      </c>
      <c r="AU46" s="478"/>
      <c r="AV46" s="479" t="s">
        <v>422</v>
      </c>
      <c r="AW46" s="478" t="s">
        <v>425</v>
      </c>
      <c r="AX46" s="478"/>
      <c r="AY46" s="479" t="s">
        <v>423</v>
      </c>
      <c r="AZ46" s="478" t="s">
        <v>426</v>
      </c>
      <c r="BA46" s="478"/>
    </row>
    <row r="47" spans="1:92" ht="15.75" x14ac:dyDescent="0.25">
      <c r="AS47" s="249"/>
      <c r="AT47" s="374" t="s">
        <v>92</v>
      </c>
      <c r="AU47" s="373" t="s">
        <v>94</v>
      </c>
      <c r="AV47" s="480"/>
      <c r="AW47" s="374" t="s">
        <v>96</v>
      </c>
      <c r="AX47" s="373" t="s">
        <v>93</v>
      </c>
      <c r="AY47" s="480"/>
      <c r="AZ47" s="374" t="s">
        <v>96</v>
      </c>
      <c r="BA47" s="373" t="s">
        <v>93</v>
      </c>
    </row>
    <row r="48" spans="1:92" x14ac:dyDescent="0.25">
      <c r="AO48" s="393" t="s">
        <v>427</v>
      </c>
    </row>
    <row r="49" spans="41:97" x14ac:dyDescent="0.25">
      <c r="AQ49" t="s">
        <v>416</v>
      </c>
      <c r="AS49" s="388">
        <f>SUM(SUMIFS(AS2:AS35,CN2:CN35,AQ49,E2:E35,"0001",F2:F35,"00",AT2:AT35,{1,3}))</f>
        <v>28</v>
      </c>
      <c r="AT49" s="388">
        <f>SUMPRODUCT(--(CN2:CN35=AQ49),--(N2:N35&lt;&gt;"NG"),--(AG2:AG35&lt;&gt;"D"),--(AR2:AR35&lt;&gt;6),--(AR2:AR35&lt;&gt;36),--(AR2:AR35&lt;&gt;56),T2:T35)+SUMPRODUCT(--(CN2:CN35=AQ49),--(N2:N35&lt;&gt;"NG"),--(AG2:AG35&lt;&gt;"D"),--(AR2:AR35&lt;&gt;6),--(AR2:AR35&lt;&gt;36),--(AR2:AR35&lt;&gt;56),U2:U35)</f>
        <v>1617140.36</v>
      </c>
      <c r="AU49" s="388">
        <f>SUMPRODUCT(--(CN2:CN35=AQ49),--(N2:N35&lt;&gt;"NG"),--(AG2:AG35&lt;&gt;"D"),--(AR2:AR35&lt;&gt;6),--(AR2:AR35&lt;&gt;36),--(AR2:AR35&lt;&gt;56),V2:V35)</f>
        <v>638953.05999999994</v>
      </c>
      <c r="AV49" s="388">
        <f>SUMPRODUCT(--(CN2:CN35=AQ49),AY2:AY35)+SUMPRODUCT(--(CN2:CN35=AQ49),AZ2:AZ35)</f>
        <v>1756035.1000000003</v>
      </c>
      <c r="AW49" s="388">
        <f>SUMPRODUCT(--(CN2:CN35=AQ49),BB2:BB35)+SUMPRODUCT(--(CN2:CN35=AQ49),BC2:BC35)</f>
        <v>350000</v>
      </c>
      <c r="AX49" s="388">
        <f>SUMPRODUCT(--(CN2:CN35=AQ49),BL2:BL35)+SUMPRODUCT(--(CN2:CN35=AQ49),BM2:BM35)</f>
        <v>359829.15234099992</v>
      </c>
      <c r="AY49" s="388">
        <f>SUMPRODUCT(--(CN2:CN35=AQ49),AY2:AY35)+SUMPRODUCT(--(CN2:CN35=AQ49),AZ2:AZ35)+SUMPRODUCT(--(CN2:CN35=AQ49),BA2:BA35)</f>
        <v>1756035.1000000003</v>
      </c>
      <c r="AZ49" s="388">
        <f>SUMPRODUCT(--(CN2:CN35=AQ49),BN2:BN35)+SUMPRODUCT(--(CN2:CN35=AQ49),BO2:BO35)</f>
        <v>385000</v>
      </c>
      <c r="BA49" s="388">
        <f>SUMPRODUCT(--(CN2:CN35=AQ49),BX2:BX35)+SUMPRODUCT(--(CN2:CN35=AQ49),BY2:BY35)</f>
        <v>346834.49260100001</v>
      </c>
    </row>
    <row r="50" spans="41:97" x14ac:dyDescent="0.25">
      <c r="AP50" t="s">
        <v>428</v>
      </c>
      <c r="AS50" s="399">
        <f t="shared" ref="AS50:BA50" si="46">SUM(AS49:AS49)</f>
        <v>28</v>
      </c>
      <c r="AT50" s="399">
        <f t="shared" si="46"/>
        <v>1617140.36</v>
      </c>
      <c r="AU50" s="399">
        <f t="shared" si="46"/>
        <v>638953.05999999994</v>
      </c>
      <c r="AV50" s="399">
        <f t="shared" si="46"/>
        <v>1756035.1000000003</v>
      </c>
      <c r="AW50" s="399">
        <f t="shared" si="46"/>
        <v>350000</v>
      </c>
      <c r="AX50" s="399">
        <f t="shared" si="46"/>
        <v>359829.15234099992</v>
      </c>
      <c r="AY50" s="399">
        <f t="shared" si="46"/>
        <v>1756035.1000000003</v>
      </c>
      <c r="AZ50" s="399">
        <f t="shared" si="46"/>
        <v>385000</v>
      </c>
      <c r="BA50" s="399">
        <f t="shared" si="46"/>
        <v>346834.49260100001</v>
      </c>
    </row>
    <row r="51" spans="41:97" x14ac:dyDescent="0.25">
      <c r="AS51" s="388"/>
      <c r="AT51" s="388"/>
      <c r="AU51" s="388"/>
      <c r="AV51" s="388"/>
      <c r="AW51" s="388"/>
      <c r="AX51" s="388"/>
      <c r="AY51" s="388"/>
      <c r="AZ51" s="388"/>
      <c r="BA51" s="388"/>
    </row>
    <row r="52" spans="41:97" x14ac:dyDescent="0.25">
      <c r="AO52" s="397" t="s">
        <v>429</v>
      </c>
      <c r="AS52" s="400">
        <f t="shared" ref="AS52:BA52" si="47">SUM(AS50)</f>
        <v>28</v>
      </c>
      <c r="AT52" s="400">
        <f t="shared" si="47"/>
        <v>1617140.36</v>
      </c>
      <c r="AU52" s="400">
        <f t="shared" si="47"/>
        <v>638953.05999999994</v>
      </c>
      <c r="AV52" s="400">
        <f t="shared" si="47"/>
        <v>1756035.1000000003</v>
      </c>
      <c r="AW52" s="400">
        <f t="shared" si="47"/>
        <v>350000</v>
      </c>
      <c r="AX52" s="400">
        <f t="shared" si="47"/>
        <v>359829.15234099992</v>
      </c>
      <c r="AY52" s="400">
        <f t="shared" si="47"/>
        <v>1756035.1000000003</v>
      </c>
      <c r="AZ52" s="400">
        <f t="shared" si="47"/>
        <v>385000</v>
      </c>
      <c r="BA52" s="400">
        <f t="shared" si="47"/>
        <v>346834.49260100001</v>
      </c>
    </row>
    <row r="53" spans="41:97" x14ac:dyDescent="0.25">
      <c r="AS53" s="388"/>
      <c r="AT53" s="388"/>
      <c r="AU53" s="388"/>
      <c r="AV53" s="388"/>
      <c r="AW53" s="388"/>
      <c r="AX53" s="388"/>
      <c r="AY53" s="388"/>
      <c r="AZ53" s="388"/>
      <c r="BA53" s="388"/>
    </row>
    <row r="54" spans="41:97" x14ac:dyDescent="0.25">
      <c r="AO54" s="393" t="s">
        <v>430</v>
      </c>
      <c r="AS54" s="388"/>
      <c r="AT54" s="388"/>
      <c r="AU54" s="388"/>
      <c r="AV54" s="388"/>
      <c r="AW54" s="388"/>
      <c r="AX54" s="388"/>
      <c r="AY54" s="388"/>
      <c r="AZ54" s="388"/>
      <c r="BA54" s="388"/>
    </row>
    <row r="55" spans="41:97" x14ac:dyDescent="0.25">
      <c r="AS55" s="388"/>
      <c r="AT55" s="388"/>
      <c r="AU55" s="388"/>
      <c r="AV55" s="388"/>
      <c r="AW55" s="388"/>
      <c r="AX55" s="388"/>
      <c r="AY55" s="388"/>
      <c r="AZ55" s="388"/>
      <c r="BA55" s="388"/>
    </row>
    <row r="56" spans="41:97" x14ac:dyDescent="0.25">
      <c r="AO56" s="397" t="s">
        <v>431</v>
      </c>
      <c r="AS56" s="388"/>
      <c r="AT56" s="388"/>
      <c r="AU56" s="388"/>
      <c r="AV56" s="388"/>
      <c r="AW56" s="388"/>
      <c r="AX56" s="388"/>
      <c r="AY56" s="388"/>
      <c r="AZ56" s="388"/>
      <c r="BA56" s="388"/>
      <c r="CS56" s="393"/>
    </row>
    <row r="57" spans="41:97" x14ac:dyDescent="0.25">
      <c r="AS57" s="388"/>
      <c r="AT57" s="388"/>
      <c r="AU57" s="388"/>
      <c r="AV57" s="388"/>
      <c r="AW57" s="388"/>
      <c r="AX57" s="388"/>
      <c r="AY57" s="388"/>
      <c r="AZ57" s="388"/>
      <c r="BA57" s="388"/>
    </row>
    <row r="58" spans="41:97" x14ac:dyDescent="0.25">
      <c r="AO58" s="398" t="s">
        <v>432</v>
      </c>
      <c r="AS58" s="401">
        <f t="shared" ref="AS58:BA58" si="48">SUM(AS52)</f>
        <v>28</v>
      </c>
      <c r="AT58" s="402">
        <f t="shared" si="48"/>
        <v>1617140.36</v>
      </c>
      <c r="AU58" s="402">
        <f t="shared" si="48"/>
        <v>638953.05999999994</v>
      </c>
      <c r="AV58" s="402">
        <f t="shared" si="48"/>
        <v>1756035.1000000003</v>
      </c>
      <c r="AW58" s="402">
        <f t="shared" si="48"/>
        <v>350000</v>
      </c>
      <c r="AX58" s="402">
        <f t="shared" si="48"/>
        <v>359829.15234099992</v>
      </c>
      <c r="AY58" s="402">
        <f t="shared" si="48"/>
        <v>1756035.1000000003</v>
      </c>
      <c r="AZ58" s="402">
        <f t="shared" si="48"/>
        <v>385000</v>
      </c>
      <c r="BA58" s="402">
        <f t="shared" si="48"/>
        <v>346834.49260100001</v>
      </c>
    </row>
  </sheetData>
  <mergeCells count="5">
    <mergeCell ref="AT46:AU46"/>
    <mergeCell ref="AV46:AV47"/>
    <mergeCell ref="AW46:AX46"/>
    <mergeCell ref="AY46:AY47"/>
    <mergeCell ref="AZ46:BA4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4" zoomScaleNormal="100" workbookViewId="0">
      <selection activeCell="I19" sqref="I1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20.5703125" style="1" customWidth="1"/>
    <col min="8" max="8" width="15.85546875" style="1" bestFit="1" customWidth="1"/>
    <col min="9" max="9" width="18.28515625" style="1" bestFit="1" customWidth="1"/>
    <col min="10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1.8E-3</v>
      </c>
      <c r="D8" s="234">
        <v>2E-3</v>
      </c>
      <c r="E8" s="314">
        <f t="shared" si="0"/>
        <v>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  <c r="G10" s="483" t="s">
        <v>433</v>
      </c>
      <c r="H10" s="484"/>
      <c r="I10" s="485"/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  <c r="G11" s="489" t="s">
        <v>434</v>
      </c>
      <c r="H11" s="490"/>
      <c r="I11" s="491"/>
    </row>
    <row r="12" spans="1:15" x14ac:dyDescent="0.3">
      <c r="A12" s="3"/>
      <c r="B12" s="233" t="s">
        <v>11</v>
      </c>
      <c r="C12" s="234">
        <f>SUM(C5:C11)</f>
        <v>8.5509999999999989E-2</v>
      </c>
      <c r="D12" s="234">
        <f>SUM(D5:D11)</f>
        <v>8.5709999999999995E-2</v>
      </c>
      <c r="E12" s="315">
        <f>D12-C12</f>
        <v>2.0000000000000573E-4</v>
      </c>
      <c r="G12" s="489"/>
      <c r="H12" s="490"/>
      <c r="I12" s="491"/>
      <c r="M12" s="320"/>
    </row>
    <row r="13" spans="1:15" x14ac:dyDescent="0.3">
      <c r="A13" s="3"/>
      <c r="B13" s="231" t="s">
        <v>9</v>
      </c>
      <c r="C13" s="226">
        <f>SUM(C5:C8)</f>
        <v>7.8299999999999995E-2</v>
      </c>
      <c r="D13" s="226">
        <f>SUM(D5:D8)</f>
        <v>7.85E-2</v>
      </c>
      <c r="E13" s="313">
        <f t="shared" si="0"/>
        <v>2.0000000000000573E-4</v>
      </c>
      <c r="F13" s="8"/>
      <c r="G13" s="489" t="s">
        <v>92</v>
      </c>
      <c r="H13" s="490" t="s">
        <v>435</v>
      </c>
      <c r="I13" s="491" t="s">
        <v>104</v>
      </c>
    </row>
    <row r="14" spans="1:15" x14ac:dyDescent="0.3">
      <c r="A14" s="230"/>
      <c r="B14" s="232" t="s">
        <v>100</v>
      </c>
      <c r="C14" s="226">
        <f>SUM(C5:C6,C8:C9)</f>
        <v>8.5509999999999989E-2</v>
      </c>
      <c r="D14" s="226">
        <f>SUM(D5:D6,D8:D9)</f>
        <v>8.5709999999999995E-2</v>
      </c>
      <c r="E14" s="313">
        <f>D14-C14</f>
        <v>2.0000000000000573E-4</v>
      </c>
      <c r="G14" s="492">
        <v>5567</v>
      </c>
      <c r="H14" s="493">
        <f>G14*(ElectVBBY+Retire1BY)</f>
        <v>1099.53817</v>
      </c>
      <c r="I14" s="494">
        <f>G14+H14</f>
        <v>6666.5381699999998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G15" s="483" t="s">
        <v>436</v>
      </c>
      <c r="H15" s="484" t="s">
        <v>437</v>
      </c>
      <c r="I15" s="485" t="s">
        <v>438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G16" s="486">
        <f>ROUND(G14,-2)</f>
        <v>5600</v>
      </c>
      <c r="H16" s="487">
        <f>ROUND(H14,-2)</f>
        <v>1100</v>
      </c>
      <c r="I16" s="488">
        <f>ROUND(I14,-2)</f>
        <v>6700</v>
      </c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8"/>
      <c r="N1" s="409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0"/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8"/>
      <c r="N3" s="40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/>
      <c r="J5" s="412"/>
      <c r="K5" s="412"/>
      <c r="L5" s="411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3" t="s">
        <v>22</v>
      </c>
      <c r="D8" s="414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8" priority="8">
      <formula>$J$44&lt;0</formula>
    </cfRule>
  </conditionalFormatting>
  <conditionalFormatting sqref="K43">
    <cfRule type="expression" dxfId="7" priority="7">
      <formula>$J$43&lt;0</formula>
    </cfRule>
  </conditionalFormatting>
  <conditionalFormatting sqref="L16">
    <cfRule type="expression" dxfId="6" priority="6">
      <formula>$J$16&lt;0</formula>
    </cfRule>
  </conditionalFormatting>
  <conditionalFormatting sqref="K45">
    <cfRule type="expression" dxfId="5" priority="5">
      <formula>$J$44&lt;0</formula>
    </cfRule>
  </conditionalFormatting>
  <conditionalFormatting sqref="K43:N45">
    <cfRule type="containsText" dxfId="4" priority="4" operator="containsText" text="underfunding">
      <formula>NOT(ISERROR(SEARCH("underfunding",K43)))</formula>
    </cfRule>
  </conditionalFormatting>
  <conditionalFormatting sqref="K44">
    <cfRule type="expression" dxfId="3" priority="3">
      <formula>$J$44&lt;0</formula>
    </cfRule>
  </conditionalFormatting>
  <conditionalFormatting sqref="K45">
    <cfRule type="expression" dxfId="2" priority="2">
      <formula>$J$44&lt;0</formula>
    </cfRule>
  </conditionalFormatting>
  <conditionalFormatting sqref="K45">
    <cfRule type="expression" dxfId="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418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13" t="s">
        <v>22</v>
      </c>
      <c r="B2" s="414"/>
      <c r="C2" s="371" t="s">
        <v>23</v>
      </c>
      <c r="D2" s="49" t="s">
        <v>24</v>
      </c>
      <c r="E2" s="50" t="str">
        <f>"FY "&amp;'SSAA|0001-00'!FiscalYear-1&amp;" SALARY"</f>
        <v>FY 2023 SALARY</v>
      </c>
      <c r="F2" s="50" t="str">
        <f>"FY "&amp;'SSAA|0001-00'!FiscalYear-1&amp;" HEALTH BENEFITS"</f>
        <v>FY 2023 HEALTH BENEFITS</v>
      </c>
      <c r="G2" s="50" t="str">
        <f>"FY "&amp;'SSAA|0001-00'!FiscalYear-1&amp;" VAR BENEFITS"</f>
        <v>FY 2023 VAR BENEFITS</v>
      </c>
      <c r="H2" s="50" t="str">
        <f>"FY "&amp;'SSAA|0001-00'!FiscalYear-1&amp;" TOTAL"</f>
        <v>FY 2023 TOTAL</v>
      </c>
      <c r="I2" s="50" t="str">
        <f>"FY "&amp;'SSAA|0001-00'!FiscalYear&amp;" SALARY CHANGE"</f>
        <v>FY 2024 SALARY CHANGE</v>
      </c>
      <c r="J2" s="50" t="str">
        <f>"FY "&amp;'SSAA|0001-00'!FiscalYear&amp;" CHG HEALTH BENEFITS"</f>
        <v>FY 2024 CHG HEALTH BENEFITS</v>
      </c>
      <c r="K2" s="50" t="str">
        <f>"FY "&amp;'SSAA|0001-00'!FiscalYear&amp;" CHG VAR BENEFITS"</f>
        <v>FY 2024 CHG VAR BENEFITS</v>
      </c>
      <c r="L2" s="50" t="s">
        <v>25</v>
      </c>
    </row>
    <row r="3" spans="1:12" x14ac:dyDescent="0.25">
      <c r="A3" s="416" t="s">
        <v>26</v>
      </c>
      <c r="B3" s="417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6" t="s">
        <v>27</v>
      </c>
      <c r="B4" s="407"/>
      <c r="C4" s="217">
        <v>1</v>
      </c>
      <c r="D4" s="288">
        <f>[0]!SSAA000100col_INC_FTI</f>
        <v>27</v>
      </c>
      <c r="E4" s="218">
        <f>[0]!SSAA000100col_FTI_SALARY_PERM</f>
        <v>1638478.4000000004</v>
      </c>
      <c r="F4" s="218">
        <f>[0]!SSAA000100col_HEALTH_PERM</f>
        <v>337500</v>
      </c>
      <c r="G4" s="218">
        <f>[0]!SSAA000100col_TOT_VB_PERM</f>
        <v>335740.60894399992</v>
      </c>
      <c r="H4" s="219">
        <f>SUM(E4:G4)</f>
        <v>2311719.0089440001</v>
      </c>
      <c r="I4" s="219">
        <f>[0]!SSAA000100col_1_27TH_PP</f>
        <v>0</v>
      </c>
      <c r="J4" s="218">
        <f>[0]!SSAA000100col_HEALTH_PERM_CHG</f>
        <v>33750</v>
      </c>
      <c r="K4" s="218">
        <f>[0]!SSAA000100col_TOT_VB_PERM_CHG</f>
        <v>-12124.740160000014</v>
      </c>
      <c r="L4" s="218">
        <f>SUM(J4:K4)</f>
        <v>21625.259839999984</v>
      </c>
    </row>
    <row r="5" spans="1:12" x14ac:dyDescent="0.25">
      <c r="A5" s="406" t="s">
        <v>28</v>
      </c>
      <c r="B5" s="407"/>
      <c r="C5" s="217">
        <v>2</v>
      </c>
      <c r="D5" s="288"/>
      <c r="E5" s="218">
        <f>[0]!SSAA000100col_Group_Salary</f>
        <v>0</v>
      </c>
      <c r="F5" s="218">
        <v>0</v>
      </c>
      <c r="G5" s="218">
        <f>[0]!SSAA000100col_Group_Ben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06" t="s">
        <v>29</v>
      </c>
      <c r="B6" s="418"/>
      <c r="C6" s="217">
        <v>3</v>
      </c>
      <c r="D6" s="288">
        <f>[0]!SSAA000100col_TOTAL_ELECT_PCN_FTI</f>
        <v>1</v>
      </c>
      <c r="E6" s="218">
        <f>[0]!SSAA000100col_FTI_SALARY_ELECT</f>
        <v>117556.7</v>
      </c>
      <c r="F6" s="218">
        <f>[0]!SSAA000100col_HEALTH_ELECT</f>
        <v>12500</v>
      </c>
      <c r="G6" s="218">
        <f>[0]!SSAA000100col_TOT_VB_ELECT</f>
        <v>24088.543397000001</v>
      </c>
      <c r="H6" s="219">
        <f>SUM(E6:G6)</f>
        <v>154145.24339700001</v>
      </c>
      <c r="I6" s="268"/>
      <c r="J6" s="218">
        <f>[0]!SSAA000100col_HEALTH_ELECT_CHG</f>
        <v>1250</v>
      </c>
      <c r="K6" s="218">
        <f>[0]!SSAA000100col_TOT_VB_ELECT_CHG</f>
        <v>-869.91958000000113</v>
      </c>
      <c r="L6" s="219">
        <f>SUM(J6:K6)</f>
        <v>380.08041999999887</v>
      </c>
    </row>
    <row r="7" spans="1:12" x14ac:dyDescent="0.25">
      <c r="A7" s="406" t="s">
        <v>30</v>
      </c>
      <c r="B7" s="407"/>
      <c r="C7" s="217"/>
      <c r="D7" s="220">
        <f>SUM(D4:D6)</f>
        <v>28</v>
      </c>
      <c r="E7" s="221">
        <f>SUM(E4:E6)</f>
        <v>1756035.1000000003</v>
      </c>
      <c r="F7" s="221">
        <f>SUM(F4:F6)</f>
        <v>350000</v>
      </c>
      <c r="G7" s="221">
        <f>SUM(G4:G6)</f>
        <v>359829.15234099992</v>
      </c>
      <c r="H7" s="219">
        <f>SUM(E7:G7)</f>
        <v>2465864.2523410004</v>
      </c>
      <c r="I7" s="268"/>
      <c r="J7" s="219">
        <f>SUM(J4:J6)</f>
        <v>35000</v>
      </c>
      <c r="K7" s="219">
        <f>SUM(K4:K6)</f>
        <v>-12994.659740000016</v>
      </c>
      <c r="L7" s="219">
        <f>SUM(L4:L6)</f>
        <v>22005.340259999983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"&amp;'SSAA|0001-00'!FiscalYear-1</f>
        <v>FY 2023</v>
      </c>
      <c r="B9" s="158" t="s">
        <v>31</v>
      </c>
      <c r="C9" s="355">
        <v>2583300</v>
      </c>
      <c r="D9" s="55">
        <v>29</v>
      </c>
      <c r="E9" s="223">
        <f>IF('SSAA|0001-00'!OrigApprop=0,0,(E7/H7)*'SSAA|0001-00'!OrigApprop)</f>
        <v>1839665.5328951476</v>
      </c>
      <c r="F9" s="223">
        <f>IF('SSAA|0001-00'!OrigApprop=0,0,(F7/H7)*'SSAA|0001-00'!OrigApprop)</f>
        <v>366668.60275930783</v>
      </c>
      <c r="G9" s="223">
        <f>IF(E9=0,0,(G7/H7)*'SSAA|0001-00'!OrigApprop)</f>
        <v>376965.86434554454</v>
      </c>
      <c r="H9" s="223">
        <f>SUM(E9:G9)</f>
        <v>2583300</v>
      </c>
      <c r="I9" s="268"/>
      <c r="J9" s="224"/>
      <c r="K9" s="224"/>
      <c r="L9" s="224"/>
    </row>
    <row r="10" spans="1:12" x14ac:dyDescent="0.25">
      <c r="A10" s="424" t="s">
        <v>32</v>
      </c>
      <c r="B10" s="425"/>
      <c r="C10" s="160" t="s">
        <v>33</v>
      </c>
      <c r="D10" s="161">
        <f>D9-D7</f>
        <v>1</v>
      </c>
      <c r="E10" s="162">
        <f>E9-E7</f>
        <v>83630.432895147242</v>
      </c>
      <c r="F10" s="162">
        <f>F9-F7</f>
        <v>16668.602759307832</v>
      </c>
      <c r="G10" s="162">
        <f>G9-G7</f>
        <v>17136.712004544621</v>
      </c>
      <c r="H10" s="162">
        <f>H9-H7</f>
        <v>117435.74765899964</v>
      </c>
      <c r="I10" s="269"/>
      <c r="J10" s="56" t="str">
        <f>IF('SSAA|0001-00'!OrigApprop=0,"No Original Appropriation amount in DU 3.00 for this fund","Calculated "&amp;IF('SSAA|0001-00'!AdjustedTotal&gt;0,"overfunding ","underfunding ")&amp;"is "&amp;TEXT('SSAA|0001-00'!AdjustedTotal/'SSAA|0001-00'!AppropTotal,"#.0%;(#.0% );0% ;")&amp;" of Original Appropriation")</f>
        <v>Calculated overfunding is 4.5%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Secretary of State&amp;R&amp;"Arial"&amp;10 Agency 130</oddHeader>
    <oddFooter>&amp;L&amp;"Arial"&amp;10 B6:Summary by Program, by Fund&amp;R&amp;"Arial"&amp;10 FY 2023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7"/>
  <sheetViews>
    <sheetView workbookViewId="0">
      <selection activeCell="E8" sqref="E8:M17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424</v>
      </c>
      <c r="G5" s="478"/>
      <c r="H5" s="479" t="s">
        <v>422</v>
      </c>
      <c r="I5" s="478" t="s">
        <v>425</v>
      </c>
      <c r="J5" s="478"/>
      <c r="K5" s="479" t="s">
        <v>423</v>
      </c>
      <c r="L5" s="478" t="s">
        <v>426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427</v>
      </c>
      <c r="D7" s="250"/>
    </row>
    <row r="8" spans="1:13" x14ac:dyDescent="0.25">
      <c r="C8" t="s">
        <v>416</v>
      </c>
      <c r="D8" s="250"/>
      <c r="E8" s="403">
        <f>Data!AS49</f>
        <v>28</v>
      </c>
      <c r="F8" s="403">
        <f>Data!AT49</f>
        <v>1617140.36</v>
      </c>
      <c r="G8" s="403">
        <f>Data!AU49</f>
        <v>638953.05999999994</v>
      </c>
      <c r="H8" s="403">
        <f>Data!AV49</f>
        <v>1756035.1000000003</v>
      </c>
      <c r="I8" s="403">
        <f>Data!AW49</f>
        <v>350000</v>
      </c>
      <c r="J8" s="403">
        <f>Data!AX49</f>
        <v>359829.15234099992</v>
      </c>
      <c r="K8" s="403">
        <f>Data!AY49</f>
        <v>1756035.1000000003</v>
      </c>
      <c r="L8" s="403">
        <f>Data!AZ49</f>
        <v>385000</v>
      </c>
      <c r="M8" s="403">
        <f>Data!BA49</f>
        <v>346834.49260100001</v>
      </c>
    </row>
    <row r="9" spans="1:13" x14ac:dyDescent="0.25">
      <c r="B9" t="s">
        <v>428</v>
      </c>
      <c r="D9" s="250"/>
      <c r="E9" s="404">
        <f>Data!AS50</f>
        <v>28</v>
      </c>
      <c r="F9" s="404">
        <f>Data!AT50</f>
        <v>1617140.36</v>
      </c>
      <c r="G9" s="404">
        <f>Data!AU50</f>
        <v>638953.05999999994</v>
      </c>
      <c r="H9" s="404">
        <f>Data!AV50</f>
        <v>1756035.1000000003</v>
      </c>
      <c r="I9" s="404">
        <f>Data!AW50</f>
        <v>350000</v>
      </c>
      <c r="J9" s="404">
        <f>Data!AX50</f>
        <v>359829.15234099992</v>
      </c>
      <c r="K9" s="404">
        <f>Data!AY50</f>
        <v>1756035.1000000003</v>
      </c>
      <c r="L9" s="404">
        <f>Data!AZ50</f>
        <v>385000</v>
      </c>
      <c r="M9" s="404">
        <f>Data!BA50</f>
        <v>346834.49260100001</v>
      </c>
    </row>
    <row r="10" spans="1:13" x14ac:dyDescent="0.25">
      <c r="D10" s="250"/>
      <c r="E10" s="403">
        <f>Data!AS51</f>
        <v>0</v>
      </c>
      <c r="F10" s="403">
        <f>Data!AT51</f>
        <v>0</v>
      </c>
      <c r="G10" s="403">
        <f>Data!AU51</f>
        <v>0</v>
      </c>
      <c r="H10" s="403">
        <f>Data!AV51</f>
        <v>0</v>
      </c>
      <c r="I10" s="403">
        <f>Data!AW51</f>
        <v>0</v>
      </c>
      <c r="J10" s="403">
        <f>Data!AX51</f>
        <v>0</v>
      </c>
      <c r="K10" s="403">
        <f>Data!AY51</f>
        <v>0</v>
      </c>
      <c r="L10" s="403">
        <f>Data!AZ51</f>
        <v>0</v>
      </c>
      <c r="M10" s="403">
        <f>Data!BA51</f>
        <v>0</v>
      </c>
    </row>
    <row r="11" spans="1:13" x14ac:dyDescent="0.25">
      <c r="A11" s="397" t="s">
        <v>429</v>
      </c>
      <c r="D11" s="250"/>
      <c r="E11" s="405">
        <f>Data!AS52</f>
        <v>28</v>
      </c>
      <c r="F11" s="405">
        <f>Data!AT52</f>
        <v>1617140.36</v>
      </c>
      <c r="G11" s="405">
        <f>Data!AU52</f>
        <v>638953.05999999994</v>
      </c>
      <c r="H11" s="405">
        <f>Data!AV52</f>
        <v>1756035.1000000003</v>
      </c>
      <c r="I11" s="405">
        <f>Data!AW52</f>
        <v>350000</v>
      </c>
      <c r="J11" s="405">
        <f>Data!AX52</f>
        <v>359829.15234099992</v>
      </c>
      <c r="K11" s="405">
        <f>Data!AY52</f>
        <v>1756035.1000000003</v>
      </c>
      <c r="L11" s="405">
        <f>Data!AZ52</f>
        <v>385000</v>
      </c>
      <c r="M11" s="405">
        <f>Data!BA52</f>
        <v>346834.49260100001</v>
      </c>
    </row>
    <row r="12" spans="1:13" x14ac:dyDescent="0.25">
      <c r="D12" s="250"/>
      <c r="E12" s="403">
        <f>Data!AS53</f>
        <v>0</v>
      </c>
      <c r="F12" s="403">
        <f>Data!AT53</f>
        <v>0</v>
      </c>
      <c r="G12" s="403">
        <f>Data!AU53</f>
        <v>0</v>
      </c>
      <c r="H12" s="403">
        <f>Data!AV53</f>
        <v>0</v>
      </c>
      <c r="I12" s="403">
        <f>Data!AW53</f>
        <v>0</v>
      </c>
      <c r="J12" s="403">
        <f>Data!AX53</f>
        <v>0</v>
      </c>
      <c r="K12" s="403">
        <f>Data!AY53</f>
        <v>0</v>
      </c>
      <c r="L12" s="403">
        <f>Data!AZ53</f>
        <v>0</v>
      </c>
      <c r="M12" s="403">
        <f>Data!BA53</f>
        <v>0</v>
      </c>
    </row>
    <row r="13" spans="1:13" x14ac:dyDescent="0.25">
      <c r="A13" s="393" t="s">
        <v>430</v>
      </c>
      <c r="D13" s="250"/>
      <c r="E13" s="403">
        <f>Data!AS54</f>
        <v>0</v>
      </c>
      <c r="F13" s="403">
        <f>Data!AT54</f>
        <v>0</v>
      </c>
      <c r="G13" s="403">
        <f>Data!AU54</f>
        <v>0</v>
      </c>
      <c r="H13" s="403">
        <f>Data!AV54</f>
        <v>0</v>
      </c>
      <c r="I13" s="403">
        <f>Data!AW54</f>
        <v>0</v>
      </c>
      <c r="J13" s="403">
        <f>Data!AX54</f>
        <v>0</v>
      </c>
      <c r="K13" s="403">
        <f>Data!AY54</f>
        <v>0</v>
      </c>
      <c r="L13" s="403">
        <f>Data!AZ54</f>
        <v>0</v>
      </c>
      <c r="M13" s="403">
        <f>Data!BA54</f>
        <v>0</v>
      </c>
    </row>
    <row r="14" spans="1:13" x14ac:dyDescent="0.25">
      <c r="E14" s="403">
        <f>Data!AS55</f>
        <v>0</v>
      </c>
      <c r="F14" s="403">
        <f>Data!AT55</f>
        <v>0</v>
      </c>
      <c r="G14" s="403">
        <f>Data!AU55</f>
        <v>0</v>
      </c>
      <c r="H14" s="403">
        <f>Data!AV55</f>
        <v>0</v>
      </c>
      <c r="I14" s="403">
        <f>Data!AW55</f>
        <v>0</v>
      </c>
      <c r="J14" s="403">
        <f>Data!AX55</f>
        <v>0</v>
      </c>
      <c r="K14" s="403">
        <f>Data!AY55</f>
        <v>0</v>
      </c>
      <c r="L14" s="403">
        <f>Data!AZ55</f>
        <v>0</v>
      </c>
      <c r="M14" s="403">
        <f>Data!BA55</f>
        <v>0</v>
      </c>
    </row>
    <row r="15" spans="1:13" x14ac:dyDescent="0.25">
      <c r="A15" s="397" t="s">
        <v>431</v>
      </c>
      <c r="E15" s="403">
        <f>Data!AS56</f>
        <v>0</v>
      </c>
      <c r="F15" s="403">
        <f>Data!AT56</f>
        <v>0</v>
      </c>
      <c r="G15" s="403">
        <f>Data!AU56</f>
        <v>0</v>
      </c>
      <c r="H15" s="403">
        <f>Data!AV56</f>
        <v>0</v>
      </c>
      <c r="I15" s="403">
        <f>Data!AW56</f>
        <v>0</v>
      </c>
      <c r="J15" s="403">
        <f>Data!AX56</f>
        <v>0</v>
      </c>
      <c r="K15" s="403">
        <f>Data!AY56</f>
        <v>0</v>
      </c>
      <c r="L15" s="403">
        <f>Data!AZ56</f>
        <v>0</v>
      </c>
      <c r="M15" s="403">
        <f>Data!BA56</f>
        <v>0</v>
      </c>
    </row>
    <row r="16" spans="1:13" x14ac:dyDescent="0.25">
      <c r="E16" s="403">
        <f>Data!AS57</f>
        <v>0</v>
      </c>
      <c r="F16" s="403">
        <f>Data!AT57</f>
        <v>0</v>
      </c>
      <c r="G16" s="403">
        <f>Data!AU57</f>
        <v>0</v>
      </c>
      <c r="H16" s="403">
        <f>Data!AV57</f>
        <v>0</v>
      </c>
      <c r="I16" s="403">
        <f>Data!AW57</f>
        <v>0</v>
      </c>
      <c r="J16" s="403">
        <f>Data!AX57</f>
        <v>0</v>
      </c>
      <c r="K16" s="403">
        <f>Data!AY57</f>
        <v>0</v>
      </c>
      <c r="L16" s="403">
        <f>Data!AZ57</f>
        <v>0</v>
      </c>
      <c r="M16" s="403">
        <f>Data!BA57</f>
        <v>0</v>
      </c>
    </row>
    <row r="17" spans="1:13" x14ac:dyDescent="0.25">
      <c r="A17" s="398" t="s">
        <v>432</v>
      </c>
      <c r="E17" s="401">
        <f>Data!AS58</f>
        <v>28</v>
      </c>
      <c r="F17" s="402">
        <f>Data!AT58</f>
        <v>1617140.36</v>
      </c>
      <c r="G17" s="402">
        <f>Data!AU58</f>
        <v>638953.05999999994</v>
      </c>
      <c r="H17" s="402">
        <f>Data!AV58</f>
        <v>1756035.1000000003</v>
      </c>
      <c r="I17" s="402">
        <f>Data!AW58</f>
        <v>350000</v>
      </c>
      <c r="J17" s="402">
        <f>Data!AX58</f>
        <v>359829.15234099992</v>
      </c>
      <c r="K17" s="402">
        <f>Data!AY58</f>
        <v>1756035.1000000003</v>
      </c>
      <c r="L17" s="402">
        <f>Data!AZ58</f>
        <v>385000</v>
      </c>
      <c r="M17" s="402">
        <f>Data!BA58</f>
        <v>346834.49260100001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Secretary of State&amp;R&amp;"Arial"&amp;10 Agency 130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336</vt:i4>
      </vt:variant>
    </vt:vector>
  </HeadingPairs>
  <TitlesOfParts>
    <vt:vector size="342" baseType="lpstr">
      <vt:lpstr>SSAA|0001-00</vt:lpstr>
      <vt:lpstr>Data</vt:lpstr>
      <vt:lpstr>Benefits</vt:lpstr>
      <vt:lpstr>B6</vt:lpstr>
      <vt:lpstr>Summary</vt:lpstr>
      <vt:lpstr>FundSummary</vt:lpstr>
      <vt:lpstr>'SSAA|0001-00'!AdjGroupHlth</vt:lpstr>
      <vt:lpstr>AdjGroupHlth</vt:lpstr>
      <vt:lpstr>'SSAA|0001-00'!AdjGroupSalary</vt:lpstr>
      <vt:lpstr>AdjGroupSalary</vt:lpstr>
      <vt:lpstr>'SSAA|0001-00'!AdjGroupVB</vt:lpstr>
      <vt:lpstr>AdjGroupVB</vt:lpstr>
      <vt:lpstr>'SSAA|0001-00'!AdjGroupVBBY</vt:lpstr>
      <vt:lpstr>AdjGroupVBBY</vt:lpstr>
      <vt:lpstr>'SSAA|0001-00'!AdjPermHlth</vt:lpstr>
      <vt:lpstr>AdjPermHlth</vt:lpstr>
      <vt:lpstr>'SSAA|0001-00'!AdjPermHlthBY</vt:lpstr>
      <vt:lpstr>AdjPermHlthBY</vt:lpstr>
      <vt:lpstr>'SSAA|0001-00'!AdjPermSalary</vt:lpstr>
      <vt:lpstr>AdjPermSalary</vt:lpstr>
      <vt:lpstr>'SSAA|0001-00'!AdjPermVB</vt:lpstr>
      <vt:lpstr>AdjPermVB</vt:lpstr>
      <vt:lpstr>'SSAA|0001-00'!AdjPermVBBY</vt:lpstr>
      <vt:lpstr>AdjPermVBBY</vt:lpstr>
      <vt:lpstr>'SSAA|0001-00'!AdjustedTotal</vt:lpstr>
      <vt:lpstr>AdjustedTotal</vt:lpstr>
      <vt:lpstr>'SSAA|0001-00'!AgencyNum</vt:lpstr>
      <vt:lpstr>AgencyNum</vt:lpstr>
      <vt:lpstr>'SSAA|0001-00'!AppropFTP</vt:lpstr>
      <vt:lpstr>AppropFTP</vt:lpstr>
      <vt:lpstr>'SSAA|0001-00'!AppropTotal</vt:lpstr>
      <vt:lpstr>AppropTotal</vt:lpstr>
      <vt:lpstr>'SSAA|0001-00'!AtZHealth</vt:lpstr>
      <vt:lpstr>AtZHealth</vt:lpstr>
      <vt:lpstr>'SSAA|0001-00'!AtZSalary</vt:lpstr>
      <vt:lpstr>AtZSalary</vt:lpstr>
      <vt:lpstr>'SSAA|0001-00'!AtZTotal</vt:lpstr>
      <vt:lpstr>AtZTotal</vt:lpstr>
      <vt:lpstr>'SSAA|0001-00'!AtZVarBen</vt:lpstr>
      <vt:lpstr>AtZVarBen</vt:lpstr>
      <vt:lpstr>'SSAA|0001-00'!BudgetUnit</vt:lpstr>
      <vt:lpstr>BudgetUnit</vt:lpstr>
      <vt:lpstr>BudgetYear</vt:lpstr>
      <vt:lpstr>CECGroup</vt:lpstr>
      <vt:lpstr>'SSAA|0001-00'!CECOrigElectSalary</vt:lpstr>
      <vt:lpstr>CECOrigElectSalary</vt:lpstr>
      <vt:lpstr>'SSAA|0001-00'!CECOrigElectVB</vt:lpstr>
      <vt:lpstr>CECOrigElectVB</vt:lpstr>
      <vt:lpstr>'SSAA|0001-00'!CECOrigGroupSalary</vt:lpstr>
      <vt:lpstr>CECOrigGroupSalary</vt:lpstr>
      <vt:lpstr>'SSAA|0001-00'!CECOrigGroupVB</vt:lpstr>
      <vt:lpstr>CECOrigGroupVB</vt:lpstr>
      <vt:lpstr>'SSAA|0001-00'!CECOrigPermSalary</vt:lpstr>
      <vt:lpstr>CECOrigPermSalary</vt:lpstr>
      <vt:lpstr>'SSAA|0001-00'!CECOrigPermVB</vt:lpstr>
      <vt:lpstr>CECOrigPermVB</vt:lpstr>
      <vt:lpstr>CECPerm</vt:lpstr>
      <vt:lpstr>'SSAA|0001-00'!CECpermCalc</vt:lpstr>
      <vt:lpstr>CECpermCalc</vt:lpstr>
      <vt:lpstr>'SSAA|0001-00'!Department</vt:lpstr>
      <vt:lpstr>Department</vt:lpstr>
      <vt:lpstr>DHR</vt:lpstr>
      <vt:lpstr>DHRBY</vt:lpstr>
      <vt:lpstr>DHRCHG</vt:lpstr>
      <vt:lpstr>'SSAA|0001-00'!Division</vt:lpstr>
      <vt:lpstr>Division</vt:lpstr>
      <vt:lpstr>'SSAA|0001-00'!DUCECElect</vt:lpstr>
      <vt:lpstr>DUCECElect</vt:lpstr>
      <vt:lpstr>'SSAA|0001-00'!DUCECGroup</vt:lpstr>
      <vt:lpstr>DUCECGroup</vt:lpstr>
      <vt:lpstr>'SSAA|0001-00'!DUCECPerm</vt:lpstr>
      <vt:lpstr>DUCECPerm</vt:lpstr>
      <vt:lpstr>'SSAA|0001-00'!DUEleven</vt:lpstr>
      <vt:lpstr>DUEleven</vt:lpstr>
      <vt:lpstr>'SSAA|0001-00'!DUHealthBen</vt:lpstr>
      <vt:lpstr>DUHealthBen</vt:lpstr>
      <vt:lpstr>'SSAA|0001-00'!DUNine</vt:lpstr>
      <vt:lpstr>DUNine</vt:lpstr>
      <vt:lpstr>'SSAA|0001-00'!DUThirteen</vt:lpstr>
      <vt:lpstr>DUThirteen</vt:lpstr>
      <vt:lpstr>'SSAA|0001-00'!DUVariableBen</vt:lpstr>
      <vt:lpstr>DUVariableBen</vt:lpstr>
      <vt:lpstr>'SSAA|0001-00'!Elect_chg_health</vt:lpstr>
      <vt:lpstr>Elect_chg_health</vt:lpstr>
      <vt:lpstr>'SSAA|0001-00'!Elect_chg_Var</vt:lpstr>
      <vt:lpstr>Elect_chg_Var</vt:lpstr>
      <vt:lpstr>'SSAA|0001-00'!elect_FTP</vt:lpstr>
      <vt:lpstr>elect_FTP</vt:lpstr>
      <vt:lpstr>'SSAA|0001-00'!Elect_health</vt:lpstr>
      <vt:lpstr>Elect_health</vt:lpstr>
      <vt:lpstr>'SSAA|0001-00'!Elect_name</vt:lpstr>
      <vt:lpstr>Elect_name</vt:lpstr>
      <vt:lpstr>'SSAA|0001-00'!Elect_salary</vt:lpstr>
      <vt:lpstr>Elect_salary</vt:lpstr>
      <vt:lpstr>'SSAA|0001-00'!Elect_Var</vt:lpstr>
      <vt:lpstr>Elect_Var</vt:lpstr>
      <vt:lpstr>'SSAA|0001-00'!Elect_VarBen</vt:lpstr>
      <vt:lpstr>Elect_VarBen</vt:lpstr>
      <vt:lpstr>ElectVB</vt:lpstr>
      <vt:lpstr>ElectVBBY</vt:lpstr>
      <vt:lpstr>ElectVBCHG</vt:lpstr>
      <vt:lpstr>FillRate_Avg</vt:lpstr>
      <vt:lpstr>'SSAA|0001-00'!FiscalYear</vt:lpstr>
      <vt:lpstr>FiscalYear</vt:lpstr>
      <vt:lpstr>'SSAA|0001-00'!FundName</vt:lpstr>
      <vt:lpstr>FundName</vt:lpstr>
      <vt:lpstr>'SSAA|0001-00'!FundNum</vt:lpstr>
      <vt:lpstr>FundNum</vt:lpstr>
      <vt:lpstr>'SSAA|0001-00'!FundNumber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'SSAA|0001-00'!Group_name</vt:lpstr>
      <vt:lpstr>Group_name</vt:lpstr>
      <vt:lpstr>'SSAA|0001-00'!GroupFxdBen</vt:lpstr>
      <vt:lpstr>GroupFxdBen</vt:lpstr>
      <vt:lpstr>'SSAA|0001-00'!GroupSalary</vt:lpstr>
      <vt:lpstr>GroupSalary</vt:lpstr>
      <vt:lpstr>'SSAA|0001-00'!GroupVarBen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'SSAA|0001-00'!LUMAFund</vt:lpstr>
      <vt:lpstr>LUMAFund</vt:lpstr>
      <vt:lpstr>MAXSSDI</vt:lpstr>
      <vt:lpstr>MAXSSDIBY</vt:lpstr>
      <vt:lpstr>'SSAA|0001-00'!NEW_AdjGroup</vt:lpstr>
      <vt:lpstr>NEW_AdjGroup</vt:lpstr>
      <vt:lpstr>'SSAA|0001-00'!NEW_AdjGroupSalary</vt:lpstr>
      <vt:lpstr>NEW_AdjGroupSalary</vt:lpstr>
      <vt:lpstr>'SSAA|0001-00'!NEW_AdjGroupVB</vt:lpstr>
      <vt:lpstr>NEW_AdjGroupVB</vt:lpstr>
      <vt:lpstr>'SSAA|0001-00'!NEW_AdjONLYGroup</vt:lpstr>
      <vt:lpstr>NEW_AdjONLYGroup</vt:lpstr>
      <vt:lpstr>'SSAA|0001-00'!NEW_AdjONLYGroupSalary</vt:lpstr>
      <vt:lpstr>NEW_AdjONLYGroupSalary</vt:lpstr>
      <vt:lpstr>'SSAA|0001-00'!NEW_AdjONLYGroupVB</vt:lpstr>
      <vt:lpstr>NEW_AdjONLYGroupVB</vt:lpstr>
      <vt:lpstr>'SSAA|0001-00'!NEW_AdjONLYPerm</vt:lpstr>
      <vt:lpstr>NEW_AdjONLYPerm</vt:lpstr>
      <vt:lpstr>'SSAA|0001-00'!NEW_AdjONLYPermSalary</vt:lpstr>
      <vt:lpstr>NEW_AdjONLYPermSalary</vt:lpstr>
      <vt:lpstr>'SSAA|0001-00'!NEW_AdjONLYPermVB</vt:lpstr>
      <vt:lpstr>NEW_AdjONLYPermVB</vt:lpstr>
      <vt:lpstr>'SSAA|0001-00'!NEW_AdjPerm</vt:lpstr>
      <vt:lpstr>NEW_AdjPerm</vt:lpstr>
      <vt:lpstr>'SSAA|0001-00'!NEW_AdjPermSalary</vt:lpstr>
      <vt:lpstr>NEW_AdjPermSalary</vt:lpstr>
      <vt:lpstr>'SSAA|0001-00'!NEW_AdjPermVB</vt:lpstr>
      <vt:lpstr>NEW_AdjPermVB</vt:lpstr>
      <vt:lpstr>'SSAA|0001-00'!NEW_GroupFilled</vt:lpstr>
      <vt:lpstr>NEW_GroupFilled</vt:lpstr>
      <vt:lpstr>'SSAA|0001-00'!NEW_GroupSalaryFilled</vt:lpstr>
      <vt:lpstr>NEW_GroupSalaryFilled</vt:lpstr>
      <vt:lpstr>'SSAA|0001-00'!NEW_GroupVBFilled</vt:lpstr>
      <vt:lpstr>NEW_GroupVBFilled</vt:lpstr>
      <vt:lpstr>'SSAA|0001-00'!NEW_PermFilled</vt:lpstr>
      <vt:lpstr>NEW_PermFilled</vt:lpstr>
      <vt:lpstr>'SSAA|0001-00'!NEW_PermSalaryFilled</vt:lpstr>
      <vt:lpstr>NEW_PermSalaryFilled</vt:lpstr>
      <vt:lpstr>'SSAA|0001-00'!NEW_PermVBFilled</vt:lpstr>
      <vt:lpstr>NEW_PermVBFilled</vt:lpstr>
      <vt:lpstr>'SSAA|0001-00'!OneTimePC_Total</vt:lpstr>
      <vt:lpstr>OneTimePC_Total</vt:lpstr>
      <vt:lpstr>'SSAA|0001-00'!OrigApprop</vt:lpstr>
      <vt:lpstr>OrigApprop</vt:lpstr>
      <vt:lpstr>'SSAA|0001-00'!perm_name</vt:lpstr>
      <vt:lpstr>perm_name</vt:lpstr>
      <vt:lpstr>'SSAA|0001-00'!PermFTP</vt:lpstr>
      <vt:lpstr>PermFTP</vt:lpstr>
      <vt:lpstr>'SSAA|0001-00'!PermFxdBen</vt:lpstr>
      <vt:lpstr>PermFxdBen</vt:lpstr>
      <vt:lpstr>'SSAA|0001-00'!PermFxdBenChg</vt:lpstr>
      <vt:lpstr>PermFxdBenChg</vt:lpstr>
      <vt:lpstr>'SSAA|0001-00'!PermFxdChg</vt:lpstr>
      <vt:lpstr>PermFxdChg</vt:lpstr>
      <vt:lpstr>'SSAA|0001-00'!PermSalary</vt:lpstr>
      <vt:lpstr>PermSalary</vt:lpstr>
      <vt:lpstr>'SSAA|0001-00'!PermVarBen</vt:lpstr>
      <vt:lpstr>PermVarBen</vt:lpstr>
      <vt:lpstr>'SSAA|0001-00'!PermVarBenChg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'SSAA|0001-00'!Print_Area</vt:lpstr>
      <vt:lpstr>'SSAA|0001-00'!Prog_Unadjusted_Total</vt:lpstr>
      <vt:lpstr>Prog_Unadjusted_Total</vt:lpstr>
      <vt:lpstr>'SSAA|0001-00'!Program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'SSAA|0001-00'!RoundedAppropSalary</vt:lpstr>
      <vt:lpstr>RoundedAppropSalary</vt:lpstr>
      <vt:lpstr>'SSAA|0001-00'!SalaryChg</vt:lpstr>
      <vt:lpstr>SalaryChg</vt:lpstr>
      <vt:lpstr>Sick</vt:lpstr>
      <vt:lpstr>SickBY</vt:lpstr>
      <vt:lpstr>SickCHG</vt:lpstr>
      <vt:lpstr>SSAA000100col_1_27TH_PP</vt:lpstr>
      <vt:lpstr>SSAA000100col_DHR</vt:lpstr>
      <vt:lpstr>SSAA000100col_DHR_BY</vt:lpstr>
      <vt:lpstr>SSAA000100col_DHR_CHG</vt:lpstr>
      <vt:lpstr>SSAA000100col_FTI_SALARY_ELECT</vt:lpstr>
      <vt:lpstr>SSAA000100col_FTI_SALARY_PERM</vt:lpstr>
      <vt:lpstr>SSAA000100col_FTI_SALARY_SSDI</vt:lpstr>
      <vt:lpstr>SSAA000100col_Group_Ben</vt:lpstr>
      <vt:lpstr>SSAA000100col_Group_Salary</vt:lpstr>
      <vt:lpstr>SSAA000100col_HEALTH_ELECT</vt:lpstr>
      <vt:lpstr>SSAA000100col_HEALTH_ELECT_BY</vt:lpstr>
      <vt:lpstr>SSAA000100col_HEALTH_ELECT_CHG</vt:lpstr>
      <vt:lpstr>SSAA000100col_HEALTH_PERM</vt:lpstr>
      <vt:lpstr>SSAA000100col_HEALTH_PERM_BY</vt:lpstr>
      <vt:lpstr>SSAA000100col_HEALTH_PERM_CHG</vt:lpstr>
      <vt:lpstr>SSAA000100col_INC_FTI</vt:lpstr>
      <vt:lpstr>SSAA000100col_LIFE_INS</vt:lpstr>
      <vt:lpstr>SSAA000100col_LIFE_INS_BY</vt:lpstr>
      <vt:lpstr>SSAA000100col_LIFE_INS_CHG</vt:lpstr>
      <vt:lpstr>SSAA000100col_RETIREMENT</vt:lpstr>
      <vt:lpstr>SSAA000100col_RETIREMENT_BY</vt:lpstr>
      <vt:lpstr>SSAA000100col_RETIREMENT_CHG</vt:lpstr>
      <vt:lpstr>SSAA000100col_ROWS_PER_PCN</vt:lpstr>
      <vt:lpstr>SSAA000100col_SICK</vt:lpstr>
      <vt:lpstr>SSAA000100col_SICK_BY</vt:lpstr>
      <vt:lpstr>SSAA000100col_SICK_CHG</vt:lpstr>
      <vt:lpstr>SSAA000100col_SSDI</vt:lpstr>
      <vt:lpstr>SSAA000100col_SSDI_BY</vt:lpstr>
      <vt:lpstr>SSAA000100col_SSDI_CHG</vt:lpstr>
      <vt:lpstr>SSAA000100col_SSHI</vt:lpstr>
      <vt:lpstr>SSAA000100col_SSHI_BY</vt:lpstr>
      <vt:lpstr>SSAA000100col_SSHI_CHGv</vt:lpstr>
      <vt:lpstr>SSAA000100col_TOT_VB_ELECT</vt:lpstr>
      <vt:lpstr>SSAA000100col_TOT_VB_ELECT_BY</vt:lpstr>
      <vt:lpstr>SSAA000100col_TOT_VB_ELECT_CHG</vt:lpstr>
      <vt:lpstr>SSAA000100col_TOT_VB_PERM</vt:lpstr>
      <vt:lpstr>SSAA000100col_TOT_VB_PERM_BY</vt:lpstr>
      <vt:lpstr>SSAA000100col_TOT_VB_PERM_CHG</vt:lpstr>
      <vt:lpstr>SSAA000100col_TOTAL_ELECT_PCN_FTI</vt:lpstr>
      <vt:lpstr>SSAA000100col_TOTAL_ELECT_PCN_FTI_ALT</vt:lpstr>
      <vt:lpstr>SSAA000100col_TOTAL_PERM_PCN_FTI</vt:lpstr>
      <vt:lpstr>SSAA000100col_UNEMP_INS</vt:lpstr>
      <vt:lpstr>SSAA000100col_UNEMP_INS_BY</vt:lpstr>
      <vt:lpstr>SSAA000100col_UNEMP_INS_CHG</vt:lpstr>
      <vt:lpstr>SSAA000100col_WORKERS_COMP</vt:lpstr>
      <vt:lpstr>SSAA000100col_WORKERS_COMP_BY</vt:lpstr>
      <vt:lpstr>SSAA000100col_WORKERS_COMP_CHG</vt:lpstr>
      <vt:lpstr>SSAF034827col_1_27TH_PP</vt:lpstr>
      <vt:lpstr>SSAF034827col_DHR</vt:lpstr>
      <vt:lpstr>SSAF034827col_DHR_BY</vt:lpstr>
      <vt:lpstr>SSAF034827col_DHR_CHG</vt:lpstr>
      <vt:lpstr>SSAF034827col_FTI_SALARY_ELECT</vt:lpstr>
      <vt:lpstr>SSAF034827col_FTI_SALARY_PERM</vt:lpstr>
      <vt:lpstr>SSAF034827col_FTI_SALARY_SSDI</vt:lpstr>
      <vt:lpstr>SSAF034827col_Group_Ben</vt:lpstr>
      <vt:lpstr>SSAF034827col_Group_Salary</vt:lpstr>
      <vt:lpstr>SSAF034827col_HEALTH_ELECT</vt:lpstr>
      <vt:lpstr>SSAF034827col_HEALTH_ELECT_BY</vt:lpstr>
      <vt:lpstr>SSAF034827col_HEALTH_ELECT_CHG</vt:lpstr>
      <vt:lpstr>SSAF034827col_HEALTH_PERM</vt:lpstr>
      <vt:lpstr>SSAF034827col_HEALTH_PERM_BY</vt:lpstr>
      <vt:lpstr>SSAF034827col_HEALTH_PERM_CHG</vt:lpstr>
      <vt:lpstr>SSAF034827col_INC_FTI</vt:lpstr>
      <vt:lpstr>SSAF034827col_LIFE_INS</vt:lpstr>
      <vt:lpstr>SSAF034827col_LIFE_INS_BY</vt:lpstr>
      <vt:lpstr>SSAF034827col_LIFE_INS_CHG</vt:lpstr>
      <vt:lpstr>SSAF034827col_RETIREMENT</vt:lpstr>
      <vt:lpstr>SSAF034827col_RETIREMENT_BY</vt:lpstr>
      <vt:lpstr>SSAF034827col_RETIREMENT_CHG</vt:lpstr>
      <vt:lpstr>SSAF034827col_ROWS_PER_PCN</vt:lpstr>
      <vt:lpstr>SSAF034827col_SICK</vt:lpstr>
      <vt:lpstr>SSAF034827col_SICK_BY</vt:lpstr>
      <vt:lpstr>SSAF034827col_SICK_CHG</vt:lpstr>
      <vt:lpstr>SSAF034827col_SSDI</vt:lpstr>
      <vt:lpstr>SSAF034827col_SSDI_BY</vt:lpstr>
      <vt:lpstr>SSAF034827col_SSDI_CHG</vt:lpstr>
      <vt:lpstr>SSAF034827col_SSHI</vt:lpstr>
      <vt:lpstr>SSAF034827col_SSHI_BY</vt:lpstr>
      <vt:lpstr>SSAF034827col_SSHI_CHGv</vt:lpstr>
      <vt:lpstr>SSAF034827col_TOT_VB_ELECT</vt:lpstr>
      <vt:lpstr>SSAF034827col_TOT_VB_ELECT_BY</vt:lpstr>
      <vt:lpstr>SSAF034827col_TOT_VB_ELECT_CHG</vt:lpstr>
      <vt:lpstr>SSAF034827col_TOT_VB_PERM</vt:lpstr>
      <vt:lpstr>SSAF034827col_TOT_VB_PERM_BY</vt:lpstr>
      <vt:lpstr>SSAF034827col_TOT_VB_PERM_CHG</vt:lpstr>
      <vt:lpstr>SSAF034827col_TOTAL_ELECT_PCN_FTI</vt:lpstr>
      <vt:lpstr>SSAF034827col_TOTAL_ELECT_PCN_FTI_ALT</vt:lpstr>
      <vt:lpstr>SSAF034827col_TOTAL_PERM_PCN_FTI</vt:lpstr>
      <vt:lpstr>SSAF034827col_UNEMP_INS</vt:lpstr>
      <vt:lpstr>SSAF034827col_UNEMP_INS_BY</vt:lpstr>
      <vt:lpstr>SSAF034827col_UNEMP_INS_CHG</vt:lpstr>
      <vt:lpstr>SSAF034827col_WORKERS_COMP</vt:lpstr>
      <vt:lpstr>SSAF034827col_WORKERS_COMP_BY</vt:lpstr>
      <vt:lpstr>SSAF034827col_WORKERS_COMP_CHG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133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2022-07-28T16:06:37Z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