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o-filesrv\BudgetandPolicyStaff\Projects\Budget Development\Agency B6 Folder_FY24\"/>
    </mc:Choice>
  </mc:AlternateContent>
  <xr:revisionPtr revIDLastSave="0" documentId="13_ncr:1_{6565AF9F-156B-456F-B9D4-624FD1F348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AA|0001-00" sheetId="12" r:id="rId1"/>
    <sheet name="SCBA|0001-00" sheetId="13" r:id="rId2"/>
    <sheet name="SCBA|0126-00" sheetId="14" r:id="rId3"/>
    <sheet name="SCCA|0001-00" sheetId="15" r:id="rId4"/>
    <sheet name="SCDA|0480-00" sheetId="16" r:id="rId5"/>
    <sheet name="Data" sheetId="5" r:id="rId6"/>
    <sheet name="Benefits" sheetId="7" r:id="rId7"/>
    <sheet name="B6" sheetId="9" r:id="rId8"/>
    <sheet name="Summary" sheetId="10" r:id="rId9"/>
    <sheet name="FundSummary" sheetId="11" r:id="rId10"/>
  </sheets>
  <definedNames>
    <definedName name="AdjGroupHlth" localSheetId="0">'SCAA|0001-00'!$H$39</definedName>
    <definedName name="AdjGroupHlth" localSheetId="1">'SCBA|0001-00'!$H$39</definedName>
    <definedName name="AdjGroupHlth" localSheetId="2">'SCBA|0126-00'!$H$39</definedName>
    <definedName name="AdjGroupHlth" localSheetId="3">'SCCA|0001-00'!$H$39</definedName>
    <definedName name="AdjGroupHlth" localSheetId="4">'SCDA|0480-00'!$H$39</definedName>
    <definedName name="AdjGroupHlth">'B6'!$H$39</definedName>
    <definedName name="AdjGroupSalary" localSheetId="0">'SCAA|0001-00'!$G$39</definedName>
    <definedName name="AdjGroupSalary" localSheetId="1">'SCBA|0001-00'!$G$39</definedName>
    <definedName name="AdjGroupSalary" localSheetId="2">'SCBA|0126-00'!$G$39</definedName>
    <definedName name="AdjGroupSalary" localSheetId="3">'SCCA|0001-00'!$G$39</definedName>
    <definedName name="AdjGroupSalary" localSheetId="4">'SCDA|0480-00'!$G$39</definedName>
    <definedName name="AdjGroupSalary">'B6'!$G$39</definedName>
    <definedName name="AdjGroupVB" localSheetId="0">'SCAA|0001-00'!$I$39</definedName>
    <definedName name="AdjGroupVB" localSheetId="1">'SCBA|0001-00'!$I$39</definedName>
    <definedName name="AdjGroupVB" localSheetId="2">'SCBA|0126-00'!$I$39</definedName>
    <definedName name="AdjGroupVB" localSheetId="3">'SCCA|0001-00'!$I$39</definedName>
    <definedName name="AdjGroupVB" localSheetId="4">'SCDA|0480-00'!$I$39</definedName>
    <definedName name="AdjGroupVB">'B6'!$I$39</definedName>
    <definedName name="AdjGroupVBBY" localSheetId="0">'SCAA|0001-00'!$M$39</definedName>
    <definedName name="AdjGroupVBBY" localSheetId="1">'SCBA|0001-00'!$M$39</definedName>
    <definedName name="AdjGroupVBBY" localSheetId="2">'SCBA|0126-00'!$M$39</definedName>
    <definedName name="AdjGroupVBBY" localSheetId="3">'SCCA|0001-00'!$M$39</definedName>
    <definedName name="AdjGroupVBBY" localSheetId="4">'SCDA|0480-00'!$M$39</definedName>
    <definedName name="AdjGroupVBBY">'B6'!$M$39</definedName>
    <definedName name="AdjPermHlth" localSheetId="0">'SCAA|0001-00'!$H$38</definedName>
    <definedName name="AdjPermHlth" localSheetId="1">'SCBA|0001-00'!$H$38</definedName>
    <definedName name="AdjPermHlth" localSheetId="2">'SCBA|0126-00'!$H$38</definedName>
    <definedName name="AdjPermHlth" localSheetId="3">'SCCA|0001-00'!$H$38</definedName>
    <definedName name="AdjPermHlth" localSheetId="4">'SCDA|0480-00'!$H$38</definedName>
    <definedName name="AdjPermHlth">'B6'!$H$38</definedName>
    <definedName name="AdjPermHlthBY" localSheetId="0">'SCAA|0001-00'!$L$38</definedName>
    <definedName name="AdjPermHlthBY" localSheetId="1">'SCBA|0001-00'!$L$38</definedName>
    <definedName name="AdjPermHlthBY" localSheetId="2">'SCBA|0126-00'!$L$38</definedName>
    <definedName name="AdjPermHlthBY" localSheetId="3">'SCCA|0001-00'!$L$38</definedName>
    <definedName name="AdjPermHlthBY" localSheetId="4">'SCDA|0480-00'!$L$38</definedName>
    <definedName name="AdjPermHlthBY">'B6'!$L$38</definedName>
    <definedName name="AdjPermSalary" localSheetId="0">'SCAA|0001-00'!$G$38</definedName>
    <definedName name="AdjPermSalary" localSheetId="1">'SCBA|0001-00'!$G$38</definedName>
    <definedName name="AdjPermSalary" localSheetId="2">'SCBA|0126-00'!$G$38</definedName>
    <definedName name="AdjPermSalary" localSheetId="3">'SCCA|0001-00'!$G$38</definedName>
    <definedName name="AdjPermSalary" localSheetId="4">'SCDA|0480-00'!$G$38</definedName>
    <definedName name="AdjPermSalary">'B6'!$G$38</definedName>
    <definedName name="AdjPermVB" localSheetId="0">'SCAA|0001-00'!$I$38</definedName>
    <definedName name="AdjPermVB" localSheetId="1">'SCBA|0001-00'!$I$38</definedName>
    <definedName name="AdjPermVB" localSheetId="2">'SCBA|0126-00'!$I$38</definedName>
    <definedName name="AdjPermVB" localSheetId="3">'SCCA|0001-00'!$I$38</definedName>
    <definedName name="AdjPermVB" localSheetId="4">'SCDA|0480-00'!$I$38</definedName>
    <definedName name="AdjPermVB">'B6'!$I$38</definedName>
    <definedName name="AdjPermVBBY" localSheetId="0">'SCAA|0001-00'!$M$38</definedName>
    <definedName name="AdjPermVBBY" localSheetId="1">'SCBA|0001-00'!$M$38</definedName>
    <definedName name="AdjPermVBBY" localSheetId="2">'SCBA|0126-00'!$M$38</definedName>
    <definedName name="AdjPermVBBY" localSheetId="3">'SCCA|0001-00'!$M$38</definedName>
    <definedName name="AdjPermVBBY" localSheetId="4">'SCDA|0480-00'!$M$38</definedName>
    <definedName name="AdjPermVBBY">'B6'!$M$38</definedName>
    <definedName name="AdjustedTotal" localSheetId="0">'SCAA|0001-00'!$J$16</definedName>
    <definedName name="AdjustedTotal" localSheetId="1">'SCBA|0001-00'!$J$16</definedName>
    <definedName name="AdjustedTotal" localSheetId="2">'SCBA|0126-00'!$J$16</definedName>
    <definedName name="AdjustedTotal" localSheetId="3">'SCCA|0001-00'!$J$16</definedName>
    <definedName name="AdjustedTotal" localSheetId="4">'SCDA|0480-00'!$J$16</definedName>
    <definedName name="AdjustedTotal">'B6'!$J$16</definedName>
    <definedName name="AgencyNum" localSheetId="0">'SCAA|0001-00'!$M$1</definedName>
    <definedName name="AgencyNum" localSheetId="1">'SCBA|0001-00'!$M$1</definedName>
    <definedName name="AgencyNum" localSheetId="2">'SCBA|0126-00'!$M$1</definedName>
    <definedName name="AgencyNum" localSheetId="3">'SCCA|0001-00'!$M$1</definedName>
    <definedName name="AgencyNum" localSheetId="4">'SCDA|0480-00'!$M$1</definedName>
    <definedName name="AgencyNum">'B6'!$M$1</definedName>
    <definedName name="AppropFTP" localSheetId="0">'SCAA|0001-00'!$F$15</definedName>
    <definedName name="AppropFTP" localSheetId="1">'SCBA|0001-00'!$F$15</definedName>
    <definedName name="AppropFTP" localSheetId="2">'SCBA|0126-00'!$F$15</definedName>
    <definedName name="AppropFTP" localSheetId="3">'SCCA|0001-00'!$F$15</definedName>
    <definedName name="AppropFTP" localSheetId="4">'SCDA|0480-00'!$F$15</definedName>
    <definedName name="AppropFTP">'B6'!$F$15</definedName>
    <definedName name="AppropTotal" localSheetId="0">'SCAA|0001-00'!$J$15</definedName>
    <definedName name="AppropTotal" localSheetId="1">'SCBA|0001-00'!$J$15</definedName>
    <definedName name="AppropTotal" localSheetId="2">'SCBA|0126-00'!$J$15</definedName>
    <definedName name="AppropTotal" localSheetId="3">'SCCA|0001-00'!$J$15</definedName>
    <definedName name="AppropTotal" localSheetId="4">'SCDA|0480-00'!$J$15</definedName>
    <definedName name="AppropTotal">'B6'!$J$15</definedName>
    <definedName name="AtZHealth" localSheetId="0">'SCAA|0001-00'!$H$45</definedName>
    <definedName name="AtZHealth" localSheetId="1">'SCBA|0001-00'!$H$45</definedName>
    <definedName name="AtZHealth" localSheetId="2">'SCBA|0126-00'!$H$45</definedName>
    <definedName name="AtZHealth" localSheetId="3">'SCCA|0001-00'!$H$45</definedName>
    <definedName name="AtZHealth" localSheetId="4">'SCDA|0480-00'!$H$45</definedName>
    <definedName name="AtZHealth">'B6'!$H$45</definedName>
    <definedName name="AtZSalary" localSheetId="0">'SCAA|0001-00'!$G$45</definedName>
    <definedName name="AtZSalary" localSheetId="1">'SCBA|0001-00'!$G$45</definedName>
    <definedName name="AtZSalary" localSheetId="2">'SCBA|0126-00'!$G$45</definedName>
    <definedName name="AtZSalary" localSheetId="3">'SCCA|0001-00'!$G$45</definedName>
    <definedName name="AtZSalary" localSheetId="4">'SCDA|0480-00'!$G$45</definedName>
    <definedName name="AtZSalary">'B6'!$G$45</definedName>
    <definedName name="AtZTotal" localSheetId="0">'SCAA|0001-00'!$J$45</definedName>
    <definedName name="AtZTotal" localSheetId="1">'SCBA|0001-00'!$J$45</definedName>
    <definedName name="AtZTotal" localSheetId="2">'SCBA|0126-00'!$J$45</definedName>
    <definedName name="AtZTotal" localSheetId="3">'SCCA|0001-00'!$J$45</definedName>
    <definedName name="AtZTotal" localSheetId="4">'SCDA|0480-00'!$J$45</definedName>
    <definedName name="AtZTotal">'B6'!$J$45</definedName>
    <definedName name="AtZVarBen" localSheetId="0">'SCAA|0001-00'!$I$45</definedName>
    <definedName name="AtZVarBen" localSheetId="1">'SCBA|0001-00'!$I$45</definedName>
    <definedName name="AtZVarBen" localSheetId="2">'SCBA|0126-00'!$I$45</definedName>
    <definedName name="AtZVarBen" localSheetId="3">'SCCA|0001-00'!$I$45</definedName>
    <definedName name="AtZVarBen" localSheetId="4">'SCDA|0480-00'!$I$45</definedName>
    <definedName name="AtZVarBen">'B6'!$I$45</definedName>
    <definedName name="BudgetUnit" localSheetId="0">'SCAA|0001-00'!$M$3</definedName>
    <definedName name="BudgetUnit" localSheetId="1">'SCBA|0001-00'!$M$3</definedName>
    <definedName name="BudgetUnit" localSheetId="2">'SCBA|0126-00'!$M$3</definedName>
    <definedName name="BudgetUnit" localSheetId="3">'SCCA|0001-00'!$M$3</definedName>
    <definedName name="BudgetUnit" localSheetId="4">'SCDA|0480-00'!$M$3</definedName>
    <definedName name="BudgetUnit">'B6'!$M$3</definedName>
    <definedName name="BudgetYear">Benefits!$D$4</definedName>
    <definedName name="CECGroup">Benefits!$C$39</definedName>
    <definedName name="CECOrigElectSalary" localSheetId="0">'SCAA|0001-00'!$G$74</definedName>
    <definedName name="CECOrigElectSalary" localSheetId="1">'SCBA|0001-00'!$G$74</definedName>
    <definedName name="CECOrigElectSalary" localSheetId="2">'SCBA|0126-00'!$G$74</definedName>
    <definedName name="CECOrigElectSalary" localSheetId="3">'SCCA|0001-00'!$G$74</definedName>
    <definedName name="CECOrigElectSalary" localSheetId="4">'SCDA|0480-00'!$G$74</definedName>
    <definedName name="CECOrigElectSalary">'B6'!$G$74</definedName>
    <definedName name="CECOrigElectVB" localSheetId="0">'SCAA|0001-00'!$I$74</definedName>
    <definedName name="CECOrigElectVB" localSheetId="1">'SCBA|0001-00'!$I$74</definedName>
    <definedName name="CECOrigElectVB" localSheetId="2">'SCBA|0126-00'!$I$74</definedName>
    <definedName name="CECOrigElectVB" localSheetId="3">'SCCA|0001-00'!$I$74</definedName>
    <definedName name="CECOrigElectVB" localSheetId="4">'SCDA|0480-00'!$I$74</definedName>
    <definedName name="CECOrigElectVB">'B6'!$I$74</definedName>
    <definedName name="CECOrigGroupSalary" localSheetId="0">'SCAA|0001-00'!$G$73</definedName>
    <definedName name="CECOrigGroupSalary" localSheetId="1">'SCBA|0001-00'!$G$73</definedName>
    <definedName name="CECOrigGroupSalary" localSheetId="2">'SCBA|0126-00'!$G$73</definedName>
    <definedName name="CECOrigGroupSalary" localSheetId="3">'SCCA|0001-00'!$G$73</definedName>
    <definedName name="CECOrigGroupSalary" localSheetId="4">'SCDA|0480-00'!$G$73</definedName>
    <definedName name="CECOrigGroupSalary">'B6'!$G$73</definedName>
    <definedName name="CECOrigGroupVB" localSheetId="0">'SCAA|0001-00'!$I$73</definedName>
    <definedName name="CECOrigGroupVB" localSheetId="1">'SCBA|0001-00'!$I$73</definedName>
    <definedName name="CECOrigGroupVB" localSheetId="2">'SCBA|0126-00'!$I$73</definedName>
    <definedName name="CECOrigGroupVB" localSheetId="3">'SCCA|0001-00'!$I$73</definedName>
    <definedName name="CECOrigGroupVB" localSheetId="4">'SCDA|0480-00'!$I$73</definedName>
    <definedName name="CECOrigGroupVB">'B6'!$I$73</definedName>
    <definedName name="CECOrigPermSalary" localSheetId="0">'SCAA|0001-00'!$G$72</definedName>
    <definedName name="CECOrigPermSalary" localSheetId="1">'SCBA|0001-00'!$G$72</definedName>
    <definedName name="CECOrigPermSalary" localSheetId="2">'SCBA|0126-00'!$G$72</definedName>
    <definedName name="CECOrigPermSalary" localSheetId="3">'SCCA|0001-00'!$G$72</definedName>
    <definedName name="CECOrigPermSalary" localSheetId="4">'SCDA|0480-00'!$G$72</definedName>
    <definedName name="CECOrigPermSalary">'B6'!$G$72</definedName>
    <definedName name="CECOrigPermVB" localSheetId="0">'SCAA|0001-00'!$I$72</definedName>
    <definedName name="CECOrigPermVB" localSheetId="1">'SCBA|0001-00'!$I$72</definedName>
    <definedName name="CECOrigPermVB" localSheetId="2">'SCBA|0126-00'!$I$72</definedName>
    <definedName name="CECOrigPermVB" localSheetId="3">'SCCA|0001-00'!$I$72</definedName>
    <definedName name="CECOrigPermVB" localSheetId="4">'SCDA|0480-00'!$I$72</definedName>
    <definedName name="CECOrigPermVB">'B6'!$I$72</definedName>
    <definedName name="CECPerm">Benefits!$C$38</definedName>
    <definedName name="CECpermCalc" localSheetId="0">'SCAA|0001-00'!$E$72</definedName>
    <definedName name="CECpermCalc" localSheetId="1">'SCBA|0001-00'!$E$72</definedName>
    <definedName name="CECpermCalc" localSheetId="2">'SCBA|0126-00'!$E$72</definedName>
    <definedName name="CECpermCalc" localSheetId="3">'SCCA|0001-00'!$E$72</definedName>
    <definedName name="CECpermCalc" localSheetId="4">'SCDA|0480-00'!$E$72</definedName>
    <definedName name="CECpermCalc">'B6'!$E$72</definedName>
    <definedName name="Department" localSheetId="0">'SCAA|0001-00'!$D$1</definedName>
    <definedName name="Department" localSheetId="1">'SCBA|0001-00'!$D$1</definedName>
    <definedName name="Department" localSheetId="2">'SCBA|0126-00'!$D$1</definedName>
    <definedName name="Department" localSheetId="3">'SCCA|0001-00'!$D$1</definedName>
    <definedName name="Department" localSheetId="4">'SCDA|0480-00'!$D$1</definedName>
    <definedName name="Department">'B6'!$D$1</definedName>
    <definedName name="DHR">Benefits!$C$11</definedName>
    <definedName name="DHRBY">Benefits!$D$11</definedName>
    <definedName name="DHRCHG">Benefits!$E$11</definedName>
    <definedName name="Division" localSheetId="0">'SCAA|0001-00'!$D$2</definedName>
    <definedName name="Division" localSheetId="1">'SCBA|0001-00'!$D$2</definedName>
    <definedName name="Division" localSheetId="2">'SCBA|0126-00'!$D$2</definedName>
    <definedName name="Division" localSheetId="3">'SCCA|0001-00'!$D$2</definedName>
    <definedName name="Division" localSheetId="4">'SCDA|0480-00'!$D$2</definedName>
    <definedName name="Division">'B6'!$D$2</definedName>
    <definedName name="DUCECElect" localSheetId="0">'SCAA|0001-00'!$J$74</definedName>
    <definedName name="DUCECElect" localSheetId="1">'SCBA|0001-00'!$J$74</definedName>
    <definedName name="DUCECElect" localSheetId="2">'SCBA|0126-00'!$J$74</definedName>
    <definedName name="DUCECElect" localSheetId="3">'SCCA|0001-00'!$J$74</definedName>
    <definedName name="DUCECElect" localSheetId="4">'SCDA|0480-00'!$J$74</definedName>
    <definedName name="DUCECElect">'B6'!$J$74</definedName>
    <definedName name="DUCECGroup" localSheetId="0">'SCAA|0001-00'!$J$73</definedName>
    <definedName name="DUCECGroup" localSheetId="1">'SCBA|0001-00'!$J$73</definedName>
    <definedName name="DUCECGroup" localSheetId="2">'SCBA|0126-00'!$J$73</definedName>
    <definedName name="DUCECGroup" localSheetId="3">'SCCA|0001-00'!$J$73</definedName>
    <definedName name="DUCECGroup" localSheetId="4">'SCDA|0480-00'!$J$73</definedName>
    <definedName name="DUCECGroup">'B6'!$J$73</definedName>
    <definedName name="DUCECPerm" localSheetId="0">'SCAA|0001-00'!$J$72</definedName>
    <definedName name="DUCECPerm" localSheetId="1">'SCBA|0001-00'!$J$72</definedName>
    <definedName name="DUCECPerm" localSheetId="2">'SCBA|0126-00'!$J$72</definedName>
    <definedName name="DUCECPerm" localSheetId="3">'SCCA|0001-00'!$J$72</definedName>
    <definedName name="DUCECPerm" localSheetId="4">'SCDA|0480-00'!$J$72</definedName>
    <definedName name="DUCECPerm">'B6'!$J$72</definedName>
    <definedName name="DUEleven" localSheetId="0">'SCAA|0001-00'!$J$75</definedName>
    <definedName name="DUEleven" localSheetId="1">'SCBA|0001-00'!$J$75</definedName>
    <definedName name="DUEleven" localSheetId="2">'SCBA|0126-00'!$J$75</definedName>
    <definedName name="DUEleven" localSheetId="3">'SCCA|0001-00'!$J$75</definedName>
    <definedName name="DUEleven" localSheetId="4">'SCDA|0480-00'!$J$75</definedName>
    <definedName name="DUEleven">'B6'!$J$75</definedName>
    <definedName name="DUHealthBen" localSheetId="0">'SCAA|0001-00'!$J$68</definedName>
    <definedName name="DUHealthBen" localSheetId="1">'SCBA|0001-00'!$J$68</definedName>
    <definedName name="DUHealthBen" localSheetId="2">'SCBA|0126-00'!$J$68</definedName>
    <definedName name="DUHealthBen" localSheetId="3">'SCCA|0001-00'!$J$68</definedName>
    <definedName name="DUHealthBen" localSheetId="4">'SCDA|0480-00'!$J$68</definedName>
    <definedName name="DUHealthBen">'B6'!$J$68</definedName>
    <definedName name="DUNine" localSheetId="0">'SCAA|0001-00'!$J$67</definedName>
    <definedName name="DUNine" localSheetId="1">'SCBA|0001-00'!$J$67</definedName>
    <definedName name="DUNine" localSheetId="2">'SCBA|0126-00'!$J$67</definedName>
    <definedName name="DUNine" localSheetId="3">'SCCA|0001-00'!$J$67</definedName>
    <definedName name="DUNine" localSheetId="4">'SCDA|0480-00'!$J$67</definedName>
    <definedName name="DUNine">'B6'!$J$67</definedName>
    <definedName name="DUThirteen" localSheetId="0">'SCAA|0001-00'!$J$80</definedName>
    <definedName name="DUThirteen" localSheetId="1">'SCBA|0001-00'!$J$80</definedName>
    <definedName name="DUThirteen" localSheetId="2">'SCBA|0126-00'!$J$80</definedName>
    <definedName name="DUThirteen" localSheetId="3">'SCCA|0001-00'!$J$80</definedName>
    <definedName name="DUThirteen" localSheetId="4">'SCDA|0480-00'!$J$80</definedName>
    <definedName name="DUThirteen">'B6'!$J$80</definedName>
    <definedName name="DUVariableBen" localSheetId="0">'SCAA|0001-00'!$J$69</definedName>
    <definedName name="DUVariableBen" localSheetId="1">'SCBA|0001-00'!$J$69</definedName>
    <definedName name="DUVariableBen" localSheetId="2">'SCBA|0126-00'!$J$69</definedName>
    <definedName name="DUVariableBen" localSheetId="3">'SCCA|0001-00'!$J$69</definedName>
    <definedName name="DUVariableBen" localSheetId="4">'SCDA|0480-00'!$J$69</definedName>
    <definedName name="DUVariableBen">'B6'!$J$69</definedName>
    <definedName name="Elect_chg_health" localSheetId="0">'SCAA|0001-00'!$L$12</definedName>
    <definedName name="Elect_chg_health" localSheetId="1">'SCBA|0001-00'!$L$12</definedName>
    <definedName name="Elect_chg_health" localSheetId="2">'SCBA|0126-00'!$L$12</definedName>
    <definedName name="Elect_chg_health" localSheetId="3">'SCCA|0001-00'!$L$12</definedName>
    <definedName name="Elect_chg_health" localSheetId="4">'SCDA|0480-00'!$L$12</definedName>
    <definedName name="Elect_chg_health">'B6'!$L$12</definedName>
    <definedName name="Elect_chg_Var" localSheetId="0">'SCAA|0001-00'!$M$12</definedName>
    <definedName name="Elect_chg_Var" localSheetId="1">'SCBA|0001-00'!$M$12</definedName>
    <definedName name="Elect_chg_Var" localSheetId="2">'SCBA|0126-00'!$M$12</definedName>
    <definedName name="Elect_chg_Var" localSheetId="3">'SCCA|0001-00'!$M$12</definedName>
    <definedName name="Elect_chg_Var" localSheetId="4">'SCDA|0480-00'!$M$12</definedName>
    <definedName name="Elect_chg_Var">'B6'!$M$12</definedName>
    <definedName name="elect_FTP" localSheetId="0">'SCAA|0001-00'!$F$12</definedName>
    <definedName name="elect_FTP" localSheetId="1">'SCBA|0001-00'!$F$12</definedName>
    <definedName name="elect_FTP" localSheetId="2">'SCBA|0126-00'!$F$12</definedName>
    <definedName name="elect_FTP" localSheetId="3">'SCCA|0001-00'!$F$12</definedName>
    <definedName name="elect_FTP" localSheetId="4">'SCDA|0480-00'!$F$12</definedName>
    <definedName name="elect_FTP">'B6'!$F$12</definedName>
    <definedName name="Elect_health" localSheetId="0">'SCAA|0001-00'!$H$12</definedName>
    <definedName name="Elect_health" localSheetId="1">'SCBA|0001-00'!$H$12</definedName>
    <definedName name="Elect_health" localSheetId="2">'SCBA|0126-00'!$H$12</definedName>
    <definedName name="Elect_health" localSheetId="3">'SCCA|0001-00'!$H$12</definedName>
    <definedName name="Elect_health" localSheetId="4">'SCDA|0480-00'!$H$12</definedName>
    <definedName name="Elect_health">'B6'!$H$12</definedName>
    <definedName name="Elect_name" localSheetId="0">'SCAA|0001-00'!$C$12</definedName>
    <definedName name="Elect_name" localSheetId="1">'SCBA|0001-00'!$C$12</definedName>
    <definedName name="Elect_name" localSheetId="2">'SCBA|0126-00'!$C$12</definedName>
    <definedName name="Elect_name" localSheetId="3">'SCCA|0001-00'!$C$12</definedName>
    <definedName name="Elect_name" localSheetId="4">'SCDA|0480-00'!$C$12</definedName>
    <definedName name="Elect_name">'B6'!$C$12</definedName>
    <definedName name="Elect_salary" localSheetId="0">'SCAA|0001-00'!$G$12</definedName>
    <definedName name="Elect_salary" localSheetId="1">'SCBA|0001-00'!$G$12</definedName>
    <definedName name="Elect_salary" localSheetId="2">'SCBA|0126-00'!$G$12</definedName>
    <definedName name="Elect_salary" localSheetId="3">'SCCA|0001-00'!$G$12</definedName>
    <definedName name="Elect_salary" localSheetId="4">'SCDA|0480-00'!$G$12</definedName>
    <definedName name="Elect_salary">'B6'!$G$12</definedName>
    <definedName name="Elect_Var" localSheetId="0">'SCAA|0001-00'!$I$12</definedName>
    <definedName name="Elect_Var" localSheetId="1">'SCBA|0001-00'!$I$12</definedName>
    <definedName name="Elect_Var" localSheetId="2">'SCBA|0126-00'!$I$12</definedName>
    <definedName name="Elect_Var" localSheetId="3">'SCCA|0001-00'!$I$12</definedName>
    <definedName name="Elect_Var" localSheetId="4">'SCDA|0480-00'!$I$12</definedName>
    <definedName name="Elect_Var">'B6'!$I$12</definedName>
    <definedName name="Elect_VarBen" localSheetId="0">'SCAA|0001-00'!$I$12</definedName>
    <definedName name="Elect_VarBen" localSheetId="1">'SCBA|0001-00'!$I$12</definedName>
    <definedName name="Elect_VarBen" localSheetId="2">'SCBA|0126-00'!$I$12</definedName>
    <definedName name="Elect_VarBen" localSheetId="3">'SCCA|0001-00'!$I$12</definedName>
    <definedName name="Elect_VarBen" localSheetId="4">'SCDA|0480-00'!$I$12</definedName>
    <definedName name="Elect_VarBen">'B6'!$I$12</definedName>
    <definedName name="ElectVB">Benefits!$C$14</definedName>
    <definedName name="ElectVBBY">Benefits!$D$14</definedName>
    <definedName name="ElectVBCHG">Benefits!$E$14</definedName>
    <definedName name="FillRate_Avg">Benefits!$C$40</definedName>
    <definedName name="FillRateAvg_B6" localSheetId="0">'SCAA|0001-00'!#REF!</definedName>
    <definedName name="FillRateAvg_B6" localSheetId="1">'SCBA|0001-00'!#REF!</definedName>
    <definedName name="FillRateAvg_B6" localSheetId="2">'SCBA|0126-00'!#REF!</definedName>
    <definedName name="FillRateAvg_B6" localSheetId="3">'SCCA|0001-00'!#REF!</definedName>
    <definedName name="FillRateAvg_B6" localSheetId="4">'SCDA|0480-00'!#REF!</definedName>
    <definedName name="FillRateAvg_B6">'B6'!#REF!</definedName>
    <definedName name="FiscalYear" localSheetId="0">'SCAA|0001-00'!$M$4</definedName>
    <definedName name="FiscalYear" localSheetId="1">'SCBA|0001-00'!$M$4</definedName>
    <definedName name="FiscalYear" localSheetId="2">'SCBA|0126-00'!$M$4</definedName>
    <definedName name="FiscalYear" localSheetId="3">'SCCA|0001-00'!$M$4</definedName>
    <definedName name="FiscalYear" localSheetId="4">'SCDA|0480-00'!$M$4</definedName>
    <definedName name="FiscalYear">'B6'!$M$4</definedName>
    <definedName name="FundName" localSheetId="0">'SCAA|0001-00'!$I$5</definedName>
    <definedName name="FundName" localSheetId="1">'SCBA|0001-00'!$I$5</definedName>
    <definedName name="FundName" localSheetId="2">'SCBA|0126-00'!$I$5</definedName>
    <definedName name="FundName" localSheetId="3">'SCCA|0001-00'!$I$5</definedName>
    <definedName name="FundName" localSheetId="4">'SCDA|0480-00'!$I$5</definedName>
    <definedName name="FundName">'B6'!$I$5</definedName>
    <definedName name="FundNum" localSheetId="0">'SCAA|0001-00'!$N$5</definedName>
    <definedName name="FundNum" localSheetId="1">'SCBA|0001-00'!$N$5</definedName>
    <definedName name="FundNum" localSheetId="2">'SCBA|0126-00'!$N$5</definedName>
    <definedName name="FundNum" localSheetId="3">'SCCA|0001-00'!$N$5</definedName>
    <definedName name="FundNum" localSheetId="4">'SCDA|0480-00'!$N$5</definedName>
    <definedName name="FundNum">'B6'!$N$5</definedName>
    <definedName name="FundNumber" localSheetId="0">'SCAA|0001-00'!$N$5</definedName>
    <definedName name="FundNumber" localSheetId="1">'SCBA|0001-00'!$N$5</definedName>
    <definedName name="FundNumber" localSheetId="2">'SCBA|0126-00'!$N$5</definedName>
    <definedName name="FundNumber" localSheetId="3">'SCCA|0001-00'!$N$5</definedName>
    <definedName name="FundNumber" localSheetId="4">'SCDA|0480-00'!$N$5</definedName>
    <definedName name="FundNumber">'B6'!$N$5</definedName>
    <definedName name="FundSummaryEst">FundSummary!$H$5</definedName>
    <definedName name="FundSummaryLastColumn">FundSummary!$M$6</definedName>
    <definedName name="FundSummaryPermActual">FundSummary!$F$5</definedName>
    <definedName name="FundSummaryPermBY">FundSummary!$L$5</definedName>
    <definedName name="FundSummaryPermCY">FundSummary!$I$5</definedName>
    <definedName name="FundSummaryProj">FundSummary!$K$5</definedName>
    <definedName name="FundSummaryStartData">FundSummary!$E$8</definedName>
    <definedName name="Group_name" localSheetId="0">'SCAA|0001-00'!$C$11</definedName>
    <definedName name="Group_name" localSheetId="1">'SCBA|0001-00'!$C$11</definedName>
    <definedName name="Group_name" localSheetId="2">'SCBA|0126-00'!$C$11</definedName>
    <definedName name="Group_name" localSheetId="3">'SCCA|0001-00'!$C$11</definedName>
    <definedName name="Group_name" localSheetId="4">'SCDA|0480-00'!$C$11</definedName>
    <definedName name="Group_name">'B6'!$C$11</definedName>
    <definedName name="GroupFxdBen" localSheetId="0">'SCAA|0001-00'!$H$11</definedName>
    <definedName name="GroupFxdBen" localSheetId="1">'SCBA|0001-00'!$H$11</definedName>
    <definedName name="GroupFxdBen" localSheetId="2">'SCBA|0126-00'!$H$11</definedName>
    <definedName name="GroupFxdBen" localSheetId="3">'SCCA|0001-00'!$H$11</definedName>
    <definedName name="GroupFxdBen" localSheetId="4">'SCDA|0480-00'!$H$11</definedName>
    <definedName name="GroupFxdBen">'B6'!$H$11</definedName>
    <definedName name="GroupSalary" localSheetId="0">'SCAA|0001-00'!$G$11</definedName>
    <definedName name="GroupSalary" localSheetId="1">'SCBA|0001-00'!$G$11</definedName>
    <definedName name="GroupSalary" localSheetId="2">'SCBA|0126-00'!$G$11</definedName>
    <definedName name="GroupSalary" localSheetId="3">'SCCA|0001-00'!$G$11</definedName>
    <definedName name="GroupSalary" localSheetId="4">'SCDA|0480-00'!$G$11</definedName>
    <definedName name="GroupSalary">'B6'!$G$11</definedName>
    <definedName name="GroupVarBen" localSheetId="0">'SCAA|0001-00'!$I$11</definedName>
    <definedName name="GroupVarBen" localSheetId="1">'SCBA|0001-00'!$I$11</definedName>
    <definedName name="GroupVarBen" localSheetId="2">'SCBA|0126-00'!$I$11</definedName>
    <definedName name="GroupVarBen" localSheetId="3">'SCCA|0001-00'!$I$11</definedName>
    <definedName name="GroupVarBen" localSheetId="4">'SCDA|0480-00'!$I$11</definedName>
    <definedName name="GroupVarBen">'B6'!$I$11</definedName>
    <definedName name="GroupVB">Benefits!$C$13</definedName>
    <definedName name="GroupVBBY">Benefits!$D$13</definedName>
    <definedName name="GroupVBCHG">Benefits!$E$13</definedName>
    <definedName name="Health">Benefits!$C$15</definedName>
    <definedName name="HealthBY">Benefits!$D$15</definedName>
    <definedName name="HealthCHG">Benefits!$E$15</definedName>
    <definedName name="Life">Benefits!$C$9</definedName>
    <definedName name="LifeBY">Benefits!$D$9</definedName>
    <definedName name="LifeCHG">Benefits!$E$9</definedName>
    <definedName name="LUMAFund" localSheetId="0">'SCAA|0001-00'!$M$2</definedName>
    <definedName name="LUMAFund" localSheetId="1">'SCBA|0001-00'!$M$2</definedName>
    <definedName name="LUMAFund" localSheetId="2">'SCBA|0126-00'!$M$2</definedName>
    <definedName name="LUMAFund" localSheetId="3">'SCCA|0001-00'!$M$2</definedName>
    <definedName name="LUMAFund" localSheetId="4">'SCDA|0480-00'!$M$2</definedName>
    <definedName name="LUMAFund">'B6'!$M$2</definedName>
    <definedName name="MAXSSDI">Benefits!$F$5</definedName>
    <definedName name="MAXSSDIBY">Benefits!$G$5</definedName>
    <definedName name="NEW_AdjGroup" localSheetId="0">'SCAA|0001-00'!$AC$39</definedName>
    <definedName name="NEW_AdjGroup" localSheetId="1">'SCBA|0001-00'!$AC$39</definedName>
    <definedName name="NEW_AdjGroup" localSheetId="2">'SCBA|0126-00'!$AC$39</definedName>
    <definedName name="NEW_AdjGroup" localSheetId="3">'SCCA|0001-00'!$AC$39</definedName>
    <definedName name="NEW_AdjGroup" localSheetId="4">'SCDA|0480-00'!$AC$39</definedName>
    <definedName name="NEW_AdjGroup">'B6'!$AC$39</definedName>
    <definedName name="NEW_AdjGroupSalary" localSheetId="0">'SCAA|0001-00'!$AA$39</definedName>
    <definedName name="NEW_AdjGroupSalary" localSheetId="1">'SCBA|0001-00'!$AA$39</definedName>
    <definedName name="NEW_AdjGroupSalary" localSheetId="2">'SCBA|0126-00'!$AA$39</definedName>
    <definedName name="NEW_AdjGroupSalary" localSheetId="3">'SCCA|0001-00'!$AA$39</definedName>
    <definedName name="NEW_AdjGroupSalary" localSheetId="4">'SCDA|0480-00'!$AA$39</definedName>
    <definedName name="NEW_AdjGroupSalary">'B6'!$AA$39</definedName>
    <definedName name="NEW_AdjGroupVB" localSheetId="0">'SCAA|0001-00'!$AB$39</definedName>
    <definedName name="NEW_AdjGroupVB" localSheetId="1">'SCBA|0001-00'!$AB$39</definedName>
    <definedName name="NEW_AdjGroupVB" localSheetId="2">'SCBA|0126-00'!$AB$39</definedName>
    <definedName name="NEW_AdjGroupVB" localSheetId="3">'SCCA|0001-00'!$AB$39</definedName>
    <definedName name="NEW_AdjGroupVB" localSheetId="4">'SCDA|0480-00'!$AB$39</definedName>
    <definedName name="NEW_AdjGroupVB">'B6'!$AB$39</definedName>
    <definedName name="NEW_AdjONLYGroup" localSheetId="0">'SCAA|0001-00'!$AC$45</definedName>
    <definedName name="NEW_AdjONLYGroup" localSheetId="1">'SCBA|0001-00'!$AC$45</definedName>
    <definedName name="NEW_AdjONLYGroup" localSheetId="2">'SCBA|0126-00'!$AC$45</definedName>
    <definedName name="NEW_AdjONLYGroup" localSheetId="3">'SCCA|0001-00'!$AC$45</definedName>
    <definedName name="NEW_AdjONLYGroup" localSheetId="4">'SCDA|0480-00'!$AC$45</definedName>
    <definedName name="NEW_AdjONLYGroup">'B6'!$AC$45</definedName>
    <definedName name="NEW_AdjONLYGroupSalary" localSheetId="0">'SCAA|0001-00'!$AA$45</definedName>
    <definedName name="NEW_AdjONLYGroupSalary" localSheetId="1">'SCBA|0001-00'!$AA$45</definedName>
    <definedName name="NEW_AdjONLYGroupSalary" localSheetId="2">'SCBA|0126-00'!$AA$45</definedName>
    <definedName name="NEW_AdjONLYGroupSalary" localSheetId="3">'SCCA|0001-00'!$AA$45</definedName>
    <definedName name="NEW_AdjONLYGroupSalary" localSheetId="4">'SCDA|0480-00'!$AA$45</definedName>
    <definedName name="NEW_AdjONLYGroupSalary">'B6'!$AA$45</definedName>
    <definedName name="NEW_AdjONLYGroupVB" localSheetId="0">'SCAA|0001-00'!$AB$45</definedName>
    <definedName name="NEW_AdjONLYGroupVB" localSheetId="1">'SCBA|0001-00'!$AB$45</definedName>
    <definedName name="NEW_AdjONLYGroupVB" localSheetId="2">'SCBA|0126-00'!$AB$45</definedName>
    <definedName name="NEW_AdjONLYGroupVB" localSheetId="3">'SCCA|0001-00'!$AB$45</definedName>
    <definedName name="NEW_AdjONLYGroupVB" localSheetId="4">'SCDA|0480-00'!$AB$45</definedName>
    <definedName name="NEW_AdjONLYGroupVB">'B6'!$AB$45</definedName>
    <definedName name="NEW_AdjONLYPerm" localSheetId="0">'SCAA|0001-00'!$AC$44</definedName>
    <definedName name="NEW_AdjONLYPerm" localSheetId="1">'SCBA|0001-00'!$AC$44</definedName>
    <definedName name="NEW_AdjONLYPerm" localSheetId="2">'SCBA|0126-00'!$AC$44</definedName>
    <definedName name="NEW_AdjONLYPerm" localSheetId="3">'SCCA|0001-00'!$AC$44</definedName>
    <definedName name="NEW_AdjONLYPerm" localSheetId="4">'SCDA|0480-00'!$AC$44</definedName>
    <definedName name="NEW_AdjONLYPerm">'B6'!$AC$44</definedName>
    <definedName name="NEW_AdjONLYPermSalary" localSheetId="0">'SCAA|0001-00'!$AA$44</definedName>
    <definedName name="NEW_AdjONLYPermSalary" localSheetId="1">'SCBA|0001-00'!$AA$44</definedName>
    <definedName name="NEW_AdjONLYPermSalary" localSheetId="2">'SCBA|0126-00'!$AA$44</definedName>
    <definedName name="NEW_AdjONLYPermSalary" localSheetId="3">'SCCA|0001-00'!$AA$44</definedName>
    <definedName name="NEW_AdjONLYPermSalary" localSheetId="4">'SCDA|0480-00'!$AA$44</definedName>
    <definedName name="NEW_AdjONLYPermSalary">'B6'!$AA$44</definedName>
    <definedName name="NEW_AdjONLYPermVB" localSheetId="0">'SCAA|0001-00'!$AB$44</definedName>
    <definedName name="NEW_AdjONLYPermVB" localSheetId="1">'SCBA|0001-00'!$AB$44</definedName>
    <definedName name="NEW_AdjONLYPermVB" localSheetId="2">'SCBA|0126-00'!$AB$44</definedName>
    <definedName name="NEW_AdjONLYPermVB" localSheetId="3">'SCCA|0001-00'!$AB$44</definedName>
    <definedName name="NEW_AdjONLYPermVB" localSheetId="4">'SCDA|0480-00'!$AB$44</definedName>
    <definedName name="NEW_AdjONLYPermVB">'B6'!$AB$44</definedName>
    <definedName name="NEW_AdjPerm" localSheetId="0">'SCAA|0001-00'!$AC$38</definedName>
    <definedName name="NEW_AdjPerm" localSheetId="1">'SCBA|0001-00'!$AC$38</definedName>
    <definedName name="NEW_AdjPerm" localSheetId="2">'SCBA|0126-00'!$AC$38</definedName>
    <definedName name="NEW_AdjPerm" localSheetId="3">'SCCA|0001-00'!$AC$38</definedName>
    <definedName name="NEW_AdjPerm" localSheetId="4">'SCDA|0480-00'!$AC$38</definedName>
    <definedName name="NEW_AdjPerm">'B6'!$AC$38</definedName>
    <definedName name="NEW_AdjPermSalary" localSheetId="0">'SCAA|0001-00'!$AA$38</definedName>
    <definedName name="NEW_AdjPermSalary" localSheetId="1">'SCBA|0001-00'!$AA$38</definedName>
    <definedName name="NEW_AdjPermSalary" localSheetId="2">'SCBA|0126-00'!$AA$38</definedName>
    <definedName name="NEW_AdjPermSalary" localSheetId="3">'SCCA|0001-00'!$AA$38</definedName>
    <definedName name="NEW_AdjPermSalary" localSheetId="4">'SCDA|0480-00'!$AA$38</definedName>
    <definedName name="NEW_AdjPermSalary">'B6'!$AA$38</definedName>
    <definedName name="NEW_AdjPermVB" localSheetId="0">'SCAA|0001-00'!$AB$38</definedName>
    <definedName name="NEW_AdjPermVB" localSheetId="1">'SCBA|0001-00'!$AB$38</definedName>
    <definedName name="NEW_AdjPermVB" localSheetId="2">'SCBA|0126-00'!$AB$38</definedName>
    <definedName name="NEW_AdjPermVB" localSheetId="3">'SCCA|0001-00'!$AB$38</definedName>
    <definedName name="NEW_AdjPermVB" localSheetId="4">'SCDA|0480-00'!$AB$38</definedName>
    <definedName name="NEW_AdjPermVB">'B6'!$AB$38</definedName>
    <definedName name="NEW_GroupFilled" localSheetId="0">'SCAA|0001-00'!$AC$11</definedName>
    <definedName name="NEW_GroupFilled" localSheetId="1">'SCBA|0001-00'!$AC$11</definedName>
    <definedName name="NEW_GroupFilled" localSheetId="2">'SCBA|0126-00'!$AC$11</definedName>
    <definedName name="NEW_GroupFilled" localSheetId="3">'SCCA|0001-00'!$AC$11</definedName>
    <definedName name="NEW_GroupFilled" localSheetId="4">'SCDA|0480-00'!$AC$11</definedName>
    <definedName name="NEW_GroupFilled">'B6'!$AC$11</definedName>
    <definedName name="NEW_GroupSalaryFilled" localSheetId="0">'SCAA|0001-00'!$AA$11</definedName>
    <definedName name="NEW_GroupSalaryFilled" localSheetId="1">'SCBA|0001-00'!$AA$11</definedName>
    <definedName name="NEW_GroupSalaryFilled" localSheetId="2">'SCBA|0126-00'!$AA$11</definedName>
    <definedName name="NEW_GroupSalaryFilled" localSheetId="3">'SCCA|0001-00'!$AA$11</definedName>
    <definedName name="NEW_GroupSalaryFilled" localSheetId="4">'SCDA|0480-00'!$AA$11</definedName>
    <definedName name="NEW_GroupSalaryFilled">'B6'!$AA$11</definedName>
    <definedName name="NEW_GroupVBFilled" localSheetId="0">'SCAA|0001-00'!$AB$11</definedName>
    <definedName name="NEW_GroupVBFilled" localSheetId="1">'SCBA|0001-00'!$AB$11</definedName>
    <definedName name="NEW_GroupVBFilled" localSheetId="2">'SCBA|0126-00'!$AB$11</definedName>
    <definedName name="NEW_GroupVBFilled" localSheetId="3">'SCCA|0001-00'!$AB$11</definedName>
    <definedName name="NEW_GroupVBFilled" localSheetId="4">'SCDA|0480-00'!$AB$11</definedName>
    <definedName name="NEW_GroupVBFilled">'B6'!$AB$11</definedName>
    <definedName name="NEW_PermFilled" localSheetId="0">'SCAA|0001-00'!$AC$10</definedName>
    <definedName name="NEW_PermFilled" localSheetId="1">'SCBA|0001-00'!$AC$10</definedName>
    <definedName name="NEW_PermFilled" localSheetId="2">'SCBA|0126-00'!$AC$10</definedName>
    <definedName name="NEW_PermFilled" localSheetId="3">'SCCA|0001-00'!$AC$10</definedName>
    <definedName name="NEW_PermFilled" localSheetId="4">'SCDA|0480-00'!$AC$10</definedName>
    <definedName name="NEW_PermFilled">'B6'!$AC$10</definedName>
    <definedName name="NEW_PermSalaryFilled" localSheetId="0">'SCAA|0001-00'!$AA$10</definedName>
    <definedName name="NEW_PermSalaryFilled" localSheetId="1">'SCBA|0001-00'!$AA$10</definedName>
    <definedName name="NEW_PermSalaryFilled" localSheetId="2">'SCBA|0126-00'!$AA$10</definedName>
    <definedName name="NEW_PermSalaryFilled" localSheetId="3">'SCCA|0001-00'!$AA$10</definedName>
    <definedName name="NEW_PermSalaryFilled" localSheetId="4">'SCDA|0480-00'!$AA$10</definedName>
    <definedName name="NEW_PermSalaryFilled">'B6'!$AA$10</definedName>
    <definedName name="NEW_PermVBFilled" localSheetId="0">'SCAA|0001-00'!$AB$10</definedName>
    <definedName name="NEW_PermVBFilled" localSheetId="1">'SCBA|0001-00'!$AB$10</definedName>
    <definedName name="NEW_PermVBFilled" localSheetId="2">'SCBA|0126-00'!$AB$10</definedName>
    <definedName name="NEW_PermVBFilled" localSheetId="3">'SCCA|0001-00'!$AB$10</definedName>
    <definedName name="NEW_PermVBFilled" localSheetId="4">'SCDA|0480-00'!$AB$10</definedName>
    <definedName name="NEW_PermVBFilled">'B6'!$AB$10</definedName>
    <definedName name="OneTimePC_Total" localSheetId="0">'SCAA|0001-00'!$J$63</definedName>
    <definedName name="OneTimePC_Total" localSheetId="1">'SCBA|0001-00'!$J$63</definedName>
    <definedName name="OneTimePC_Total" localSheetId="2">'SCBA|0126-00'!$J$63</definedName>
    <definedName name="OneTimePC_Total" localSheetId="3">'SCCA|0001-00'!$J$63</definedName>
    <definedName name="OneTimePC_Total" localSheetId="4">'SCDA|0480-00'!$J$63</definedName>
    <definedName name="OneTimePC_Total">'B6'!$J$63</definedName>
    <definedName name="OrigApprop" localSheetId="0">'SCAA|0001-00'!$E$15</definedName>
    <definedName name="OrigApprop" localSheetId="1">'SCBA|0001-00'!$E$15</definedName>
    <definedName name="OrigApprop" localSheetId="2">'SCBA|0126-00'!$E$15</definedName>
    <definedName name="OrigApprop" localSheetId="3">'SCCA|0001-00'!$E$15</definedName>
    <definedName name="OrigApprop" localSheetId="4">'SCDA|0480-00'!$E$15</definedName>
    <definedName name="OrigApprop">'B6'!$E$15</definedName>
    <definedName name="perm_name" localSheetId="0">'SCAA|0001-00'!$C$10</definedName>
    <definedName name="perm_name" localSheetId="1">'SCBA|0001-00'!$C$10</definedName>
    <definedName name="perm_name" localSheetId="2">'SCBA|0126-00'!$C$10</definedName>
    <definedName name="perm_name" localSheetId="3">'SCCA|0001-00'!$C$10</definedName>
    <definedName name="perm_name" localSheetId="4">'SCDA|0480-00'!$C$10</definedName>
    <definedName name="perm_name">'B6'!$C$10</definedName>
    <definedName name="PermFTP" localSheetId="0">'SCAA|0001-00'!$F$10</definedName>
    <definedName name="PermFTP" localSheetId="1">'SCBA|0001-00'!$F$10</definedName>
    <definedName name="PermFTP" localSheetId="2">'SCBA|0126-00'!$F$10</definedName>
    <definedName name="PermFTP" localSheetId="3">'SCCA|0001-00'!$F$10</definedName>
    <definedName name="PermFTP" localSheetId="4">'SCDA|0480-00'!$F$10</definedName>
    <definedName name="PermFTP">'B6'!$F$10</definedName>
    <definedName name="PermFxdBen" localSheetId="0">'SCAA|0001-00'!$H$10</definedName>
    <definedName name="PermFxdBen" localSheetId="1">'SCBA|0001-00'!$H$10</definedName>
    <definedName name="PermFxdBen" localSheetId="2">'SCBA|0126-00'!$H$10</definedName>
    <definedName name="PermFxdBen" localSheetId="3">'SCCA|0001-00'!$H$10</definedName>
    <definedName name="PermFxdBen" localSheetId="4">'SCDA|0480-00'!$H$10</definedName>
    <definedName name="PermFxdBen">'B6'!$H$10</definedName>
    <definedName name="PermFxdBenChg" localSheetId="0">'SCAA|0001-00'!$L$10</definedName>
    <definedName name="PermFxdBenChg" localSheetId="1">'SCBA|0001-00'!$L$10</definedName>
    <definedName name="PermFxdBenChg" localSheetId="2">'SCBA|0126-00'!$L$10</definedName>
    <definedName name="PermFxdBenChg" localSheetId="3">'SCCA|0001-00'!$L$10</definedName>
    <definedName name="PermFxdBenChg" localSheetId="4">'SCDA|0480-00'!$L$10</definedName>
    <definedName name="PermFxdBenChg">'B6'!$L$10</definedName>
    <definedName name="PermFxdChg" localSheetId="0">'SCAA|0001-00'!$L$10</definedName>
    <definedName name="PermFxdChg" localSheetId="1">'SCBA|0001-00'!$L$10</definedName>
    <definedName name="PermFxdChg" localSheetId="2">'SCBA|0126-00'!$L$10</definedName>
    <definedName name="PermFxdChg" localSheetId="3">'SCCA|0001-00'!$L$10</definedName>
    <definedName name="PermFxdChg" localSheetId="4">'SCDA|0480-00'!$L$10</definedName>
    <definedName name="PermFxdChg">'B6'!$L$10</definedName>
    <definedName name="PermSalary" localSheetId="0">'SCAA|0001-00'!$G$10</definedName>
    <definedName name="PermSalary" localSheetId="1">'SCBA|0001-00'!$G$10</definedName>
    <definedName name="PermSalary" localSheetId="2">'SCBA|0126-00'!$G$10</definedName>
    <definedName name="PermSalary" localSheetId="3">'SCCA|0001-00'!$G$10</definedName>
    <definedName name="PermSalary" localSheetId="4">'SCDA|0480-00'!$G$10</definedName>
    <definedName name="PermSalary">'B6'!$G$10</definedName>
    <definedName name="PermVarBen" localSheetId="0">'SCAA|0001-00'!$I$10</definedName>
    <definedName name="PermVarBen" localSheetId="1">'SCBA|0001-00'!$I$10</definedName>
    <definedName name="PermVarBen" localSheetId="2">'SCBA|0126-00'!$I$10</definedName>
    <definedName name="PermVarBen" localSheetId="3">'SCCA|0001-00'!$I$10</definedName>
    <definedName name="PermVarBen" localSheetId="4">'SCDA|0480-00'!$I$10</definedName>
    <definedName name="PermVarBen">'B6'!$I$10</definedName>
    <definedName name="PermVarBenChg" localSheetId="0">'SCAA|0001-00'!$M$10</definedName>
    <definedName name="PermVarBenChg" localSheetId="1">'SCBA|0001-00'!$M$10</definedName>
    <definedName name="PermVarBenChg" localSheetId="2">'SCBA|0126-00'!$M$10</definedName>
    <definedName name="PermVarBenChg" localSheetId="3">'SCCA|0001-00'!$M$10</definedName>
    <definedName name="PermVarBenChg" localSheetId="4">'SCDA|0480-00'!$M$10</definedName>
    <definedName name="PermVarBenChg">'B6'!$M$10</definedName>
    <definedName name="PermVB">Benefits!$C$12</definedName>
    <definedName name="PermVBBY">Benefits!$D$12</definedName>
    <definedName name="PermVBCHG">Benefits!$E$12</definedName>
    <definedName name="_xlnm.Print_Area" localSheetId="7">'B6'!$A$1:$N$81</definedName>
    <definedName name="_xlnm.Print_Area" localSheetId="6">Benefits!$A$1:$G$36</definedName>
    <definedName name="_xlnm.Print_Area" localSheetId="0">'SCAA|0001-00'!$A$1:$N$81</definedName>
    <definedName name="_xlnm.Print_Area" localSheetId="1">'SCBA|0001-00'!$A$1:$N$81</definedName>
    <definedName name="_xlnm.Print_Area" localSheetId="2">'SCBA|0126-00'!$A$1:$N$81</definedName>
    <definedName name="_xlnm.Print_Area" localSheetId="3">'SCCA|0001-00'!$A$1:$N$81</definedName>
    <definedName name="_xlnm.Print_Area" localSheetId="4">'SCDA|0480-00'!$A$1:$N$81</definedName>
    <definedName name="Prog_Unadjusted_Total" localSheetId="0">'SCAA|0001-00'!$C$8:$N$16</definedName>
    <definedName name="Prog_Unadjusted_Total" localSheetId="1">'SCBA|0001-00'!$C$8:$N$16</definedName>
    <definedName name="Prog_Unadjusted_Total" localSheetId="2">'SCBA|0126-00'!$C$8:$N$16</definedName>
    <definedName name="Prog_Unadjusted_Total" localSheetId="3">'SCCA|0001-00'!$C$8:$N$16</definedName>
    <definedName name="Prog_Unadjusted_Total" localSheetId="4">'SCDA|0480-00'!$C$8:$N$16</definedName>
    <definedName name="Prog_Unadjusted_Total">'B6'!$C$8:$N$16</definedName>
    <definedName name="Program" localSheetId="0">'SCAA|0001-00'!$D$3</definedName>
    <definedName name="Program" localSheetId="1">'SCBA|0001-00'!$D$3</definedName>
    <definedName name="Program" localSheetId="2">'SCBA|0126-00'!$D$3</definedName>
    <definedName name="Program" localSheetId="3">'SCCA|0001-00'!$D$3</definedName>
    <definedName name="Program" localSheetId="4">'SCDA|0480-00'!$D$3</definedName>
    <definedName name="Program">'B6'!$D$3</definedName>
    <definedName name="PTHealth">Benefits!$C$16</definedName>
    <definedName name="PTHealthBY">Benefits!$D$16</definedName>
    <definedName name="PTHealthChg">Benefits!$E$16</definedName>
    <definedName name="Retire1">Benefits!$C$20</definedName>
    <definedName name="Retire1BY">Benefits!$D$20</definedName>
    <definedName name="Retire1CHG">Benefits!$E$20</definedName>
    <definedName name="Retire2">Benefits!$C$21</definedName>
    <definedName name="Retire2BY">Benefits!$D$21</definedName>
    <definedName name="Retire2CHG">Benefits!$E$21</definedName>
    <definedName name="Retire4">Benefits!$C$22</definedName>
    <definedName name="Retire4BY">Benefits!$D$22</definedName>
    <definedName name="Retire4CHG">Benefits!$E$22</definedName>
    <definedName name="Retire5">Benefits!$C$23</definedName>
    <definedName name="Retire5BY">Benefits!$D$23</definedName>
    <definedName name="Retire5CHG">Benefits!$E$23</definedName>
    <definedName name="Retire6">Benefits!$C$24</definedName>
    <definedName name="Retire6BY">Benefits!$D$24</definedName>
    <definedName name="Retire6CHG">Benefits!$E$24</definedName>
    <definedName name="Retire7">Benefits!$C$25</definedName>
    <definedName name="Retire7BY">Benefits!$D$25</definedName>
    <definedName name="Retire7CHG">Benefits!$E$25</definedName>
    <definedName name="Retire8">Benefits!$C$26</definedName>
    <definedName name="Retire8BY">Benefits!$D$26</definedName>
    <definedName name="Retire8CHG">Benefits!$E$26</definedName>
    <definedName name="Retirement_Rates">Benefits!$A$19:$E$26</definedName>
    <definedName name="RoundedAppropSalary" localSheetId="0">'SCAA|0001-00'!$G$52</definedName>
    <definedName name="RoundedAppropSalary" localSheetId="1">'SCBA|0001-00'!$G$52</definedName>
    <definedName name="RoundedAppropSalary" localSheetId="2">'SCBA|0126-00'!$G$52</definedName>
    <definedName name="RoundedAppropSalary" localSheetId="3">'SCCA|0001-00'!$G$52</definedName>
    <definedName name="RoundedAppropSalary" localSheetId="4">'SCDA|0480-00'!$G$52</definedName>
    <definedName name="RoundedAppropSalary">'B6'!$G$52</definedName>
    <definedName name="SalaryChg" localSheetId="0">'SCAA|0001-00'!$K$10</definedName>
    <definedName name="SalaryChg" localSheetId="1">'SCBA|0001-00'!$K$10</definedName>
    <definedName name="SalaryChg" localSheetId="2">'SCBA|0126-00'!$K$10</definedName>
    <definedName name="SalaryChg" localSheetId="3">'SCCA|0001-00'!$K$10</definedName>
    <definedName name="SalaryChg" localSheetId="4">'SCDA|0480-00'!$K$10</definedName>
    <definedName name="SalaryChg">'B6'!$K$10</definedName>
    <definedName name="SCAA000100col_1_27TH_PP">Data!$BA$205</definedName>
    <definedName name="SCAA000100col_DHR">Data!$BI$205</definedName>
    <definedName name="SCAA000100col_DHR_BY">Data!$BU$205</definedName>
    <definedName name="SCAA000100col_DHR_CHG">Data!$CG$205</definedName>
    <definedName name="SCAA000100col_FTI_SALARY_ELECT">Data!$AZ$205</definedName>
    <definedName name="SCAA000100col_FTI_SALARY_PERM">Data!$AY$205</definedName>
    <definedName name="SCAA000100col_FTI_SALARY_SSDI">Data!$AX$205</definedName>
    <definedName name="SCAA000100col_Group_Ben">Data!$CM$205</definedName>
    <definedName name="SCAA000100col_Group_Salary">Data!$CL$205</definedName>
    <definedName name="SCAA000100col_HEALTH_ELECT">Data!$BC$205</definedName>
    <definedName name="SCAA000100col_HEALTH_ELECT_BY">Data!$BO$205</definedName>
    <definedName name="SCAA000100col_HEALTH_ELECT_CHG">Data!$CA$205</definedName>
    <definedName name="SCAA000100col_HEALTH_PERM">Data!$BB$205</definedName>
    <definedName name="SCAA000100col_HEALTH_PERM_BY">Data!$BN$205</definedName>
    <definedName name="SCAA000100col_HEALTH_PERM_CHG">Data!$BZ$205</definedName>
    <definedName name="SCAA000100col_INC_FTI">Data!$AS$205</definedName>
    <definedName name="SCAA000100col_LIFE_INS">Data!$BG$205</definedName>
    <definedName name="SCAA000100col_LIFE_INS_BY">Data!$BS$205</definedName>
    <definedName name="SCAA000100col_LIFE_INS_CHG">Data!$CE$205</definedName>
    <definedName name="SCAA000100col_RETIREMENT">Data!$BF$205</definedName>
    <definedName name="SCAA000100col_RETIREMENT_BY">Data!$BR$205</definedName>
    <definedName name="SCAA000100col_RETIREMENT_CHG">Data!$CD$205</definedName>
    <definedName name="SCAA000100col_ROWS_PER_PCN">Data!$AW$205</definedName>
    <definedName name="SCAA000100col_SICK">Data!$BK$205</definedName>
    <definedName name="SCAA000100col_SICK_BY">Data!$BW$205</definedName>
    <definedName name="SCAA000100col_SICK_CHG">Data!$CI$205</definedName>
    <definedName name="SCAA000100col_SSDI">Data!$BD$205</definedName>
    <definedName name="SCAA000100col_SSDI_BY">Data!$BP$205</definedName>
    <definedName name="SCAA000100col_SSDI_CHG">Data!$CB$205</definedName>
    <definedName name="SCAA000100col_SSHI">Data!$BE$205</definedName>
    <definedName name="SCAA000100col_SSHI_BY">Data!$BQ$205</definedName>
    <definedName name="SCAA000100col_SSHI_CHGv">Data!$CC$205</definedName>
    <definedName name="SCAA000100col_TOT_VB_ELECT">Data!$BM$205</definedName>
    <definedName name="SCAA000100col_TOT_VB_ELECT_BY">Data!$BY$205</definedName>
    <definedName name="SCAA000100col_TOT_VB_ELECT_CHG">Data!$CK$205</definedName>
    <definedName name="SCAA000100col_TOT_VB_PERM">Data!$BL$205</definedName>
    <definedName name="SCAA000100col_TOT_VB_PERM_BY">Data!$BX$205</definedName>
    <definedName name="SCAA000100col_TOT_VB_PERM_CHG">Data!$CJ$205</definedName>
    <definedName name="SCAA000100col_TOTAL_ELECT_PCN_FTI">Data!$AT$205</definedName>
    <definedName name="SCAA000100col_TOTAL_ELECT_PCN_FTI_ALT">Data!$AV$205</definedName>
    <definedName name="SCAA000100col_TOTAL_PERM_PCN_FTI">Data!$AU$205</definedName>
    <definedName name="SCAA000100col_UNEMP_INS">Data!$BH$205</definedName>
    <definedName name="SCAA000100col_UNEMP_INS_BY">Data!$BT$205</definedName>
    <definedName name="SCAA000100col_UNEMP_INS_CHG">Data!$CF$205</definedName>
    <definedName name="SCAA000100col_WORKERS_COMP">Data!$BJ$205</definedName>
    <definedName name="SCAA000100col_WORKERS_COMP_BY">Data!$BV$205</definedName>
    <definedName name="SCAA000100col_WORKERS_COMP_CHG">Data!$CH$205</definedName>
    <definedName name="SCBA000100col_1_27TH_PP">Data!$BA$207</definedName>
    <definedName name="SCBA000100col_DHR">Data!$BI$207</definedName>
    <definedName name="SCBA000100col_DHR_BY">Data!$BU$207</definedName>
    <definedName name="SCBA000100col_DHR_CHG">Data!$CG$207</definedName>
    <definedName name="SCBA000100col_FTI_SALARY_ELECT">Data!$AZ$207</definedName>
    <definedName name="SCBA000100col_FTI_SALARY_PERM">Data!$AY$207</definedName>
    <definedName name="SCBA000100col_FTI_SALARY_SSDI">Data!$AX$207</definedName>
    <definedName name="SCBA000100col_Group_Ben">Data!$CM$207</definedName>
    <definedName name="SCBA000100col_Group_Salary">Data!$CL$207</definedName>
    <definedName name="SCBA000100col_HEALTH_ELECT">Data!$BC$207</definedName>
    <definedName name="SCBA000100col_HEALTH_ELECT_BY">Data!$BO$207</definedName>
    <definedName name="SCBA000100col_HEALTH_ELECT_CHG">Data!$CA$207</definedName>
    <definedName name="SCBA000100col_HEALTH_PERM">Data!$BB$207</definedName>
    <definedName name="SCBA000100col_HEALTH_PERM_BY">Data!$BN$207</definedName>
    <definedName name="SCBA000100col_HEALTH_PERM_CHG">Data!$BZ$207</definedName>
    <definedName name="SCBA000100col_INC_FTI">Data!$AS$207</definedName>
    <definedName name="SCBA000100col_LIFE_INS">Data!$BG$207</definedName>
    <definedName name="SCBA000100col_LIFE_INS_BY">Data!$BS$207</definedName>
    <definedName name="SCBA000100col_LIFE_INS_CHG">Data!$CE$207</definedName>
    <definedName name="SCBA000100col_RETIREMENT">Data!$BF$207</definedName>
    <definedName name="SCBA000100col_RETIREMENT_BY">Data!$BR$207</definedName>
    <definedName name="SCBA000100col_RETIREMENT_CHG">Data!$CD$207</definedName>
    <definedName name="SCBA000100col_ROWS_PER_PCN">Data!$AW$207</definedName>
    <definedName name="SCBA000100col_SICK">Data!$BK$207</definedName>
    <definedName name="SCBA000100col_SICK_BY">Data!$BW$207</definedName>
    <definedName name="SCBA000100col_SICK_CHG">Data!$CI$207</definedName>
    <definedName name="SCBA000100col_SSDI">Data!$BD$207</definedName>
    <definedName name="SCBA000100col_SSDI_BY">Data!$BP$207</definedName>
    <definedName name="SCBA000100col_SSDI_CHG">Data!$CB$207</definedName>
    <definedName name="SCBA000100col_SSHI">Data!$BE$207</definedName>
    <definedName name="SCBA000100col_SSHI_BY">Data!$BQ$207</definedName>
    <definedName name="SCBA000100col_SSHI_CHGv">Data!$CC$207</definedName>
    <definedName name="SCBA000100col_TOT_VB_ELECT">Data!$BM$207</definedName>
    <definedName name="SCBA000100col_TOT_VB_ELECT_BY">Data!$BY$207</definedName>
    <definedName name="SCBA000100col_TOT_VB_ELECT_CHG">Data!$CK$207</definedName>
    <definedName name="SCBA000100col_TOT_VB_PERM">Data!$BL$207</definedName>
    <definedName name="SCBA000100col_TOT_VB_PERM_BY">Data!$BX$207</definedName>
    <definedName name="SCBA000100col_TOT_VB_PERM_CHG">Data!$CJ$207</definedName>
    <definedName name="SCBA000100col_TOTAL_ELECT_PCN_FTI">Data!$AT$207</definedName>
    <definedName name="SCBA000100col_TOTAL_ELECT_PCN_FTI_ALT">Data!$AV$207</definedName>
    <definedName name="SCBA000100col_TOTAL_PERM_PCN_FTI">Data!$AU$207</definedName>
    <definedName name="SCBA000100col_UNEMP_INS">Data!$BH$207</definedName>
    <definedName name="SCBA000100col_UNEMP_INS_BY">Data!$BT$207</definedName>
    <definedName name="SCBA000100col_UNEMP_INS_CHG">Data!$CF$207</definedName>
    <definedName name="SCBA000100col_WORKERS_COMP">Data!$BJ$207</definedName>
    <definedName name="SCBA000100col_WORKERS_COMP_BY">Data!$BV$207</definedName>
    <definedName name="SCBA000100col_WORKERS_COMP_CHG">Data!$CH$207</definedName>
    <definedName name="SCBA012600col_1_27TH_PP">Data!$BA$209</definedName>
    <definedName name="SCBA012600col_DHR">Data!$BI$209</definedName>
    <definedName name="SCBA012600col_DHR_BY">Data!$BU$209</definedName>
    <definedName name="SCBA012600col_DHR_CHG">Data!$CG$209</definedName>
    <definedName name="SCBA012600col_FTI_SALARY_ELECT">Data!$AZ$209</definedName>
    <definedName name="SCBA012600col_FTI_SALARY_PERM">Data!$AY$209</definedName>
    <definedName name="SCBA012600col_FTI_SALARY_SSDI">Data!$AX$209</definedName>
    <definedName name="SCBA012600col_Group_Ben">Data!$CM$209</definedName>
    <definedName name="SCBA012600col_Group_Salary">Data!$CL$209</definedName>
    <definedName name="SCBA012600col_HEALTH_ELECT">Data!$BC$209</definedName>
    <definedName name="SCBA012600col_HEALTH_ELECT_BY">Data!$BO$209</definedName>
    <definedName name="SCBA012600col_HEALTH_ELECT_CHG">Data!$CA$209</definedName>
    <definedName name="SCBA012600col_HEALTH_PERM">Data!$BB$209</definedName>
    <definedName name="SCBA012600col_HEALTH_PERM_BY">Data!$BN$209</definedName>
    <definedName name="SCBA012600col_HEALTH_PERM_CHG">Data!$BZ$209</definedName>
    <definedName name="SCBA012600col_INC_FTI">Data!$AS$209</definedName>
    <definedName name="SCBA012600col_LIFE_INS">Data!$BG$209</definedName>
    <definedName name="SCBA012600col_LIFE_INS_BY">Data!$BS$209</definedName>
    <definedName name="SCBA012600col_LIFE_INS_CHG">Data!$CE$209</definedName>
    <definedName name="SCBA012600col_RETIREMENT">Data!$BF$209</definedName>
    <definedName name="SCBA012600col_RETIREMENT_BY">Data!$BR$209</definedName>
    <definedName name="SCBA012600col_RETIREMENT_CHG">Data!$CD$209</definedName>
    <definedName name="SCBA012600col_ROWS_PER_PCN">Data!$AW$209</definedName>
    <definedName name="SCBA012600col_SICK">Data!$BK$209</definedName>
    <definedName name="SCBA012600col_SICK_BY">Data!$BW$209</definedName>
    <definedName name="SCBA012600col_SICK_CHG">Data!$CI$209</definedName>
    <definedName name="SCBA012600col_SSDI">Data!$BD$209</definedName>
    <definedName name="SCBA012600col_SSDI_BY">Data!$BP$209</definedName>
    <definedName name="SCBA012600col_SSDI_CHG">Data!$CB$209</definedName>
    <definedName name="SCBA012600col_SSHI">Data!$BE$209</definedName>
    <definedName name="SCBA012600col_SSHI_BY">Data!$BQ$209</definedName>
    <definedName name="SCBA012600col_SSHI_CHGv">Data!$CC$209</definedName>
    <definedName name="SCBA012600col_TOT_VB_ELECT">Data!$BM$209</definedName>
    <definedName name="SCBA012600col_TOT_VB_ELECT_BY">Data!$BY$209</definedName>
    <definedName name="SCBA012600col_TOT_VB_ELECT_CHG">Data!$CK$209</definedName>
    <definedName name="SCBA012600col_TOT_VB_PERM">Data!$BL$209</definedName>
    <definedName name="SCBA012600col_TOT_VB_PERM_BY">Data!$BX$209</definedName>
    <definedName name="SCBA012600col_TOT_VB_PERM_CHG">Data!$CJ$209</definedName>
    <definedName name="SCBA012600col_TOTAL_ELECT_PCN_FTI">Data!$AT$209</definedName>
    <definedName name="SCBA012600col_TOTAL_ELECT_PCN_FTI_ALT">Data!$AV$209</definedName>
    <definedName name="SCBA012600col_TOTAL_PERM_PCN_FTI">Data!$AU$209</definedName>
    <definedName name="SCBA012600col_UNEMP_INS">Data!$BH$209</definedName>
    <definedName name="SCBA012600col_UNEMP_INS_BY">Data!$BT$209</definedName>
    <definedName name="SCBA012600col_UNEMP_INS_CHG">Data!$CF$209</definedName>
    <definedName name="SCBA012600col_WORKERS_COMP">Data!$BJ$209</definedName>
    <definedName name="SCBA012600col_WORKERS_COMP_BY">Data!$BV$209</definedName>
    <definedName name="SCBA012600col_WORKERS_COMP_CHG">Data!$CH$209</definedName>
    <definedName name="SCBI012600col_1_27TH_PP">Data!$BA$211</definedName>
    <definedName name="SCBI012600col_DHR">Data!$BI$211</definedName>
    <definedName name="SCBI012600col_DHR_BY">Data!$BU$211</definedName>
    <definedName name="SCBI012600col_DHR_CHG">Data!$CG$211</definedName>
    <definedName name="SCBI012600col_FTI_SALARY_ELECT">Data!$AZ$211</definedName>
    <definedName name="SCBI012600col_FTI_SALARY_PERM">Data!$AY$211</definedName>
    <definedName name="SCBI012600col_FTI_SALARY_SSDI">Data!$AX$211</definedName>
    <definedName name="SCBI012600col_Group_Ben">Data!$CM$211</definedName>
    <definedName name="SCBI012600col_Group_Salary">Data!$CL$211</definedName>
    <definedName name="SCBI012600col_HEALTH_ELECT">Data!$BC$211</definedName>
    <definedName name="SCBI012600col_HEALTH_ELECT_BY">Data!$BO$211</definedName>
    <definedName name="SCBI012600col_HEALTH_ELECT_CHG">Data!$CA$211</definedName>
    <definedName name="SCBI012600col_HEALTH_PERM">Data!$BB$211</definedName>
    <definedName name="SCBI012600col_HEALTH_PERM_BY">Data!$BN$211</definedName>
    <definedName name="SCBI012600col_HEALTH_PERM_CHG">Data!$BZ$211</definedName>
    <definedName name="SCBI012600col_INC_FTI">Data!$AS$211</definedName>
    <definedName name="SCBI012600col_LIFE_INS">Data!$BG$211</definedName>
    <definedName name="SCBI012600col_LIFE_INS_BY">Data!$BS$211</definedName>
    <definedName name="SCBI012600col_LIFE_INS_CHG">Data!$CE$211</definedName>
    <definedName name="SCBI012600col_RETIREMENT">Data!$BF$211</definedName>
    <definedName name="SCBI012600col_RETIREMENT_BY">Data!$BR$211</definedName>
    <definedName name="SCBI012600col_RETIREMENT_CHG">Data!$CD$211</definedName>
    <definedName name="SCBI012600col_ROWS_PER_PCN">Data!$AW$211</definedName>
    <definedName name="SCBI012600col_SICK">Data!$BK$211</definedName>
    <definedName name="SCBI012600col_SICK_BY">Data!$BW$211</definedName>
    <definedName name="SCBI012600col_SICK_CHG">Data!$CI$211</definedName>
    <definedName name="SCBI012600col_SSDI">Data!$BD$211</definedName>
    <definedName name="SCBI012600col_SSDI_BY">Data!$BP$211</definedName>
    <definedName name="SCBI012600col_SSDI_CHG">Data!$CB$211</definedName>
    <definedName name="SCBI012600col_SSHI">Data!$BE$211</definedName>
    <definedName name="SCBI012600col_SSHI_BY">Data!$BQ$211</definedName>
    <definedName name="SCBI012600col_SSHI_CHGv">Data!$CC$211</definedName>
    <definedName name="SCBI012600col_TOT_VB_ELECT">Data!$BM$211</definedName>
    <definedName name="SCBI012600col_TOT_VB_ELECT_BY">Data!$BY$211</definedName>
    <definedName name="SCBI012600col_TOT_VB_ELECT_CHG">Data!$CK$211</definedName>
    <definedName name="SCBI012600col_TOT_VB_PERM">Data!$BL$211</definedName>
    <definedName name="SCBI012600col_TOT_VB_PERM_BY">Data!$BX$211</definedName>
    <definedName name="SCBI012600col_TOT_VB_PERM_CHG">Data!$CJ$211</definedName>
    <definedName name="SCBI012600col_TOTAL_ELECT_PCN_FTI">Data!$AT$211</definedName>
    <definedName name="SCBI012600col_TOTAL_ELECT_PCN_FTI_ALT">Data!$AV$211</definedName>
    <definedName name="SCBI012600col_TOTAL_PERM_PCN_FTI">Data!$AU$211</definedName>
    <definedName name="SCBI012600col_UNEMP_INS">Data!$BH$211</definedName>
    <definedName name="SCBI012600col_UNEMP_INS_BY">Data!$BT$211</definedName>
    <definedName name="SCBI012600col_UNEMP_INS_CHG">Data!$CF$211</definedName>
    <definedName name="SCBI012600col_WORKERS_COMP">Data!$BJ$211</definedName>
    <definedName name="SCBI012600col_WORKERS_COMP_BY">Data!$BV$211</definedName>
    <definedName name="SCBI012600col_WORKERS_COMP_CHG">Data!$CH$211</definedName>
    <definedName name="SCCA000100col_1_27TH_PP">Data!$BA$213</definedName>
    <definedName name="SCCA000100col_DHR">Data!$BI$213</definedName>
    <definedName name="SCCA000100col_DHR_BY">Data!$BU$213</definedName>
    <definedName name="SCCA000100col_DHR_CHG">Data!$CG$213</definedName>
    <definedName name="SCCA000100col_FTI_SALARY_ELECT">Data!$AZ$213</definedName>
    <definedName name="SCCA000100col_FTI_SALARY_PERM">Data!$AY$213</definedName>
    <definedName name="SCCA000100col_FTI_SALARY_SSDI">Data!$AX$213</definedName>
    <definedName name="SCCA000100col_Group_Ben">Data!$CM$213</definedName>
    <definedName name="SCCA000100col_Group_Salary">Data!$CL$213</definedName>
    <definedName name="SCCA000100col_HEALTH_ELECT">Data!$BC$213</definedName>
    <definedName name="SCCA000100col_HEALTH_ELECT_BY">Data!$BO$213</definedName>
    <definedName name="SCCA000100col_HEALTH_ELECT_CHG">Data!$CA$213</definedName>
    <definedName name="SCCA000100col_HEALTH_PERM">Data!$BB$213</definedName>
    <definedName name="SCCA000100col_HEALTH_PERM_BY">Data!$BN$213</definedName>
    <definedName name="SCCA000100col_HEALTH_PERM_CHG">Data!$BZ$213</definedName>
    <definedName name="SCCA000100col_INC_FTI">Data!$AS$213</definedName>
    <definedName name="SCCA000100col_LIFE_INS">Data!$BG$213</definedName>
    <definedName name="SCCA000100col_LIFE_INS_BY">Data!$BS$213</definedName>
    <definedName name="SCCA000100col_LIFE_INS_CHG">Data!$CE$213</definedName>
    <definedName name="SCCA000100col_RETIREMENT">Data!$BF$213</definedName>
    <definedName name="SCCA000100col_RETIREMENT_BY">Data!$BR$213</definedName>
    <definedName name="SCCA000100col_RETIREMENT_CHG">Data!$CD$213</definedName>
    <definedName name="SCCA000100col_ROWS_PER_PCN">Data!$AW$213</definedName>
    <definedName name="SCCA000100col_SICK">Data!$BK$213</definedName>
    <definedName name="SCCA000100col_SICK_BY">Data!$BW$213</definedName>
    <definedName name="SCCA000100col_SICK_CHG">Data!$CI$213</definedName>
    <definedName name="SCCA000100col_SSDI">Data!$BD$213</definedName>
    <definedName name="SCCA000100col_SSDI_BY">Data!$BP$213</definedName>
    <definedName name="SCCA000100col_SSDI_CHG">Data!$CB$213</definedName>
    <definedName name="SCCA000100col_SSHI">Data!$BE$213</definedName>
    <definedName name="SCCA000100col_SSHI_BY">Data!$BQ$213</definedName>
    <definedName name="SCCA000100col_SSHI_CHGv">Data!$CC$213</definedName>
    <definedName name="SCCA000100col_TOT_VB_ELECT">Data!$BM$213</definedName>
    <definedName name="SCCA000100col_TOT_VB_ELECT_BY">Data!$BY$213</definedName>
    <definedName name="SCCA000100col_TOT_VB_ELECT_CHG">Data!$CK$213</definedName>
    <definedName name="SCCA000100col_TOT_VB_PERM">Data!$BL$213</definedName>
    <definedName name="SCCA000100col_TOT_VB_PERM_BY">Data!$BX$213</definedName>
    <definedName name="SCCA000100col_TOT_VB_PERM_CHG">Data!$CJ$213</definedName>
    <definedName name="SCCA000100col_TOTAL_ELECT_PCN_FTI">Data!$AT$213</definedName>
    <definedName name="SCCA000100col_TOTAL_ELECT_PCN_FTI_ALT">Data!$AV$213</definedName>
    <definedName name="SCCA000100col_TOTAL_PERM_PCN_FTI">Data!$AU$213</definedName>
    <definedName name="SCCA000100col_UNEMP_INS">Data!$BH$213</definedName>
    <definedName name="SCCA000100col_UNEMP_INS_BY">Data!$BT$213</definedName>
    <definedName name="SCCA000100col_UNEMP_INS_CHG">Data!$CF$213</definedName>
    <definedName name="SCCA000100col_WORKERS_COMP">Data!$BJ$213</definedName>
    <definedName name="SCCA000100col_WORKERS_COMP_BY">Data!$BV$213</definedName>
    <definedName name="SCCA000100col_WORKERS_COMP_CHG">Data!$CH$213</definedName>
    <definedName name="SCDA048000col_1_27TH_PP">Data!$BA$215</definedName>
    <definedName name="SCDA048000col_DHR">Data!$BI$215</definedName>
    <definedName name="SCDA048000col_DHR_BY">Data!$BU$215</definedName>
    <definedName name="SCDA048000col_DHR_CHG">Data!$CG$215</definedName>
    <definedName name="SCDA048000col_FTI_SALARY_ELECT">Data!$AZ$215</definedName>
    <definedName name="SCDA048000col_FTI_SALARY_PERM">Data!$AY$215</definedName>
    <definedName name="SCDA048000col_FTI_SALARY_SSDI">Data!$AX$215</definedName>
    <definedName name="SCDA048000col_Group_Ben">Data!$CM$215</definedName>
    <definedName name="SCDA048000col_Group_Salary">Data!$CL$215</definedName>
    <definedName name="SCDA048000col_HEALTH_ELECT">Data!$BC$215</definedName>
    <definedName name="SCDA048000col_HEALTH_ELECT_BY">Data!$BO$215</definedName>
    <definedName name="SCDA048000col_HEALTH_ELECT_CHG">Data!$CA$215</definedName>
    <definedName name="SCDA048000col_HEALTH_PERM">Data!$BB$215</definedName>
    <definedName name="SCDA048000col_HEALTH_PERM_BY">Data!$BN$215</definedName>
    <definedName name="SCDA048000col_HEALTH_PERM_CHG">Data!$BZ$215</definedName>
    <definedName name="SCDA048000col_INC_FTI">Data!$AS$215</definedName>
    <definedName name="SCDA048000col_LIFE_INS">Data!$BG$215</definedName>
    <definedName name="SCDA048000col_LIFE_INS_BY">Data!$BS$215</definedName>
    <definedName name="SCDA048000col_LIFE_INS_CHG">Data!$CE$215</definedName>
    <definedName name="SCDA048000col_RETIREMENT">Data!$BF$215</definedName>
    <definedName name="SCDA048000col_RETIREMENT_BY">Data!$BR$215</definedName>
    <definedName name="SCDA048000col_RETIREMENT_CHG">Data!$CD$215</definedName>
    <definedName name="SCDA048000col_ROWS_PER_PCN">Data!$AW$215</definedName>
    <definedName name="SCDA048000col_SICK">Data!$BK$215</definedName>
    <definedName name="SCDA048000col_SICK_BY">Data!$BW$215</definedName>
    <definedName name="SCDA048000col_SICK_CHG">Data!$CI$215</definedName>
    <definedName name="SCDA048000col_SSDI">Data!$BD$215</definedName>
    <definedName name="SCDA048000col_SSDI_BY">Data!$BP$215</definedName>
    <definedName name="SCDA048000col_SSDI_CHG">Data!$CB$215</definedName>
    <definedName name="SCDA048000col_SSHI">Data!$BE$215</definedName>
    <definedName name="SCDA048000col_SSHI_BY">Data!$BQ$215</definedName>
    <definedName name="SCDA048000col_SSHI_CHGv">Data!$CC$215</definedName>
    <definedName name="SCDA048000col_TOT_VB_ELECT">Data!$BM$215</definedName>
    <definedName name="SCDA048000col_TOT_VB_ELECT_BY">Data!$BY$215</definedName>
    <definedName name="SCDA048000col_TOT_VB_ELECT_CHG">Data!$CK$215</definedName>
    <definedName name="SCDA048000col_TOT_VB_PERM">Data!$BL$215</definedName>
    <definedName name="SCDA048000col_TOT_VB_PERM_BY">Data!$BX$215</definedName>
    <definedName name="SCDA048000col_TOT_VB_PERM_CHG">Data!$CJ$215</definedName>
    <definedName name="SCDA048000col_TOTAL_ELECT_PCN_FTI">Data!$AT$215</definedName>
    <definedName name="SCDA048000col_TOTAL_ELECT_PCN_FTI_ALT">Data!$AV$215</definedName>
    <definedName name="SCDA048000col_TOTAL_PERM_PCN_FTI">Data!$AU$215</definedName>
    <definedName name="SCDA048000col_UNEMP_INS">Data!$BH$215</definedName>
    <definedName name="SCDA048000col_UNEMP_INS_BY">Data!$BT$215</definedName>
    <definedName name="SCDA048000col_UNEMP_INS_CHG">Data!$CF$215</definedName>
    <definedName name="SCDA048000col_WORKERS_COMP">Data!$BJ$215</definedName>
    <definedName name="SCDA048000col_WORKERS_COMP_BY">Data!$BV$215</definedName>
    <definedName name="SCDA048000col_WORKERS_COMP_CHG">Data!$CH$215</definedName>
    <definedName name="Sick">Benefits!$C$10</definedName>
    <definedName name="SickBY">Benefits!$D$10</definedName>
    <definedName name="SickCHG">Benefits!$E$10</definedName>
    <definedName name="SSDI">Benefits!$C$5</definedName>
    <definedName name="SSDIBY">Benefits!$D$5</definedName>
    <definedName name="SSDICHG">Benefits!$E$5</definedName>
    <definedName name="SSHI">Benefits!$C$6</definedName>
    <definedName name="SSHIBY">Benefits!$D$6</definedName>
    <definedName name="SSHICHG">Benefits!$E$6</definedName>
    <definedName name="SubCECBase" localSheetId="0">'SCAA|0001-00'!#REF!</definedName>
    <definedName name="SubCECBase" localSheetId="1">'SCBA|0001-00'!#REF!</definedName>
    <definedName name="SubCECBase" localSheetId="2">'SCBA|0126-00'!#REF!</definedName>
    <definedName name="SubCECBase" localSheetId="3">'SCCA|0001-00'!#REF!</definedName>
    <definedName name="SubCECBase" localSheetId="4">'SCDA|0480-00'!#REF!</definedName>
    <definedName name="SubCECBase">'B6'!#REF!</definedName>
    <definedName name="UI">Benefits!$C$7</definedName>
    <definedName name="UIBY">Benefits!$D$7</definedName>
    <definedName name="UICHG">Benefits!$E$7</definedName>
    <definedName name="WC">Benefits!$C$8</definedName>
    <definedName name="WCBY">Benefits!$D$8</definedName>
    <definedName name="WCCHG">Benefits!$E$8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7" l="1"/>
  <c r="I16" i="7" s="1"/>
  <c r="H14" i="7"/>
  <c r="H16" i="7" s="1"/>
  <c r="G16" i="7"/>
  <c r="E8" i="11"/>
  <c r="F8" i="11"/>
  <c r="G8" i="11"/>
  <c r="H8" i="11"/>
  <c r="I8" i="11"/>
  <c r="K8" i="11"/>
  <c r="L8" i="11"/>
  <c r="E9" i="11"/>
  <c r="F9" i="11"/>
  <c r="G9" i="11"/>
  <c r="H9" i="11"/>
  <c r="I9" i="11"/>
  <c r="K9" i="11"/>
  <c r="L9" i="11"/>
  <c r="E10" i="11"/>
  <c r="F10" i="11"/>
  <c r="G10" i="11"/>
  <c r="H10" i="11"/>
  <c r="I10" i="11"/>
  <c r="K10" i="11"/>
  <c r="L10" i="11"/>
  <c r="E11" i="11"/>
  <c r="F11" i="11"/>
  <c r="G11" i="11"/>
  <c r="H11" i="11"/>
  <c r="I11" i="11"/>
  <c r="K11" i="11"/>
  <c r="L11" i="11"/>
  <c r="E12" i="11"/>
  <c r="F12" i="11"/>
  <c r="G12" i="11"/>
  <c r="H12" i="11"/>
  <c r="I12" i="11"/>
  <c r="K12" i="11"/>
  <c r="L12" i="11"/>
  <c r="E13" i="11"/>
  <c r="F13" i="11"/>
  <c r="G13" i="11"/>
  <c r="H13" i="11"/>
  <c r="I13" i="11"/>
  <c r="K13" i="11"/>
  <c r="L13" i="11"/>
  <c r="E14" i="11"/>
  <c r="F14" i="11"/>
  <c r="G14" i="11"/>
  <c r="H14" i="11"/>
  <c r="I14" i="11"/>
  <c r="J14" i="11"/>
  <c r="K14" i="11"/>
  <c r="L14" i="11"/>
  <c r="M14" i="11"/>
  <c r="E15" i="11"/>
  <c r="F15" i="11"/>
  <c r="G15" i="11"/>
  <c r="H15" i="11"/>
  <c r="I15" i="11"/>
  <c r="K15" i="11"/>
  <c r="L15" i="11"/>
  <c r="E16" i="11"/>
  <c r="F16" i="11"/>
  <c r="G16" i="11"/>
  <c r="H16" i="11"/>
  <c r="I16" i="11"/>
  <c r="J16" i="11"/>
  <c r="K16" i="11"/>
  <c r="L16" i="11"/>
  <c r="M16" i="11"/>
  <c r="E17" i="11"/>
  <c r="F17" i="11"/>
  <c r="G17" i="11"/>
  <c r="H17" i="11"/>
  <c r="I17" i="11"/>
  <c r="J17" i="11"/>
  <c r="K17" i="11"/>
  <c r="L17" i="11"/>
  <c r="M17" i="11"/>
  <c r="E18" i="11"/>
  <c r="F18" i="11"/>
  <c r="G18" i="11"/>
  <c r="H18" i="11"/>
  <c r="I18" i="11"/>
  <c r="J18" i="11"/>
  <c r="K18" i="11"/>
  <c r="L18" i="11"/>
  <c r="M18" i="11"/>
  <c r="E19" i="11"/>
  <c r="F19" i="11"/>
  <c r="G19" i="11"/>
  <c r="H19" i="11"/>
  <c r="I19" i="11"/>
  <c r="J19" i="11"/>
  <c r="K19" i="11"/>
  <c r="L19" i="11"/>
  <c r="M19" i="11"/>
  <c r="E20" i="11"/>
  <c r="F20" i="11"/>
  <c r="G20" i="11"/>
  <c r="H20" i="11"/>
  <c r="I20" i="11"/>
  <c r="J20" i="11"/>
  <c r="K20" i="11"/>
  <c r="L20" i="11"/>
  <c r="M20" i="11"/>
  <c r="E21" i="11"/>
  <c r="F21" i="11"/>
  <c r="G21" i="11"/>
  <c r="H21" i="11"/>
  <c r="I21" i="11"/>
  <c r="J21" i="11"/>
  <c r="K21" i="11"/>
  <c r="L21" i="11"/>
  <c r="M21" i="11"/>
  <c r="E22" i="11"/>
  <c r="F22" i="11"/>
  <c r="G22" i="11"/>
  <c r="H22" i="11"/>
  <c r="I22" i="11"/>
  <c r="J22" i="11"/>
  <c r="K22" i="11"/>
  <c r="L22" i="11"/>
  <c r="M22" i="11"/>
  <c r="E23" i="11"/>
  <c r="F23" i="11"/>
  <c r="G23" i="11"/>
  <c r="H23" i="11"/>
  <c r="I23" i="11"/>
  <c r="K23" i="11"/>
  <c r="L23" i="11"/>
  <c r="AZ238" i="5"/>
  <c r="AY238" i="5"/>
  <c r="AW238" i="5"/>
  <c r="AV238" i="5"/>
  <c r="AU238" i="5"/>
  <c r="AT238" i="5"/>
  <c r="AS238" i="5"/>
  <c r="BA236" i="5"/>
  <c r="AZ236" i="5"/>
  <c r="AY236" i="5"/>
  <c r="AX236" i="5"/>
  <c r="AW236" i="5"/>
  <c r="AV236" i="5"/>
  <c r="AU236" i="5"/>
  <c r="AT236" i="5"/>
  <c r="AS236" i="5"/>
  <c r="AZ230" i="5"/>
  <c r="AY230" i="5"/>
  <c r="AW230" i="5"/>
  <c r="AV230" i="5"/>
  <c r="AU230" i="5"/>
  <c r="AT230" i="5"/>
  <c r="AS230" i="5"/>
  <c r="AW234" i="5"/>
  <c r="AZ234" i="5"/>
  <c r="A53" i="10"/>
  <c r="K46" i="10"/>
  <c r="J46" i="10"/>
  <c r="I46" i="10"/>
  <c r="H46" i="10"/>
  <c r="G46" i="10"/>
  <c r="F46" i="10"/>
  <c r="E46" i="10"/>
  <c r="C80" i="16"/>
  <c r="J79" i="16"/>
  <c r="J78" i="16"/>
  <c r="J77" i="16"/>
  <c r="C75" i="16"/>
  <c r="I74" i="16"/>
  <c r="J74" i="16" s="1"/>
  <c r="E73" i="16"/>
  <c r="E72" i="16"/>
  <c r="I71" i="16"/>
  <c r="J71" i="16" s="1"/>
  <c r="J70" i="16"/>
  <c r="C67" i="16"/>
  <c r="J66" i="16"/>
  <c r="I66" i="16"/>
  <c r="H66" i="16"/>
  <c r="G66" i="16"/>
  <c r="N64" i="16"/>
  <c r="J64" i="16"/>
  <c r="N63" i="16"/>
  <c r="H63" i="16"/>
  <c r="N62" i="16"/>
  <c r="J62" i="16"/>
  <c r="C60" i="16"/>
  <c r="N59" i="16"/>
  <c r="J59" i="16"/>
  <c r="N58" i="16"/>
  <c r="J58" i="16"/>
  <c r="C56" i="16"/>
  <c r="N55" i="16"/>
  <c r="J55" i="16"/>
  <c r="J54" i="16"/>
  <c r="F52" i="16"/>
  <c r="F56" i="16" s="1"/>
  <c r="F60" i="16" s="1"/>
  <c r="F51" i="16"/>
  <c r="E51" i="16"/>
  <c r="C51" i="16"/>
  <c r="M50" i="16"/>
  <c r="L50" i="16"/>
  <c r="K50" i="16"/>
  <c r="J50" i="16"/>
  <c r="I50" i="16"/>
  <c r="H50" i="16"/>
  <c r="G50" i="16"/>
  <c r="C40" i="16"/>
  <c r="M39" i="16"/>
  <c r="L39" i="16"/>
  <c r="H39" i="16"/>
  <c r="F39" i="16"/>
  <c r="C39" i="16"/>
  <c r="C38" i="16"/>
  <c r="M35" i="16"/>
  <c r="L35" i="16"/>
  <c r="J35" i="16"/>
  <c r="I35" i="16"/>
  <c r="H35" i="16"/>
  <c r="M34" i="16"/>
  <c r="N34" i="16" s="1"/>
  <c r="L34" i="16"/>
  <c r="J34" i="16"/>
  <c r="I34" i="16"/>
  <c r="H34" i="16"/>
  <c r="M33" i="16"/>
  <c r="N33" i="16" s="1"/>
  <c r="L33" i="16"/>
  <c r="J33" i="16"/>
  <c r="I33" i="16"/>
  <c r="H33" i="16"/>
  <c r="M32" i="16"/>
  <c r="N32" i="16" s="1"/>
  <c r="L32" i="16"/>
  <c r="J32" i="16"/>
  <c r="I32" i="16"/>
  <c r="H32" i="16"/>
  <c r="M30" i="16"/>
  <c r="L30" i="16"/>
  <c r="J30" i="16"/>
  <c r="I30" i="16"/>
  <c r="H30" i="16"/>
  <c r="M29" i="16"/>
  <c r="N29" i="16" s="1"/>
  <c r="L29" i="16"/>
  <c r="J29" i="16"/>
  <c r="I29" i="16"/>
  <c r="H29" i="16"/>
  <c r="M28" i="16"/>
  <c r="N28" i="16" s="1"/>
  <c r="L28" i="16"/>
  <c r="J28" i="16"/>
  <c r="I28" i="16"/>
  <c r="H28" i="16"/>
  <c r="M27" i="16"/>
  <c r="N27" i="16" s="1"/>
  <c r="L27" i="16"/>
  <c r="J27" i="16"/>
  <c r="I27" i="16"/>
  <c r="H27" i="16"/>
  <c r="M26" i="16"/>
  <c r="L26" i="16"/>
  <c r="J26" i="16"/>
  <c r="I26" i="16"/>
  <c r="H26" i="16"/>
  <c r="M25" i="16"/>
  <c r="N25" i="16" s="1"/>
  <c r="L25" i="16"/>
  <c r="J25" i="16"/>
  <c r="I25" i="16"/>
  <c r="H25" i="16"/>
  <c r="M24" i="16"/>
  <c r="N24" i="16" s="1"/>
  <c r="L24" i="16"/>
  <c r="J24" i="16"/>
  <c r="I24" i="16"/>
  <c r="H24" i="16"/>
  <c r="M23" i="16"/>
  <c r="N23" i="16" s="1"/>
  <c r="L23" i="16"/>
  <c r="J23" i="16"/>
  <c r="I23" i="16"/>
  <c r="H23" i="16"/>
  <c r="M22" i="16"/>
  <c r="L22" i="16"/>
  <c r="J22" i="16"/>
  <c r="I22" i="16"/>
  <c r="H22" i="16"/>
  <c r="M21" i="16"/>
  <c r="N21" i="16" s="1"/>
  <c r="L21" i="16"/>
  <c r="J21" i="16"/>
  <c r="I21" i="16"/>
  <c r="H21" i="16"/>
  <c r="M20" i="16"/>
  <c r="N20" i="16" s="1"/>
  <c r="L20" i="16"/>
  <c r="J20" i="16"/>
  <c r="I20" i="16"/>
  <c r="H20" i="16"/>
  <c r="C15" i="16"/>
  <c r="AC11" i="16"/>
  <c r="M8" i="16"/>
  <c r="L8" i="16"/>
  <c r="K8" i="16"/>
  <c r="J8" i="16"/>
  <c r="I8" i="16"/>
  <c r="H8" i="16"/>
  <c r="G8" i="16"/>
  <c r="A42" i="10"/>
  <c r="K35" i="10"/>
  <c r="J35" i="10"/>
  <c r="I35" i="10"/>
  <c r="H35" i="10"/>
  <c r="G35" i="10"/>
  <c r="F35" i="10"/>
  <c r="E35" i="10"/>
  <c r="C80" i="15"/>
  <c r="J79" i="15"/>
  <c r="J78" i="15"/>
  <c r="J77" i="15"/>
  <c r="C75" i="15"/>
  <c r="I74" i="15"/>
  <c r="J74" i="15" s="1"/>
  <c r="E73" i="15"/>
  <c r="E72" i="15"/>
  <c r="I71" i="15"/>
  <c r="J71" i="15" s="1"/>
  <c r="J70" i="15"/>
  <c r="C67" i="15"/>
  <c r="J66" i="15"/>
  <c r="I66" i="15"/>
  <c r="H66" i="15"/>
  <c r="G66" i="15"/>
  <c r="N64" i="15"/>
  <c r="J64" i="15"/>
  <c r="N63" i="15"/>
  <c r="H63" i="15"/>
  <c r="N62" i="15"/>
  <c r="J62" i="15"/>
  <c r="C60" i="15"/>
  <c r="N59" i="15"/>
  <c r="J59" i="15"/>
  <c r="N58" i="15"/>
  <c r="J58" i="15"/>
  <c r="C56" i="15"/>
  <c r="N55" i="15"/>
  <c r="J55" i="15"/>
  <c r="J54" i="15"/>
  <c r="F51" i="15"/>
  <c r="F52" i="15" s="1"/>
  <c r="F56" i="15" s="1"/>
  <c r="F60" i="15" s="1"/>
  <c r="E51" i="15"/>
  <c r="C51" i="15"/>
  <c r="M50" i="15"/>
  <c r="L50" i="15"/>
  <c r="K50" i="15"/>
  <c r="J50" i="15"/>
  <c r="I50" i="15"/>
  <c r="H50" i="15"/>
  <c r="G50" i="15"/>
  <c r="C40" i="15"/>
  <c r="M39" i="15"/>
  <c r="L39" i="15"/>
  <c r="H39" i="15"/>
  <c r="F39" i="15"/>
  <c r="C39" i="15"/>
  <c r="C38" i="15"/>
  <c r="M35" i="15"/>
  <c r="N35" i="15" s="1"/>
  <c r="L35" i="15"/>
  <c r="J35" i="15"/>
  <c r="I35" i="15"/>
  <c r="H35" i="15"/>
  <c r="M34" i="15"/>
  <c r="L34" i="15"/>
  <c r="J34" i="15"/>
  <c r="I34" i="15"/>
  <c r="H34" i="15"/>
  <c r="M33" i="15"/>
  <c r="L33" i="15"/>
  <c r="J33" i="15"/>
  <c r="I33" i="15"/>
  <c r="H33" i="15"/>
  <c r="M32" i="15"/>
  <c r="L32" i="15"/>
  <c r="J32" i="15"/>
  <c r="I32" i="15"/>
  <c r="H32" i="15"/>
  <c r="M30" i="15"/>
  <c r="L30" i="15"/>
  <c r="J30" i="15"/>
  <c r="I30" i="15"/>
  <c r="H30" i="15"/>
  <c r="M29" i="15"/>
  <c r="L29" i="15"/>
  <c r="J29" i="15"/>
  <c r="I29" i="15"/>
  <c r="H29" i="15"/>
  <c r="M28" i="15"/>
  <c r="L28" i="15"/>
  <c r="J28" i="15"/>
  <c r="I28" i="15"/>
  <c r="H28" i="15"/>
  <c r="M27" i="15"/>
  <c r="L27" i="15"/>
  <c r="J27" i="15"/>
  <c r="I27" i="15"/>
  <c r="H27" i="15"/>
  <c r="M26" i="15"/>
  <c r="L26" i="15"/>
  <c r="J26" i="15"/>
  <c r="I26" i="15"/>
  <c r="H26" i="15"/>
  <c r="M25" i="15"/>
  <c r="L25" i="15"/>
  <c r="J25" i="15"/>
  <c r="I25" i="15"/>
  <c r="H25" i="15"/>
  <c r="M24" i="15"/>
  <c r="L24" i="15"/>
  <c r="J24" i="15"/>
  <c r="I24" i="15"/>
  <c r="H24" i="15"/>
  <c r="M23" i="15"/>
  <c r="L23" i="15"/>
  <c r="J23" i="15"/>
  <c r="I23" i="15"/>
  <c r="H23" i="15"/>
  <c r="M22" i="15"/>
  <c r="L22" i="15"/>
  <c r="J22" i="15"/>
  <c r="I22" i="15"/>
  <c r="H22" i="15"/>
  <c r="M21" i="15"/>
  <c r="L21" i="15"/>
  <c r="J21" i="15"/>
  <c r="I21" i="15"/>
  <c r="H21" i="15"/>
  <c r="M20" i="15"/>
  <c r="L20" i="15"/>
  <c r="J20" i="15"/>
  <c r="I20" i="15"/>
  <c r="H20" i="15"/>
  <c r="C15" i="15"/>
  <c r="AC11" i="15"/>
  <c r="M8" i="15"/>
  <c r="L8" i="15"/>
  <c r="K8" i="15"/>
  <c r="J8" i="15"/>
  <c r="I8" i="15"/>
  <c r="H8" i="15"/>
  <c r="G8" i="15"/>
  <c r="F31" i="10"/>
  <c r="E31" i="10"/>
  <c r="J32" i="10"/>
  <c r="A31" i="10"/>
  <c r="K24" i="10"/>
  <c r="J24" i="10"/>
  <c r="I24" i="10"/>
  <c r="H24" i="10"/>
  <c r="G24" i="10"/>
  <c r="F24" i="10"/>
  <c r="E24" i="10"/>
  <c r="C80" i="14"/>
  <c r="J79" i="14"/>
  <c r="J78" i="14"/>
  <c r="J77" i="14"/>
  <c r="C75" i="14"/>
  <c r="I74" i="14"/>
  <c r="J74" i="14" s="1"/>
  <c r="E73" i="14"/>
  <c r="E72" i="14"/>
  <c r="I71" i="14"/>
  <c r="J71" i="14" s="1"/>
  <c r="J70" i="14"/>
  <c r="C67" i="14"/>
  <c r="J66" i="14"/>
  <c r="I66" i="14"/>
  <c r="H66" i="14"/>
  <c r="G66" i="14"/>
  <c r="N64" i="14"/>
  <c r="J64" i="14"/>
  <c r="N63" i="14"/>
  <c r="H63" i="14"/>
  <c r="N62" i="14"/>
  <c r="J62" i="14"/>
  <c r="C60" i="14"/>
  <c r="N59" i="14"/>
  <c r="J59" i="14"/>
  <c r="N58" i="14"/>
  <c r="J58" i="14"/>
  <c r="C56" i="14"/>
  <c r="N55" i="14"/>
  <c r="J55" i="14"/>
  <c r="J54" i="14"/>
  <c r="F51" i="14"/>
  <c r="E51" i="14"/>
  <c r="I51" i="14" s="1"/>
  <c r="C51" i="14"/>
  <c r="M50" i="14"/>
  <c r="L50" i="14"/>
  <c r="K50" i="14"/>
  <c r="J50" i="14"/>
  <c r="I50" i="14"/>
  <c r="H50" i="14"/>
  <c r="G50" i="14"/>
  <c r="C40" i="14"/>
  <c r="M39" i="14"/>
  <c r="L39" i="14"/>
  <c r="H39" i="14"/>
  <c r="F39" i="14"/>
  <c r="C39" i="14"/>
  <c r="C38" i="14"/>
  <c r="M35" i="14"/>
  <c r="L35" i="14"/>
  <c r="J35" i="14"/>
  <c r="I35" i="14"/>
  <c r="H35" i="14"/>
  <c r="M34" i="14"/>
  <c r="L34" i="14"/>
  <c r="J34" i="14"/>
  <c r="I34" i="14"/>
  <c r="H34" i="14"/>
  <c r="M33" i="14"/>
  <c r="L33" i="14"/>
  <c r="J33" i="14"/>
  <c r="I33" i="14"/>
  <c r="H33" i="14"/>
  <c r="M32" i="14"/>
  <c r="L32" i="14"/>
  <c r="J32" i="14"/>
  <c r="I32" i="14"/>
  <c r="H32" i="14"/>
  <c r="M30" i="14"/>
  <c r="N30" i="14" s="1"/>
  <c r="L30" i="14"/>
  <c r="J30" i="14"/>
  <c r="I30" i="14"/>
  <c r="H30" i="14"/>
  <c r="M29" i="14"/>
  <c r="L29" i="14"/>
  <c r="J29" i="14"/>
  <c r="I29" i="14"/>
  <c r="H29" i="14"/>
  <c r="M28" i="14"/>
  <c r="L28" i="14"/>
  <c r="J28" i="14"/>
  <c r="I28" i="14"/>
  <c r="H28" i="14"/>
  <c r="M27" i="14"/>
  <c r="L27" i="14"/>
  <c r="J27" i="14"/>
  <c r="I27" i="14"/>
  <c r="H27" i="14"/>
  <c r="M26" i="14"/>
  <c r="L26" i="14"/>
  <c r="N26" i="14" s="1"/>
  <c r="J26" i="14"/>
  <c r="I26" i="14"/>
  <c r="H26" i="14"/>
  <c r="M25" i="14"/>
  <c r="L25" i="14"/>
  <c r="J25" i="14"/>
  <c r="I25" i="14"/>
  <c r="H25" i="14"/>
  <c r="M24" i="14"/>
  <c r="L24" i="14"/>
  <c r="J24" i="14"/>
  <c r="I24" i="14"/>
  <c r="H24" i="14"/>
  <c r="M23" i="14"/>
  <c r="L23" i="14"/>
  <c r="J23" i="14"/>
  <c r="I23" i="14"/>
  <c r="H23" i="14"/>
  <c r="M22" i="14"/>
  <c r="L22" i="14"/>
  <c r="J22" i="14"/>
  <c r="I22" i="14"/>
  <c r="H22" i="14"/>
  <c r="M21" i="14"/>
  <c r="L21" i="14"/>
  <c r="J21" i="14"/>
  <c r="I21" i="14"/>
  <c r="H21" i="14"/>
  <c r="M20" i="14"/>
  <c r="L20" i="14"/>
  <c r="J20" i="14"/>
  <c r="I20" i="14"/>
  <c r="H20" i="14"/>
  <c r="L16" i="14"/>
  <c r="H15" i="14"/>
  <c r="G15" i="14"/>
  <c r="C15" i="14"/>
  <c r="AC11" i="14"/>
  <c r="M8" i="14"/>
  <c r="L8" i="14"/>
  <c r="K8" i="14"/>
  <c r="J8" i="14"/>
  <c r="I8" i="14"/>
  <c r="H8" i="14"/>
  <c r="G8" i="14"/>
  <c r="CM208" i="5"/>
  <c r="CM209" i="5" s="1"/>
  <c r="CL208" i="5"/>
  <c r="CL209" i="5" s="1"/>
  <c r="CK208" i="5"/>
  <c r="CK209" i="5" s="1"/>
  <c r="M12" i="14" s="1"/>
  <c r="M40" i="14" s="1"/>
  <c r="CJ208" i="5"/>
  <c r="CJ209" i="5" s="1"/>
  <c r="M10" i="14" s="1"/>
  <c r="CI208" i="5"/>
  <c r="CI209" i="5" s="1"/>
  <c r="CH208" i="5"/>
  <c r="CH209" i="5" s="1"/>
  <c r="CG208" i="5"/>
  <c r="CG209" i="5" s="1"/>
  <c r="CF208" i="5"/>
  <c r="CF209" i="5" s="1"/>
  <c r="CE208" i="5"/>
  <c r="CE209" i="5" s="1"/>
  <c r="CD208" i="5"/>
  <c r="CD209" i="5" s="1"/>
  <c r="CC208" i="5"/>
  <c r="CC209" i="5" s="1"/>
  <c r="CB208" i="5"/>
  <c r="CB209" i="5" s="1"/>
  <c r="CA208" i="5"/>
  <c r="CA209" i="5" s="1"/>
  <c r="L12" i="14" s="1"/>
  <c r="BZ208" i="5"/>
  <c r="BZ209" i="5" s="1"/>
  <c r="J26" i="10" s="1"/>
  <c r="BY208" i="5"/>
  <c r="BY209" i="5" s="1"/>
  <c r="BX208" i="5"/>
  <c r="BX209" i="5" s="1"/>
  <c r="BW208" i="5"/>
  <c r="BW209" i="5" s="1"/>
  <c r="BV208" i="5"/>
  <c r="BV209" i="5" s="1"/>
  <c r="BU208" i="5"/>
  <c r="BU209" i="5" s="1"/>
  <c r="BT208" i="5"/>
  <c r="BT209" i="5" s="1"/>
  <c r="BS208" i="5"/>
  <c r="BS209" i="5" s="1"/>
  <c r="BR208" i="5"/>
  <c r="BR209" i="5" s="1"/>
  <c r="BQ208" i="5"/>
  <c r="BQ209" i="5" s="1"/>
  <c r="BP208" i="5"/>
  <c r="BP209" i="5" s="1"/>
  <c r="BO208" i="5"/>
  <c r="BO209" i="5" s="1"/>
  <c r="BN208" i="5"/>
  <c r="BN209" i="5" s="1"/>
  <c r="BM208" i="5"/>
  <c r="BM209" i="5" s="1"/>
  <c r="G28" i="10" s="1"/>
  <c r="BL208" i="5"/>
  <c r="BL209" i="5" s="1"/>
  <c r="G26" i="10" s="1"/>
  <c r="BK208" i="5"/>
  <c r="BK209" i="5" s="1"/>
  <c r="BJ208" i="5"/>
  <c r="BJ209" i="5" s="1"/>
  <c r="BI208" i="5"/>
  <c r="BI209" i="5" s="1"/>
  <c r="BH208" i="5"/>
  <c r="BH209" i="5" s="1"/>
  <c r="BG208" i="5"/>
  <c r="BG209" i="5" s="1"/>
  <c r="BF208" i="5"/>
  <c r="BF209" i="5" s="1"/>
  <c r="BE208" i="5"/>
  <c r="BE209" i="5" s="1"/>
  <c r="BD208" i="5"/>
  <c r="BD209" i="5" s="1"/>
  <c r="BC208" i="5"/>
  <c r="BC209" i="5" s="1"/>
  <c r="BB208" i="5"/>
  <c r="BB209" i="5" s="1"/>
  <c r="H10" i="14" s="1"/>
  <c r="BA208" i="5"/>
  <c r="BA209" i="5" s="1"/>
  <c r="AZ208" i="5"/>
  <c r="AZ209" i="5" s="1"/>
  <c r="AY208" i="5"/>
  <c r="AY209" i="5" s="1"/>
  <c r="AX208" i="5"/>
  <c r="AX209" i="5" s="1"/>
  <c r="AW208" i="5"/>
  <c r="AW209" i="5" s="1"/>
  <c r="AV208" i="5"/>
  <c r="AV209" i="5" s="1"/>
  <c r="AU208" i="5"/>
  <c r="AU209" i="5" s="1"/>
  <c r="AT208" i="5"/>
  <c r="AT209" i="5" s="1"/>
  <c r="AS208" i="5"/>
  <c r="AS209" i="5" s="1"/>
  <c r="A20" i="10"/>
  <c r="K13" i="10"/>
  <c r="J13" i="10"/>
  <c r="I13" i="10"/>
  <c r="H13" i="10"/>
  <c r="G13" i="10"/>
  <c r="F13" i="10"/>
  <c r="E13" i="10"/>
  <c r="C80" i="13"/>
  <c r="J79" i="13"/>
  <c r="J78" i="13"/>
  <c r="J77" i="13"/>
  <c r="C75" i="13"/>
  <c r="I74" i="13"/>
  <c r="J74" i="13" s="1"/>
  <c r="E73" i="13"/>
  <c r="E72" i="13"/>
  <c r="I71" i="13"/>
  <c r="J71" i="13" s="1"/>
  <c r="J70" i="13"/>
  <c r="C67" i="13"/>
  <c r="J66" i="13"/>
  <c r="I66" i="13"/>
  <c r="H66" i="13"/>
  <c r="G66" i="13"/>
  <c r="N64" i="13"/>
  <c r="J64" i="13"/>
  <c r="N63" i="13"/>
  <c r="H63" i="13"/>
  <c r="N62" i="13"/>
  <c r="J62" i="13"/>
  <c r="C60" i="13"/>
  <c r="N59" i="13"/>
  <c r="J59" i="13"/>
  <c r="N58" i="13"/>
  <c r="J58" i="13"/>
  <c r="C56" i="13"/>
  <c r="N55" i="13"/>
  <c r="J55" i="13"/>
  <c r="J54" i="13"/>
  <c r="F51" i="13"/>
  <c r="E51" i="13"/>
  <c r="C51" i="13"/>
  <c r="M50" i="13"/>
  <c r="L50" i="13"/>
  <c r="K50" i="13"/>
  <c r="J50" i="13"/>
  <c r="I50" i="13"/>
  <c r="H50" i="13"/>
  <c r="G50" i="13"/>
  <c r="C40" i="13"/>
  <c r="M39" i="13"/>
  <c r="L39" i="13"/>
  <c r="H39" i="13"/>
  <c r="F39" i="13"/>
  <c r="C39" i="13"/>
  <c r="C38" i="13"/>
  <c r="M35" i="13"/>
  <c r="L35" i="13"/>
  <c r="J35" i="13"/>
  <c r="I35" i="13"/>
  <c r="H35" i="13"/>
  <c r="M34" i="13"/>
  <c r="L34" i="13"/>
  <c r="J34" i="13"/>
  <c r="I34" i="13"/>
  <c r="H34" i="13"/>
  <c r="M33" i="13"/>
  <c r="L33" i="13"/>
  <c r="J33" i="13"/>
  <c r="I33" i="13"/>
  <c r="H33" i="13"/>
  <c r="M32" i="13"/>
  <c r="L32" i="13"/>
  <c r="J32" i="13"/>
  <c r="I32" i="13"/>
  <c r="H32" i="13"/>
  <c r="M30" i="13"/>
  <c r="L30" i="13"/>
  <c r="J30" i="13"/>
  <c r="I30" i="13"/>
  <c r="H30" i="13"/>
  <c r="M29" i="13"/>
  <c r="L29" i="13"/>
  <c r="J29" i="13"/>
  <c r="I29" i="13"/>
  <c r="H29" i="13"/>
  <c r="M28" i="13"/>
  <c r="L28" i="13"/>
  <c r="J28" i="13"/>
  <c r="I28" i="13"/>
  <c r="H28" i="13"/>
  <c r="M27" i="13"/>
  <c r="L27" i="13"/>
  <c r="J27" i="13"/>
  <c r="I27" i="13"/>
  <c r="H27" i="13"/>
  <c r="M26" i="13"/>
  <c r="L26" i="13"/>
  <c r="J26" i="13"/>
  <c r="I26" i="13"/>
  <c r="H26" i="13"/>
  <c r="M25" i="13"/>
  <c r="L25" i="13"/>
  <c r="J25" i="13"/>
  <c r="I25" i="13"/>
  <c r="H25" i="13"/>
  <c r="M24" i="13"/>
  <c r="L24" i="13"/>
  <c r="J24" i="13"/>
  <c r="I24" i="13"/>
  <c r="H24" i="13"/>
  <c r="M23" i="13"/>
  <c r="L23" i="13"/>
  <c r="J23" i="13"/>
  <c r="I23" i="13"/>
  <c r="H23" i="13"/>
  <c r="M22" i="13"/>
  <c r="L22" i="13"/>
  <c r="J22" i="13"/>
  <c r="I22" i="13"/>
  <c r="H22" i="13"/>
  <c r="M21" i="13"/>
  <c r="L21" i="13"/>
  <c r="J21" i="13"/>
  <c r="I21" i="13"/>
  <c r="H21" i="13"/>
  <c r="M20" i="13"/>
  <c r="L20" i="13"/>
  <c r="J20" i="13"/>
  <c r="I20" i="13"/>
  <c r="H20" i="13"/>
  <c r="C15" i="13"/>
  <c r="AC11" i="13"/>
  <c r="M8" i="13"/>
  <c r="L8" i="13"/>
  <c r="K8" i="13"/>
  <c r="J8" i="13"/>
  <c r="I8" i="13"/>
  <c r="H8" i="13"/>
  <c r="G8" i="13"/>
  <c r="A9" i="10"/>
  <c r="K2" i="10"/>
  <c r="J2" i="10"/>
  <c r="I2" i="10"/>
  <c r="H2" i="10"/>
  <c r="G2" i="10"/>
  <c r="F2" i="10"/>
  <c r="E2" i="10"/>
  <c r="C80" i="12"/>
  <c r="J79" i="12"/>
  <c r="J78" i="12"/>
  <c r="J77" i="12"/>
  <c r="C75" i="12"/>
  <c r="I74" i="12"/>
  <c r="J74" i="12" s="1"/>
  <c r="E73" i="12"/>
  <c r="E72" i="12"/>
  <c r="I71" i="12"/>
  <c r="J71" i="12" s="1"/>
  <c r="J70" i="12"/>
  <c r="C67" i="12"/>
  <c r="J66" i="12"/>
  <c r="I66" i="12"/>
  <c r="H66" i="12"/>
  <c r="G66" i="12"/>
  <c r="N64" i="12"/>
  <c r="J64" i="12"/>
  <c r="N63" i="12"/>
  <c r="H63" i="12"/>
  <c r="N62" i="12"/>
  <c r="J62" i="12"/>
  <c r="C60" i="12"/>
  <c r="N59" i="12"/>
  <c r="J59" i="12"/>
  <c r="N58" i="12"/>
  <c r="J58" i="12"/>
  <c r="C56" i="12"/>
  <c r="N55" i="12"/>
  <c r="J55" i="12"/>
  <c r="J54" i="12"/>
  <c r="F51" i="12"/>
  <c r="F52" i="12" s="1"/>
  <c r="F56" i="12" s="1"/>
  <c r="F60" i="12" s="1"/>
  <c r="E51" i="12"/>
  <c r="C51" i="12"/>
  <c r="M50" i="12"/>
  <c r="L50" i="12"/>
  <c r="K50" i="12"/>
  <c r="J50" i="12"/>
  <c r="I50" i="12"/>
  <c r="H50" i="12"/>
  <c r="G50" i="12"/>
  <c r="C40" i="12"/>
  <c r="M39" i="12"/>
  <c r="L39" i="12"/>
  <c r="H39" i="12"/>
  <c r="F39" i="12"/>
  <c r="C39" i="12"/>
  <c r="C38" i="12"/>
  <c r="M35" i="12"/>
  <c r="L35" i="12"/>
  <c r="J35" i="12"/>
  <c r="I35" i="12"/>
  <c r="H35" i="12"/>
  <c r="M34" i="12"/>
  <c r="L34" i="12"/>
  <c r="J34" i="12"/>
  <c r="I34" i="12"/>
  <c r="H34" i="12"/>
  <c r="M33" i="12"/>
  <c r="L33" i="12"/>
  <c r="J33" i="12"/>
  <c r="I33" i="12"/>
  <c r="H33" i="12"/>
  <c r="M32" i="12"/>
  <c r="L32" i="12"/>
  <c r="J32" i="12"/>
  <c r="I32" i="12"/>
  <c r="H32" i="12"/>
  <c r="M30" i="12"/>
  <c r="N30" i="12" s="1"/>
  <c r="L30" i="12"/>
  <c r="J30" i="12"/>
  <c r="I30" i="12"/>
  <c r="H30" i="12"/>
  <c r="M29" i="12"/>
  <c r="L29" i="12"/>
  <c r="J29" i="12"/>
  <c r="I29" i="12"/>
  <c r="H29" i="12"/>
  <c r="M28" i="12"/>
  <c r="N28" i="12" s="1"/>
  <c r="L28" i="12"/>
  <c r="J28" i="12"/>
  <c r="I28" i="12"/>
  <c r="H28" i="12"/>
  <c r="M27" i="12"/>
  <c r="L27" i="12"/>
  <c r="J27" i="12"/>
  <c r="I27" i="12"/>
  <c r="H27" i="12"/>
  <c r="M26" i="12"/>
  <c r="L26" i="12"/>
  <c r="J26" i="12"/>
  <c r="I26" i="12"/>
  <c r="H26" i="12"/>
  <c r="M25" i="12"/>
  <c r="L25" i="12"/>
  <c r="J25" i="12"/>
  <c r="I25" i="12"/>
  <c r="H25" i="12"/>
  <c r="M24" i="12"/>
  <c r="L24" i="12"/>
  <c r="J24" i="12"/>
  <c r="I24" i="12"/>
  <c r="H24" i="12"/>
  <c r="M23" i="12"/>
  <c r="L23" i="12"/>
  <c r="J23" i="12"/>
  <c r="I23" i="12"/>
  <c r="H23" i="12"/>
  <c r="M22" i="12"/>
  <c r="N22" i="12" s="1"/>
  <c r="L22" i="12"/>
  <c r="J22" i="12"/>
  <c r="I22" i="12"/>
  <c r="H22" i="12"/>
  <c r="M21" i="12"/>
  <c r="L21" i="12"/>
  <c r="J21" i="12"/>
  <c r="I21" i="12"/>
  <c r="H21" i="12"/>
  <c r="M20" i="12"/>
  <c r="L20" i="12"/>
  <c r="J20" i="12"/>
  <c r="I20" i="12"/>
  <c r="H20" i="12"/>
  <c r="C15" i="12"/>
  <c r="AC11" i="12"/>
  <c r="M8" i="12"/>
  <c r="L8" i="12"/>
  <c r="K8" i="12"/>
  <c r="J8" i="12"/>
  <c r="I8" i="12"/>
  <c r="H8" i="12"/>
  <c r="G8" i="12"/>
  <c r="CN3" i="5"/>
  <c r="CN4" i="5"/>
  <c r="CN5" i="5"/>
  <c r="CN6" i="5"/>
  <c r="CN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N71" i="5"/>
  <c r="CN72" i="5"/>
  <c r="CN73" i="5"/>
  <c r="CN74" i="5"/>
  <c r="CN75" i="5"/>
  <c r="CN76" i="5"/>
  <c r="CN77" i="5"/>
  <c r="CN78" i="5"/>
  <c r="CN79" i="5"/>
  <c r="CN80" i="5"/>
  <c r="CN81" i="5"/>
  <c r="CN82" i="5"/>
  <c r="CN83" i="5"/>
  <c r="CN84" i="5"/>
  <c r="CN85" i="5"/>
  <c r="CN86" i="5"/>
  <c r="CN87" i="5"/>
  <c r="CN88" i="5"/>
  <c r="CN89" i="5"/>
  <c r="CN90" i="5"/>
  <c r="CN91" i="5"/>
  <c r="CN92" i="5"/>
  <c r="CN93" i="5"/>
  <c r="CN94" i="5"/>
  <c r="CN95" i="5"/>
  <c r="CN96" i="5"/>
  <c r="CN97" i="5"/>
  <c r="CN98" i="5"/>
  <c r="CN99" i="5"/>
  <c r="CN100" i="5"/>
  <c r="CN101" i="5"/>
  <c r="CN102" i="5"/>
  <c r="CN103" i="5"/>
  <c r="CN104" i="5"/>
  <c r="CN105" i="5"/>
  <c r="CN106" i="5"/>
  <c r="CN107" i="5"/>
  <c r="CN108" i="5"/>
  <c r="CN109" i="5"/>
  <c r="CN110" i="5"/>
  <c r="CN111" i="5"/>
  <c r="CN112" i="5"/>
  <c r="CN113" i="5"/>
  <c r="CN114" i="5"/>
  <c r="CN115" i="5"/>
  <c r="CN116" i="5"/>
  <c r="CN117" i="5"/>
  <c r="CN118" i="5"/>
  <c r="CN119" i="5"/>
  <c r="CN120" i="5"/>
  <c r="CN121" i="5"/>
  <c r="CN122" i="5"/>
  <c r="CN123" i="5"/>
  <c r="CN124" i="5"/>
  <c r="CN125" i="5"/>
  <c r="CN126" i="5"/>
  <c r="CN127" i="5"/>
  <c r="CN128" i="5"/>
  <c r="CN129" i="5"/>
  <c r="CN130" i="5"/>
  <c r="CN131" i="5"/>
  <c r="CN132" i="5"/>
  <c r="CN133" i="5"/>
  <c r="CN134" i="5"/>
  <c r="CN135" i="5"/>
  <c r="CN136" i="5"/>
  <c r="CN137" i="5"/>
  <c r="CN138" i="5"/>
  <c r="CN139" i="5"/>
  <c r="CN140" i="5"/>
  <c r="CN141" i="5"/>
  <c r="CN142" i="5"/>
  <c r="CN143" i="5"/>
  <c r="CN144" i="5"/>
  <c r="CN145" i="5"/>
  <c r="CN146" i="5"/>
  <c r="CN147" i="5"/>
  <c r="CN148" i="5"/>
  <c r="CN149" i="5"/>
  <c r="CN150" i="5"/>
  <c r="CN151" i="5"/>
  <c r="CN152" i="5"/>
  <c r="CN153" i="5"/>
  <c r="CN154" i="5"/>
  <c r="CN155" i="5"/>
  <c r="CN156" i="5"/>
  <c r="CN157" i="5"/>
  <c r="CN158" i="5"/>
  <c r="CN159" i="5"/>
  <c r="CN160" i="5"/>
  <c r="CN161" i="5"/>
  <c r="CN162" i="5"/>
  <c r="CN163" i="5"/>
  <c r="CN164" i="5"/>
  <c r="CN165" i="5"/>
  <c r="CN166" i="5"/>
  <c r="CN167" i="5"/>
  <c r="CN168" i="5"/>
  <c r="CN169" i="5"/>
  <c r="CN170" i="5"/>
  <c r="CN171" i="5"/>
  <c r="CN172" i="5"/>
  <c r="CN173" i="5"/>
  <c r="CN174" i="5"/>
  <c r="CN175" i="5"/>
  <c r="CN176" i="5"/>
  <c r="CN177" i="5"/>
  <c r="CN178" i="5"/>
  <c r="CN179" i="5"/>
  <c r="CN180" i="5"/>
  <c r="CN181" i="5"/>
  <c r="CN182" i="5"/>
  <c r="CN183" i="5"/>
  <c r="CN184" i="5"/>
  <c r="CN185" i="5"/>
  <c r="CN186" i="5"/>
  <c r="CN187" i="5"/>
  <c r="CN188" i="5"/>
  <c r="CN189" i="5"/>
  <c r="CN190" i="5"/>
  <c r="CN191" i="5"/>
  <c r="CN192" i="5"/>
  <c r="CN193" i="5"/>
  <c r="CN194" i="5"/>
  <c r="CN195" i="5"/>
  <c r="CN196" i="5"/>
  <c r="CN197" i="5"/>
  <c r="CN198" i="5"/>
  <c r="CN199" i="5"/>
  <c r="CN200" i="5"/>
  <c r="CN201" i="5"/>
  <c r="CN2" i="5"/>
  <c r="CM3" i="5"/>
  <c r="CM4" i="5"/>
  <c r="CM5" i="5"/>
  <c r="CM6" i="5"/>
  <c r="CM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M71" i="5"/>
  <c r="CM72" i="5"/>
  <c r="CM73" i="5"/>
  <c r="CM74" i="5"/>
  <c r="CM75" i="5"/>
  <c r="CM76" i="5"/>
  <c r="CM77" i="5"/>
  <c r="CM78" i="5"/>
  <c r="CM79" i="5"/>
  <c r="CM80" i="5"/>
  <c r="CM81" i="5"/>
  <c r="CM82" i="5"/>
  <c r="CM83" i="5"/>
  <c r="CM84" i="5"/>
  <c r="CM85" i="5"/>
  <c r="CM86" i="5"/>
  <c r="CM87" i="5"/>
  <c r="CM88" i="5"/>
  <c r="CM89" i="5"/>
  <c r="CM90" i="5"/>
  <c r="CM91" i="5"/>
  <c r="CM92" i="5"/>
  <c r="CM93" i="5"/>
  <c r="CM94" i="5"/>
  <c r="CM95" i="5"/>
  <c r="CM96" i="5"/>
  <c r="CM97" i="5"/>
  <c r="CM98" i="5"/>
  <c r="CM99" i="5"/>
  <c r="CM100" i="5"/>
  <c r="CM101" i="5"/>
  <c r="CM102" i="5"/>
  <c r="CM103" i="5"/>
  <c r="CM104" i="5"/>
  <c r="CM105" i="5"/>
  <c r="CM106" i="5"/>
  <c r="CM107" i="5"/>
  <c r="CM108" i="5"/>
  <c r="CM109" i="5"/>
  <c r="CM110" i="5"/>
  <c r="CM111" i="5"/>
  <c r="CM112" i="5"/>
  <c r="CM113" i="5"/>
  <c r="CM114" i="5"/>
  <c r="CM115" i="5"/>
  <c r="CM116" i="5"/>
  <c r="CM117" i="5"/>
  <c r="CM118" i="5"/>
  <c r="CM119" i="5"/>
  <c r="CM120" i="5"/>
  <c r="CM121" i="5"/>
  <c r="CM122" i="5"/>
  <c r="CM123" i="5"/>
  <c r="CM124" i="5"/>
  <c r="CM125" i="5"/>
  <c r="CM126" i="5"/>
  <c r="CM127" i="5"/>
  <c r="CM128" i="5"/>
  <c r="CM129" i="5"/>
  <c r="CM130" i="5"/>
  <c r="CM131" i="5"/>
  <c r="CM132" i="5"/>
  <c r="CM133" i="5"/>
  <c r="CM134" i="5"/>
  <c r="CM135" i="5"/>
  <c r="CM136" i="5"/>
  <c r="CM137" i="5"/>
  <c r="CM138" i="5"/>
  <c r="CM139" i="5"/>
  <c r="CM140" i="5"/>
  <c r="CM141" i="5"/>
  <c r="CM142" i="5"/>
  <c r="CM143" i="5"/>
  <c r="CM144" i="5"/>
  <c r="CM145" i="5"/>
  <c r="CM146" i="5"/>
  <c r="CM147" i="5"/>
  <c r="CM148" i="5"/>
  <c r="CM149" i="5"/>
  <c r="CM150" i="5"/>
  <c r="CM151" i="5"/>
  <c r="CM152" i="5"/>
  <c r="CM153" i="5"/>
  <c r="CM154" i="5"/>
  <c r="CM155" i="5"/>
  <c r="CM156" i="5"/>
  <c r="CM157" i="5"/>
  <c r="CM158" i="5"/>
  <c r="CM159" i="5"/>
  <c r="CM160" i="5"/>
  <c r="CM161" i="5"/>
  <c r="CM162" i="5"/>
  <c r="CM163" i="5"/>
  <c r="CM164" i="5"/>
  <c r="CM165" i="5"/>
  <c r="CM166" i="5"/>
  <c r="CM167" i="5"/>
  <c r="CM168" i="5"/>
  <c r="CM169" i="5"/>
  <c r="CM170" i="5"/>
  <c r="CM171" i="5"/>
  <c r="CM172" i="5"/>
  <c r="CM173" i="5"/>
  <c r="CM174" i="5"/>
  <c r="CM175" i="5"/>
  <c r="CM176" i="5"/>
  <c r="CM177" i="5"/>
  <c r="CM178" i="5"/>
  <c r="CM179" i="5"/>
  <c r="CM180" i="5"/>
  <c r="CM181" i="5"/>
  <c r="CM182" i="5"/>
  <c r="CM183" i="5"/>
  <c r="CM184" i="5"/>
  <c r="CM185" i="5"/>
  <c r="CM186" i="5"/>
  <c r="CM187" i="5"/>
  <c r="CM188" i="5"/>
  <c r="CM189" i="5"/>
  <c r="CM190" i="5"/>
  <c r="CM191" i="5"/>
  <c r="CM192" i="5"/>
  <c r="CM193" i="5"/>
  <c r="CM194" i="5"/>
  <c r="CM195" i="5"/>
  <c r="CM196" i="5"/>
  <c r="CM197" i="5"/>
  <c r="CM198" i="5"/>
  <c r="CM199" i="5"/>
  <c r="CM200" i="5"/>
  <c r="CM201" i="5"/>
  <c r="CM2" i="5"/>
  <c r="CL3" i="5"/>
  <c r="CL4" i="5"/>
  <c r="CL5" i="5"/>
  <c r="CL6" i="5"/>
  <c r="CL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L63" i="5"/>
  <c r="CL64" i="5"/>
  <c r="CL65" i="5"/>
  <c r="CL66" i="5"/>
  <c r="CL67" i="5"/>
  <c r="CL68" i="5"/>
  <c r="CL69" i="5"/>
  <c r="CL70" i="5"/>
  <c r="CL71" i="5"/>
  <c r="CL72" i="5"/>
  <c r="CL73" i="5"/>
  <c r="CL74" i="5"/>
  <c r="CL75" i="5"/>
  <c r="CL76" i="5"/>
  <c r="CL77" i="5"/>
  <c r="CL78" i="5"/>
  <c r="CL79" i="5"/>
  <c r="CL80" i="5"/>
  <c r="CL81" i="5"/>
  <c r="CL82" i="5"/>
  <c r="CL83" i="5"/>
  <c r="CL84" i="5"/>
  <c r="CL85" i="5"/>
  <c r="CL86" i="5"/>
  <c r="CL87" i="5"/>
  <c r="CL88" i="5"/>
  <c r="CL89" i="5"/>
  <c r="CL90" i="5"/>
  <c r="CL91" i="5"/>
  <c r="CL92" i="5"/>
  <c r="CL93" i="5"/>
  <c r="CL94" i="5"/>
  <c r="CL95" i="5"/>
  <c r="CL96" i="5"/>
  <c r="CL97" i="5"/>
  <c r="CL98" i="5"/>
  <c r="CL99" i="5"/>
  <c r="CL100" i="5"/>
  <c r="CL101" i="5"/>
  <c r="CL102" i="5"/>
  <c r="CL103" i="5"/>
  <c r="CL104" i="5"/>
  <c r="CL105" i="5"/>
  <c r="CL106" i="5"/>
  <c r="CL107" i="5"/>
  <c r="CL108" i="5"/>
  <c r="CL109" i="5"/>
  <c r="CL110" i="5"/>
  <c r="CL111" i="5"/>
  <c r="CL112" i="5"/>
  <c r="CL113" i="5"/>
  <c r="CL114" i="5"/>
  <c r="CL115" i="5"/>
  <c r="CL116" i="5"/>
  <c r="CL117" i="5"/>
  <c r="CL118" i="5"/>
  <c r="CL119" i="5"/>
  <c r="CL120" i="5"/>
  <c r="CL121" i="5"/>
  <c r="CL122" i="5"/>
  <c r="CL123" i="5"/>
  <c r="CL124" i="5"/>
  <c r="CL125" i="5"/>
  <c r="CL126" i="5"/>
  <c r="CL127" i="5"/>
  <c r="CL128" i="5"/>
  <c r="CL129" i="5"/>
  <c r="CL130" i="5"/>
  <c r="CL131" i="5"/>
  <c r="CL132" i="5"/>
  <c r="CL133" i="5"/>
  <c r="CL134" i="5"/>
  <c r="CL135" i="5"/>
  <c r="CL136" i="5"/>
  <c r="CL137" i="5"/>
  <c r="CL138" i="5"/>
  <c r="CL139" i="5"/>
  <c r="CL140" i="5"/>
  <c r="CL141" i="5"/>
  <c r="CL142" i="5"/>
  <c r="CL143" i="5"/>
  <c r="CL144" i="5"/>
  <c r="CL145" i="5"/>
  <c r="CL146" i="5"/>
  <c r="CL147" i="5"/>
  <c r="CL148" i="5"/>
  <c r="CL149" i="5"/>
  <c r="CL150" i="5"/>
  <c r="CL151" i="5"/>
  <c r="CL152" i="5"/>
  <c r="CL153" i="5"/>
  <c r="CL154" i="5"/>
  <c r="CL155" i="5"/>
  <c r="CL156" i="5"/>
  <c r="CL157" i="5"/>
  <c r="CL158" i="5"/>
  <c r="CL159" i="5"/>
  <c r="CL160" i="5"/>
  <c r="CL161" i="5"/>
  <c r="CL162" i="5"/>
  <c r="CL163" i="5"/>
  <c r="CL164" i="5"/>
  <c r="CL165" i="5"/>
  <c r="CL166" i="5"/>
  <c r="CL167" i="5"/>
  <c r="CL168" i="5"/>
  <c r="CL169" i="5"/>
  <c r="CL170" i="5"/>
  <c r="CL171" i="5"/>
  <c r="CL172" i="5"/>
  <c r="CL173" i="5"/>
  <c r="CL174" i="5"/>
  <c r="CL175" i="5"/>
  <c r="CL176" i="5"/>
  <c r="CL177" i="5"/>
  <c r="CL178" i="5"/>
  <c r="CL179" i="5"/>
  <c r="CL180" i="5"/>
  <c r="CL181" i="5"/>
  <c r="CL182" i="5"/>
  <c r="CL183" i="5"/>
  <c r="CL184" i="5"/>
  <c r="CL185" i="5"/>
  <c r="CL186" i="5"/>
  <c r="CL187" i="5"/>
  <c r="CL188" i="5"/>
  <c r="CL189" i="5"/>
  <c r="CL190" i="5"/>
  <c r="CL191" i="5"/>
  <c r="CL192" i="5"/>
  <c r="CL193" i="5"/>
  <c r="CL194" i="5"/>
  <c r="CL195" i="5"/>
  <c r="CL196" i="5"/>
  <c r="CL197" i="5"/>
  <c r="CL198" i="5"/>
  <c r="CL199" i="5"/>
  <c r="CL200" i="5"/>
  <c r="CL201" i="5"/>
  <c r="CL2" i="5"/>
  <c r="AW201" i="5"/>
  <c r="AW200" i="5"/>
  <c r="AW199" i="5"/>
  <c r="AW198" i="5"/>
  <c r="AW197" i="5"/>
  <c r="AW196" i="5"/>
  <c r="AW195" i="5"/>
  <c r="AW194" i="5"/>
  <c r="AW193" i="5"/>
  <c r="AW192" i="5"/>
  <c r="AW191" i="5"/>
  <c r="AW190" i="5"/>
  <c r="AW189" i="5"/>
  <c r="AW188" i="5"/>
  <c r="AW187" i="5"/>
  <c r="AW186" i="5"/>
  <c r="AW185" i="5"/>
  <c r="AW184" i="5"/>
  <c r="AW183" i="5"/>
  <c r="AW182" i="5"/>
  <c r="AW181" i="5"/>
  <c r="AW180" i="5"/>
  <c r="AW179" i="5"/>
  <c r="AW178" i="5"/>
  <c r="AW177" i="5"/>
  <c r="AW176" i="5"/>
  <c r="AW175" i="5"/>
  <c r="AW174" i="5"/>
  <c r="AW173" i="5"/>
  <c r="AW172" i="5"/>
  <c r="AW171" i="5"/>
  <c r="AW170" i="5"/>
  <c r="AW169" i="5"/>
  <c r="AW168" i="5"/>
  <c r="AW167" i="5"/>
  <c r="AW166" i="5"/>
  <c r="AW165" i="5"/>
  <c r="AW164" i="5"/>
  <c r="AW163" i="5"/>
  <c r="AW162" i="5"/>
  <c r="AW161" i="5"/>
  <c r="AW160" i="5"/>
  <c r="AW159" i="5"/>
  <c r="AW158" i="5"/>
  <c r="AW157" i="5"/>
  <c r="AW156" i="5"/>
  <c r="AW155" i="5"/>
  <c r="AW154" i="5"/>
  <c r="AW153" i="5"/>
  <c r="AW152" i="5"/>
  <c r="AW151" i="5"/>
  <c r="AW150" i="5"/>
  <c r="AW149" i="5"/>
  <c r="AW148" i="5"/>
  <c r="AW147" i="5"/>
  <c r="AW146" i="5"/>
  <c r="AW145" i="5"/>
  <c r="AW144" i="5"/>
  <c r="AW143" i="5"/>
  <c r="AW142" i="5"/>
  <c r="AW141" i="5"/>
  <c r="AW140" i="5"/>
  <c r="AW139" i="5"/>
  <c r="AW138" i="5"/>
  <c r="AW137" i="5"/>
  <c r="AW136" i="5"/>
  <c r="AW135" i="5"/>
  <c r="AW134" i="5"/>
  <c r="AW133" i="5"/>
  <c r="AW132" i="5"/>
  <c r="AW131" i="5"/>
  <c r="AW130" i="5"/>
  <c r="AW129" i="5"/>
  <c r="AW128" i="5"/>
  <c r="AW127" i="5"/>
  <c r="AW126" i="5"/>
  <c r="AW125" i="5"/>
  <c r="AW124" i="5"/>
  <c r="AW123" i="5"/>
  <c r="AW122" i="5"/>
  <c r="AW121" i="5"/>
  <c r="AW120" i="5"/>
  <c r="AW119" i="5"/>
  <c r="AW118" i="5"/>
  <c r="AW117" i="5"/>
  <c r="AW116" i="5"/>
  <c r="AW115" i="5"/>
  <c r="AW114" i="5"/>
  <c r="AW113" i="5"/>
  <c r="AW112" i="5"/>
  <c r="AW111" i="5"/>
  <c r="AW110" i="5"/>
  <c r="AW109" i="5"/>
  <c r="AW108" i="5"/>
  <c r="AW107" i="5"/>
  <c r="AW106" i="5"/>
  <c r="AW105" i="5"/>
  <c r="AW104" i="5"/>
  <c r="AW103" i="5"/>
  <c r="AW102" i="5"/>
  <c r="AW101" i="5"/>
  <c r="AW100" i="5"/>
  <c r="AW99" i="5"/>
  <c r="AW98" i="5"/>
  <c r="AW97" i="5"/>
  <c r="AW96" i="5"/>
  <c r="AW95" i="5"/>
  <c r="AW94" i="5"/>
  <c r="AW93" i="5"/>
  <c r="AW92" i="5"/>
  <c r="AW91" i="5"/>
  <c r="AW90" i="5"/>
  <c r="AW89" i="5"/>
  <c r="AW88" i="5"/>
  <c r="AW87" i="5"/>
  <c r="AW86" i="5"/>
  <c r="AW85" i="5"/>
  <c r="AW84" i="5"/>
  <c r="AW83" i="5"/>
  <c r="AW82" i="5"/>
  <c r="AW81" i="5"/>
  <c r="AW80" i="5"/>
  <c r="AW79" i="5"/>
  <c r="AW78" i="5"/>
  <c r="AW77" i="5"/>
  <c r="AW76" i="5"/>
  <c r="AW75" i="5"/>
  <c r="AW74" i="5"/>
  <c r="AW73" i="5"/>
  <c r="AW72" i="5"/>
  <c r="AW71" i="5"/>
  <c r="AW70" i="5"/>
  <c r="AW69" i="5"/>
  <c r="AW68" i="5"/>
  <c r="AW67" i="5"/>
  <c r="AW66" i="5"/>
  <c r="AW65" i="5"/>
  <c r="AW64" i="5"/>
  <c r="AW63" i="5"/>
  <c r="AW62" i="5"/>
  <c r="AW61" i="5"/>
  <c r="AW60" i="5"/>
  <c r="AW59" i="5"/>
  <c r="AW58" i="5"/>
  <c r="AW57" i="5"/>
  <c r="AW56" i="5"/>
  <c r="AW55" i="5"/>
  <c r="AW54" i="5"/>
  <c r="AW53" i="5"/>
  <c r="AW52" i="5"/>
  <c r="AW51" i="5"/>
  <c r="AW50" i="5"/>
  <c r="AW49" i="5"/>
  <c r="AW48" i="5"/>
  <c r="AW47" i="5"/>
  <c r="AW46" i="5"/>
  <c r="AW45" i="5"/>
  <c r="AW44" i="5"/>
  <c r="AW43" i="5"/>
  <c r="AW42" i="5"/>
  <c r="AW41" i="5"/>
  <c r="AW40" i="5"/>
  <c r="AW39" i="5"/>
  <c r="AW38" i="5"/>
  <c r="AW37" i="5"/>
  <c r="AW36" i="5"/>
  <c r="AW35" i="5"/>
  <c r="AW34" i="5"/>
  <c r="AW33" i="5"/>
  <c r="AW32" i="5"/>
  <c r="AW31" i="5"/>
  <c r="AW30" i="5"/>
  <c r="AW29" i="5"/>
  <c r="AW28" i="5"/>
  <c r="AW27" i="5"/>
  <c r="AW26" i="5"/>
  <c r="AW25" i="5"/>
  <c r="AW24" i="5"/>
  <c r="AW23" i="5"/>
  <c r="AW22" i="5"/>
  <c r="AW21" i="5"/>
  <c r="AW20" i="5"/>
  <c r="AW19" i="5"/>
  <c r="AW18" i="5"/>
  <c r="AW17" i="5"/>
  <c r="AW16" i="5"/>
  <c r="AW15" i="5"/>
  <c r="AW14" i="5"/>
  <c r="AW13" i="5"/>
  <c r="AW12" i="5"/>
  <c r="AW11" i="5"/>
  <c r="AW10" i="5"/>
  <c r="AW9" i="5"/>
  <c r="AW8" i="5"/>
  <c r="AW7" i="5"/>
  <c r="AW6" i="5"/>
  <c r="AW5" i="5"/>
  <c r="AW4" i="5"/>
  <c r="AW3" i="5"/>
  <c r="AW2" i="5"/>
  <c r="AS3" i="5"/>
  <c r="AX3" i="5" s="1"/>
  <c r="AS4" i="5"/>
  <c r="AX4" i="5" s="1"/>
  <c r="AS5" i="5"/>
  <c r="AX5" i="5" s="1"/>
  <c r="AS6" i="5"/>
  <c r="AX6" i="5" s="1"/>
  <c r="AS7" i="5"/>
  <c r="AX7" i="5" s="1"/>
  <c r="AS8" i="5"/>
  <c r="AX8" i="5" s="1"/>
  <c r="AS9" i="5"/>
  <c r="AX9" i="5" s="1"/>
  <c r="AS10" i="5"/>
  <c r="AX10" i="5" s="1"/>
  <c r="AS11" i="5"/>
  <c r="AX11" i="5" s="1"/>
  <c r="AS12" i="5"/>
  <c r="AX12" i="5" s="1"/>
  <c r="AS13" i="5"/>
  <c r="AX13" i="5" s="1"/>
  <c r="AS14" i="5"/>
  <c r="AX14" i="5" s="1"/>
  <c r="AS15" i="5"/>
  <c r="AX15" i="5" s="1"/>
  <c r="AS16" i="5"/>
  <c r="AX16" i="5" s="1"/>
  <c r="AS17" i="5"/>
  <c r="AX17" i="5" s="1"/>
  <c r="AS18" i="5"/>
  <c r="AX18" i="5" s="1"/>
  <c r="AS19" i="5"/>
  <c r="AX19" i="5" s="1"/>
  <c r="AS20" i="5"/>
  <c r="AX20" i="5" s="1"/>
  <c r="AS21" i="5"/>
  <c r="AX21" i="5" s="1"/>
  <c r="AS22" i="5"/>
  <c r="AX22" i="5" s="1"/>
  <c r="AS23" i="5"/>
  <c r="AX23" i="5" s="1"/>
  <c r="AS24" i="5"/>
  <c r="AX24" i="5" s="1"/>
  <c r="AS25" i="5"/>
  <c r="AX25" i="5" s="1"/>
  <c r="AS26" i="5"/>
  <c r="AX26" i="5" s="1"/>
  <c r="AS27" i="5"/>
  <c r="AX27" i="5" s="1"/>
  <c r="AS28" i="5"/>
  <c r="AX28" i="5" s="1"/>
  <c r="AS29" i="5"/>
  <c r="AX29" i="5" s="1"/>
  <c r="AS30" i="5"/>
  <c r="AX30" i="5" s="1"/>
  <c r="AS31" i="5"/>
  <c r="AX31" i="5" s="1"/>
  <c r="AS32" i="5"/>
  <c r="AX32" i="5" s="1"/>
  <c r="AS33" i="5"/>
  <c r="AX33" i="5" s="1"/>
  <c r="AS34" i="5"/>
  <c r="AX34" i="5" s="1"/>
  <c r="AS35" i="5"/>
  <c r="AX35" i="5" s="1"/>
  <c r="AS36" i="5"/>
  <c r="AX36" i="5" s="1"/>
  <c r="AS37" i="5"/>
  <c r="AX37" i="5" s="1"/>
  <c r="AS38" i="5"/>
  <c r="AX38" i="5" s="1"/>
  <c r="AS39" i="5"/>
  <c r="AX39" i="5" s="1"/>
  <c r="AS40" i="5"/>
  <c r="AX40" i="5" s="1"/>
  <c r="AS41" i="5"/>
  <c r="AX41" i="5" s="1"/>
  <c r="AS42" i="5"/>
  <c r="AX42" i="5" s="1"/>
  <c r="AS43" i="5"/>
  <c r="AX43" i="5" s="1"/>
  <c r="AS44" i="5"/>
  <c r="AX44" i="5" s="1"/>
  <c r="AS45" i="5"/>
  <c r="AX45" i="5" s="1"/>
  <c r="AS46" i="5"/>
  <c r="AX46" i="5" s="1"/>
  <c r="AS47" i="5"/>
  <c r="AX47" i="5" s="1"/>
  <c r="AS48" i="5"/>
  <c r="AX48" i="5" s="1"/>
  <c r="AS49" i="5"/>
  <c r="AX49" i="5" s="1"/>
  <c r="AS50" i="5"/>
  <c r="AX50" i="5" s="1"/>
  <c r="AS51" i="5"/>
  <c r="AX51" i="5" s="1"/>
  <c r="AS52" i="5"/>
  <c r="AX52" i="5" s="1"/>
  <c r="AS53" i="5"/>
  <c r="AX53" i="5" s="1"/>
  <c r="AS54" i="5"/>
  <c r="AX54" i="5" s="1"/>
  <c r="AS55" i="5"/>
  <c r="AX55" i="5" s="1"/>
  <c r="AS56" i="5"/>
  <c r="AX56" i="5" s="1"/>
  <c r="AS57" i="5"/>
  <c r="AX57" i="5" s="1"/>
  <c r="AS58" i="5"/>
  <c r="AX58" i="5" s="1"/>
  <c r="AS59" i="5"/>
  <c r="AX59" i="5" s="1"/>
  <c r="AS60" i="5"/>
  <c r="AX60" i="5" s="1"/>
  <c r="AS61" i="5"/>
  <c r="AX61" i="5" s="1"/>
  <c r="AS62" i="5"/>
  <c r="AX62" i="5" s="1"/>
  <c r="AS63" i="5"/>
  <c r="AX63" i="5" s="1"/>
  <c r="AS64" i="5"/>
  <c r="AX64" i="5" s="1"/>
  <c r="AS65" i="5"/>
  <c r="AX65" i="5" s="1"/>
  <c r="AS66" i="5"/>
  <c r="AX66" i="5" s="1"/>
  <c r="AS67" i="5"/>
  <c r="AX67" i="5" s="1"/>
  <c r="AS68" i="5"/>
  <c r="AX68" i="5" s="1"/>
  <c r="AS69" i="5"/>
  <c r="AX69" i="5" s="1"/>
  <c r="AS70" i="5"/>
  <c r="AX70" i="5" s="1"/>
  <c r="AS71" i="5"/>
  <c r="AX71" i="5" s="1"/>
  <c r="AS72" i="5"/>
  <c r="AX72" i="5" s="1"/>
  <c r="AS73" i="5"/>
  <c r="AX73" i="5" s="1"/>
  <c r="AS74" i="5"/>
  <c r="AX74" i="5" s="1"/>
  <c r="AS75" i="5"/>
  <c r="AX75" i="5" s="1"/>
  <c r="AS76" i="5"/>
  <c r="AX76" i="5" s="1"/>
  <c r="AS77" i="5"/>
  <c r="AX77" i="5" s="1"/>
  <c r="AS78" i="5"/>
  <c r="AX78" i="5" s="1"/>
  <c r="AS79" i="5"/>
  <c r="AX79" i="5" s="1"/>
  <c r="AS80" i="5"/>
  <c r="AX80" i="5" s="1"/>
  <c r="AS81" i="5"/>
  <c r="AX81" i="5" s="1"/>
  <c r="AS82" i="5"/>
  <c r="AX82" i="5" s="1"/>
  <c r="AS83" i="5"/>
  <c r="AX83" i="5" s="1"/>
  <c r="AS84" i="5"/>
  <c r="AX84" i="5" s="1"/>
  <c r="AS85" i="5"/>
  <c r="AX85" i="5" s="1"/>
  <c r="AS86" i="5"/>
  <c r="AX86" i="5" s="1"/>
  <c r="AS87" i="5"/>
  <c r="AX87" i="5" s="1"/>
  <c r="AS88" i="5"/>
  <c r="AX88" i="5" s="1"/>
  <c r="AS89" i="5"/>
  <c r="AX89" i="5" s="1"/>
  <c r="AS90" i="5"/>
  <c r="AX90" i="5" s="1"/>
  <c r="AS91" i="5"/>
  <c r="AX91" i="5" s="1"/>
  <c r="AS92" i="5"/>
  <c r="AX92" i="5" s="1"/>
  <c r="AS93" i="5"/>
  <c r="AX93" i="5" s="1"/>
  <c r="AS94" i="5"/>
  <c r="AX94" i="5" s="1"/>
  <c r="AS95" i="5"/>
  <c r="AX95" i="5" s="1"/>
  <c r="AS96" i="5"/>
  <c r="AX96" i="5" s="1"/>
  <c r="AS97" i="5"/>
  <c r="AX97" i="5" s="1"/>
  <c r="AS98" i="5"/>
  <c r="AX98" i="5" s="1"/>
  <c r="AS99" i="5"/>
  <c r="AX99" i="5" s="1"/>
  <c r="AS100" i="5"/>
  <c r="AX100" i="5" s="1"/>
  <c r="AS101" i="5"/>
  <c r="AX101" i="5" s="1"/>
  <c r="AS102" i="5"/>
  <c r="AX102" i="5" s="1"/>
  <c r="AS103" i="5"/>
  <c r="AX103" i="5" s="1"/>
  <c r="AS104" i="5"/>
  <c r="AX104" i="5" s="1"/>
  <c r="AS105" i="5"/>
  <c r="AX105" i="5" s="1"/>
  <c r="AS106" i="5"/>
  <c r="AX106" i="5" s="1"/>
  <c r="AS107" i="5"/>
  <c r="AX107" i="5" s="1"/>
  <c r="AS108" i="5"/>
  <c r="AX108" i="5" s="1"/>
  <c r="AS109" i="5"/>
  <c r="AX109" i="5" s="1"/>
  <c r="AS110" i="5"/>
  <c r="AX110" i="5" s="1"/>
  <c r="AS111" i="5"/>
  <c r="AX111" i="5" s="1"/>
  <c r="AS112" i="5"/>
  <c r="AX112" i="5" s="1"/>
  <c r="AS113" i="5"/>
  <c r="AX113" i="5" s="1"/>
  <c r="AS114" i="5"/>
  <c r="AX114" i="5" s="1"/>
  <c r="AS115" i="5"/>
  <c r="AX115" i="5" s="1"/>
  <c r="AS116" i="5"/>
  <c r="AX116" i="5" s="1"/>
  <c r="AS117" i="5"/>
  <c r="AX117" i="5" s="1"/>
  <c r="AS118" i="5"/>
  <c r="AX118" i="5" s="1"/>
  <c r="AS119" i="5"/>
  <c r="AX119" i="5" s="1"/>
  <c r="AS120" i="5"/>
  <c r="AX120" i="5" s="1"/>
  <c r="AS121" i="5"/>
  <c r="AX121" i="5" s="1"/>
  <c r="AS122" i="5"/>
  <c r="AX122" i="5" s="1"/>
  <c r="AS123" i="5"/>
  <c r="AX123" i="5" s="1"/>
  <c r="AS124" i="5"/>
  <c r="AX124" i="5" s="1"/>
  <c r="AS125" i="5"/>
  <c r="AX125" i="5" s="1"/>
  <c r="AS126" i="5"/>
  <c r="AX126" i="5" s="1"/>
  <c r="AS127" i="5"/>
  <c r="AX127" i="5" s="1"/>
  <c r="AS128" i="5"/>
  <c r="AX128" i="5" s="1"/>
  <c r="AS129" i="5"/>
  <c r="AX129" i="5" s="1"/>
  <c r="AS130" i="5"/>
  <c r="AX130" i="5" s="1"/>
  <c r="AS131" i="5"/>
  <c r="AX131" i="5" s="1"/>
  <c r="AS132" i="5"/>
  <c r="AX132" i="5" s="1"/>
  <c r="AS133" i="5"/>
  <c r="AX133" i="5" s="1"/>
  <c r="AS134" i="5"/>
  <c r="AX134" i="5" s="1"/>
  <c r="AS135" i="5"/>
  <c r="AX135" i="5" s="1"/>
  <c r="AS136" i="5"/>
  <c r="AX136" i="5" s="1"/>
  <c r="AS137" i="5"/>
  <c r="AX137" i="5" s="1"/>
  <c r="AS138" i="5"/>
  <c r="AX138" i="5" s="1"/>
  <c r="AS139" i="5"/>
  <c r="AX139" i="5" s="1"/>
  <c r="AS140" i="5"/>
  <c r="AX140" i="5" s="1"/>
  <c r="AS141" i="5"/>
  <c r="AX141" i="5" s="1"/>
  <c r="AS142" i="5"/>
  <c r="AX142" i="5" s="1"/>
  <c r="AS143" i="5"/>
  <c r="AX143" i="5" s="1"/>
  <c r="AS144" i="5"/>
  <c r="AX144" i="5" s="1"/>
  <c r="AS145" i="5"/>
  <c r="AX145" i="5" s="1"/>
  <c r="AS146" i="5"/>
  <c r="AX146" i="5" s="1"/>
  <c r="AS147" i="5"/>
  <c r="AX147" i="5" s="1"/>
  <c r="AS148" i="5"/>
  <c r="AX148" i="5" s="1"/>
  <c r="AS149" i="5"/>
  <c r="AX149" i="5" s="1"/>
  <c r="AS150" i="5"/>
  <c r="AX150" i="5" s="1"/>
  <c r="AS151" i="5"/>
  <c r="AX151" i="5" s="1"/>
  <c r="AS152" i="5"/>
  <c r="AX152" i="5" s="1"/>
  <c r="AS153" i="5"/>
  <c r="AX153" i="5" s="1"/>
  <c r="AS154" i="5"/>
  <c r="AX154" i="5" s="1"/>
  <c r="AS155" i="5"/>
  <c r="AX155" i="5" s="1"/>
  <c r="AS156" i="5"/>
  <c r="AX156" i="5" s="1"/>
  <c r="AS157" i="5"/>
  <c r="AX157" i="5" s="1"/>
  <c r="AS158" i="5"/>
  <c r="AX158" i="5" s="1"/>
  <c r="AS159" i="5"/>
  <c r="AX159" i="5" s="1"/>
  <c r="AS160" i="5"/>
  <c r="AX160" i="5" s="1"/>
  <c r="AS161" i="5"/>
  <c r="AX161" i="5" s="1"/>
  <c r="AS162" i="5"/>
  <c r="AX162" i="5" s="1"/>
  <c r="AS163" i="5"/>
  <c r="AX163" i="5" s="1"/>
  <c r="AS164" i="5"/>
  <c r="AX164" i="5" s="1"/>
  <c r="AS165" i="5"/>
  <c r="AX165" i="5" s="1"/>
  <c r="AS166" i="5"/>
  <c r="AX166" i="5" s="1"/>
  <c r="AS167" i="5"/>
  <c r="AX167" i="5" s="1"/>
  <c r="AS168" i="5"/>
  <c r="AX168" i="5" s="1"/>
  <c r="AS169" i="5"/>
  <c r="AX169" i="5" s="1"/>
  <c r="AS170" i="5"/>
  <c r="AX170" i="5" s="1"/>
  <c r="AS171" i="5"/>
  <c r="AX171" i="5" s="1"/>
  <c r="AS172" i="5"/>
  <c r="AX172" i="5" s="1"/>
  <c r="AS173" i="5"/>
  <c r="AX173" i="5" s="1"/>
  <c r="AS174" i="5"/>
  <c r="AX174" i="5" s="1"/>
  <c r="AS175" i="5"/>
  <c r="AX175" i="5" s="1"/>
  <c r="AS176" i="5"/>
  <c r="AX176" i="5" s="1"/>
  <c r="AS177" i="5"/>
  <c r="AX177" i="5" s="1"/>
  <c r="AS178" i="5"/>
  <c r="AX178" i="5" s="1"/>
  <c r="AS179" i="5"/>
  <c r="AX179" i="5" s="1"/>
  <c r="AS180" i="5"/>
  <c r="AX180" i="5" s="1"/>
  <c r="AS181" i="5"/>
  <c r="AX181" i="5" s="1"/>
  <c r="AS182" i="5"/>
  <c r="AX182" i="5" s="1"/>
  <c r="AS183" i="5"/>
  <c r="AX183" i="5" s="1"/>
  <c r="AS184" i="5"/>
  <c r="AX184" i="5" s="1"/>
  <c r="AS185" i="5"/>
  <c r="AX185" i="5" s="1"/>
  <c r="AS186" i="5"/>
  <c r="AX186" i="5" s="1"/>
  <c r="AS187" i="5"/>
  <c r="AX187" i="5" s="1"/>
  <c r="AS188" i="5"/>
  <c r="AX188" i="5" s="1"/>
  <c r="AS189" i="5"/>
  <c r="AX189" i="5" s="1"/>
  <c r="AS190" i="5"/>
  <c r="AX190" i="5" s="1"/>
  <c r="AS191" i="5"/>
  <c r="AX191" i="5" s="1"/>
  <c r="AS192" i="5"/>
  <c r="AX192" i="5" s="1"/>
  <c r="AS193" i="5"/>
  <c r="AX193" i="5" s="1"/>
  <c r="AS194" i="5"/>
  <c r="AX194" i="5" s="1"/>
  <c r="AS195" i="5"/>
  <c r="AX195" i="5" s="1"/>
  <c r="AS196" i="5"/>
  <c r="AX196" i="5" s="1"/>
  <c r="AS197" i="5"/>
  <c r="AX197" i="5" s="1"/>
  <c r="AS198" i="5"/>
  <c r="AX198" i="5" s="1"/>
  <c r="AS199" i="5"/>
  <c r="AX199" i="5" s="1"/>
  <c r="AS200" i="5"/>
  <c r="AX200" i="5" s="1"/>
  <c r="AS201" i="5"/>
  <c r="AX201" i="5" s="1"/>
  <c r="AS2" i="5"/>
  <c r="AX2" i="5" s="1"/>
  <c r="E27" i="7"/>
  <c r="N35" i="16" l="1"/>
  <c r="N25" i="14"/>
  <c r="N27" i="15"/>
  <c r="N21" i="15"/>
  <c r="N29" i="15"/>
  <c r="N22" i="16"/>
  <c r="N24" i="14"/>
  <c r="N33" i="14"/>
  <c r="N26" i="15"/>
  <c r="N23" i="15"/>
  <c r="N32" i="15"/>
  <c r="N30" i="16"/>
  <c r="N32" i="14"/>
  <c r="N25" i="15"/>
  <c r="N34" i="15"/>
  <c r="N22" i="15"/>
  <c r="N30" i="15"/>
  <c r="N26" i="16"/>
  <c r="AW214" i="5"/>
  <c r="AW215" i="5" s="1"/>
  <c r="AT227" i="5"/>
  <c r="AT228" i="5" s="1"/>
  <c r="AV233" i="5"/>
  <c r="AV234" i="5" s="1"/>
  <c r="AU227" i="5"/>
  <c r="AU228" i="5" s="1"/>
  <c r="AX233" i="5"/>
  <c r="AX234" i="5" s="1"/>
  <c r="AY233" i="5"/>
  <c r="AY234" i="5" s="1"/>
  <c r="BA233" i="5"/>
  <c r="BA234" i="5" s="1"/>
  <c r="AX214" i="5"/>
  <c r="AX215" i="5" s="1"/>
  <c r="CL214" i="5"/>
  <c r="CL215" i="5" s="1"/>
  <c r="CM214" i="5"/>
  <c r="CM215" i="5" s="1"/>
  <c r="AT223" i="5"/>
  <c r="AT224" i="5" s="1"/>
  <c r="AU223" i="5"/>
  <c r="AU224" i="5" s="1"/>
  <c r="N39" i="16"/>
  <c r="AT225" i="5"/>
  <c r="AT226" i="5" s="1"/>
  <c r="AT233" i="5"/>
  <c r="AT234" i="5" s="1"/>
  <c r="AU225" i="5"/>
  <c r="AU226" i="5" s="1"/>
  <c r="AU233" i="5"/>
  <c r="AU234" i="5" s="1"/>
  <c r="F67" i="16"/>
  <c r="N24" i="12"/>
  <c r="N21" i="14"/>
  <c r="N29" i="14"/>
  <c r="N24" i="15"/>
  <c r="N35" i="14"/>
  <c r="N33" i="15"/>
  <c r="N28" i="14"/>
  <c r="N20" i="15"/>
  <c r="N20" i="12"/>
  <c r="N22" i="14"/>
  <c r="N28" i="15"/>
  <c r="N27" i="14"/>
  <c r="AW212" i="5"/>
  <c r="AW213" i="5" s="1"/>
  <c r="AW210" i="5"/>
  <c r="AW211" i="5" s="1"/>
  <c r="AX212" i="5"/>
  <c r="AX213" i="5" s="1"/>
  <c r="CL212" i="5"/>
  <c r="CL213" i="5" s="1"/>
  <c r="G11" i="15" s="1"/>
  <c r="CM212" i="5"/>
  <c r="CM213" i="5" s="1"/>
  <c r="I11" i="15" s="1"/>
  <c r="AX210" i="5"/>
  <c r="AX211" i="5" s="1"/>
  <c r="CL210" i="5"/>
  <c r="CL211" i="5" s="1"/>
  <c r="CM210" i="5"/>
  <c r="CM211" i="5" s="1"/>
  <c r="N39" i="15"/>
  <c r="F67" i="15"/>
  <c r="N24" i="13"/>
  <c r="N20" i="14"/>
  <c r="N23" i="14"/>
  <c r="N23" i="13"/>
  <c r="N32" i="13"/>
  <c r="N20" i="13"/>
  <c r="N25" i="13"/>
  <c r="N28" i="13"/>
  <c r="N34" i="13"/>
  <c r="N34" i="14"/>
  <c r="G51" i="14"/>
  <c r="G52" i="14" s="1"/>
  <c r="G56" i="14" s="1"/>
  <c r="G60" i="14" s="1"/>
  <c r="N22" i="13"/>
  <c r="N27" i="13"/>
  <c r="N30" i="13"/>
  <c r="AX206" i="5"/>
  <c r="AX207" i="5" s="1"/>
  <c r="AW206" i="5"/>
  <c r="AW207" i="5" s="1"/>
  <c r="CL206" i="5"/>
  <c r="CL207" i="5" s="1"/>
  <c r="E16" i="10" s="1"/>
  <c r="L10" i="14"/>
  <c r="N10" i="14" s="1"/>
  <c r="CM206" i="5"/>
  <c r="CM207" i="5" s="1"/>
  <c r="I11" i="13" s="1"/>
  <c r="I39" i="13" s="1"/>
  <c r="AB39" i="13" s="1"/>
  <c r="N39" i="14"/>
  <c r="H12" i="14"/>
  <c r="H40" i="14" s="1"/>
  <c r="F28" i="10"/>
  <c r="M38" i="14"/>
  <c r="M41" i="14" s="1"/>
  <c r="M13" i="14"/>
  <c r="G11" i="14"/>
  <c r="E27" i="10"/>
  <c r="G10" i="14"/>
  <c r="E26" i="10"/>
  <c r="I11" i="14"/>
  <c r="I39" i="14" s="1"/>
  <c r="AB39" i="14" s="1"/>
  <c r="G27" i="10"/>
  <c r="G29" i="10" s="1"/>
  <c r="G12" i="14"/>
  <c r="E28" i="10"/>
  <c r="F10" i="14"/>
  <c r="D26" i="10"/>
  <c r="I26" i="10"/>
  <c r="K10" i="14"/>
  <c r="L40" i="14"/>
  <c r="F12" i="14"/>
  <c r="F40" i="14" s="1"/>
  <c r="D28" i="10"/>
  <c r="H38" i="14"/>
  <c r="I10" i="14"/>
  <c r="I12" i="14"/>
  <c r="I40" i="14" s="1"/>
  <c r="K26" i="10"/>
  <c r="L26" i="10" s="1"/>
  <c r="J28" i="10"/>
  <c r="K28" i="10"/>
  <c r="F26" i="10"/>
  <c r="G31" i="10"/>
  <c r="H31" i="10" s="1"/>
  <c r="N12" i="14"/>
  <c r="K43" i="14"/>
  <c r="I52" i="14"/>
  <c r="I56" i="14" s="1"/>
  <c r="I60" i="14" s="1"/>
  <c r="H51" i="14"/>
  <c r="N21" i="12"/>
  <c r="N29" i="12"/>
  <c r="N33" i="12"/>
  <c r="N21" i="13"/>
  <c r="N29" i="13"/>
  <c r="N33" i="13"/>
  <c r="I15" i="14"/>
  <c r="N26" i="13"/>
  <c r="N35" i="13"/>
  <c r="F52" i="14"/>
  <c r="F56" i="14" s="1"/>
  <c r="F60" i="14" s="1"/>
  <c r="N39" i="13"/>
  <c r="N26" i="12"/>
  <c r="N35" i="12"/>
  <c r="F52" i="13"/>
  <c r="F56" i="13" s="1"/>
  <c r="F60" i="13" s="1"/>
  <c r="N25" i="12"/>
  <c r="N34" i="12"/>
  <c r="AX204" i="5"/>
  <c r="AX205" i="5" s="1"/>
  <c r="AW204" i="5"/>
  <c r="AW205" i="5" s="1"/>
  <c r="AT196" i="5"/>
  <c r="AT188" i="5"/>
  <c r="AT180" i="5"/>
  <c r="AT172" i="5"/>
  <c r="AT164" i="5"/>
  <c r="AT156" i="5"/>
  <c r="AT148" i="5"/>
  <c r="AT140" i="5"/>
  <c r="AT132" i="5"/>
  <c r="AT124" i="5"/>
  <c r="AT116" i="5"/>
  <c r="AT108" i="5"/>
  <c r="AT100" i="5"/>
  <c r="AT92" i="5"/>
  <c r="AT84" i="5"/>
  <c r="AT76" i="5"/>
  <c r="AT68" i="5"/>
  <c r="AT60" i="5"/>
  <c r="AT52" i="5"/>
  <c r="AT44" i="5"/>
  <c r="AT36" i="5"/>
  <c r="AT28" i="5"/>
  <c r="AT20" i="5"/>
  <c r="AT12" i="5"/>
  <c r="AT4" i="5"/>
  <c r="AT195" i="5"/>
  <c r="AT187" i="5"/>
  <c r="AT179" i="5"/>
  <c r="AT171" i="5"/>
  <c r="AT163" i="5"/>
  <c r="AT155" i="5"/>
  <c r="AT147" i="5"/>
  <c r="AT139" i="5"/>
  <c r="AT131" i="5"/>
  <c r="AT123" i="5"/>
  <c r="AT115" i="5"/>
  <c r="AT107" i="5"/>
  <c r="AT99" i="5"/>
  <c r="AT91" i="5"/>
  <c r="AT83" i="5"/>
  <c r="AT75" i="5"/>
  <c r="AT67" i="5"/>
  <c r="AT59" i="5"/>
  <c r="AT51" i="5"/>
  <c r="AT43" i="5"/>
  <c r="AT35" i="5"/>
  <c r="AT27" i="5"/>
  <c r="AT19" i="5"/>
  <c r="AT11" i="5"/>
  <c r="AT3" i="5"/>
  <c r="AT2" i="5"/>
  <c r="AT194" i="5"/>
  <c r="AT186" i="5"/>
  <c r="AT178" i="5"/>
  <c r="AT170" i="5"/>
  <c r="AT162" i="5"/>
  <c r="AT154" i="5"/>
  <c r="AT146" i="5"/>
  <c r="AT138" i="5"/>
  <c r="AT130" i="5"/>
  <c r="AT122" i="5"/>
  <c r="AT114" i="5"/>
  <c r="AT106" i="5"/>
  <c r="AT98" i="5"/>
  <c r="AT90" i="5"/>
  <c r="AT82" i="5"/>
  <c r="AT74" i="5"/>
  <c r="AT66" i="5"/>
  <c r="AT58" i="5"/>
  <c r="AT50" i="5"/>
  <c r="AT42" i="5"/>
  <c r="AT34" i="5"/>
  <c r="AT26" i="5"/>
  <c r="AT18" i="5"/>
  <c r="AT10" i="5"/>
  <c r="AT201" i="5"/>
  <c r="AT193" i="5"/>
  <c r="AT185" i="5"/>
  <c r="AT177" i="5"/>
  <c r="AT169" i="5"/>
  <c r="AT161" i="5"/>
  <c r="AT153" i="5"/>
  <c r="AT145" i="5"/>
  <c r="AT137" i="5"/>
  <c r="AT129" i="5"/>
  <c r="AT121" i="5"/>
  <c r="AT113" i="5"/>
  <c r="AT105" i="5"/>
  <c r="AT97" i="5"/>
  <c r="AT89" i="5"/>
  <c r="AT81" i="5"/>
  <c r="AT73" i="5"/>
  <c r="AT65" i="5"/>
  <c r="AT57" i="5"/>
  <c r="AT49" i="5"/>
  <c r="AT41" i="5"/>
  <c r="AT33" i="5"/>
  <c r="AT25" i="5"/>
  <c r="AT17" i="5"/>
  <c r="AT9" i="5"/>
  <c r="AT200" i="5"/>
  <c r="AT192" i="5"/>
  <c r="AT184" i="5"/>
  <c r="AT176" i="5"/>
  <c r="AT168" i="5"/>
  <c r="AT160" i="5"/>
  <c r="AT152" i="5"/>
  <c r="AT144" i="5"/>
  <c r="AT136" i="5"/>
  <c r="AT128" i="5"/>
  <c r="AT120" i="5"/>
  <c r="AT112" i="5"/>
  <c r="AT104" i="5"/>
  <c r="AT96" i="5"/>
  <c r="AT88" i="5"/>
  <c r="AT80" i="5"/>
  <c r="AT72" i="5"/>
  <c r="AT64" i="5"/>
  <c r="AT56" i="5"/>
  <c r="AT48" i="5"/>
  <c r="AT40" i="5"/>
  <c r="AT32" i="5"/>
  <c r="AT24" i="5"/>
  <c r="AT16" i="5"/>
  <c r="AT8" i="5"/>
  <c r="AT199" i="5"/>
  <c r="AT191" i="5"/>
  <c r="AT183" i="5"/>
  <c r="AT175" i="5"/>
  <c r="AT167" i="5"/>
  <c r="AT159" i="5"/>
  <c r="AT151" i="5"/>
  <c r="AT143" i="5"/>
  <c r="AT135" i="5"/>
  <c r="AT127" i="5"/>
  <c r="AT119" i="5"/>
  <c r="AT111" i="5"/>
  <c r="AT103" i="5"/>
  <c r="AT95" i="5"/>
  <c r="AT87" i="5"/>
  <c r="AT79" i="5"/>
  <c r="AT71" i="5"/>
  <c r="AT63" i="5"/>
  <c r="AT55" i="5"/>
  <c r="AT47" i="5"/>
  <c r="AT39" i="5"/>
  <c r="AT31" i="5"/>
  <c r="AT23" i="5"/>
  <c r="AT15" i="5"/>
  <c r="AT7" i="5"/>
  <c r="AT198" i="5"/>
  <c r="AT190" i="5"/>
  <c r="AT182" i="5"/>
  <c r="AT174" i="5"/>
  <c r="AT166" i="5"/>
  <c r="AT158" i="5"/>
  <c r="AT150" i="5"/>
  <c r="AT142" i="5"/>
  <c r="AT134" i="5"/>
  <c r="AT126" i="5"/>
  <c r="AT118" i="5"/>
  <c r="AT110" i="5"/>
  <c r="AT102" i="5"/>
  <c r="AT94" i="5"/>
  <c r="AT86" i="5"/>
  <c r="AT78" i="5"/>
  <c r="AT70" i="5"/>
  <c r="AT62" i="5"/>
  <c r="AT54" i="5"/>
  <c r="AT46" i="5"/>
  <c r="AT38" i="5"/>
  <c r="AT30" i="5"/>
  <c r="AT22" i="5"/>
  <c r="AT14" i="5"/>
  <c r="AT6" i="5"/>
  <c r="AT197" i="5"/>
  <c r="AT189" i="5"/>
  <c r="AT181" i="5"/>
  <c r="AT173" i="5"/>
  <c r="AT165" i="5"/>
  <c r="AT157" i="5"/>
  <c r="AT149" i="5"/>
  <c r="AT141" i="5"/>
  <c r="AT133" i="5"/>
  <c r="AT125" i="5"/>
  <c r="AT117" i="5"/>
  <c r="AT109" i="5"/>
  <c r="AT101" i="5"/>
  <c r="AT93" i="5"/>
  <c r="AT85" i="5"/>
  <c r="AT77" i="5"/>
  <c r="AT69" i="5"/>
  <c r="AT61" i="5"/>
  <c r="AT53" i="5"/>
  <c r="AT45" i="5"/>
  <c r="AT37" i="5"/>
  <c r="AT29" i="5"/>
  <c r="AT21" i="5"/>
  <c r="AT13" i="5"/>
  <c r="AT5" i="5"/>
  <c r="CL204" i="5"/>
  <c r="CL205" i="5" s="1"/>
  <c r="CM204" i="5"/>
  <c r="CM205" i="5" s="1"/>
  <c r="N39" i="12"/>
  <c r="N23" i="12"/>
  <c r="N32" i="12"/>
  <c r="F67" i="12"/>
  <c r="N27" i="12"/>
  <c r="E51" i="9"/>
  <c r="AS227" i="5" l="1"/>
  <c r="AS228" i="5" s="1"/>
  <c r="AS223" i="5"/>
  <c r="AS224" i="5" s="1"/>
  <c r="AS225" i="5"/>
  <c r="AS226" i="5" s="1"/>
  <c r="G49" i="10"/>
  <c r="I11" i="16"/>
  <c r="I39" i="16" s="1"/>
  <c r="AB39" i="16" s="1"/>
  <c r="E49" i="10"/>
  <c r="G11" i="16"/>
  <c r="F75" i="16"/>
  <c r="F80" i="16" s="1"/>
  <c r="AT214" i="5"/>
  <c r="AT215" i="5" s="1"/>
  <c r="AS214" i="5"/>
  <c r="AS215" i="5" s="1"/>
  <c r="G38" i="10"/>
  <c r="L13" i="14"/>
  <c r="J51" i="14"/>
  <c r="J52" i="14" s="1"/>
  <c r="J56" i="14" s="1"/>
  <c r="J60" i="14" s="1"/>
  <c r="J67" i="14" s="1"/>
  <c r="E38" i="10"/>
  <c r="AA11" i="15"/>
  <c r="AB11" i="15"/>
  <c r="G39" i="15"/>
  <c r="AA39" i="15" s="1"/>
  <c r="AT212" i="5"/>
  <c r="AT213" i="5" s="1"/>
  <c r="AS212" i="5"/>
  <c r="AS213" i="5" s="1"/>
  <c r="AT210" i="5"/>
  <c r="AT211" i="5" s="1"/>
  <c r="AS210" i="5"/>
  <c r="AS211" i="5" s="1"/>
  <c r="J11" i="15"/>
  <c r="I39" i="15"/>
  <c r="AB39" i="15" s="1"/>
  <c r="L38" i="14"/>
  <c r="L41" i="14" s="1"/>
  <c r="N41" i="14" s="1"/>
  <c r="F75" i="15"/>
  <c r="F80" i="15" s="1"/>
  <c r="N13" i="14"/>
  <c r="H41" i="14"/>
  <c r="H43" i="14" s="1"/>
  <c r="G11" i="13"/>
  <c r="AA11" i="13" s="1"/>
  <c r="H26" i="10"/>
  <c r="E29" i="10"/>
  <c r="E32" i="10" s="1"/>
  <c r="L28" i="10"/>
  <c r="L29" i="10" s="1"/>
  <c r="H13" i="14"/>
  <c r="H16" i="14" s="1"/>
  <c r="G16" i="10"/>
  <c r="H16" i="10" s="1"/>
  <c r="N40" i="14"/>
  <c r="H27" i="10"/>
  <c r="G32" i="10"/>
  <c r="G40" i="14"/>
  <c r="J40" i="14" s="1"/>
  <c r="J12" i="14"/>
  <c r="AB10" i="14"/>
  <c r="I38" i="14"/>
  <c r="I13" i="14"/>
  <c r="I16" i="14" s="1"/>
  <c r="G39" i="14"/>
  <c r="AB11" i="14"/>
  <c r="AB45" i="14" s="1"/>
  <c r="AA11" i="14"/>
  <c r="J11" i="14"/>
  <c r="J29" i="10"/>
  <c r="F38" i="14"/>
  <c r="F41" i="14" s="1"/>
  <c r="F43" i="14" s="1"/>
  <c r="F13" i="14"/>
  <c r="F16" i="14" s="1"/>
  <c r="H28" i="10"/>
  <c r="K29" i="10"/>
  <c r="D29" i="10"/>
  <c r="D32" i="10" s="1"/>
  <c r="G13" i="14"/>
  <c r="AA10" i="14"/>
  <c r="J10" i="14"/>
  <c r="G38" i="14"/>
  <c r="F29" i="10"/>
  <c r="AS206" i="5"/>
  <c r="AS207" i="5" s="1"/>
  <c r="AT206" i="5"/>
  <c r="AT207" i="5" s="1"/>
  <c r="J15" i="14"/>
  <c r="K44" i="14"/>
  <c r="F67" i="14"/>
  <c r="H52" i="14"/>
  <c r="H56" i="14" s="1"/>
  <c r="H60" i="14" s="1"/>
  <c r="F67" i="13"/>
  <c r="CG5" i="5"/>
  <c r="CJ5" i="5"/>
  <c r="CF5" i="5"/>
  <c r="CI5" i="5"/>
  <c r="CH5" i="5"/>
  <c r="CK5" i="5"/>
  <c r="CE5" i="5"/>
  <c r="CD5" i="5"/>
  <c r="CC5" i="5"/>
  <c r="BZ5" i="5"/>
  <c r="BY5" i="5"/>
  <c r="CA5" i="5"/>
  <c r="BW5" i="5"/>
  <c r="BV5" i="5"/>
  <c r="BX5" i="5"/>
  <c r="BU5" i="5"/>
  <c r="BT5" i="5"/>
  <c r="BS5" i="5"/>
  <c r="BR5" i="5"/>
  <c r="BQ5" i="5"/>
  <c r="BL5" i="5"/>
  <c r="BM5" i="5"/>
  <c r="BK5" i="5"/>
  <c r="BJ5" i="5"/>
  <c r="BI5" i="5"/>
  <c r="BH5" i="5"/>
  <c r="BG5" i="5"/>
  <c r="BF5" i="5"/>
  <c r="BE5" i="5"/>
  <c r="BD5" i="5"/>
  <c r="BA5" i="5"/>
  <c r="BP5" i="5" s="1"/>
  <c r="AZ5" i="5"/>
  <c r="AY5" i="5"/>
  <c r="AU5" i="5"/>
  <c r="BB5" i="5" s="1"/>
  <c r="AV5" i="5"/>
  <c r="BO5" i="5" s="1"/>
  <c r="CJ69" i="5"/>
  <c r="CK69" i="5"/>
  <c r="CG69" i="5"/>
  <c r="CI69" i="5"/>
  <c r="CH69" i="5"/>
  <c r="CC69" i="5"/>
  <c r="BZ69" i="5"/>
  <c r="CF69" i="5"/>
  <c r="CE69" i="5"/>
  <c r="BY69" i="5"/>
  <c r="CA69" i="5"/>
  <c r="CD69" i="5"/>
  <c r="BW69" i="5"/>
  <c r="BV69" i="5"/>
  <c r="BX69" i="5"/>
  <c r="BU69" i="5"/>
  <c r="BT69" i="5"/>
  <c r="BS69" i="5"/>
  <c r="BR69" i="5"/>
  <c r="BQ69" i="5"/>
  <c r="BM69" i="5"/>
  <c r="BK69" i="5"/>
  <c r="BJ69" i="5"/>
  <c r="BI69" i="5"/>
  <c r="BH69" i="5"/>
  <c r="BL69" i="5"/>
  <c r="BG69" i="5"/>
  <c r="BF69" i="5"/>
  <c r="BE69" i="5"/>
  <c r="BD69" i="5"/>
  <c r="BA69" i="5"/>
  <c r="BP69" i="5" s="1"/>
  <c r="AZ69" i="5"/>
  <c r="AY69" i="5"/>
  <c r="AU69" i="5"/>
  <c r="BN69" i="5" s="1"/>
  <c r="AV69" i="5"/>
  <c r="BO69" i="5" s="1"/>
  <c r="CK133" i="5"/>
  <c r="CG133" i="5"/>
  <c r="CI133" i="5"/>
  <c r="CF133" i="5"/>
  <c r="CC133" i="5"/>
  <c r="CE133" i="5"/>
  <c r="CD133" i="5"/>
  <c r="CA133" i="5"/>
  <c r="BW133" i="5"/>
  <c r="BY133" i="5"/>
  <c r="BV133" i="5"/>
  <c r="BU133" i="5"/>
  <c r="BT133" i="5"/>
  <c r="BS133" i="5"/>
  <c r="BR133" i="5"/>
  <c r="BQ133" i="5"/>
  <c r="BM133" i="5"/>
  <c r="BK133" i="5"/>
  <c r="BJ133" i="5"/>
  <c r="BI133" i="5"/>
  <c r="BH133" i="5"/>
  <c r="BG133" i="5"/>
  <c r="BF133" i="5"/>
  <c r="BE133" i="5"/>
  <c r="BD133" i="5"/>
  <c r="BA133" i="5"/>
  <c r="BP133" i="5" s="1"/>
  <c r="AZ133" i="5"/>
  <c r="AY133" i="5"/>
  <c r="AV133" i="5"/>
  <c r="BO133" i="5" s="1"/>
  <c r="AU133" i="5"/>
  <c r="BN133" i="5" s="1"/>
  <c r="CJ197" i="5"/>
  <c r="CK197" i="5"/>
  <c r="CG197" i="5"/>
  <c r="CH197" i="5"/>
  <c r="CI197" i="5"/>
  <c r="CF197" i="5"/>
  <c r="CC197" i="5"/>
  <c r="BZ197" i="5"/>
  <c r="CE197" i="5"/>
  <c r="CA197" i="5"/>
  <c r="CD197" i="5"/>
  <c r="BW197" i="5"/>
  <c r="BX197" i="5"/>
  <c r="BY197" i="5"/>
  <c r="BU197" i="5"/>
  <c r="BT197" i="5"/>
  <c r="BS197" i="5"/>
  <c r="BV197" i="5"/>
  <c r="BR197" i="5"/>
  <c r="BQ197" i="5"/>
  <c r="BM197" i="5"/>
  <c r="BK197" i="5"/>
  <c r="BJ197" i="5"/>
  <c r="BI197" i="5"/>
  <c r="BL197" i="5"/>
  <c r="BH197" i="5"/>
  <c r="BG197" i="5"/>
  <c r="BF197" i="5"/>
  <c r="BE197" i="5"/>
  <c r="BD197" i="5"/>
  <c r="BA197" i="5"/>
  <c r="BP197" i="5" s="1"/>
  <c r="AZ197" i="5"/>
  <c r="AY197" i="5"/>
  <c r="AV197" i="5"/>
  <c r="BC197" i="5" s="1"/>
  <c r="AU197" i="5"/>
  <c r="BB197" i="5" s="1"/>
  <c r="CI62" i="5"/>
  <c r="CG62" i="5"/>
  <c r="CF62" i="5"/>
  <c r="CK62" i="5"/>
  <c r="CE62" i="5"/>
  <c r="CD62" i="5"/>
  <c r="BY62" i="5"/>
  <c r="CC62" i="5"/>
  <c r="CA62" i="5"/>
  <c r="BW62" i="5"/>
  <c r="BV62" i="5"/>
  <c r="BU62" i="5"/>
  <c r="BT62" i="5"/>
  <c r="BS62" i="5"/>
  <c r="BR62" i="5"/>
  <c r="BQ62" i="5"/>
  <c r="BM62" i="5"/>
  <c r="BK62" i="5"/>
  <c r="BJ62" i="5"/>
  <c r="BI62" i="5"/>
  <c r="BH62" i="5"/>
  <c r="BG62" i="5"/>
  <c r="BF62" i="5"/>
  <c r="BE62" i="5"/>
  <c r="BD62" i="5"/>
  <c r="BA62" i="5"/>
  <c r="BP62" i="5" s="1"/>
  <c r="AZ62" i="5"/>
  <c r="AY62" i="5"/>
  <c r="AU62" i="5"/>
  <c r="BB62" i="5" s="1"/>
  <c r="AV62" i="5"/>
  <c r="BC62" i="5" s="1"/>
  <c r="CI126" i="5"/>
  <c r="CG126" i="5"/>
  <c r="CF126" i="5"/>
  <c r="CK126" i="5"/>
  <c r="CE126" i="5"/>
  <c r="CD126" i="5"/>
  <c r="CA126" i="5"/>
  <c r="BY126" i="5"/>
  <c r="CC126" i="5"/>
  <c r="BW126" i="5"/>
  <c r="BV126" i="5"/>
  <c r="BU126" i="5"/>
  <c r="BT126" i="5"/>
  <c r="BS126" i="5"/>
  <c r="BR126" i="5"/>
  <c r="BQ126" i="5"/>
  <c r="BM126" i="5"/>
  <c r="BK126" i="5"/>
  <c r="BJ126" i="5"/>
  <c r="BI126" i="5"/>
  <c r="BH126" i="5"/>
  <c r="BG126" i="5"/>
  <c r="BF126" i="5"/>
  <c r="BE126" i="5"/>
  <c r="BD126" i="5"/>
  <c r="BA126" i="5"/>
  <c r="BP126" i="5" s="1"/>
  <c r="AZ126" i="5"/>
  <c r="AY126" i="5"/>
  <c r="AU126" i="5"/>
  <c r="BB126" i="5" s="1"/>
  <c r="AV126" i="5"/>
  <c r="BO126" i="5" s="1"/>
  <c r="CI190" i="5"/>
  <c r="CG190" i="5"/>
  <c r="CK190" i="5"/>
  <c r="CE190" i="5"/>
  <c r="CF190" i="5"/>
  <c r="CD190" i="5"/>
  <c r="CA190" i="5"/>
  <c r="CC190" i="5"/>
  <c r="BW190" i="5"/>
  <c r="BY190" i="5"/>
  <c r="BV190" i="5"/>
  <c r="BU190" i="5"/>
  <c r="BT190" i="5"/>
  <c r="BS190" i="5"/>
  <c r="BR190" i="5"/>
  <c r="BQ190" i="5"/>
  <c r="BM190" i="5"/>
  <c r="BK190" i="5"/>
  <c r="BJ190" i="5"/>
  <c r="BI190" i="5"/>
  <c r="BH190" i="5"/>
  <c r="BG190" i="5"/>
  <c r="BF190" i="5"/>
  <c r="BE190" i="5"/>
  <c r="BD190" i="5"/>
  <c r="BA190" i="5"/>
  <c r="BP190" i="5" s="1"/>
  <c r="AZ190" i="5"/>
  <c r="AY190" i="5"/>
  <c r="AU190" i="5"/>
  <c r="BB190" i="5" s="1"/>
  <c r="AV190" i="5"/>
  <c r="BC190" i="5" s="1"/>
  <c r="CK55" i="5"/>
  <c r="CG55" i="5"/>
  <c r="CF55" i="5"/>
  <c r="CI55" i="5"/>
  <c r="CE55" i="5"/>
  <c r="CD55" i="5"/>
  <c r="CC55" i="5"/>
  <c r="CA55" i="5"/>
  <c r="BY55" i="5"/>
  <c r="BW55" i="5"/>
  <c r="BV55" i="5"/>
  <c r="BU55" i="5"/>
  <c r="BT55" i="5"/>
  <c r="BS55" i="5"/>
  <c r="BR55" i="5"/>
  <c r="BQ55" i="5"/>
  <c r="BM55" i="5"/>
  <c r="BK55" i="5"/>
  <c r="BJ55" i="5"/>
  <c r="BI55" i="5"/>
  <c r="BH55" i="5"/>
  <c r="BA55" i="5"/>
  <c r="BP55" i="5" s="1"/>
  <c r="BG55" i="5"/>
  <c r="BF55" i="5"/>
  <c r="BE55" i="5"/>
  <c r="BD55" i="5"/>
  <c r="AZ55" i="5"/>
  <c r="AY55" i="5"/>
  <c r="AU55" i="5"/>
  <c r="BN55" i="5" s="1"/>
  <c r="AV55" i="5"/>
  <c r="BC55" i="5" s="1"/>
  <c r="CK119" i="5"/>
  <c r="CI119" i="5"/>
  <c r="CG119" i="5"/>
  <c r="CF119" i="5"/>
  <c r="CE119" i="5"/>
  <c r="CD119" i="5"/>
  <c r="CC119" i="5"/>
  <c r="CA119" i="5"/>
  <c r="BW119" i="5"/>
  <c r="BV119" i="5"/>
  <c r="BY119" i="5"/>
  <c r="BU119" i="5"/>
  <c r="BT119" i="5"/>
  <c r="BS119" i="5"/>
  <c r="BR119" i="5"/>
  <c r="BQ119" i="5"/>
  <c r="BM119" i="5"/>
  <c r="BK119" i="5"/>
  <c r="BJ119" i="5"/>
  <c r="BI119" i="5"/>
  <c r="BH119" i="5"/>
  <c r="BG119" i="5"/>
  <c r="BF119" i="5"/>
  <c r="BE119" i="5"/>
  <c r="BD119" i="5"/>
  <c r="BA119" i="5"/>
  <c r="BP119" i="5" s="1"/>
  <c r="AZ119" i="5"/>
  <c r="AY119" i="5"/>
  <c r="AV119" i="5"/>
  <c r="BO119" i="5" s="1"/>
  <c r="AU119" i="5"/>
  <c r="BN119" i="5" s="1"/>
  <c r="CK183" i="5"/>
  <c r="CI183" i="5"/>
  <c r="CG183" i="5"/>
  <c r="CF183" i="5"/>
  <c r="CE183" i="5"/>
  <c r="CD183" i="5"/>
  <c r="CC183" i="5"/>
  <c r="CA183" i="5"/>
  <c r="BY183" i="5"/>
  <c r="BW183" i="5"/>
  <c r="BV183" i="5"/>
  <c r="BU183" i="5"/>
  <c r="BT183" i="5"/>
  <c r="BS183" i="5"/>
  <c r="BR183" i="5"/>
  <c r="BQ183" i="5"/>
  <c r="BM183" i="5"/>
  <c r="BK183" i="5"/>
  <c r="BJ183" i="5"/>
  <c r="BI183" i="5"/>
  <c r="BH183" i="5"/>
  <c r="BG183" i="5"/>
  <c r="BF183" i="5"/>
  <c r="BE183" i="5"/>
  <c r="BD183" i="5"/>
  <c r="BA183" i="5"/>
  <c r="BP183" i="5" s="1"/>
  <c r="AZ183" i="5"/>
  <c r="AY183" i="5"/>
  <c r="AV183" i="5"/>
  <c r="BC183" i="5" s="1"/>
  <c r="AU183" i="5"/>
  <c r="BN183" i="5" s="1"/>
  <c r="CK48" i="5"/>
  <c r="CI48" i="5"/>
  <c r="CG48" i="5"/>
  <c r="CE48" i="5"/>
  <c r="CD48" i="5"/>
  <c r="CC48" i="5"/>
  <c r="CF48" i="5"/>
  <c r="CA48" i="5"/>
  <c r="BW48" i="5"/>
  <c r="BV48" i="5"/>
  <c r="BY48" i="5"/>
  <c r="BU48" i="5"/>
  <c r="BT48" i="5"/>
  <c r="BS48" i="5"/>
  <c r="BQ48" i="5"/>
  <c r="BR48" i="5"/>
  <c r="BM48" i="5"/>
  <c r="BK48" i="5"/>
  <c r="BJ48" i="5"/>
  <c r="BI48" i="5"/>
  <c r="BH48" i="5"/>
  <c r="BG48" i="5"/>
  <c r="BF48" i="5"/>
  <c r="BE48" i="5"/>
  <c r="BD48" i="5"/>
  <c r="BA48" i="5"/>
  <c r="BP48" i="5" s="1"/>
  <c r="AZ48" i="5"/>
  <c r="AY48" i="5"/>
  <c r="AU48" i="5"/>
  <c r="BN48" i="5" s="1"/>
  <c r="AV48" i="5"/>
  <c r="BC48" i="5" s="1"/>
  <c r="CK112" i="5"/>
  <c r="CJ112" i="5"/>
  <c r="CI112" i="5"/>
  <c r="CH112" i="5"/>
  <c r="CG112" i="5"/>
  <c r="CE112" i="5"/>
  <c r="CD112" i="5"/>
  <c r="CC112" i="5"/>
  <c r="CF112" i="5"/>
  <c r="CA112" i="5"/>
  <c r="BZ112" i="5"/>
  <c r="BX112" i="5"/>
  <c r="BW112" i="5"/>
  <c r="BV112" i="5"/>
  <c r="BY112" i="5"/>
  <c r="BU112" i="5"/>
  <c r="BT112" i="5"/>
  <c r="BS112" i="5"/>
  <c r="BR112" i="5"/>
  <c r="BQ112" i="5"/>
  <c r="BM112" i="5"/>
  <c r="BL112" i="5"/>
  <c r="BK112" i="5"/>
  <c r="BJ112" i="5"/>
  <c r="BI112" i="5"/>
  <c r="BG112" i="5"/>
  <c r="BF112" i="5"/>
  <c r="BE112" i="5"/>
  <c r="BD112" i="5"/>
  <c r="BH112" i="5"/>
  <c r="AV112" i="5"/>
  <c r="BO112" i="5" s="1"/>
  <c r="BA112" i="5"/>
  <c r="BP112" i="5" s="1"/>
  <c r="AZ112" i="5"/>
  <c r="AY112" i="5"/>
  <c r="AU112" i="5"/>
  <c r="BN112" i="5" s="1"/>
  <c r="CK176" i="5"/>
  <c r="CI176" i="5"/>
  <c r="CG176" i="5"/>
  <c r="CE176" i="5"/>
  <c r="CD176" i="5"/>
  <c r="CF176" i="5"/>
  <c r="CC176" i="5"/>
  <c r="CA176" i="5"/>
  <c r="BY176" i="5"/>
  <c r="BW176" i="5"/>
  <c r="BU176" i="5"/>
  <c r="BT176" i="5"/>
  <c r="BS176" i="5"/>
  <c r="BV176" i="5"/>
  <c r="BR176" i="5"/>
  <c r="BQ176" i="5"/>
  <c r="BM176" i="5"/>
  <c r="BK176" i="5"/>
  <c r="BJ176" i="5"/>
  <c r="BI176" i="5"/>
  <c r="BH176" i="5"/>
  <c r="BG176" i="5"/>
  <c r="BF176" i="5"/>
  <c r="BE176" i="5"/>
  <c r="BD176" i="5"/>
  <c r="AV176" i="5"/>
  <c r="BO176" i="5" s="1"/>
  <c r="BA176" i="5"/>
  <c r="BP176" i="5" s="1"/>
  <c r="AZ176" i="5"/>
  <c r="AY176" i="5"/>
  <c r="AU176" i="5"/>
  <c r="BN176" i="5" s="1"/>
  <c r="CK41" i="5"/>
  <c r="CI41" i="5"/>
  <c r="CF41" i="5"/>
  <c r="CD41" i="5"/>
  <c r="CE41" i="5"/>
  <c r="CC41" i="5"/>
  <c r="CG41" i="5"/>
  <c r="CA41" i="5"/>
  <c r="BW41" i="5"/>
  <c r="BV41" i="5"/>
  <c r="BY41" i="5"/>
  <c r="BU41" i="5"/>
  <c r="BT41" i="5"/>
  <c r="BS41" i="5"/>
  <c r="BR41" i="5"/>
  <c r="BQ41" i="5"/>
  <c r="BM41" i="5"/>
  <c r="BK41" i="5"/>
  <c r="BJ41" i="5"/>
  <c r="BI41" i="5"/>
  <c r="BH41" i="5"/>
  <c r="BG41" i="5"/>
  <c r="BF41" i="5"/>
  <c r="BE41" i="5"/>
  <c r="BD41" i="5"/>
  <c r="BA41" i="5"/>
  <c r="BP41" i="5" s="1"/>
  <c r="AZ41" i="5"/>
  <c r="AY41" i="5"/>
  <c r="AV41" i="5"/>
  <c r="BC41" i="5" s="1"/>
  <c r="AU41" i="5"/>
  <c r="BB41" i="5" s="1"/>
  <c r="CK105" i="5"/>
  <c r="CJ105" i="5"/>
  <c r="CI105" i="5"/>
  <c r="CH105" i="5"/>
  <c r="CF105" i="5"/>
  <c r="CE105" i="5"/>
  <c r="CD105" i="5"/>
  <c r="CC105" i="5"/>
  <c r="CG105" i="5"/>
  <c r="CA105" i="5"/>
  <c r="BY105" i="5"/>
  <c r="BX105" i="5"/>
  <c r="BW105" i="5"/>
  <c r="BV105" i="5"/>
  <c r="BZ105" i="5"/>
  <c r="BU105" i="5"/>
  <c r="BT105" i="5"/>
  <c r="BS105" i="5"/>
  <c r="BR105" i="5"/>
  <c r="BQ105" i="5"/>
  <c r="BM105" i="5"/>
  <c r="BL105" i="5"/>
  <c r="BK105" i="5"/>
  <c r="BJ105" i="5"/>
  <c r="BI105" i="5"/>
  <c r="BG105" i="5"/>
  <c r="BF105" i="5"/>
  <c r="BE105" i="5"/>
  <c r="BD105" i="5"/>
  <c r="BH105" i="5"/>
  <c r="BA105" i="5"/>
  <c r="BP105" i="5" s="1"/>
  <c r="AZ105" i="5"/>
  <c r="AY105" i="5"/>
  <c r="AV105" i="5"/>
  <c r="BO105" i="5" s="1"/>
  <c r="AU105" i="5"/>
  <c r="BB105" i="5" s="1"/>
  <c r="CK169" i="5"/>
  <c r="CI169" i="5"/>
  <c r="CE169" i="5"/>
  <c r="CF169" i="5"/>
  <c r="CC169" i="5"/>
  <c r="CG169" i="5"/>
  <c r="CD169" i="5"/>
  <c r="CA169" i="5"/>
  <c r="BY169" i="5"/>
  <c r="BW169" i="5"/>
  <c r="BV169" i="5"/>
  <c r="BU169" i="5"/>
  <c r="BT169" i="5"/>
  <c r="BS169" i="5"/>
  <c r="BR169" i="5"/>
  <c r="BQ169" i="5"/>
  <c r="BM169" i="5"/>
  <c r="BK169" i="5"/>
  <c r="BJ169" i="5"/>
  <c r="BI169" i="5"/>
  <c r="BH169" i="5"/>
  <c r="BG169" i="5"/>
  <c r="BF169" i="5"/>
  <c r="BE169" i="5"/>
  <c r="BD169" i="5"/>
  <c r="BA169" i="5"/>
  <c r="BP169" i="5" s="1"/>
  <c r="AZ169" i="5"/>
  <c r="AY169" i="5"/>
  <c r="AV169" i="5"/>
  <c r="BO169" i="5" s="1"/>
  <c r="AU169" i="5"/>
  <c r="BN169" i="5" s="1"/>
  <c r="CK34" i="5"/>
  <c r="CJ34" i="5"/>
  <c r="CI34" i="5"/>
  <c r="CH34" i="5"/>
  <c r="CF34" i="5"/>
  <c r="CE34" i="5"/>
  <c r="CG34" i="5"/>
  <c r="CD34" i="5"/>
  <c r="CA34" i="5"/>
  <c r="CC34" i="5"/>
  <c r="BZ34" i="5"/>
  <c r="BY34" i="5"/>
  <c r="BX34" i="5"/>
  <c r="BW34" i="5"/>
  <c r="BV34" i="5"/>
  <c r="BU34" i="5"/>
  <c r="BT34" i="5"/>
  <c r="BS34" i="5"/>
  <c r="BQ34" i="5"/>
  <c r="BR34" i="5"/>
  <c r="BM34" i="5"/>
  <c r="BL34" i="5"/>
  <c r="BK34" i="5"/>
  <c r="BJ34" i="5"/>
  <c r="BI34" i="5"/>
  <c r="BH34" i="5"/>
  <c r="BG34" i="5"/>
  <c r="BF34" i="5"/>
  <c r="BE34" i="5"/>
  <c r="BD34" i="5"/>
  <c r="BA34" i="5"/>
  <c r="BP34" i="5" s="1"/>
  <c r="AZ34" i="5"/>
  <c r="AY34" i="5"/>
  <c r="AU34" i="5"/>
  <c r="BN34" i="5" s="1"/>
  <c r="AV34" i="5"/>
  <c r="BC34" i="5" s="1"/>
  <c r="CK98" i="5"/>
  <c r="CJ98" i="5"/>
  <c r="CI98" i="5"/>
  <c r="CH98" i="5"/>
  <c r="CG98" i="5"/>
  <c r="CF98" i="5"/>
  <c r="CA98" i="5"/>
  <c r="CC98" i="5"/>
  <c r="BZ98" i="5"/>
  <c r="CE98" i="5"/>
  <c r="BY98" i="5"/>
  <c r="BX98" i="5"/>
  <c r="BW98" i="5"/>
  <c r="BV98" i="5"/>
  <c r="CD98" i="5"/>
  <c r="BU98" i="5"/>
  <c r="BT98" i="5"/>
  <c r="BS98" i="5"/>
  <c r="BR98" i="5"/>
  <c r="BQ98" i="5"/>
  <c r="BM98" i="5"/>
  <c r="BL98" i="5"/>
  <c r="BK98" i="5"/>
  <c r="BJ98" i="5"/>
  <c r="BI98" i="5"/>
  <c r="BH98" i="5"/>
  <c r="BG98" i="5"/>
  <c r="BF98" i="5"/>
  <c r="BE98" i="5"/>
  <c r="BD98" i="5"/>
  <c r="BA98" i="5"/>
  <c r="BP98" i="5" s="1"/>
  <c r="AZ98" i="5"/>
  <c r="AY98" i="5"/>
  <c r="AU98" i="5"/>
  <c r="BN98" i="5" s="1"/>
  <c r="AV98" i="5"/>
  <c r="BC98" i="5" s="1"/>
  <c r="CK162" i="5"/>
  <c r="CI162" i="5"/>
  <c r="CG162" i="5"/>
  <c r="CF162" i="5"/>
  <c r="CC162" i="5"/>
  <c r="CE162" i="5"/>
  <c r="CA162" i="5"/>
  <c r="CD162" i="5"/>
  <c r="BY162" i="5"/>
  <c r="BW162" i="5"/>
  <c r="BU162" i="5"/>
  <c r="BT162" i="5"/>
  <c r="BS162" i="5"/>
  <c r="BV162" i="5"/>
  <c r="BR162" i="5"/>
  <c r="BQ162" i="5"/>
  <c r="BM162" i="5"/>
  <c r="BK162" i="5"/>
  <c r="BJ162" i="5"/>
  <c r="BI162" i="5"/>
  <c r="BH162" i="5"/>
  <c r="BG162" i="5"/>
  <c r="BF162" i="5"/>
  <c r="BE162" i="5"/>
  <c r="BD162" i="5"/>
  <c r="BA162" i="5"/>
  <c r="BP162" i="5" s="1"/>
  <c r="AZ162" i="5"/>
  <c r="AY162" i="5"/>
  <c r="AU162" i="5"/>
  <c r="BN162" i="5" s="1"/>
  <c r="AV162" i="5"/>
  <c r="BO162" i="5" s="1"/>
  <c r="CK19" i="5"/>
  <c r="CJ19" i="5"/>
  <c r="CI19" i="5"/>
  <c r="CG19" i="5"/>
  <c r="CF19" i="5"/>
  <c r="CE19" i="5"/>
  <c r="CD19" i="5"/>
  <c r="CH19" i="5"/>
  <c r="CC19" i="5"/>
  <c r="BZ19" i="5"/>
  <c r="BY19" i="5"/>
  <c r="CA19" i="5"/>
  <c r="BX19" i="5"/>
  <c r="BW19" i="5"/>
  <c r="BV19" i="5"/>
  <c r="BU19" i="5"/>
  <c r="BT19" i="5"/>
  <c r="BS19" i="5"/>
  <c r="BQ19" i="5"/>
  <c r="BK19" i="5"/>
  <c r="BJ19" i="5"/>
  <c r="BI19" i="5"/>
  <c r="BH19" i="5"/>
  <c r="BR19" i="5"/>
  <c r="BM19" i="5"/>
  <c r="BL19" i="5"/>
  <c r="BG19" i="5"/>
  <c r="BF19" i="5"/>
  <c r="BE19" i="5"/>
  <c r="BD19" i="5"/>
  <c r="AZ19" i="5"/>
  <c r="AY19" i="5"/>
  <c r="BA19" i="5"/>
  <c r="BP19" i="5" s="1"/>
  <c r="AU19" i="5"/>
  <c r="BN19" i="5" s="1"/>
  <c r="AV19" i="5"/>
  <c r="BO19" i="5" s="1"/>
  <c r="CH83" i="5"/>
  <c r="CK83" i="5"/>
  <c r="CI83" i="5"/>
  <c r="CJ83" i="5"/>
  <c r="CG83" i="5"/>
  <c r="CF83" i="5"/>
  <c r="CA83" i="5"/>
  <c r="CC83" i="5"/>
  <c r="CD83" i="5"/>
  <c r="CE83" i="5"/>
  <c r="BZ83" i="5"/>
  <c r="BX83" i="5"/>
  <c r="BW83" i="5"/>
  <c r="BV83" i="5"/>
  <c r="BY83" i="5"/>
  <c r="BU83" i="5"/>
  <c r="BT83" i="5"/>
  <c r="BS83" i="5"/>
  <c r="BR83" i="5"/>
  <c r="BQ83" i="5"/>
  <c r="BK83" i="5"/>
  <c r="BJ83" i="5"/>
  <c r="BI83" i="5"/>
  <c r="BH83" i="5"/>
  <c r="BL83" i="5"/>
  <c r="BM83" i="5"/>
  <c r="BG83" i="5"/>
  <c r="BF83" i="5"/>
  <c r="BE83" i="5"/>
  <c r="BD83" i="5"/>
  <c r="BA83" i="5"/>
  <c r="BP83" i="5" s="1"/>
  <c r="AZ83" i="5"/>
  <c r="AY83" i="5"/>
  <c r="AU83" i="5"/>
  <c r="BN83" i="5" s="1"/>
  <c r="AV83" i="5"/>
  <c r="BO83" i="5" s="1"/>
  <c r="CK147" i="5"/>
  <c r="CI147" i="5"/>
  <c r="CG147" i="5"/>
  <c r="CD147" i="5"/>
  <c r="CC147" i="5"/>
  <c r="CA147" i="5"/>
  <c r="CE147" i="5"/>
  <c r="CF147" i="5"/>
  <c r="BY147" i="5"/>
  <c r="BW147" i="5"/>
  <c r="BV147" i="5"/>
  <c r="BU147" i="5"/>
  <c r="BT147" i="5"/>
  <c r="BS147" i="5"/>
  <c r="BR147" i="5"/>
  <c r="BQ147" i="5"/>
  <c r="BK147" i="5"/>
  <c r="BJ147" i="5"/>
  <c r="BI147" i="5"/>
  <c r="BM147" i="5"/>
  <c r="BH147" i="5"/>
  <c r="BG147" i="5"/>
  <c r="BF147" i="5"/>
  <c r="BE147" i="5"/>
  <c r="BD147" i="5"/>
  <c r="BA147" i="5"/>
  <c r="BP147" i="5" s="1"/>
  <c r="AZ147" i="5"/>
  <c r="AY147" i="5"/>
  <c r="AV147" i="5"/>
  <c r="BO147" i="5" s="1"/>
  <c r="AU147" i="5"/>
  <c r="BB147" i="5" s="1"/>
  <c r="CJ12" i="5"/>
  <c r="CK12" i="5"/>
  <c r="CI12" i="5"/>
  <c r="CH12" i="5"/>
  <c r="CG12" i="5"/>
  <c r="CE12" i="5"/>
  <c r="CA12" i="5"/>
  <c r="CC12" i="5"/>
  <c r="BY12" i="5"/>
  <c r="CF12" i="5"/>
  <c r="CD12" i="5"/>
  <c r="BZ12" i="5"/>
  <c r="BX12" i="5"/>
  <c r="BW12" i="5"/>
  <c r="BV12" i="5"/>
  <c r="BU12" i="5"/>
  <c r="BT12" i="5"/>
  <c r="BS12" i="5"/>
  <c r="BR12" i="5"/>
  <c r="BQ12" i="5"/>
  <c r="BM12" i="5"/>
  <c r="BK12" i="5"/>
  <c r="BJ12" i="5"/>
  <c r="BI12" i="5"/>
  <c r="BH12" i="5"/>
  <c r="BL12" i="5"/>
  <c r="BG12" i="5"/>
  <c r="BF12" i="5"/>
  <c r="BE12" i="5"/>
  <c r="BD12" i="5"/>
  <c r="BA12" i="5"/>
  <c r="BP12" i="5" s="1"/>
  <c r="AZ12" i="5"/>
  <c r="AY12" i="5"/>
  <c r="AU12" i="5"/>
  <c r="BB12" i="5" s="1"/>
  <c r="AV12" i="5"/>
  <c r="BC12" i="5" s="1"/>
  <c r="CJ76" i="5"/>
  <c r="CH76" i="5"/>
  <c r="CK76" i="5"/>
  <c r="CI76" i="5"/>
  <c r="CG76" i="5"/>
  <c r="CF76" i="5"/>
  <c r="CE76" i="5"/>
  <c r="CD76" i="5"/>
  <c r="CA76" i="5"/>
  <c r="CC76" i="5"/>
  <c r="BZ76" i="5"/>
  <c r="BY76" i="5"/>
  <c r="BX76" i="5"/>
  <c r="BW76" i="5"/>
  <c r="BU76" i="5"/>
  <c r="BT76" i="5"/>
  <c r="BS76" i="5"/>
  <c r="BV76" i="5"/>
  <c r="BR76" i="5"/>
  <c r="BQ76" i="5"/>
  <c r="BK76" i="5"/>
  <c r="BJ76" i="5"/>
  <c r="BI76" i="5"/>
  <c r="BH76" i="5"/>
  <c r="BL76" i="5"/>
  <c r="BM76" i="5"/>
  <c r="BG76" i="5"/>
  <c r="BF76" i="5"/>
  <c r="BE76" i="5"/>
  <c r="BD76" i="5"/>
  <c r="BA76" i="5"/>
  <c r="BP76" i="5" s="1"/>
  <c r="AZ76" i="5"/>
  <c r="AY76" i="5"/>
  <c r="AU76" i="5"/>
  <c r="BB76" i="5" s="1"/>
  <c r="AV76" i="5"/>
  <c r="BC76" i="5" s="1"/>
  <c r="CK140" i="5"/>
  <c r="CI140" i="5"/>
  <c r="CG140" i="5"/>
  <c r="CF140" i="5"/>
  <c r="CE140" i="5"/>
  <c r="CA140" i="5"/>
  <c r="CD140" i="5"/>
  <c r="CC140" i="5"/>
  <c r="BY140" i="5"/>
  <c r="BW140" i="5"/>
  <c r="BU140" i="5"/>
  <c r="BT140" i="5"/>
  <c r="BS140" i="5"/>
  <c r="BV140" i="5"/>
  <c r="BR140" i="5"/>
  <c r="BQ140" i="5"/>
  <c r="BK140" i="5"/>
  <c r="BJ140" i="5"/>
  <c r="BI140" i="5"/>
  <c r="BM140" i="5"/>
  <c r="BH140" i="5"/>
  <c r="BG140" i="5"/>
  <c r="BF140" i="5"/>
  <c r="BE140" i="5"/>
  <c r="BD140" i="5"/>
  <c r="BA140" i="5"/>
  <c r="BP140" i="5" s="1"/>
  <c r="AZ140" i="5"/>
  <c r="AY140" i="5"/>
  <c r="AV140" i="5"/>
  <c r="BO140" i="5" s="1"/>
  <c r="AU140" i="5"/>
  <c r="BN140" i="5" s="1"/>
  <c r="CK141" i="5"/>
  <c r="CG141" i="5"/>
  <c r="CI141" i="5"/>
  <c r="CF141" i="5"/>
  <c r="CE141" i="5"/>
  <c r="CA141" i="5"/>
  <c r="CD141" i="5"/>
  <c r="CC141" i="5"/>
  <c r="BW141" i="5"/>
  <c r="BY141" i="5"/>
  <c r="BU141" i="5"/>
  <c r="BT141" i="5"/>
  <c r="BS141" i="5"/>
  <c r="BV141" i="5"/>
  <c r="BR141" i="5"/>
  <c r="BQ141" i="5"/>
  <c r="BM141" i="5"/>
  <c r="BK141" i="5"/>
  <c r="BJ141" i="5"/>
  <c r="BI141" i="5"/>
  <c r="BH141" i="5"/>
  <c r="BG141" i="5"/>
  <c r="BF141" i="5"/>
  <c r="BE141" i="5"/>
  <c r="BD141" i="5"/>
  <c r="BA141" i="5"/>
  <c r="BP141" i="5" s="1"/>
  <c r="AZ141" i="5"/>
  <c r="AY141" i="5"/>
  <c r="AV141" i="5"/>
  <c r="BO141" i="5" s="1"/>
  <c r="AU141" i="5"/>
  <c r="BB141" i="5" s="1"/>
  <c r="CG63" i="5"/>
  <c r="CF63" i="5"/>
  <c r="CK63" i="5"/>
  <c r="CI63" i="5"/>
  <c r="CE63" i="5"/>
  <c r="CD63" i="5"/>
  <c r="CA63" i="5"/>
  <c r="BW63" i="5"/>
  <c r="BV63" i="5"/>
  <c r="CC63" i="5"/>
  <c r="BY63" i="5"/>
  <c r="BU63" i="5"/>
  <c r="BT63" i="5"/>
  <c r="BS63" i="5"/>
  <c r="BR63" i="5"/>
  <c r="BQ63" i="5"/>
  <c r="BM63" i="5"/>
  <c r="BK63" i="5"/>
  <c r="BJ63" i="5"/>
  <c r="BI63" i="5"/>
  <c r="BH63" i="5"/>
  <c r="BG63" i="5"/>
  <c r="BF63" i="5"/>
  <c r="BE63" i="5"/>
  <c r="BD63" i="5"/>
  <c r="BA63" i="5"/>
  <c r="BP63" i="5" s="1"/>
  <c r="AZ63" i="5"/>
  <c r="AY63" i="5"/>
  <c r="AV63" i="5"/>
  <c r="BC63" i="5" s="1"/>
  <c r="AU63" i="5"/>
  <c r="BN63" i="5" s="1"/>
  <c r="CK120" i="5"/>
  <c r="CI120" i="5"/>
  <c r="CE120" i="5"/>
  <c r="CD120" i="5"/>
  <c r="CF120" i="5"/>
  <c r="CC120" i="5"/>
  <c r="CG120" i="5"/>
  <c r="CA120" i="5"/>
  <c r="BW120" i="5"/>
  <c r="BV120" i="5"/>
  <c r="BY120" i="5"/>
  <c r="BU120" i="5"/>
  <c r="BT120" i="5"/>
  <c r="BS120" i="5"/>
  <c r="BR120" i="5"/>
  <c r="BQ120" i="5"/>
  <c r="BM120" i="5"/>
  <c r="BK120" i="5"/>
  <c r="BJ120" i="5"/>
  <c r="BI120" i="5"/>
  <c r="BH120" i="5"/>
  <c r="BG120" i="5"/>
  <c r="BF120" i="5"/>
  <c r="BE120" i="5"/>
  <c r="BD120" i="5"/>
  <c r="AV120" i="5"/>
  <c r="BO120" i="5" s="1"/>
  <c r="BA120" i="5"/>
  <c r="BP120" i="5" s="1"/>
  <c r="AZ120" i="5"/>
  <c r="AY120" i="5"/>
  <c r="AU120" i="5"/>
  <c r="BN120" i="5" s="1"/>
  <c r="CK177" i="5"/>
  <c r="CI177" i="5"/>
  <c r="CG177" i="5"/>
  <c r="CE177" i="5"/>
  <c r="CF177" i="5"/>
  <c r="CC177" i="5"/>
  <c r="CD177" i="5"/>
  <c r="BY177" i="5"/>
  <c r="CA177" i="5"/>
  <c r="BW177" i="5"/>
  <c r="BU177" i="5"/>
  <c r="BT177" i="5"/>
  <c r="BS177" i="5"/>
  <c r="BV177" i="5"/>
  <c r="BR177" i="5"/>
  <c r="BQ177" i="5"/>
  <c r="BM177" i="5"/>
  <c r="BK177" i="5"/>
  <c r="BJ177" i="5"/>
  <c r="BI177" i="5"/>
  <c r="BH177" i="5"/>
  <c r="BG177" i="5"/>
  <c r="BF177" i="5"/>
  <c r="BE177" i="5"/>
  <c r="BD177" i="5"/>
  <c r="BA177" i="5"/>
  <c r="BP177" i="5" s="1"/>
  <c r="AZ177" i="5"/>
  <c r="AY177" i="5"/>
  <c r="AV177" i="5"/>
  <c r="BC177" i="5" s="1"/>
  <c r="AU177" i="5"/>
  <c r="BB177" i="5" s="1"/>
  <c r="CK170" i="5"/>
  <c r="CI170" i="5"/>
  <c r="CG170" i="5"/>
  <c r="CF170" i="5"/>
  <c r="CE170" i="5"/>
  <c r="CC170" i="5"/>
  <c r="CD170" i="5"/>
  <c r="CA170" i="5"/>
  <c r="BY170" i="5"/>
  <c r="BW170" i="5"/>
  <c r="BV170" i="5"/>
  <c r="BU170" i="5"/>
  <c r="BT170" i="5"/>
  <c r="BS170" i="5"/>
  <c r="BR170" i="5"/>
  <c r="BQ170" i="5"/>
  <c r="BM170" i="5"/>
  <c r="BK170" i="5"/>
  <c r="BJ170" i="5"/>
  <c r="BI170" i="5"/>
  <c r="BH170" i="5"/>
  <c r="BG170" i="5"/>
  <c r="BF170" i="5"/>
  <c r="BE170" i="5"/>
  <c r="BD170" i="5"/>
  <c r="BA170" i="5"/>
  <c r="BP170" i="5" s="1"/>
  <c r="AZ170" i="5"/>
  <c r="AY170" i="5"/>
  <c r="AU170" i="5"/>
  <c r="BN170" i="5" s="1"/>
  <c r="AV170" i="5"/>
  <c r="BO170" i="5" s="1"/>
  <c r="CJ148" i="5"/>
  <c r="CK148" i="5"/>
  <c r="CI148" i="5"/>
  <c r="CH148" i="5"/>
  <c r="CF148" i="5"/>
  <c r="CD148" i="5"/>
  <c r="CC148" i="5"/>
  <c r="CA148" i="5"/>
  <c r="CE148" i="5"/>
  <c r="BZ148" i="5"/>
  <c r="CG148" i="5"/>
  <c r="BX148" i="5"/>
  <c r="BY148" i="5"/>
  <c r="BW148" i="5"/>
  <c r="BV148" i="5"/>
  <c r="BU148" i="5"/>
  <c r="BT148" i="5"/>
  <c r="BS148" i="5"/>
  <c r="BR148" i="5"/>
  <c r="BQ148" i="5"/>
  <c r="BK148" i="5"/>
  <c r="BJ148" i="5"/>
  <c r="BI148" i="5"/>
  <c r="BL148" i="5"/>
  <c r="BM148" i="5"/>
  <c r="BH148" i="5"/>
  <c r="BG148" i="5"/>
  <c r="BF148" i="5"/>
  <c r="BE148" i="5"/>
  <c r="BD148" i="5"/>
  <c r="BA148" i="5"/>
  <c r="BP148" i="5" s="1"/>
  <c r="AZ148" i="5"/>
  <c r="AY148" i="5"/>
  <c r="AV148" i="5"/>
  <c r="BC148" i="5" s="1"/>
  <c r="AU148" i="5"/>
  <c r="BB148" i="5" s="1"/>
  <c r="CG21" i="5"/>
  <c r="CK21" i="5"/>
  <c r="CF21" i="5"/>
  <c r="CE21" i="5"/>
  <c r="CD21" i="5"/>
  <c r="CC21" i="5"/>
  <c r="CA21" i="5"/>
  <c r="CI21" i="5"/>
  <c r="BY21" i="5"/>
  <c r="BW21" i="5"/>
  <c r="BV21" i="5"/>
  <c r="BU21" i="5"/>
  <c r="BT21" i="5"/>
  <c r="BS21" i="5"/>
  <c r="BR21" i="5"/>
  <c r="BQ21" i="5"/>
  <c r="BM21" i="5"/>
  <c r="BK21" i="5"/>
  <c r="BJ21" i="5"/>
  <c r="BI21" i="5"/>
  <c r="BH21" i="5"/>
  <c r="BG21" i="5"/>
  <c r="BF21" i="5"/>
  <c r="BE21" i="5"/>
  <c r="BD21" i="5"/>
  <c r="BA21" i="5"/>
  <c r="BP21" i="5" s="1"/>
  <c r="AZ21" i="5"/>
  <c r="AY21" i="5"/>
  <c r="AU21" i="5"/>
  <c r="BN21" i="5" s="1"/>
  <c r="AV21" i="5"/>
  <c r="BO21" i="5" s="1"/>
  <c r="CJ85" i="5"/>
  <c r="CK85" i="5"/>
  <c r="CG85" i="5"/>
  <c r="CI85" i="5"/>
  <c r="CH85" i="5"/>
  <c r="CD85" i="5"/>
  <c r="CF85" i="5"/>
  <c r="CC85" i="5"/>
  <c r="CA85" i="5"/>
  <c r="BY85" i="5"/>
  <c r="BW85" i="5"/>
  <c r="BV85" i="5"/>
  <c r="BX85" i="5"/>
  <c r="BZ85" i="5"/>
  <c r="CE85" i="5"/>
  <c r="BU85" i="5"/>
  <c r="BT85" i="5"/>
  <c r="BS85" i="5"/>
  <c r="BR85" i="5"/>
  <c r="BQ85" i="5"/>
  <c r="BM85" i="5"/>
  <c r="BK85" i="5"/>
  <c r="BJ85" i="5"/>
  <c r="BI85" i="5"/>
  <c r="BH85" i="5"/>
  <c r="BL85" i="5"/>
  <c r="BG85" i="5"/>
  <c r="BF85" i="5"/>
  <c r="BE85" i="5"/>
  <c r="BD85" i="5"/>
  <c r="BA85" i="5"/>
  <c r="BP85" i="5" s="1"/>
  <c r="AZ85" i="5"/>
  <c r="AY85" i="5"/>
  <c r="AU85" i="5"/>
  <c r="BN85" i="5" s="1"/>
  <c r="AV85" i="5"/>
  <c r="BC85" i="5" s="1"/>
  <c r="CK149" i="5"/>
  <c r="CG149" i="5"/>
  <c r="CI149" i="5"/>
  <c r="CF149" i="5"/>
  <c r="CC149" i="5"/>
  <c r="CA149" i="5"/>
  <c r="CD149" i="5"/>
  <c r="BY149" i="5"/>
  <c r="BW149" i="5"/>
  <c r="CE149" i="5"/>
  <c r="BV149" i="5"/>
  <c r="BU149" i="5"/>
  <c r="BT149" i="5"/>
  <c r="BS149" i="5"/>
  <c r="BR149" i="5"/>
  <c r="BQ149" i="5"/>
  <c r="BM149" i="5"/>
  <c r="BK149" i="5"/>
  <c r="BJ149" i="5"/>
  <c r="BI149" i="5"/>
  <c r="BH149" i="5"/>
  <c r="BG149" i="5"/>
  <c r="BF149" i="5"/>
  <c r="BE149" i="5"/>
  <c r="BD149" i="5"/>
  <c r="BA149" i="5"/>
  <c r="BP149" i="5" s="1"/>
  <c r="AZ149" i="5"/>
  <c r="AY149" i="5"/>
  <c r="AV149" i="5"/>
  <c r="BO149" i="5" s="1"/>
  <c r="AU149" i="5"/>
  <c r="BN149" i="5" s="1"/>
  <c r="CI14" i="5"/>
  <c r="CF14" i="5"/>
  <c r="CD14" i="5"/>
  <c r="CE14" i="5"/>
  <c r="CG14" i="5"/>
  <c r="CA14" i="5"/>
  <c r="CC14" i="5"/>
  <c r="BY14" i="5"/>
  <c r="BW14" i="5"/>
  <c r="BV14" i="5"/>
  <c r="CK14" i="5"/>
  <c r="BU14" i="5"/>
  <c r="BT14" i="5"/>
  <c r="BS14" i="5"/>
  <c r="BR14" i="5"/>
  <c r="BQ14" i="5"/>
  <c r="BM14" i="5"/>
  <c r="BK14" i="5"/>
  <c r="BJ14" i="5"/>
  <c r="BI14" i="5"/>
  <c r="BH14" i="5"/>
  <c r="BG14" i="5"/>
  <c r="BF14" i="5"/>
  <c r="BE14" i="5"/>
  <c r="BD14" i="5"/>
  <c r="BA14" i="5"/>
  <c r="BP14" i="5" s="1"/>
  <c r="AZ14" i="5"/>
  <c r="AY14" i="5"/>
  <c r="AU14" i="5"/>
  <c r="BB14" i="5" s="1"/>
  <c r="AV14" i="5"/>
  <c r="BC14" i="5" s="1"/>
  <c r="CI78" i="5"/>
  <c r="CJ78" i="5"/>
  <c r="CH78" i="5"/>
  <c r="CG78" i="5"/>
  <c r="CF78" i="5"/>
  <c r="CE78" i="5"/>
  <c r="CK78" i="5"/>
  <c r="BZ78" i="5"/>
  <c r="CA78" i="5"/>
  <c r="BY78" i="5"/>
  <c r="CC78" i="5"/>
  <c r="CD78" i="5"/>
  <c r="BW78" i="5"/>
  <c r="BV78" i="5"/>
  <c r="BX78" i="5"/>
  <c r="BU78" i="5"/>
  <c r="BT78" i="5"/>
  <c r="BS78" i="5"/>
  <c r="BR78" i="5"/>
  <c r="BQ78" i="5"/>
  <c r="BM78" i="5"/>
  <c r="BK78" i="5"/>
  <c r="BJ78" i="5"/>
  <c r="BI78" i="5"/>
  <c r="BH78" i="5"/>
  <c r="BL78" i="5"/>
  <c r="BG78" i="5"/>
  <c r="BF78" i="5"/>
  <c r="BE78" i="5"/>
  <c r="BD78" i="5"/>
  <c r="BA78" i="5"/>
  <c r="BP78" i="5" s="1"/>
  <c r="AZ78" i="5"/>
  <c r="AY78" i="5"/>
  <c r="AU78" i="5"/>
  <c r="BB78" i="5" s="1"/>
  <c r="AV78" i="5"/>
  <c r="BC78" i="5" s="1"/>
  <c r="CI142" i="5"/>
  <c r="CG142" i="5"/>
  <c r="CE142" i="5"/>
  <c r="CK142" i="5"/>
  <c r="CF142" i="5"/>
  <c r="CA142" i="5"/>
  <c r="BY142" i="5"/>
  <c r="CD142" i="5"/>
  <c r="BW142" i="5"/>
  <c r="BV142" i="5"/>
  <c r="CC142" i="5"/>
  <c r="BU142" i="5"/>
  <c r="BT142" i="5"/>
  <c r="BS142" i="5"/>
  <c r="BR142" i="5"/>
  <c r="BQ142" i="5"/>
  <c r="BM142" i="5"/>
  <c r="BK142" i="5"/>
  <c r="BJ142" i="5"/>
  <c r="BI142" i="5"/>
  <c r="BH142" i="5"/>
  <c r="BG142" i="5"/>
  <c r="BF142" i="5"/>
  <c r="BE142" i="5"/>
  <c r="BD142" i="5"/>
  <c r="BA142" i="5"/>
  <c r="BP142" i="5" s="1"/>
  <c r="AZ142" i="5"/>
  <c r="AY142" i="5"/>
  <c r="AV142" i="5"/>
  <c r="BO142" i="5" s="1"/>
  <c r="AU142" i="5"/>
  <c r="BN142" i="5" s="1"/>
  <c r="CK7" i="5"/>
  <c r="CI7" i="5"/>
  <c r="CF7" i="5"/>
  <c r="CE7" i="5"/>
  <c r="CH7" i="5"/>
  <c r="CJ7" i="5"/>
  <c r="CD7" i="5"/>
  <c r="CG7" i="5"/>
  <c r="CC7" i="5"/>
  <c r="BZ7" i="5"/>
  <c r="CA7" i="5"/>
  <c r="BY7" i="5"/>
  <c r="BX7" i="5"/>
  <c r="BW7" i="5"/>
  <c r="BV7" i="5"/>
  <c r="BU7" i="5"/>
  <c r="BT7" i="5"/>
  <c r="BS7" i="5"/>
  <c r="BR7" i="5"/>
  <c r="BQ7" i="5"/>
  <c r="BL7" i="5"/>
  <c r="BM7" i="5"/>
  <c r="BK7" i="5"/>
  <c r="BJ7" i="5"/>
  <c r="BI7" i="5"/>
  <c r="BH7" i="5"/>
  <c r="BG7" i="5"/>
  <c r="BF7" i="5"/>
  <c r="BA7" i="5"/>
  <c r="BP7" i="5" s="1"/>
  <c r="BE7" i="5"/>
  <c r="BD7" i="5"/>
  <c r="AZ7" i="5"/>
  <c r="AY7" i="5"/>
  <c r="AU7" i="5"/>
  <c r="BB7" i="5" s="1"/>
  <c r="AV7" i="5"/>
  <c r="BO7" i="5" s="1"/>
  <c r="CJ71" i="5"/>
  <c r="CI71" i="5"/>
  <c r="CG71" i="5"/>
  <c r="CF71" i="5"/>
  <c r="CH71" i="5"/>
  <c r="CK71" i="5"/>
  <c r="CE71" i="5"/>
  <c r="CD71" i="5"/>
  <c r="CC71" i="5"/>
  <c r="BZ71" i="5"/>
  <c r="BW71" i="5"/>
  <c r="BV71" i="5"/>
  <c r="BY71" i="5"/>
  <c r="BX71" i="5"/>
  <c r="CA71" i="5"/>
  <c r="BU71" i="5"/>
  <c r="BT71" i="5"/>
  <c r="BS71" i="5"/>
  <c r="BR71" i="5"/>
  <c r="BQ71" i="5"/>
  <c r="BL71" i="5"/>
  <c r="BM71" i="5"/>
  <c r="BK71" i="5"/>
  <c r="BJ71" i="5"/>
  <c r="BI71" i="5"/>
  <c r="BG71" i="5"/>
  <c r="BF71" i="5"/>
  <c r="BE71" i="5"/>
  <c r="BH71" i="5"/>
  <c r="BD71" i="5"/>
  <c r="BA71" i="5"/>
  <c r="BP71" i="5" s="1"/>
  <c r="AZ71" i="5"/>
  <c r="AY71" i="5"/>
  <c r="AU71" i="5"/>
  <c r="BN71" i="5" s="1"/>
  <c r="AV71" i="5"/>
  <c r="BO71" i="5" s="1"/>
  <c r="CI135" i="5"/>
  <c r="CG135" i="5"/>
  <c r="CF135" i="5"/>
  <c r="CK135" i="5"/>
  <c r="CE135" i="5"/>
  <c r="CD135" i="5"/>
  <c r="CC135" i="5"/>
  <c r="CA135" i="5"/>
  <c r="BW135" i="5"/>
  <c r="BV135" i="5"/>
  <c r="BY135" i="5"/>
  <c r="BU135" i="5"/>
  <c r="BT135" i="5"/>
  <c r="BS135" i="5"/>
  <c r="BR135" i="5"/>
  <c r="BQ135" i="5"/>
  <c r="BM135" i="5"/>
  <c r="BK135" i="5"/>
  <c r="BJ135" i="5"/>
  <c r="BI135" i="5"/>
  <c r="BH135" i="5"/>
  <c r="BG135" i="5"/>
  <c r="BF135" i="5"/>
  <c r="BE135" i="5"/>
  <c r="BD135" i="5"/>
  <c r="BA135" i="5"/>
  <c r="BP135" i="5" s="1"/>
  <c r="AZ135" i="5"/>
  <c r="AY135" i="5"/>
  <c r="AU135" i="5"/>
  <c r="BB135" i="5" s="1"/>
  <c r="AV135" i="5"/>
  <c r="BC135" i="5" s="1"/>
  <c r="CG199" i="5"/>
  <c r="CF199" i="5"/>
  <c r="CK199" i="5"/>
  <c r="CI199" i="5"/>
  <c r="CE199" i="5"/>
  <c r="CD199" i="5"/>
  <c r="CC199" i="5"/>
  <c r="CA199" i="5"/>
  <c r="BY199" i="5"/>
  <c r="BW199" i="5"/>
  <c r="BV199" i="5"/>
  <c r="BU199" i="5"/>
  <c r="BT199" i="5"/>
  <c r="BS199" i="5"/>
  <c r="BR199" i="5"/>
  <c r="BQ199" i="5"/>
  <c r="BM199" i="5"/>
  <c r="BK199" i="5"/>
  <c r="BJ199" i="5"/>
  <c r="BI199" i="5"/>
  <c r="BH199" i="5"/>
  <c r="BG199" i="5"/>
  <c r="BF199" i="5"/>
  <c r="BE199" i="5"/>
  <c r="BD199" i="5"/>
  <c r="BA199" i="5"/>
  <c r="BP199" i="5" s="1"/>
  <c r="AZ199" i="5"/>
  <c r="AY199" i="5"/>
  <c r="AU199" i="5"/>
  <c r="BN199" i="5" s="1"/>
  <c r="AV199" i="5"/>
  <c r="BO199" i="5" s="1"/>
  <c r="CK64" i="5"/>
  <c r="CF64" i="5"/>
  <c r="CG64" i="5"/>
  <c r="CI64" i="5"/>
  <c r="CE64" i="5"/>
  <c r="CD64" i="5"/>
  <c r="CC64" i="5"/>
  <c r="CA64" i="5"/>
  <c r="BY64" i="5"/>
  <c r="BW64" i="5"/>
  <c r="BV64" i="5"/>
  <c r="BU64" i="5"/>
  <c r="BT64" i="5"/>
  <c r="BS64" i="5"/>
  <c r="BR64" i="5"/>
  <c r="BQ64" i="5"/>
  <c r="BM64" i="5"/>
  <c r="BK64" i="5"/>
  <c r="BJ64" i="5"/>
  <c r="BI64" i="5"/>
  <c r="BH64" i="5"/>
  <c r="BG64" i="5"/>
  <c r="BF64" i="5"/>
  <c r="BE64" i="5"/>
  <c r="BD64" i="5"/>
  <c r="BA64" i="5"/>
  <c r="BP64" i="5" s="1"/>
  <c r="AZ64" i="5"/>
  <c r="AY64" i="5"/>
  <c r="AU64" i="5"/>
  <c r="BN64" i="5" s="1"/>
  <c r="AV64" i="5"/>
  <c r="BO64" i="5" s="1"/>
  <c r="CK128" i="5"/>
  <c r="CF128" i="5"/>
  <c r="CG128" i="5"/>
  <c r="CI128" i="5"/>
  <c r="CE128" i="5"/>
  <c r="CD128" i="5"/>
  <c r="CC128" i="5"/>
  <c r="CA128" i="5"/>
  <c r="BW128" i="5"/>
  <c r="BY128" i="5"/>
  <c r="BU128" i="5"/>
  <c r="BT128" i="5"/>
  <c r="BS128" i="5"/>
  <c r="BV128" i="5"/>
  <c r="BR128" i="5"/>
  <c r="BQ128" i="5"/>
  <c r="BM128" i="5"/>
  <c r="BK128" i="5"/>
  <c r="BJ128" i="5"/>
  <c r="BI128" i="5"/>
  <c r="BH128" i="5"/>
  <c r="BG128" i="5"/>
  <c r="BF128" i="5"/>
  <c r="BE128" i="5"/>
  <c r="BD128" i="5"/>
  <c r="AV128" i="5"/>
  <c r="BO128" i="5" s="1"/>
  <c r="BA128" i="5"/>
  <c r="BP128" i="5" s="1"/>
  <c r="AZ128" i="5"/>
  <c r="AY128" i="5"/>
  <c r="AU128" i="5"/>
  <c r="BN128" i="5" s="1"/>
  <c r="CK192" i="5"/>
  <c r="CI192" i="5"/>
  <c r="CF192" i="5"/>
  <c r="CG192" i="5"/>
  <c r="CE192" i="5"/>
  <c r="CD192" i="5"/>
  <c r="CC192" i="5"/>
  <c r="CA192" i="5"/>
  <c r="BY192" i="5"/>
  <c r="BW192" i="5"/>
  <c r="BU192" i="5"/>
  <c r="BT192" i="5"/>
  <c r="BS192" i="5"/>
  <c r="BV192" i="5"/>
  <c r="BR192" i="5"/>
  <c r="BQ192" i="5"/>
  <c r="BM192" i="5"/>
  <c r="BK192" i="5"/>
  <c r="BJ192" i="5"/>
  <c r="BI192" i="5"/>
  <c r="BH192" i="5"/>
  <c r="BG192" i="5"/>
  <c r="BF192" i="5"/>
  <c r="BE192" i="5"/>
  <c r="BD192" i="5"/>
  <c r="AV192" i="5"/>
  <c r="BC192" i="5" s="1"/>
  <c r="BA192" i="5"/>
  <c r="BP192" i="5" s="1"/>
  <c r="AZ192" i="5"/>
  <c r="AY192" i="5"/>
  <c r="AU192" i="5"/>
  <c r="BN192" i="5" s="1"/>
  <c r="CK57" i="5"/>
  <c r="CI57" i="5"/>
  <c r="CE57" i="5"/>
  <c r="CD57" i="5"/>
  <c r="CF57" i="5"/>
  <c r="CC57" i="5"/>
  <c r="CA57" i="5"/>
  <c r="CG57" i="5"/>
  <c r="BY57" i="5"/>
  <c r="BW57" i="5"/>
  <c r="BV57" i="5"/>
  <c r="BU57" i="5"/>
  <c r="BT57" i="5"/>
  <c r="BS57" i="5"/>
  <c r="BR57" i="5"/>
  <c r="BQ57" i="5"/>
  <c r="BM57" i="5"/>
  <c r="BK57" i="5"/>
  <c r="BJ57" i="5"/>
  <c r="BI57" i="5"/>
  <c r="BH57" i="5"/>
  <c r="BG57" i="5"/>
  <c r="BF57" i="5"/>
  <c r="BE57" i="5"/>
  <c r="BD57" i="5"/>
  <c r="BA57" i="5"/>
  <c r="BP57" i="5" s="1"/>
  <c r="AZ57" i="5"/>
  <c r="AY57" i="5"/>
  <c r="AV57" i="5"/>
  <c r="BO57" i="5" s="1"/>
  <c r="AU57" i="5"/>
  <c r="BN57" i="5" s="1"/>
  <c r="CK121" i="5"/>
  <c r="CI121" i="5"/>
  <c r="CE121" i="5"/>
  <c r="CD121" i="5"/>
  <c r="CC121" i="5"/>
  <c r="CF121" i="5"/>
  <c r="CG121" i="5"/>
  <c r="CA121" i="5"/>
  <c r="BW121" i="5"/>
  <c r="BV121" i="5"/>
  <c r="BY121" i="5"/>
  <c r="BU121" i="5"/>
  <c r="BT121" i="5"/>
  <c r="BS121" i="5"/>
  <c r="BR121" i="5"/>
  <c r="BQ121" i="5"/>
  <c r="BM121" i="5"/>
  <c r="BK121" i="5"/>
  <c r="BJ121" i="5"/>
  <c r="BI121" i="5"/>
  <c r="BG121" i="5"/>
  <c r="BF121" i="5"/>
  <c r="BE121" i="5"/>
  <c r="BD121" i="5"/>
  <c r="BH121" i="5"/>
  <c r="BA121" i="5"/>
  <c r="BP121" i="5" s="1"/>
  <c r="AZ121" i="5"/>
  <c r="AY121" i="5"/>
  <c r="AV121" i="5"/>
  <c r="BC121" i="5" s="1"/>
  <c r="AU121" i="5"/>
  <c r="BN121" i="5" s="1"/>
  <c r="CK185" i="5"/>
  <c r="CI185" i="5"/>
  <c r="CF185" i="5"/>
  <c r="CE185" i="5"/>
  <c r="CC185" i="5"/>
  <c r="CD185" i="5"/>
  <c r="CG185" i="5"/>
  <c r="BY185" i="5"/>
  <c r="CA185" i="5"/>
  <c r="BW185" i="5"/>
  <c r="BU185" i="5"/>
  <c r="BT185" i="5"/>
  <c r="BS185" i="5"/>
  <c r="BV185" i="5"/>
  <c r="BR185" i="5"/>
  <c r="BQ185" i="5"/>
  <c r="BM185" i="5"/>
  <c r="BK185" i="5"/>
  <c r="BJ185" i="5"/>
  <c r="BI185" i="5"/>
  <c r="BH185" i="5"/>
  <c r="BG185" i="5"/>
  <c r="BF185" i="5"/>
  <c r="BE185" i="5"/>
  <c r="BD185" i="5"/>
  <c r="BA185" i="5"/>
  <c r="BP185" i="5" s="1"/>
  <c r="AZ185" i="5"/>
  <c r="AY185" i="5"/>
  <c r="AV185" i="5"/>
  <c r="BO185" i="5" s="1"/>
  <c r="AU185" i="5"/>
  <c r="BN185" i="5" s="1"/>
  <c r="CK50" i="5"/>
  <c r="CI50" i="5"/>
  <c r="CG50" i="5"/>
  <c r="CF50" i="5"/>
  <c r="CD50" i="5"/>
  <c r="CA50" i="5"/>
  <c r="CC50" i="5"/>
  <c r="CE50" i="5"/>
  <c r="BW50" i="5"/>
  <c r="BV50" i="5"/>
  <c r="BY50" i="5"/>
  <c r="BU50" i="5"/>
  <c r="BT50" i="5"/>
  <c r="BS50" i="5"/>
  <c r="BR50" i="5"/>
  <c r="BQ50" i="5"/>
  <c r="BM50" i="5"/>
  <c r="BK50" i="5"/>
  <c r="BJ50" i="5"/>
  <c r="BI50" i="5"/>
  <c r="BH50" i="5"/>
  <c r="BG50" i="5"/>
  <c r="BF50" i="5"/>
  <c r="BE50" i="5"/>
  <c r="BD50" i="5"/>
  <c r="AZ50" i="5"/>
  <c r="AY50" i="5"/>
  <c r="BA50" i="5"/>
  <c r="BP50" i="5" s="1"/>
  <c r="AU50" i="5"/>
  <c r="BB50" i="5" s="1"/>
  <c r="AV50" i="5"/>
  <c r="BO50" i="5" s="1"/>
  <c r="CK114" i="5"/>
  <c r="CJ114" i="5"/>
  <c r="CI114" i="5"/>
  <c r="CH114" i="5"/>
  <c r="CG114" i="5"/>
  <c r="CF114" i="5"/>
  <c r="CD114" i="5"/>
  <c r="CC114" i="5"/>
  <c r="CE114" i="5"/>
  <c r="CA114" i="5"/>
  <c r="BZ114" i="5"/>
  <c r="BY114" i="5"/>
  <c r="BX114" i="5"/>
  <c r="BW114" i="5"/>
  <c r="BV114" i="5"/>
  <c r="BU114" i="5"/>
  <c r="BT114" i="5"/>
  <c r="BS114" i="5"/>
  <c r="BR114" i="5"/>
  <c r="BQ114" i="5"/>
  <c r="BM114" i="5"/>
  <c r="BL114" i="5"/>
  <c r="BK114" i="5"/>
  <c r="BJ114" i="5"/>
  <c r="BI114" i="5"/>
  <c r="BH114" i="5"/>
  <c r="BG114" i="5"/>
  <c r="BF114" i="5"/>
  <c r="BE114" i="5"/>
  <c r="BD114" i="5"/>
  <c r="BA114" i="5"/>
  <c r="BP114" i="5" s="1"/>
  <c r="AZ114" i="5"/>
  <c r="AY114" i="5"/>
  <c r="AU114" i="5"/>
  <c r="BB114" i="5" s="1"/>
  <c r="AV114" i="5"/>
  <c r="BO114" i="5" s="1"/>
  <c r="CJ178" i="5"/>
  <c r="CK178" i="5"/>
  <c r="CI178" i="5"/>
  <c r="CG178" i="5"/>
  <c r="CF178" i="5"/>
  <c r="CH178" i="5"/>
  <c r="CC178" i="5"/>
  <c r="CE178" i="5"/>
  <c r="CD178" i="5"/>
  <c r="CA178" i="5"/>
  <c r="BX178" i="5"/>
  <c r="BY178" i="5"/>
  <c r="BW178" i="5"/>
  <c r="BZ178" i="5"/>
  <c r="BU178" i="5"/>
  <c r="BT178" i="5"/>
  <c r="BS178" i="5"/>
  <c r="BV178" i="5"/>
  <c r="BR178" i="5"/>
  <c r="BQ178" i="5"/>
  <c r="BL178" i="5"/>
  <c r="BM178" i="5"/>
  <c r="BK178" i="5"/>
  <c r="BJ178" i="5"/>
  <c r="BI178" i="5"/>
  <c r="BH178" i="5"/>
  <c r="BG178" i="5"/>
  <c r="BF178" i="5"/>
  <c r="BE178" i="5"/>
  <c r="BD178" i="5"/>
  <c r="BA178" i="5"/>
  <c r="BP178" i="5" s="1"/>
  <c r="AZ178" i="5"/>
  <c r="AY178" i="5"/>
  <c r="AU178" i="5"/>
  <c r="BB178" i="5" s="1"/>
  <c r="AV178" i="5"/>
  <c r="BO178" i="5" s="1"/>
  <c r="CK35" i="5"/>
  <c r="CJ35" i="5"/>
  <c r="CI35" i="5"/>
  <c r="CH35" i="5"/>
  <c r="CE35" i="5"/>
  <c r="CG35" i="5"/>
  <c r="CD35" i="5"/>
  <c r="CA35" i="5"/>
  <c r="CF35" i="5"/>
  <c r="CC35" i="5"/>
  <c r="BZ35" i="5"/>
  <c r="BY35" i="5"/>
  <c r="BX35" i="5"/>
  <c r="BW35" i="5"/>
  <c r="BV35" i="5"/>
  <c r="BU35" i="5"/>
  <c r="BT35" i="5"/>
  <c r="BS35" i="5"/>
  <c r="BQ35" i="5"/>
  <c r="BR35" i="5"/>
  <c r="BL35" i="5"/>
  <c r="BK35" i="5"/>
  <c r="BJ35" i="5"/>
  <c r="BI35" i="5"/>
  <c r="BH35" i="5"/>
  <c r="BM35" i="5"/>
  <c r="BG35" i="5"/>
  <c r="BF35" i="5"/>
  <c r="BE35" i="5"/>
  <c r="BD35" i="5"/>
  <c r="BA35" i="5"/>
  <c r="BP35" i="5" s="1"/>
  <c r="AZ35" i="5"/>
  <c r="AY35" i="5"/>
  <c r="AU35" i="5"/>
  <c r="BB35" i="5" s="1"/>
  <c r="AV35" i="5"/>
  <c r="BO35" i="5" s="1"/>
  <c r="CK99" i="5"/>
  <c r="CI99" i="5"/>
  <c r="CG99" i="5"/>
  <c r="CD99" i="5"/>
  <c r="CA99" i="5"/>
  <c r="CC99" i="5"/>
  <c r="CE99" i="5"/>
  <c r="CF99" i="5"/>
  <c r="BY99" i="5"/>
  <c r="BW99" i="5"/>
  <c r="BV99" i="5"/>
  <c r="BU99" i="5"/>
  <c r="BT99" i="5"/>
  <c r="BS99" i="5"/>
  <c r="BR99" i="5"/>
  <c r="BQ99" i="5"/>
  <c r="BK99" i="5"/>
  <c r="BJ99" i="5"/>
  <c r="BI99" i="5"/>
  <c r="BH99" i="5"/>
  <c r="BM99" i="5"/>
  <c r="BG99" i="5"/>
  <c r="BF99" i="5"/>
  <c r="BE99" i="5"/>
  <c r="BD99" i="5"/>
  <c r="BA99" i="5"/>
  <c r="BP99" i="5" s="1"/>
  <c r="AZ99" i="5"/>
  <c r="AY99" i="5"/>
  <c r="AU99" i="5"/>
  <c r="BB99" i="5" s="1"/>
  <c r="AV99" i="5"/>
  <c r="BC99" i="5" s="1"/>
  <c r="CK163" i="5"/>
  <c r="CI163" i="5"/>
  <c r="CF163" i="5"/>
  <c r="CG163" i="5"/>
  <c r="CD163" i="5"/>
  <c r="CE163" i="5"/>
  <c r="CA163" i="5"/>
  <c r="CC163" i="5"/>
  <c r="BY163" i="5"/>
  <c r="BW163" i="5"/>
  <c r="BV163" i="5"/>
  <c r="BU163" i="5"/>
  <c r="BT163" i="5"/>
  <c r="BS163" i="5"/>
  <c r="BR163" i="5"/>
  <c r="BQ163" i="5"/>
  <c r="BK163" i="5"/>
  <c r="BJ163" i="5"/>
  <c r="BI163" i="5"/>
  <c r="BM163" i="5"/>
  <c r="BH163" i="5"/>
  <c r="BG163" i="5"/>
  <c r="BF163" i="5"/>
  <c r="BE163" i="5"/>
  <c r="BD163" i="5"/>
  <c r="BA163" i="5"/>
  <c r="BP163" i="5" s="1"/>
  <c r="AZ163" i="5"/>
  <c r="AY163" i="5"/>
  <c r="AU163" i="5"/>
  <c r="BN163" i="5" s="1"/>
  <c r="AV163" i="5"/>
  <c r="BO163" i="5" s="1"/>
  <c r="CK28" i="5"/>
  <c r="CI28" i="5"/>
  <c r="CG28" i="5"/>
  <c r="CE28" i="5"/>
  <c r="CF28" i="5"/>
  <c r="CD28" i="5"/>
  <c r="CC28" i="5"/>
  <c r="BY28" i="5"/>
  <c r="CA28" i="5"/>
  <c r="BW28" i="5"/>
  <c r="BV28" i="5"/>
  <c r="BU28" i="5"/>
  <c r="BT28" i="5"/>
  <c r="BS28" i="5"/>
  <c r="BQ28" i="5"/>
  <c r="BR28" i="5"/>
  <c r="BM28" i="5"/>
  <c r="BK28" i="5"/>
  <c r="BJ28" i="5"/>
  <c r="BI28" i="5"/>
  <c r="BH28" i="5"/>
  <c r="BG28" i="5"/>
  <c r="BF28" i="5"/>
  <c r="BE28" i="5"/>
  <c r="BD28" i="5"/>
  <c r="AZ28" i="5"/>
  <c r="AY28" i="5"/>
  <c r="BA28" i="5"/>
  <c r="BP28" i="5" s="1"/>
  <c r="AU28" i="5"/>
  <c r="BB28" i="5" s="1"/>
  <c r="AV28" i="5"/>
  <c r="BC28" i="5" s="1"/>
  <c r="CK92" i="5"/>
  <c r="CI92" i="5"/>
  <c r="CG92" i="5"/>
  <c r="CF92" i="5"/>
  <c r="CE92" i="5"/>
  <c r="CD92" i="5"/>
  <c r="CC92" i="5"/>
  <c r="CA92" i="5"/>
  <c r="BY92" i="5"/>
  <c r="BW92" i="5"/>
  <c r="BV92" i="5"/>
  <c r="BU92" i="5"/>
  <c r="BT92" i="5"/>
  <c r="BS92" i="5"/>
  <c r="BR92" i="5"/>
  <c r="BQ92" i="5"/>
  <c r="BK92" i="5"/>
  <c r="BJ92" i="5"/>
  <c r="BI92" i="5"/>
  <c r="BH92" i="5"/>
  <c r="BM92" i="5"/>
  <c r="BG92" i="5"/>
  <c r="BF92" i="5"/>
  <c r="BE92" i="5"/>
  <c r="BD92" i="5"/>
  <c r="BA92" i="5"/>
  <c r="BP92" i="5" s="1"/>
  <c r="AZ92" i="5"/>
  <c r="AY92" i="5"/>
  <c r="AU92" i="5"/>
  <c r="BN92" i="5" s="1"/>
  <c r="AV92" i="5"/>
  <c r="BO92" i="5" s="1"/>
  <c r="CK156" i="5"/>
  <c r="CI156" i="5"/>
  <c r="CG156" i="5"/>
  <c r="CF156" i="5"/>
  <c r="CE156" i="5"/>
  <c r="CD156" i="5"/>
  <c r="CA156" i="5"/>
  <c r="CC156" i="5"/>
  <c r="BY156" i="5"/>
  <c r="BW156" i="5"/>
  <c r="BV156" i="5"/>
  <c r="BU156" i="5"/>
  <c r="BT156" i="5"/>
  <c r="BS156" i="5"/>
  <c r="BR156" i="5"/>
  <c r="BQ156" i="5"/>
  <c r="BK156" i="5"/>
  <c r="BJ156" i="5"/>
  <c r="BI156" i="5"/>
  <c r="BM156" i="5"/>
  <c r="BH156" i="5"/>
  <c r="BG156" i="5"/>
  <c r="BF156" i="5"/>
  <c r="BE156" i="5"/>
  <c r="BD156" i="5"/>
  <c r="BA156" i="5"/>
  <c r="BP156" i="5" s="1"/>
  <c r="AZ156" i="5"/>
  <c r="AY156" i="5"/>
  <c r="AU156" i="5"/>
  <c r="BN156" i="5" s="1"/>
  <c r="AV156" i="5"/>
  <c r="BC156" i="5" s="1"/>
  <c r="CI134" i="5"/>
  <c r="CJ134" i="5"/>
  <c r="CG134" i="5"/>
  <c r="CK134" i="5"/>
  <c r="CE134" i="5"/>
  <c r="CH134" i="5"/>
  <c r="CD134" i="5"/>
  <c r="CF134" i="5"/>
  <c r="CC134" i="5"/>
  <c r="BZ134" i="5"/>
  <c r="CA134" i="5"/>
  <c r="BY134" i="5"/>
  <c r="BW134" i="5"/>
  <c r="BV134" i="5"/>
  <c r="BX134" i="5"/>
  <c r="BU134" i="5"/>
  <c r="BT134" i="5"/>
  <c r="BS134" i="5"/>
  <c r="BR134" i="5"/>
  <c r="BQ134" i="5"/>
  <c r="BL134" i="5"/>
  <c r="BM134" i="5"/>
  <c r="BK134" i="5"/>
  <c r="BJ134" i="5"/>
  <c r="BI134" i="5"/>
  <c r="BH134" i="5"/>
  <c r="BG134" i="5"/>
  <c r="BF134" i="5"/>
  <c r="BE134" i="5"/>
  <c r="BD134" i="5"/>
  <c r="BA134" i="5"/>
  <c r="BP134" i="5" s="1"/>
  <c r="AZ134" i="5"/>
  <c r="AY134" i="5"/>
  <c r="AU134" i="5"/>
  <c r="BN134" i="5" s="1"/>
  <c r="AV134" i="5"/>
  <c r="BC134" i="5" s="1"/>
  <c r="CG191" i="5"/>
  <c r="CF191" i="5"/>
  <c r="CK191" i="5"/>
  <c r="CE191" i="5"/>
  <c r="CI191" i="5"/>
  <c r="CD191" i="5"/>
  <c r="CA191" i="5"/>
  <c r="CC191" i="5"/>
  <c r="BY191" i="5"/>
  <c r="BW191" i="5"/>
  <c r="BV191" i="5"/>
  <c r="BU191" i="5"/>
  <c r="BT191" i="5"/>
  <c r="BS191" i="5"/>
  <c r="BR191" i="5"/>
  <c r="BQ191" i="5"/>
  <c r="BM191" i="5"/>
  <c r="BK191" i="5"/>
  <c r="BJ191" i="5"/>
  <c r="BI191" i="5"/>
  <c r="BH191" i="5"/>
  <c r="BG191" i="5"/>
  <c r="BF191" i="5"/>
  <c r="BE191" i="5"/>
  <c r="BD191" i="5"/>
  <c r="BA191" i="5"/>
  <c r="BP191" i="5" s="1"/>
  <c r="AZ191" i="5"/>
  <c r="AY191" i="5"/>
  <c r="AV191" i="5"/>
  <c r="BC191" i="5" s="1"/>
  <c r="AU191" i="5"/>
  <c r="BN191" i="5" s="1"/>
  <c r="CK113" i="5"/>
  <c r="CJ113" i="5"/>
  <c r="CI113" i="5"/>
  <c r="CH113" i="5"/>
  <c r="CG113" i="5"/>
  <c r="CE113" i="5"/>
  <c r="CD113" i="5"/>
  <c r="CC113" i="5"/>
  <c r="CF113" i="5"/>
  <c r="BY113" i="5"/>
  <c r="BX113" i="5"/>
  <c r="CA113" i="5"/>
  <c r="BW113" i="5"/>
  <c r="BV113" i="5"/>
  <c r="BZ113" i="5"/>
  <c r="BU113" i="5"/>
  <c r="BT113" i="5"/>
  <c r="BS113" i="5"/>
  <c r="BR113" i="5"/>
  <c r="BQ113" i="5"/>
  <c r="BM113" i="5"/>
  <c r="BL113" i="5"/>
  <c r="BK113" i="5"/>
  <c r="BJ113" i="5"/>
  <c r="BI113" i="5"/>
  <c r="BG113" i="5"/>
  <c r="BF113" i="5"/>
  <c r="BE113" i="5"/>
  <c r="BD113" i="5"/>
  <c r="BH113" i="5"/>
  <c r="BA113" i="5"/>
  <c r="BP113" i="5" s="1"/>
  <c r="AZ113" i="5"/>
  <c r="AY113" i="5"/>
  <c r="AV113" i="5"/>
  <c r="BC113" i="5" s="1"/>
  <c r="AU113" i="5"/>
  <c r="BB113" i="5" s="1"/>
  <c r="CJ27" i="5"/>
  <c r="CH27" i="5"/>
  <c r="CK27" i="5"/>
  <c r="CI27" i="5"/>
  <c r="CG27" i="5"/>
  <c r="CE27" i="5"/>
  <c r="CF27" i="5"/>
  <c r="CC27" i="5"/>
  <c r="CD27" i="5"/>
  <c r="CA27" i="5"/>
  <c r="BZ27" i="5"/>
  <c r="BX27" i="5"/>
  <c r="BY27" i="5"/>
  <c r="BW27" i="5"/>
  <c r="BV27" i="5"/>
  <c r="BU27" i="5"/>
  <c r="BT27" i="5"/>
  <c r="BS27" i="5"/>
  <c r="BQ27" i="5"/>
  <c r="BR27" i="5"/>
  <c r="BK27" i="5"/>
  <c r="BJ27" i="5"/>
  <c r="BI27" i="5"/>
  <c r="BH27" i="5"/>
  <c r="BL27" i="5"/>
  <c r="BM27" i="5"/>
  <c r="BG27" i="5"/>
  <c r="BF27" i="5"/>
  <c r="BE27" i="5"/>
  <c r="BD27" i="5"/>
  <c r="AZ27" i="5"/>
  <c r="AY27" i="5"/>
  <c r="BA27" i="5"/>
  <c r="BP27" i="5" s="1"/>
  <c r="AV27" i="5"/>
  <c r="BO27" i="5" s="1"/>
  <c r="AU27" i="5"/>
  <c r="BB27" i="5" s="1"/>
  <c r="CK155" i="5"/>
  <c r="CI155" i="5"/>
  <c r="CG155" i="5"/>
  <c r="CF155" i="5"/>
  <c r="CE155" i="5"/>
  <c r="CD155" i="5"/>
  <c r="CA155" i="5"/>
  <c r="CC155" i="5"/>
  <c r="BY155" i="5"/>
  <c r="BW155" i="5"/>
  <c r="BV155" i="5"/>
  <c r="BU155" i="5"/>
  <c r="BT155" i="5"/>
  <c r="BS155" i="5"/>
  <c r="BR155" i="5"/>
  <c r="BQ155" i="5"/>
  <c r="BK155" i="5"/>
  <c r="BJ155" i="5"/>
  <c r="BI155" i="5"/>
  <c r="BM155" i="5"/>
  <c r="BH155" i="5"/>
  <c r="BG155" i="5"/>
  <c r="BF155" i="5"/>
  <c r="BE155" i="5"/>
  <c r="BD155" i="5"/>
  <c r="BA155" i="5"/>
  <c r="BP155" i="5" s="1"/>
  <c r="AZ155" i="5"/>
  <c r="AY155" i="5"/>
  <c r="AV155" i="5"/>
  <c r="BO155" i="5" s="1"/>
  <c r="AU155" i="5"/>
  <c r="BN155" i="5" s="1"/>
  <c r="CG29" i="5"/>
  <c r="CF29" i="5"/>
  <c r="CI29" i="5"/>
  <c r="CK29" i="5"/>
  <c r="CD29" i="5"/>
  <c r="CC29" i="5"/>
  <c r="BY29" i="5"/>
  <c r="CE29" i="5"/>
  <c r="CA29" i="5"/>
  <c r="BW29" i="5"/>
  <c r="BV29" i="5"/>
  <c r="BU29" i="5"/>
  <c r="BT29" i="5"/>
  <c r="BS29" i="5"/>
  <c r="BQ29" i="5"/>
  <c r="BR29" i="5"/>
  <c r="BM29" i="5"/>
  <c r="BK29" i="5"/>
  <c r="BJ29" i="5"/>
  <c r="BI29" i="5"/>
  <c r="BH29" i="5"/>
  <c r="BG29" i="5"/>
  <c r="BF29" i="5"/>
  <c r="BE29" i="5"/>
  <c r="BD29" i="5"/>
  <c r="BA29" i="5"/>
  <c r="BP29" i="5" s="1"/>
  <c r="AZ29" i="5"/>
  <c r="AY29" i="5"/>
  <c r="AU29" i="5"/>
  <c r="BB29" i="5" s="1"/>
  <c r="AV29" i="5"/>
  <c r="BC29" i="5" s="1"/>
  <c r="CH93" i="5"/>
  <c r="CK93" i="5"/>
  <c r="CG93" i="5"/>
  <c r="CJ93" i="5"/>
  <c r="CI93" i="5"/>
  <c r="CF93" i="5"/>
  <c r="CE93" i="5"/>
  <c r="CD93" i="5"/>
  <c r="CC93" i="5"/>
  <c r="BZ93" i="5"/>
  <c r="BX93" i="5"/>
  <c r="BW93" i="5"/>
  <c r="BV93" i="5"/>
  <c r="CA93" i="5"/>
  <c r="BY93" i="5"/>
  <c r="BU93" i="5"/>
  <c r="BT93" i="5"/>
  <c r="BS93" i="5"/>
  <c r="BR93" i="5"/>
  <c r="BQ93" i="5"/>
  <c r="BM93" i="5"/>
  <c r="BL93" i="5"/>
  <c r="BK93" i="5"/>
  <c r="BJ93" i="5"/>
  <c r="BI93" i="5"/>
  <c r="BH93" i="5"/>
  <c r="BG93" i="5"/>
  <c r="BF93" i="5"/>
  <c r="BE93" i="5"/>
  <c r="BD93" i="5"/>
  <c r="BA93" i="5"/>
  <c r="BP93" i="5" s="1"/>
  <c r="AZ93" i="5"/>
  <c r="AY93" i="5"/>
  <c r="AU93" i="5"/>
  <c r="BB93" i="5" s="1"/>
  <c r="AV93" i="5"/>
  <c r="BC93" i="5" s="1"/>
  <c r="CK157" i="5"/>
  <c r="CG157" i="5"/>
  <c r="CI157" i="5"/>
  <c r="CF157" i="5"/>
  <c r="CE157" i="5"/>
  <c r="CD157" i="5"/>
  <c r="CA157" i="5"/>
  <c r="CC157" i="5"/>
  <c r="BW157" i="5"/>
  <c r="BY157" i="5"/>
  <c r="BV157" i="5"/>
  <c r="BU157" i="5"/>
  <c r="BT157" i="5"/>
  <c r="BS157" i="5"/>
  <c r="BR157" i="5"/>
  <c r="BQ157" i="5"/>
  <c r="BM157" i="5"/>
  <c r="BK157" i="5"/>
  <c r="BJ157" i="5"/>
  <c r="BI157" i="5"/>
  <c r="BH157" i="5"/>
  <c r="BG157" i="5"/>
  <c r="BF157" i="5"/>
  <c r="BE157" i="5"/>
  <c r="BD157" i="5"/>
  <c r="BA157" i="5"/>
  <c r="BP157" i="5" s="1"/>
  <c r="AZ157" i="5"/>
  <c r="AY157" i="5"/>
  <c r="AU157" i="5"/>
  <c r="BN157" i="5" s="1"/>
  <c r="AV157" i="5"/>
  <c r="BC157" i="5" s="1"/>
  <c r="CI22" i="5"/>
  <c r="CH22" i="5"/>
  <c r="CJ22" i="5"/>
  <c r="CK22" i="5"/>
  <c r="CF22" i="5"/>
  <c r="CD22" i="5"/>
  <c r="CE22" i="5"/>
  <c r="CC22" i="5"/>
  <c r="CA22" i="5"/>
  <c r="CG22" i="5"/>
  <c r="BZ22" i="5"/>
  <c r="BY22" i="5"/>
  <c r="BW22" i="5"/>
  <c r="BV22" i="5"/>
  <c r="BX22" i="5"/>
  <c r="BU22" i="5"/>
  <c r="BT22" i="5"/>
  <c r="BS22" i="5"/>
  <c r="BR22" i="5"/>
  <c r="BQ22" i="5"/>
  <c r="BL22" i="5"/>
  <c r="BM22" i="5"/>
  <c r="BK22" i="5"/>
  <c r="BJ22" i="5"/>
  <c r="BI22" i="5"/>
  <c r="BH22" i="5"/>
  <c r="BG22" i="5"/>
  <c r="BF22" i="5"/>
  <c r="BE22" i="5"/>
  <c r="BD22" i="5"/>
  <c r="AZ22" i="5"/>
  <c r="AY22" i="5"/>
  <c r="BA22" i="5"/>
  <c r="BP22" i="5" s="1"/>
  <c r="AU22" i="5"/>
  <c r="BN22" i="5" s="1"/>
  <c r="AV22" i="5"/>
  <c r="BO22" i="5" s="1"/>
  <c r="CI86" i="5"/>
  <c r="CJ86" i="5"/>
  <c r="CH86" i="5"/>
  <c r="CK86" i="5"/>
  <c r="CG86" i="5"/>
  <c r="CF86" i="5"/>
  <c r="CE86" i="5"/>
  <c r="CD86" i="5"/>
  <c r="CC86" i="5"/>
  <c r="CA86" i="5"/>
  <c r="BY86" i="5"/>
  <c r="BZ86" i="5"/>
  <c r="BW86" i="5"/>
  <c r="BV86" i="5"/>
  <c r="BX86" i="5"/>
  <c r="BU86" i="5"/>
  <c r="BT86" i="5"/>
  <c r="BS86" i="5"/>
  <c r="BR86" i="5"/>
  <c r="BQ86" i="5"/>
  <c r="BM86" i="5"/>
  <c r="BK86" i="5"/>
  <c r="BJ86" i="5"/>
  <c r="BI86" i="5"/>
  <c r="BH86" i="5"/>
  <c r="BL86" i="5"/>
  <c r="BG86" i="5"/>
  <c r="BF86" i="5"/>
  <c r="BE86" i="5"/>
  <c r="BD86" i="5"/>
  <c r="BA86" i="5"/>
  <c r="BP86" i="5" s="1"/>
  <c r="AZ86" i="5"/>
  <c r="AY86" i="5"/>
  <c r="AU86" i="5"/>
  <c r="BN86" i="5" s="1"/>
  <c r="AV86" i="5"/>
  <c r="BO86" i="5" s="1"/>
  <c r="CI150" i="5"/>
  <c r="CK150" i="5"/>
  <c r="CG150" i="5"/>
  <c r="CE150" i="5"/>
  <c r="CF150" i="5"/>
  <c r="CD150" i="5"/>
  <c r="CC150" i="5"/>
  <c r="CA150" i="5"/>
  <c r="BY150" i="5"/>
  <c r="BW150" i="5"/>
  <c r="BV150" i="5"/>
  <c r="BU150" i="5"/>
  <c r="BT150" i="5"/>
  <c r="BS150" i="5"/>
  <c r="BR150" i="5"/>
  <c r="BQ150" i="5"/>
  <c r="BM150" i="5"/>
  <c r="BK150" i="5"/>
  <c r="BJ150" i="5"/>
  <c r="BI150" i="5"/>
  <c r="BH150" i="5"/>
  <c r="BG150" i="5"/>
  <c r="BF150" i="5"/>
  <c r="BE150" i="5"/>
  <c r="BD150" i="5"/>
  <c r="BA150" i="5"/>
  <c r="BP150" i="5" s="1"/>
  <c r="AZ150" i="5"/>
  <c r="AY150" i="5"/>
  <c r="AV150" i="5"/>
  <c r="BC150" i="5" s="1"/>
  <c r="AU150" i="5"/>
  <c r="BB150" i="5" s="1"/>
  <c r="CK15" i="5"/>
  <c r="CF15" i="5"/>
  <c r="CE15" i="5"/>
  <c r="CI15" i="5"/>
  <c r="CG15" i="5"/>
  <c r="CD15" i="5"/>
  <c r="CA15" i="5"/>
  <c r="BY15" i="5"/>
  <c r="BW15" i="5"/>
  <c r="BV15" i="5"/>
  <c r="CC15" i="5"/>
  <c r="BU15" i="5"/>
  <c r="BT15" i="5"/>
  <c r="BS15" i="5"/>
  <c r="BR15" i="5"/>
  <c r="BQ15" i="5"/>
  <c r="BM15" i="5"/>
  <c r="BK15" i="5"/>
  <c r="BJ15" i="5"/>
  <c r="BI15" i="5"/>
  <c r="BH15" i="5"/>
  <c r="BA15" i="5"/>
  <c r="BP15" i="5" s="1"/>
  <c r="BG15" i="5"/>
  <c r="BF15" i="5"/>
  <c r="BE15" i="5"/>
  <c r="AZ15" i="5"/>
  <c r="AY15" i="5"/>
  <c r="BD15" i="5"/>
  <c r="AU15" i="5"/>
  <c r="BN15" i="5" s="1"/>
  <c r="AV15" i="5"/>
  <c r="BC15" i="5" s="1"/>
  <c r="CJ79" i="5"/>
  <c r="CH79" i="5"/>
  <c r="CG79" i="5"/>
  <c r="CF79" i="5"/>
  <c r="CK79" i="5"/>
  <c r="CE79" i="5"/>
  <c r="CD79" i="5"/>
  <c r="CI79" i="5"/>
  <c r="BZ79" i="5"/>
  <c r="CA79" i="5"/>
  <c r="CC79" i="5"/>
  <c r="BW79" i="5"/>
  <c r="BV79" i="5"/>
  <c r="BY79" i="5"/>
  <c r="BX79" i="5"/>
  <c r="BU79" i="5"/>
  <c r="BT79" i="5"/>
  <c r="BS79" i="5"/>
  <c r="BR79" i="5"/>
  <c r="BQ79" i="5"/>
  <c r="BL79" i="5"/>
  <c r="BM79" i="5"/>
  <c r="BK79" i="5"/>
  <c r="BJ79" i="5"/>
  <c r="BI79" i="5"/>
  <c r="BH79" i="5"/>
  <c r="BG79" i="5"/>
  <c r="BF79" i="5"/>
  <c r="BE79" i="5"/>
  <c r="BA79" i="5"/>
  <c r="BP79" i="5" s="1"/>
  <c r="AZ79" i="5"/>
  <c r="AY79" i="5"/>
  <c r="BD79" i="5"/>
  <c r="AU79" i="5"/>
  <c r="BN79" i="5" s="1"/>
  <c r="AV79" i="5"/>
  <c r="BO79" i="5" s="1"/>
  <c r="CG143" i="5"/>
  <c r="CF143" i="5"/>
  <c r="CE143" i="5"/>
  <c r="CI143" i="5"/>
  <c r="CK143" i="5"/>
  <c r="CA143" i="5"/>
  <c r="CC143" i="5"/>
  <c r="CD143" i="5"/>
  <c r="BY143" i="5"/>
  <c r="BW143" i="5"/>
  <c r="BV143" i="5"/>
  <c r="BU143" i="5"/>
  <c r="BT143" i="5"/>
  <c r="BS143" i="5"/>
  <c r="BR143" i="5"/>
  <c r="BQ143" i="5"/>
  <c r="BM143" i="5"/>
  <c r="BK143" i="5"/>
  <c r="BJ143" i="5"/>
  <c r="BI143" i="5"/>
  <c r="BH143" i="5"/>
  <c r="BG143" i="5"/>
  <c r="BF143" i="5"/>
  <c r="BE143" i="5"/>
  <c r="BA143" i="5"/>
  <c r="BP143" i="5" s="1"/>
  <c r="AZ143" i="5"/>
  <c r="AY143" i="5"/>
  <c r="BD143" i="5"/>
  <c r="AV143" i="5"/>
  <c r="BC143" i="5" s="1"/>
  <c r="AU143" i="5"/>
  <c r="BN143" i="5" s="1"/>
  <c r="CJ8" i="5"/>
  <c r="CK8" i="5"/>
  <c r="CI8" i="5"/>
  <c r="CH8" i="5"/>
  <c r="CG8" i="5"/>
  <c r="CF8" i="5"/>
  <c r="CD8" i="5"/>
  <c r="CC8" i="5"/>
  <c r="CA8" i="5"/>
  <c r="CE8" i="5"/>
  <c r="BZ8" i="5"/>
  <c r="BY8" i="5"/>
  <c r="BX8" i="5"/>
  <c r="BW8" i="5"/>
  <c r="BV8" i="5"/>
  <c r="BU8" i="5"/>
  <c r="BT8" i="5"/>
  <c r="BS8" i="5"/>
  <c r="BR8" i="5"/>
  <c r="BQ8" i="5"/>
  <c r="BL8" i="5"/>
  <c r="BM8" i="5"/>
  <c r="BK8" i="5"/>
  <c r="BJ8" i="5"/>
  <c r="BI8" i="5"/>
  <c r="BH8" i="5"/>
  <c r="BG8" i="5"/>
  <c r="BF8" i="5"/>
  <c r="BE8" i="5"/>
  <c r="BD8" i="5"/>
  <c r="BA8" i="5"/>
  <c r="BP8" i="5" s="1"/>
  <c r="AZ8" i="5"/>
  <c r="AY8" i="5"/>
  <c r="AV8" i="5"/>
  <c r="BC8" i="5" s="1"/>
  <c r="AU8" i="5"/>
  <c r="BN8" i="5" s="1"/>
  <c r="CK72" i="5"/>
  <c r="CI72" i="5"/>
  <c r="CJ72" i="5"/>
  <c r="CH72" i="5"/>
  <c r="CE72" i="5"/>
  <c r="CD72" i="5"/>
  <c r="CC72" i="5"/>
  <c r="CG72" i="5"/>
  <c r="CF72" i="5"/>
  <c r="BZ72" i="5"/>
  <c r="CA72" i="5"/>
  <c r="BW72" i="5"/>
  <c r="BV72" i="5"/>
  <c r="BY72" i="5"/>
  <c r="BX72" i="5"/>
  <c r="BU72" i="5"/>
  <c r="BT72" i="5"/>
  <c r="BS72" i="5"/>
  <c r="BR72" i="5"/>
  <c r="BQ72" i="5"/>
  <c r="BL72" i="5"/>
  <c r="BM72" i="5"/>
  <c r="BK72" i="5"/>
  <c r="BJ72" i="5"/>
  <c r="BI72" i="5"/>
  <c r="BH72" i="5"/>
  <c r="BG72" i="5"/>
  <c r="BF72" i="5"/>
  <c r="BE72" i="5"/>
  <c r="BD72" i="5"/>
  <c r="BA72" i="5"/>
  <c r="BP72" i="5" s="1"/>
  <c r="AZ72" i="5"/>
  <c r="AY72" i="5"/>
  <c r="AV72" i="5"/>
  <c r="BC72" i="5" s="1"/>
  <c r="AU72" i="5"/>
  <c r="BN72" i="5" s="1"/>
  <c r="CK136" i="5"/>
  <c r="CI136" i="5"/>
  <c r="CE136" i="5"/>
  <c r="CD136" i="5"/>
  <c r="CC136" i="5"/>
  <c r="CG136" i="5"/>
  <c r="CF136" i="5"/>
  <c r="CA136" i="5"/>
  <c r="BW136" i="5"/>
  <c r="BY136" i="5"/>
  <c r="BU136" i="5"/>
  <c r="BT136" i="5"/>
  <c r="BS136" i="5"/>
  <c r="BV136" i="5"/>
  <c r="BR136" i="5"/>
  <c r="BQ136" i="5"/>
  <c r="BM136" i="5"/>
  <c r="BK136" i="5"/>
  <c r="BJ136" i="5"/>
  <c r="BI136" i="5"/>
  <c r="BH136" i="5"/>
  <c r="BG136" i="5"/>
  <c r="BF136" i="5"/>
  <c r="BE136" i="5"/>
  <c r="BD136" i="5"/>
  <c r="AV136" i="5"/>
  <c r="BC136" i="5" s="1"/>
  <c r="BA136" i="5"/>
  <c r="BP136" i="5" s="1"/>
  <c r="AZ136" i="5"/>
  <c r="AY136" i="5"/>
  <c r="AU136" i="5"/>
  <c r="BN136" i="5" s="1"/>
  <c r="CK200" i="5"/>
  <c r="CE200" i="5"/>
  <c r="CD200" i="5"/>
  <c r="CI200" i="5"/>
  <c r="CC200" i="5"/>
  <c r="CG200" i="5"/>
  <c r="CF200" i="5"/>
  <c r="CA200" i="5"/>
  <c r="BY200" i="5"/>
  <c r="BW200" i="5"/>
  <c r="BV200" i="5"/>
  <c r="BU200" i="5"/>
  <c r="BT200" i="5"/>
  <c r="BS200" i="5"/>
  <c r="BR200" i="5"/>
  <c r="BQ200" i="5"/>
  <c r="BM200" i="5"/>
  <c r="BK200" i="5"/>
  <c r="BJ200" i="5"/>
  <c r="BI200" i="5"/>
  <c r="BH200" i="5"/>
  <c r="BG200" i="5"/>
  <c r="BF200" i="5"/>
  <c r="BE200" i="5"/>
  <c r="BD200" i="5"/>
  <c r="AV200" i="5"/>
  <c r="BO200" i="5" s="1"/>
  <c r="BA200" i="5"/>
  <c r="BP200" i="5" s="1"/>
  <c r="AZ200" i="5"/>
  <c r="AY200" i="5"/>
  <c r="AU200" i="5"/>
  <c r="BN200" i="5" s="1"/>
  <c r="CK65" i="5"/>
  <c r="CI65" i="5"/>
  <c r="CF65" i="5"/>
  <c r="CG65" i="5"/>
  <c r="CE65" i="5"/>
  <c r="CD65" i="5"/>
  <c r="CC65" i="5"/>
  <c r="CA65" i="5"/>
  <c r="BY65" i="5"/>
  <c r="BW65" i="5"/>
  <c r="BV65" i="5"/>
  <c r="BU65" i="5"/>
  <c r="BT65" i="5"/>
  <c r="BS65" i="5"/>
  <c r="BR65" i="5"/>
  <c r="BQ65" i="5"/>
  <c r="BM65" i="5"/>
  <c r="BK65" i="5"/>
  <c r="BJ65" i="5"/>
  <c r="BI65" i="5"/>
  <c r="BH65" i="5"/>
  <c r="BG65" i="5"/>
  <c r="BF65" i="5"/>
  <c r="BE65" i="5"/>
  <c r="BD65" i="5"/>
  <c r="BA65" i="5"/>
  <c r="BP65" i="5" s="1"/>
  <c r="AZ65" i="5"/>
  <c r="AY65" i="5"/>
  <c r="AV65" i="5"/>
  <c r="BO65" i="5" s="1"/>
  <c r="AU65" i="5"/>
  <c r="BN65" i="5" s="1"/>
  <c r="CK129" i="5"/>
  <c r="CI129" i="5"/>
  <c r="CF129" i="5"/>
  <c r="CG129" i="5"/>
  <c r="CE129" i="5"/>
  <c r="CD129" i="5"/>
  <c r="CC129" i="5"/>
  <c r="BW129" i="5"/>
  <c r="BV129" i="5"/>
  <c r="CA129" i="5"/>
  <c r="BY129" i="5"/>
  <c r="BU129" i="5"/>
  <c r="BT129" i="5"/>
  <c r="BS129" i="5"/>
  <c r="BR129" i="5"/>
  <c r="BQ129" i="5"/>
  <c r="BM129" i="5"/>
  <c r="BK129" i="5"/>
  <c r="BJ129" i="5"/>
  <c r="BI129" i="5"/>
  <c r="BG129" i="5"/>
  <c r="BF129" i="5"/>
  <c r="BE129" i="5"/>
  <c r="BD129" i="5"/>
  <c r="BH129" i="5"/>
  <c r="BA129" i="5"/>
  <c r="BP129" i="5" s="1"/>
  <c r="AZ129" i="5"/>
  <c r="AY129" i="5"/>
  <c r="AV129" i="5"/>
  <c r="BC129" i="5" s="1"/>
  <c r="AU129" i="5"/>
  <c r="BN129" i="5" s="1"/>
  <c r="CK193" i="5"/>
  <c r="CI193" i="5"/>
  <c r="CF193" i="5"/>
  <c r="CG193" i="5"/>
  <c r="CE193" i="5"/>
  <c r="CC193" i="5"/>
  <c r="CD193" i="5"/>
  <c r="BY193" i="5"/>
  <c r="BW193" i="5"/>
  <c r="CA193" i="5"/>
  <c r="BU193" i="5"/>
  <c r="BT193" i="5"/>
  <c r="BS193" i="5"/>
  <c r="BV193" i="5"/>
  <c r="BR193" i="5"/>
  <c r="BQ193" i="5"/>
  <c r="BM193" i="5"/>
  <c r="BK193" i="5"/>
  <c r="BJ193" i="5"/>
  <c r="BI193" i="5"/>
  <c r="BH193" i="5"/>
  <c r="BG193" i="5"/>
  <c r="BF193" i="5"/>
  <c r="BE193" i="5"/>
  <c r="BD193" i="5"/>
  <c r="BA193" i="5"/>
  <c r="BP193" i="5" s="1"/>
  <c r="AZ193" i="5"/>
  <c r="AY193" i="5"/>
  <c r="AV193" i="5"/>
  <c r="BC193" i="5" s="1"/>
  <c r="AU193" i="5"/>
  <c r="BN193" i="5" s="1"/>
  <c r="CK58" i="5"/>
  <c r="CI58" i="5"/>
  <c r="CG58" i="5"/>
  <c r="CF58" i="5"/>
  <c r="CE58" i="5"/>
  <c r="CA58" i="5"/>
  <c r="CC58" i="5"/>
  <c r="CD58" i="5"/>
  <c r="BY58" i="5"/>
  <c r="BW58" i="5"/>
  <c r="BV58" i="5"/>
  <c r="BU58" i="5"/>
  <c r="BT58" i="5"/>
  <c r="BS58" i="5"/>
  <c r="BR58" i="5"/>
  <c r="BQ58" i="5"/>
  <c r="BM58" i="5"/>
  <c r="BK58" i="5"/>
  <c r="BJ58" i="5"/>
  <c r="BI58" i="5"/>
  <c r="BH58" i="5"/>
  <c r="BG58" i="5"/>
  <c r="BF58" i="5"/>
  <c r="BE58" i="5"/>
  <c r="BD58" i="5"/>
  <c r="AZ58" i="5"/>
  <c r="AY58" i="5"/>
  <c r="BA58" i="5"/>
  <c r="BP58" i="5" s="1"/>
  <c r="AU58" i="5"/>
  <c r="BB58" i="5" s="1"/>
  <c r="AV58" i="5"/>
  <c r="BC58" i="5" s="1"/>
  <c r="CK122" i="5"/>
  <c r="CI122" i="5"/>
  <c r="CG122" i="5"/>
  <c r="CF122" i="5"/>
  <c r="CE122" i="5"/>
  <c r="CC122" i="5"/>
  <c r="CD122" i="5"/>
  <c r="CA122" i="5"/>
  <c r="BY122" i="5"/>
  <c r="BW122" i="5"/>
  <c r="BU122" i="5"/>
  <c r="BT122" i="5"/>
  <c r="BS122" i="5"/>
  <c r="BV122" i="5"/>
  <c r="BR122" i="5"/>
  <c r="BQ122" i="5"/>
  <c r="BM122" i="5"/>
  <c r="BK122" i="5"/>
  <c r="BJ122" i="5"/>
  <c r="BI122" i="5"/>
  <c r="BH122" i="5"/>
  <c r="BG122" i="5"/>
  <c r="BF122" i="5"/>
  <c r="BE122" i="5"/>
  <c r="BD122" i="5"/>
  <c r="BA122" i="5"/>
  <c r="BP122" i="5" s="1"/>
  <c r="AZ122" i="5"/>
  <c r="AY122" i="5"/>
  <c r="AV122" i="5"/>
  <c r="BC122" i="5" s="1"/>
  <c r="AU122" i="5"/>
  <c r="BN122" i="5" s="1"/>
  <c r="CK186" i="5"/>
  <c r="CI186" i="5"/>
  <c r="CG186" i="5"/>
  <c r="CF186" i="5"/>
  <c r="CE186" i="5"/>
  <c r="CC186" i="5"/>
  <c r="CD186" i="5"/>
  <c r="CA186" i="5"/>
  <c r="BY186" i="5"/>
  <c r="BW186" i="5"/>
  <c r="BU186" i="5"/>
  <c r="BT186" i="5"/>
  <c r="BS186" i="5"/>
  <c r="BV186" i="5"/>
  <c r="BR186" i="5"/>
  <c r="BQ186" i="5"/>
  <c r="BM186" i="5"/>
  <c r="BK186" i="5"/>
  <c r="BJ186" i="5"/>
  <c r="BI186" i="5"/>
  <c r="BH186" i="5"/>
  <c r="BG186" i="5"/>
  <c r="BF186" i="5"/>
  <c r="BE186" i="5"/>
  <c r="BD186" i="5"/>
  <c r="BA186" i="5"/>
  <c r="BP186" i="5" s="1"/>
  <c r="AZ186" i="5"/>
  <c r="AY186" i="5"/>
  <c r="AV186" i="5"/>
  <c r="BO186" i="5" s="1"/>
  <c r="AU186" i="5"/>
  <c r="BB186" i="5" s="1"/>
  <c r="CK43" i="5"/>
  <c r="CI43" i="5"/>
  <c r="CF43" i="5"/>
  <c r="CE43" i="5"/>
  <c r="CA43" i="5"/>
  <c r="CG43" i="5"/>
  <c r="CC43" i="5"/>
  <c r="CD43" i="5"/>
  <c r="BY43" i="5"/>
  <c r="BW43" i="5"/>
  <c r="BV43" i="5"/>
  <c r="BU43" i="5"/>
  <c r="BT43" i="5"/>
  <c r="BS43" i="5"/>
  <c r="BQ43" i="5"/>
  <c r="BR43" i="5"/>
  <c r="BK43" i="5"/>
  <c r="BJ43" i="5"/>
  <c r="BI43" i="5"/>
  <c r="BH43" i="5"/>
  <c r="BM43" i="5"/>
  <c r="BG43" i="5"/>
  <c r="BF43" i="5"/>
  <c r="BE43" i="5"/>
  <c r="BD43" i="5"/>
  <c r="AZ43" i="5"/>
  <c r="AY43" i="5"/>
  <c r="BA43" i="5"/>
  <c r="BP43" i="5" s="1"/>
  <c r="AU43" i="5"/>
  <c r="BB43" i="5" s="1"/>
  <c r="AV43" i="5"/>
  <c r="BC43" i="5" s="1"/>
  <c r="CK107" i="5"/>
  <c r="CJ107" i="5"/>
  <c r="CI107" i="5"/>
  <c r="CH107" i="5"/>
  <c r="CF107" i="5"/>
  <c r="CE107" i="5"/>
  <c r="CA107" i="5"/>
  <c r="CG107" i="5"/>
  <c r="CC107" i="5"/>
  <c r="CD107" i="5"/>
  <c r="BZ107" i="5"/>
  <c r="BY107" i="5"/>
  <c r="BX107" i="5"/>
  <c r="BW107" i="5"/>
  <c r="BV107" i="5"/>
  <c r="BU107" i="5"/>
  <c r="BT107" i="5"/>
  <c r="BS107" i="5"/>
  <c r="BR107" i="5"/>
  <c r="BQ107" i="5"/>
  <c r="BK107" i="5"/>
  <c r="BJ107" i="5"/>
  <c r="BI107" i="5"/>
  <c r="BH107" i="5"/>
  <c r="BM107" i="5"/>
  <c r="BL107" i="5"/>
  <c r="BG107" i="5"/>
  <c r="BF107" i="5"/>
  <c r="BE107" i="5"/>
  <c r="BD107" i="5"/>
  <c r="BA107" i="5"/>
  <c r="BP107" i="5" s="1"/>
  <c r="AZ107" i="5"/>
  <c r="AY107" i="5"/>
  <c r="AU107" i="5"/>
  <c r="BB107" i="5" s="1"/>
  <c r="AV107" i="5"/>
  <c r="BC107" i="5" s="1"/>
  <c r="CK171" i="5"/>
  <c r="CI171" i="5"/>
  <c r="CF171" i="5"/>
  <c r="CE171" i="5"/>
  <c r="CG171" i="5"/>
  <c r="CA171" i="5"/>
  <c r="CD171" i="5"/>
  <c r="CC171" i="5"/>
  <c r="BY171" i="5"/>
  <c r="BW171" i="5"/>
  <c r="BV171" i="5"/>
  <c r="BU171" i="5"/>
  <c r="BT171" i="5"/>
  <c r="BS171" i="5"/>
  <c r="BR171" i="5"/>
  <c r="BQ171" i="5"/>
  <c r="BK171" i="5"/>
  <c r="BJ171" i="5"/>
  <c r="BI171" i="5"/>
  <c r="BM171" i="5"/>
  <c r="BH171" i="5"/>
  <c r="BG171" i="5"/>
  <c r="BF171" i="5"/>
  <c r="BE171" i="5"/>
  <c r="BD171" i="5"/>
  <c r="BA171" i="5"/>
  <c r="BP171" i="5" s="1"/>
  <c r="AZ171" i="5"/>
  <c r="AY171" i="5"/>
  <c r="AU171" i="5"/>
  <c r="BN171" i="5" s="1"/>
  <c r="AV171" i="5"/>
  <c r="BC171" i="5" s="1"/>
  <c r="CK36" i="5"/>
  <c r="CG36" i="5"/>
  <c r="CJ36" i="5"/>
  <c r="CI36" i="5"/>
  <c r="CF36" i="5"/>
  <c r="CE36" i="5"/>
  <c r="CD36" i="5"/>
  <c r="CH36" i="5"/>
  <c r="CA36" i="5"/>
  <c r="BZ36" i="5"/>
  <c r="CC36" i="5"/>
  <c r="BY36" i="5"/>
  <c r="BX36" i="5"/>
  <c r="BW36" i="5"/>
  <c r="BV36" i="5"/>
  <c r="BU36" i="5"/>
  <c r="BT36" i="5"/>
  <c r="BS36" i="5"/>
  <c r="BQ36" i="5"/>
  <c r="BR36" i="5"/>
  <c r="BL36" i="5"/>
  <c r="BK36" i="5"/>
  <c r="BJ36" i="5"/>
  <c r="BI36" i="5"/>
  <c r="BH36" i="5"/>
  <c r="BM36" i="5"/>
  <c r="BG36" i="5"/>
  <c r="BF36" i="5"/>
  <c r="BE36" i="5"/>
  <c r="BD36" i="5"/>
  <c r="BA36" i="5"/>
  <c r="BP36" i="5" s="1"/>
  <c r="AZ36" i="5"/>
  <c r="AY36" i="5"/>
  <c r="AV36" i="5"/>
  <c r="BO36" i="5" s="1"/>
  <c r="AU36" i="5"/>
  <c r="BN36" i="5" s="1"/>
  <c r="CK100" i="5"/>
  <c r="CJ100" i="5"/>
  <c r="CI100" i="5"/>
  <c r="CF100" i="5"/>
  <c r="CG100" i="5"/>
  <c r="CD100" i="5"/>
  <c r="CH100" i="5"/>
  <c r="CE100" i="5"/>
  <c r="BZ100" i="5"/>
  <c r="CA100" i="5"/>
  <c r="CC100" i="5"/>
  <c r="BY100" i="5"/>
  <c r="BX100" i="5"/>
  <c r="BW100" i="5"/>
  <c r="BV100" i="5"/>
  <c r="BU100" i="5"/>
  <c r="BT100" i="5"/>
  <c r="BS100" i="5"/>
  <c r="BR100" i="5"/>
  <c r="BQ100" i="5"/>
  <c r="BL100" i="5"/>
  <c r="BK100" i="5"/>
  <c r="BJ100" i="5"/>
  <c r="BI100" i="5"/>
  <c r="BH100" i="5"/>
  <c r="BM100" i="5"/>
  <c r="BG100" i="5"/>
  <c r="BF100" i="5"/>
  <c r="BE100" i="5"/>
  <c r="BD100" i="5"/>
  <c r="BA100" i="5"/>
  <c r="BP100" i="5" s="1"/>
  <c r="AZ100" i="5"/>
  <c r="AY100" i="5"/>
  <c r="AV100" i="5"/>
  <c r="BC100" i="5" s="1"/>
  <c r="AU100" i="5"/>
  <c r="BN100" i="5" s="1"/>
  <c r="CK164" i="5"/>
  <c r="CI164" i="5"/>
  <c r="CF164" i="5"/>
  <c r="CG164" i="5"/>
  <c r="CD164" i="5"/>
  <c r="CE164" i="5"/>
  <c r="CA164" i="5"/>
  <c r="CC164" i="5"/>
  <c r="BY164" i="5"/>
  <c r="BW164" i="5"/>
  <c r="BV164" i="5"/>
  <c r="BU164" i="5"/>
  <c r="BT164" i="5"/>
  <c r="BS164" i="5"/>
  <c r="BR164" i="5"/>
  <c r="BQ164" i="5"/>
  <c r="BK164" i="5"/>
  <c r="BJ164" i="5"/>
  <c r="BI164" i="5"/>
  <c r="BM164" i="5"/>
  <c r="BH164" i="5"/>
  <c r="BG164" i="5"/>
  <c r="BF164" i="5"/>
  <c r="BE164" i="5"/>
  <c r="BD164" i="5"/>
  <c r="BA164" i="5"/>
  <c r="BP164" i="5" s="1"/>
  <c r="AZ164" i="5"/>
  <c r="AY164" i="5"/>
  <c r="AV164" i="5"/>
  <c r="BC164" i="5" s="1"/>
  <c r="AU164" i="5"/>
  <c r="BN164" i="5" s="1"/>
  <c r="CI70" i="5"/>
  <c r="CJ70" i="5"/>
  <c r="CG70" i="5"/>
  <c r="CF70" i="5"/>
  <c r="CH70" i="5"/>
  <c r="CK70" i="5"/>
  <c r="CE70" i="5"/>
  <c r="CC70" i="5"/>
  <c r="BZ70" i="5"/>
  <c r="BY70" i="5"/>
  <c r="CA70" i="5"/>
  <c r="BW70" i="5"/>
  <c r="BV70" i="5"/>
  <c r="CD70" i="5"/>
  <c r="BX70" i="5"/>
  <c r="BU70" i="5"/>
  <c r="BT70" i="5"/>
  <c r="BS70" i="5"/>
  <c r="BR70" i="5"/>
  <c r="BQ70" i="5"/>
  <c r="BM70" i="5"/>
  <c r="BK70" i="5"/>
  <c r="BJ70" i="5"/>
  <c r="BI70" i="5"/>
  <c r="BH70" i="5"/>
  <c r="BL70" i="5"/>
  <c r="BG70" i="5"/>
  <c r="BF70" i="5"/>
  <c r="BE70" i="5"/>
  <c r="BD70" i="5"/>
  <c r="BA70" i="5"/>
  <c r="BP70" i="5" s="1"/>
  <c r="AZ70" i="5"/>
  <c r="AY70" i="5"/>
  <c r="AU70" i="5"/>
  <c r="BB70" i="5" s="1"/>
  <c r="AV70" i="5"/>
  <c r="BC70" i="5" s="1"/>
  <c r="CI198" i="5"/>
  <c r="CG198" i="5"/>
  <c r="CK198" i="5"/>
  <c r="CE198" i="5"/>
  <c r="CF198" i="5"/>
  <c r="CC198" i="5"/>
  <c r="CA198" i="5"/>
  <c r="BW198" i="5"/>
  <c r="CD198" i="5"/>
  <c r="BY198" i="5"/>
  <c r="BV198" i="5"/>
  <c r="BU198" i="5"/>
  <c r="BT198" i="5"/>
  <c r="BS198" i="5"/>
  <c r="BR198" i="5"/>
  <c r="BQ198" i="5"/>
  <c r="BM198" i="5"/>
  <c r="BK198" i="5"/>
  <c r="BJ198" i="5"/>
  <c r="BI198" i="5"/>
  <c r="BH198" i="5"/>
  <c r="BG198" i="5"/>
  <c r="BF198" i="5"/>
  <c r="BE198" i="5"/>
  <c r="BD198" i="5"/>
  <c r="BA198" i="5"/>
  <c r="BP198" i="5" s="1"/>
  <c r="AZ198" i="5"/>
  <c r="AY198" i="5"/>
  <c r="AU198" i="5"/>
  <c r="BB198" i="5" s="1"/>
  <c r="AV198" i="5"/>
  <c r="BC198" i="5" s="1"/>
  <c r="CK56" i="5"/>
  <c r="CI56" i="5"/>
  <c r="CE56" i="5"/>
  <c r="CD56" i="5"/>
  <c r="CF56" i="5"/>
  <c r="CC56" i="5"/>
  <c r="CA56" i="5"/>
  <c r="CG56" i="5"/>
  <c r="BY56" i="5"/>
  <c r="BW56" i="5"/>
  <c r="BV56" i="5"/>
  <c r="BU56" i="5"/>
  <c r="BT56" i="5"/>
  <c r="BS56" i="5"/>
  <c r="BR56" i="5"/>
  <c r="BQ56" i="5"/>
  <c r="BM56" i="5"/>
  <c r="BK56" i="5"/>
  <c r="BJ56" i="5"/>
  <c r="BI56" i="5"/>
  <c r="BH56" i="5"/>
  <c r="BG56" i="5"/>
  <c r="BF56" i="5"/>
  <c r="BE56" i="5"/>
  <c r="BD56" i="5"/>
  <c r="BA56" i="5"/>
  <c r="BP56" i="5" s="1"/>
  <c r="AZ56" i="5"/>
  <c r="AY56" i="5"/>
  <c r="AU56" i="5"/>
  <c r="BN56" i="5" s="1"/>
  <c r="AV56" i="5"/>
  <c r="BC56" i="5" s="1"/>
  <c r="CK49" i="5"/>
  <c r="CI49" i="5"/>
  <c r="CG49" i="5"/>
  <c r="CE49" i="5"/>
  <c r="CD49" i="5"/>
  <c r="CF49" i="5"/>
  <c r="CC49" i="5"/>
  <c r="BW49" i="5"/>
  <c r="BV49" i="5"/>
  <c r="CA49" i="5"/>
  <c r="BY49" i="5"/>
  <c r="BU49" i="5"/>
  <c r="BT49" i="5"/>
  <c r="BS49" i="5"/>
  <c r="BR49" i="5"/>
  <c r="BQ49" i="5"/>
  <c r="BM49" i="5"/>
  <c r="BK49" i="5"/>
  <c r="BJ49" i="5"/>
  <c r="BI49" i="5"/>
  <c r="BH49" i="5"/>
  <c r="BG49" i="5"/>
  <c r="BF49" i="5"/>
  <c r="BE49" i="5"/>
  <c r="BD49" i="5"/>
  <c r="BA49" i="5"/>
  <c r="BP49" i="5" s="1"/>
  <c r="AZ49" i="5"/>
  <c r="AY49" i="5"/>
  <c r="AV49" i="5"/>
  <c r="BO49" i="5" s="1"/>
  <c r="AU49" i="5"/>
  <c r="BB49" i="5" s="1"/>
  <c r="CK106" i="5"/>
  <c r="CJ106" i="5"/>
  <c r="CI106" i="5"/>
  <c r="CH106" i="5"/>
  <c r="CG106" i="5"/>
  <c r="CF106" i="5"/>
  <c r="CE106" i="5"/>
  <c r="CA106" i="5"/>
  <c r="CC106" i="5"/>
  <c r="CD106" i="5"/>
  <c r="BZ106" i="5"/>
  <c r="BY106" i="5"/>
  <c r="BX106" i="5"/>
  <c r="BW106" i="5"/>
  <c r="BV106" i="5"/>
  <c r="BU106" i="5"/>
  <c r="BT106" i="5"/>
  <c r="BS106" i="5"/>
  <c r="BR106" i="5"/>
  <c r="BQ106" i="5"/>
  <c r="BM106" i="5"/>
  <c r="BL106" i="5"/>
  <c r="BK106" i="5"/>
  <c r="BJ106" i="5"/>
  <c r="BI106" i="5"/>
  <c r="BH106" i="5"/>
  <c r="BG106" i="5"/>
  <c r="BF106" i="5"/>
  <c r="BE106" i="5"/>
  <c r="BD106" i="5"/>
  <c r="BA106" i="5"/>
  <c r="BP106" i="5" s="1"/>
  <c r="AZ106" i="5"/>
  <c r="AY106" i="5"/>
  <c r="AU106" i="5"/>
  <c r="BB106" i="5" s="1"/>
  <c r="AV106" i="5"/>
  <c r="BO106" i="5" s="1"/>
  <c r="CK20" i="5"/>
  <c r="CJ20" i="5"/>
  <c r="CH20" i="5"/>
  <c r="CG20" i="5"/>
  <c r="CI20" i="5"/>
  <c r="CF20" i="5"/>
  <c r="CE20" i="5"/>
  <c r="CD20" i="5"/>
  <c r="CA20" i="5"/>
  <c r="BZ20" i="5"/>
  <c r="BY20" i="5"/>
  <c r="CC20" i="5"/>
  <c r="BX20" i="5"/>
  <c r="BW20" i="5"/>
  <c r="BV20" i="5"/>
  <c r="BU20" i="5"/>
  <c r="BT20" i="5"/>
  <c r="BS20" i="5"/>
  <c r="BR20" i="5"/>
  <c r="BQ20" i="5"/>
  <c r="BM20" i="5"/>
  <c r="BL20" i="5"/>
  <c r="BK20" i="5"/>
  <c r="BJ20" i="5"/>
  <c r="BI20" i="5"/>
  <c r="BH20" i="5"/>
  <c r="BG20" i="5"/>
  <c r="BF20" i="5"/>
  <c r="BE20" i="5"/>
  <c r="BD20" i="5"/>
  <c r="AZ20" i="5"/>
  <c r="AY20" i="5"/>
  <c r="BA20" i="5"/>
  <c r="BP20" i="5" s="1"/>
  <c r="AU20" i="5"/>
  <c r="BB20" i="5" s="1"/>
  <c r="AV20" i="5"/>
  <c r="BO20" i="5" s="1"/>
  <c r="CH37" i="5"/>
  <c r="CG37" i="5"/>
  <c r="CK37" i="5"/>
  <c r="CF37" i="5"/>
  <c r="CJ37" i="5"/>
  <c r="CI37" i="5"/>
  <c r="CE37" i="5"/>
  <c r="CD37" i="5"/>
  <c r="CC37" i="5"/>
  <c r="BY37" i="5"/>
  <c r="CA37" i="5"/>
  <c r="BZ37" i="5"/>
  <c r="BX37" i="5"/>
  <c r="BW37" i="5"/>
  <c r="BV37" i="5"/>
  <c r="BU37" i="5"/>
  <c r="BT37" i="5"/>
  <c r="BS37" i="5"/>
  <c r="BQ37" i="5"/>
  <c r="BR37" i="5"/>
  <c r="BM37" i="5"/>
  <c r="BL37" i="5"/>
  <c r="BK37" i="5"/>
  <c r="BJ37" i="5"/>
  <c r="BI37" i="5"/>
  <c r="BH37" i="5"/>
  <c r="BG37" i="5"/>
  <c r="BF37" i="5"/>
  <c r="BE37" i="5"/>
  <c r="BD37" i="5"/>
  <c r="BA37" i="5"/>
  <c r="BP37" i="5" s="1"/>
  <c r="AZ37" i="5"/>
  <c r="AY37" i="5"/>
  <c r="AU37" i="5"/>
  <c r="BN37" i="5" s="1"/>
  <c r="AV37" i="5"/>
  <c r="BC37" i="5" s="1"/>
  <c r="CK101" i="5"/>
  <c r="CG101" i="5"/>
  <c r="CI101" i="5"/>
  <c r="CF101" i="5"/>
  <c r="CD101" i="5"/>
  <c r="CC101" i="5"/>
  <c r="CE101" i="5"/>
  <c r="CA101" i="5"/>
  <c r="BW101" i="5"/>
  <c r="BV101" i="5"/>
  <c r="BY101" i="5"/>
  <c r="BU101" i="5"/>
  <c r="BT101" i="5"/>
  <c r="BS101" i="5"/>
  <c r="BR101" i="5"/>
  <c r="BQ101" i="5"/>
  <c r="BM101" i="5"/>
  <c r="BK101" i="5"/>
  <c r="BJ101" i="5"/>
  <c r="BI101" i="5"/>
  <c r="BH101" i="5"/>
  <c r="BG101" i="5"/>
  <c r="BF101" i="5"/>
  <c r="BE101" i="5"/>
  <c r="BD101" i="5"/>
  <c r="BA101" i="5"/>
  <c r="BP101" i="5" s="1"/>
  <c r="AZ101" i="5"/>
  <c r="AY101" i="5"/>
  <c r="AV101" i="5"/>
  <c r="BO101" i="5" s="1"/>
  <c r="AU101" i="5"/>
  <c r="BN101" i="5" s="1"/>
  <c r="CK165" i="5"/>
  <c r="CG165" i="5"/>
  <c r="CI165" i="5"/>
  <c r="CD165" i="5"/>
  <c r="CE165" i="5"/>
  <c r="CA165" i="5"/>
  <c r="CC165" i="5"/>
  <c r="BW165" i="5"/>
  <c r="CF165" i="5"/>
  <c r="BY165" i="5"/>
  <c r="BV165" i="5"/>
  <c r="BU165" i="5"/>
  <c r="BT165" i="5"/>
  <c r="BS165" i="5"/>
  <c r="BR165" i="5"/>
  <c r="BQ165" i="5"/>
  <c r="BM165" i="5"/>
  <c r="BK165" i="5"/>
  <c r="BJ165" i="5"/>
  <c r="BI165" i="5"/>
  <c r="BH165" i="5"/>
  <c r="BG165" i="5"/>
  <c r="BF165" i="5"/>
  <c r="BE165" i="5"/>
  <c r="BD165" i="5"/>
  <c r="BA165" i="5"/>
  <c r="BP165" i="5" s="1"/>
  <c r="AZ165" i="5"/>
  <c r="AY165" i="5"/>
  <c r="AV165" i="5"/>
  <c r="BO165" i="5" s="1"/>
  <c r="AU165" i="5"/>
  <c r="BN165" i="5" s="1"/>
  <c r="CI30" i="5"/>
  <c r="CJ30" i="5"/>
  <c r="CF30" i="5"/>
  <c r="CG30" i="5"/>
  <c r="CD30" i="5"/>
  <c r="CE30" i="5"/>
  <c r="CC30" i="5"/>
  <c r="BZ30" i="5"/>
  <c r="BW30" i="5"/>
  <c r="BV30" i="5"/>
  <c r="BX30" i="5"/>
  <c r="BU30" i="5"/>
  <c r="BT30" i="5"/>
  <c r="BS30" i="5"/>
  <c r="BQ30" i="5"/>
  <c r="BK30" i="5"/>
  <c r="BJ30" i="5"/>
  <c r="BI30" i="5"/>
  <c r="BH30" i="5"/>
  <c r="BL30" i="5"/>
  <c r="BR30" i="5"/>
  <c r="BG30" i="5"/>
  <c r="BF30" i="5"/>
  <c r="BE30" i="5"/>
  <c r="BD30" i="5"/>
  <c r="BA30" i="5"/>
  <c r="BP30" i="5" s="1"/>
  <c r="AZ30" i="5"/>
  <c r="AY30" i="5"/>
  <c r="AU30" i="5"/>
  <c r="BN30" i="5" s="1"/>
  <c r="AV30" i="5"/>
  <c r="BO30" i="5" s="1"/>
  <c r="CJ94" i="5"/>
  <c r="CI94" i="5"/>
  <c r="CH94" i="5"/>
  <c r="CG94" i="5"/>
  <c r="CF94" i="5"/>
  <c r="CK94" i="5"/>
  <c r="CE94" i="5"/>
  <c r="BY94" i="5"/>
  <c r="CD94" i="5"/>
  <c r="CC94" i="5"/>
  <c r="BZ94" i="5"/>
  <c r="CA94" i="5"/>
  <c r="BX94" i="5"/>
  <c r="BW94" i="5"/>
  <c r="BV94" i="5"/>
  <c r="BU94" i="5"/>
  <c r="BT94" i="5"/>
  <c r="BS94" i="5"/>
  <c r="BR94" i="5"/>
  <c r="BQ94" i="5"/>
  <c r="BM94" i="5"/>
  <c r="BL94" i="5"/>
  <c r="BK94" i="5"/>
  <c r="BJ94" i="5"/>
  <c r="BI94" i="5"/>
  <c r="BH94" i="5"/>
  <c r="BG94" i="5"/>
  <c r="BF94" i="5"/>
  <c r="BE94" i="5"/>
  <c r="BD94" i="5"/>
  <c r="BA94" i="5"/>
  <c r="BP94" i="5" s="1"/>
  <c r="AZ94" i="5"/>
  <c r="AY94" i="5"/>
  <c r="AU94" i="5"/>
  <c r="BN94" i="5" s="1"/>
  <c r="AV94" i="5"/>
  <c r="BO94" i="5" s="1"/>
  <c r="CI158" i="5"/>
  <c r="CG158" i="5"/>
  <c r="CK158" i="5"/>
  <c r="CE158" i="5"/>
  <c r="CF158" i="5"/>
  <c r="CC158" i="5"/>
  <c r="CD158" i="5"/>
  <c r="CA158" i="5"/>
  <c r="BY158" i="5"/>
  <c r="BW158" i="5"/>
  <c r="BV158" i="5"/>
  <c r="BU158" i="5"/>
  <c r="BT158" i="5"/>
  <c r="BS158" i="5"/>
  <c r="BR158" i="5"/>
  <c r="BQ158" i="5"/>
  <c r="BM158" i="5"/>
  <c r="BK158" i="5"/>
  <c r="BJ158" i="5"/>
  <c r="BI158" i="5"/>
  <c r="BH158" i="5"/>
  <c r="BG158" i="5"/>
  <c r="BF158" i="5"/>
  <c r="BE158" i="5"/>
  <c r="BD158" i="5"/>
  <c r="BA158" i="5"/>
  <c r="BP158" i="5" s="1"/>
  <c r="AZ158" i="5"/>
  <c r="AY158" i="5"/>
  <c r="AU158" i="5"/>
  <c r="BB158" i="5" s="1"/>
  <c r="AV158" i="5"/>
  <c r="BC158" i="5" s="1"/>
  <c r="CK23" i="5"/>
  <c r="CJ23" i="5"/>
  <c r="CH23" i="5"/>
  <c r="CF23" i="5"/>
  <c r="CE23" i="5"/>
  <c r="CD23" i="5"/>
  <c r="CC23" i="5"/>
  <c r="CI23" i="5"/>
  <c r="CA23" i="5"/>
  <c r="CG23" i="5"/>
  <c r="BZ23" i="5"/>
  <c r="BX23" i="5"/>
  <c r="BW23" i="5"/>
  <c r="BV23" i="5"/>
  <c r="BY23" i="5"/>
  <c r="BU23" i="5"/>
  <c r="BT23" i="5"/>
  <c r="BS23" i="5"/>
  <c r="BR23" i="5"/>
  <c r="BQ23" i="5"/>
  <c r="BL23" i="5"/>
  <c r="BM23" i="5"/>
  <c r="BK23" i="5"/>
  <c r="BJ23" i="5"/>
  <c r="BI23" i="5"/>
  <c r="BH23" i="5"/>
  <c r="BD23" i="5"/>
  <c r="BA23" i="5"/>
  <c r="BP23" i="5" s="1"/>
  <c r="BG23" i="5"/>
  <c r="BF23" i="5"/>
  <c r="AZ23" i="5"/>
  <c r="AY23" i="5"/>
  <c r="BE23" i="5"/>
  <c r="AU23" i="5"/>
  <c r="BN23" i="5" s="1"/>
  <c r="AV23" i="5"/>
  <c r="BO23" i="5" s="1"/>
  <c r="CJ87" i="5"/>
  <c r="CK87" i="5"/>
  <c r="CI87" i="5"/>
  <c r="CG87" i="5"/>
  <c r="CF87" i="5"/>
  <c r="CH87" i="5"/>
  <c r="CE87" i="5"/>
  <c r="CD87" i="5"/>
  <c r="BZ87" i="5"/>
  <c r="CC87" i="5"/>
  <c r="CA87" i="5"/>
  <c r="BY87" i="5"/>
  <c r="BW87" i="5"/>
  <c r="BV87" i="5"/>
  <c r="BX87" i="5"/>
  <c r="BU87" i="5"/>
  <c r="BT87" i="5"/>
  <c r="BS87" i="5"/>
  <c r="BR87" i="5"/>
  <c r="BQ87" i="5"/>
  <c r="BM87" i="5"/>
  <c r="BK87" i="5"/>
  <c r="BJ87" i="5"/>
  <c r="BI87" i="5"/>
  <c r="BL87" i="5"/>
  <c r="BH87" i="5"/>
  <c r="BD87" i="5"/>
  <c r="BG87" i="5"/>
  <c r="BF87" i="5"/>
  <c r="BA87" i="5"/>
  <c r="BP87" i="5" s="1"/>
  <c r="AZ87" i="5"/>
  <c r="AY87" i="5"/>
  <c r="BE87" i="5"/>
  <c r="AU87" i="5"/>
  <c r="BN87" i="5" s="1"/>
  <c r="AV87" i="5"/>
  <c r="BO87" i="5" s="1"/>
  <c r="CK151" i="5"/>
  <c r="CI151" i="5"/>
  <c r="CG151" i="5"/>
  <c r="CF151" i="5"/>
  <c r="CE151" i="5"/>
  <c r="CD151" i="5"/>
  <c r="CC151" i="5"/>
  <c r="CA151" i="5"/>
  <c r="BY151" i="5"/>
  <c r="BW151" i="5"/>
  <c r="BV151" i="5"/>
  <c r="BU151" i="5"/>
  <c r="BT151" i="5"/>
  <c r="BS151" i="5"/>
  <c r="BR151" i="5"/>
  <c r="BQ151" i="5"/>
  <c r="BM151" i="5"/>
  <c r="BK151" i="5"/>
  <c r="BJ151" i="5"/>
  <c r="BI151" i="5"/>
  <c r="BD151" i="5"/>
  <c r="BH151" i="5"/>
  <c r="BG151" i="5"/>
  <c r="BF151" i="5"/>
  <c r="BA151" i="5"/>
  <c r="BP151" i="5" s="1"/>
  <c r="AZ151" i="5"/>
  <c r="AY151" i="5"/>
  <c r="BE151" i="5"/>
  <c r="AV151" i="5"/>
  <c r="BC151" i="5" s="1"/>
  <c r="AU151" i="5"/>
  <c r="BB151" i="5" s="1"/>
  <c r="CK16" i="5"/>
  <c r="CI16" i="5"/>
  <c r="CE16" i="5"/>
  <c r="CD16" i="5"/>
  <c r="CG16" i="5"/>
  <c r="CC16" i="5"/>
  <c r="CF16" i="5"/>
  <c r="BY16" i="5"/>
  <c r="CA16" i="5"/>
  <c r="BW16" i="5"/>
  <c r="BV16" i="5"/>
  <c r="BU16" i="5"/>
  <c r="BT16" i="5"/>
  <c r="BS16" i="5"/>
  <c r="BR16" i="5"/>
  <c r="BQ16" i="5"/>
  <c r="BM16" i="5"/>
  <c r="BK16" i="5"/>
  <c r="BJ16" i="5"/>
  <c r="BI16" i="5"/>
  <c r="BH16" i="5"/>
  <c r="BG16" i="5"/>
  <c r="BF16" i="5"/>
  <c r="BE16" i="5"/>
  <c r="BD16" i="5"/>
  <c r="BA16" i="5"/>
  <c r="BP16" i="5" s="1"/>
  <c r="AZ16" i="5"/>
  <c r="AY16" i="5"/>
  <c r="AU16" i="5"/>
  <c r="BN16" i="5" s="1"/>
  <c r="AV16" i="5"/>
  <c r="BC16" i="5" s="1"/>
  <c r="CK80" i="5"/>
  <c r="CG80" i="5"/>
  <c r="CF80" i="5"/>
  <c r="CE80" i="5"/>
  <c r="CD80" i="5"/>
  <c r="CI80" i="5"/>
  <c r="CC80" i="5"/>
  <c r="CA80" i="5"/>
  <c r="BW80" i="5"/>
  <c r="BV80" i="5"/>
  <c r="BY80" i="5"/>
  <c r="BU80" i="5"/>
  <c r="BT80" i="5"/>
  <c r="BS80" i="5"/>
  <c r="BR80" i="5"/>
  <c r="BQ80" i="5"/>
  <c r="BM80" i="5"/>
  <c r="BK80" i="5"/>
  <c r="BJ80" i="5"/>
  <c r="BI80" i="5"/>
  <c r="BH80" i="5"/>
  <c r="BG80" i="5"/>
  <c r="BF80" i="5"/>
  <c r="BE80" i="5"/>
  <c r="BD80" i="5"/>
  <c r="BA80" i="5"/>
  <c r="BP80" i="5" s="1"/>
  <c r="AZ80" i="5"/>
  <c r="AY80" i="5"/>
  <c r="AU80" i="5"/>
  <c r="BN80" i="5" s="1"/>
  <c r="AV80" i="5"/>
  <c r="BC80" i="5" s="1"/>
  <c r="CK144" i="5"/>
  <c r="CG144" i="5"/>
  <c r="CE144" i="5"/>
  <c r="CD144" i="5"/>
  <c r="CC144" i="5"/>
  <c r="CF144" i="5"/>
  <c r="CI144" i="5"/>
  <c r="CA144" i="5"/>
  <c r="BY144" i="5"/>
  <c r="BW144" i="5"/>
  <c r="BV144" i="5"/>
  <c r="BU144" i="5"/>
  <c r="BT144" i="5"/>
  <c r="BS144" i="5"/>
  <c r="BR144" i="5"/>
  <c r="BQ144" i="5"/>
  <c r="BM144" i="5"/>
  <c r="BK144" i="5"/>
  <c r="BJ144" i="5"/>
  <c r="BI144" i="5"/>
  <c r="BH144" i="5"/>
  <c r="BG144" i="5"/>
  <c r="BF144" i="5"/>
  <c r="BE144" i="5"/>
  <c r="BD144" i="5"/>
  <c r="AV144" i="5"/>
  <c r="BO144" i="5" s="1"/>
  <c r="BA144" i="5"/>
  <c r="BP144" i="5" s="1"/>
  <c r="AZ144" i="5"/>
  <c r="AY144" i="5"/>
  <c r="AU144" i="5"/>
  <c r="BN144" i="5" s="1"/>
  <c r="CK9" i="5"/>
  <c r="CI9" i="5"/>
  <c r="CG9" i="5"/>
  <c r="CF9" i="5"/>
  <c r="CD9" i="5"/>
  <c r="CC9" i="5"/>
  <c r="CA9" i="5"/>
  <c r="BY9" i="5"/>
  <c r="CE9" i="5"/>
  <c r="BW9" i="5"/>
  <c r="BV9" i="5"/>
  <c r="BU9" i="5"/>
  <c r="BT9" i="5"/>
  <c r="BS9" i="5"/>
  <c r="BR9" i="5"/>
  <c r="BQ9" i="5"/>
  <c r="BM9" i="5"/>
  <c r="BK9" i="5"/>
  <c r="BJ9" i="5"/>
  <c r="BI9" i="5"/>
  <c r="BH9" i="5"/>
  <c r="BG9" i="5"/>
  <c r="BF9" i="5"/>
  <c r="BE9" i="5"/>
  <c r="BD9" i="5"/>
  <c r="BA9" i="5"/>
  <c r="BP9" i="5" s="1"/>
  <c r="AZ9" i="5"/>
  <c r="AY9" i="5"/>
  <c r="AV9" i="5"/>
  <c r="BC9" i="5" s="1"/>
  <c r="AU9" i="5"/>
  <c r="BN9" i="5" s="1"/>
  <c r="CH73" i="5"/>
  <c r="CK73" i="5"/>
  <c r="CI73" i="5"/>
  <c r="CJ73" i="5"/>
  <c r="CE73" i="5"/>
  <c r="CD73" i="5"/>
  <c r="CC73" i="5"/>
  <c r="CG73" i="5"/>
  <c r="CA73" i="5"/>
  <c r="CF73" i="5"/>
  <c r="BZ73" i="5"/>
  <c r="BX73" i="5"/>
  <c r="BW73" i="5"/>
  <c r="BV73" i="5"/>
  <c r="BY73" i="5"/>
  <c r="BU73" i="5"/>
  <c r="BT73" i="5"/>
  <c r="BS73" i="5"/>
  <c r="BL73" i="5"/>
  <c r="BR73" i="5"/>
  <c r="BM73" i="5"/>
  <c r="BQ73" i="5"/>
  <c r="BK73" i="5"/>
  <c r="BJ73" i="5"/>
  <c r="BI73" i="5"/>
  <c r="BH73" i="5"/>
  <c r="BG73" i="5"/>
  <c r="BF73" i="5"/>
  <c r="BE73" i="5"/>
  <c r="BD73" i="5"/>
  <c r="BA73" i="5"/>
  <c r="BP73" i="5" s="1"/>
  <c r="AZ73" i="5"/>
  <c r="AY73" i="5"/>
  <c r="AV73" i="5"/>
  <c r="BO73" i="5" s="1"/>
  <c r="AU73" i="5"/>
  <c r="BN73" i="5" s="1"/>
  <c r="CK137" i="5"/>
  <c r="CI137" i="5"/>
  <c r="CH137" i="5"/>
  <c r="CJ137" i="5"/>
  <c r="CE137" i="5"/>
  <c r="CD137" i="5"/>
  <c r="CC137" i="5"/>
  <c r="CG137" i="5"/>
  <c r="CF137" i="5"/>
  <c r="BZ137" i="5"/>
  <c r="BW137" i="5"/>
  <c r="BY137" i="5"/>
  <c r="CA137" i="5"/>
  <c r="BX137" i="5"/>
  <c r="BU137" i="5"/>
  <c r="BT137" i="5"/>
  <c r="BS137" i="5"/>
  <c r="BV137" i="5"/>
  <c r="BL137" i="5"/>
  <c r="BR137" i="5"/>
  <c r="BM137" i="5"/>
  <c r="BQ137" i="5"/>
  <c r="BK137" i="5"/>
  <c r="BJ137" i="5"/>
  <c r="BI137" i="5"/>
  <c r="BH137" i="5"/>
  <c r="BG137" i="5"/>
  <c r="BF137" i="5"/>
  <c r="BE137" i="5"/>
  <c r="BD137" i="5"/>
  <c r="BA137" i="5"/>
  <c r="BP137" i="5" s="1"/>
  <c r="AZ137" i="5"/>
  <c r="AY137" i="5"/>
  <c r="AV137" i="5"/>
  <c r="BO137" i="5" s="1"/>
  <c r="AU137" i="5"/>
  <c r="BN137" i="5" s="1"/>
  <c r="CK201" i="5"/>
  <c r="CI201" i="5"/>
  <c r="CE201" i="5"/>
  <c r="CD201" i="5"/>
  <c r="CC201" i="5"/>
  <c r="CG201" i="5"/>
  <c r="CF201" i="5"/>
  <c r="BY201" i="5"/>
  <c r="BW201" i="5"/>
  <c r="CA201" i="5"/>
  <c r="BV201" i="5"/>
  <c r="BU201" i="5"/>
  <c r="BT201" i="5"/>
  <c r="BS201" i="5"/>
  <c r="BR201" i="5"/>
  <c r="BM201" i="5"/>
  <c r="BQ201" i="5"/>
  <c r="BK201" i="5"/>
  <c r="BJ201" i="5"/>
  <c r="BI201" i="5"/>
  <c r="BH201" i="5"/>
  <c r="BG201" i="5"/>
  <c r="BF201" i="5"/>
  <c r="BE201" i="5"/>
  <c r="BD201" i="5"/>
  <c r="BA201" i="5"/>
  <c r="BP201" i="5" s="1"/>
  <c r="AZ201" i="5"/>
  <c r="AY201" i="5"/>
  <c r="AV201" i="5"/>
  <c r="BO201" i="5" s="1"/>
  <c r="AU201" i="5"/>
  <c r="BB201" i="5" s="1"/>
  <c r="CJ66" i="5"/>
  <c r="CK66" i="5"/>
  <c r="CI66" i="5"/>
  <c r="CH66" i="5"/>
  <c r="CG66" i="5"/>
  <c r="CF66" i="5"/>
  <c r="CA66" i="5"/>
  <c r="CC66" i="5"/>
  <c r="CD66" i="5"/>
  <c r="CE66" i="5"/>
  <c r="BZ66" i="5"/>
  <c r="BY66" i="5"/>
  <c r="BX66" i="5"/>
  <c r="BW66" i="5"/>
  <c r="BV66" i="5"/>
  <c r="BU66" i="5"/>
  <c r="BT66" i="5"/>
  <c r="BS66" i="5"/>
  <c r="BR66" i="5"/>
  <c r="BQ66" i="5"/>
  <c r="BL66" i="5"/>
  <c r="BM66" i="5"/>
  <c r="BK66" i="5"/>
  <c r="BJ66" i="5"/>
  <c r="BI66" i="5"/>
  <c r="BH66" i="5"/>
  <c r="BG66" i="5"/>
  <c r="BF66" i="5"/>
  <c r="BE66" i="5"/>
  <c r="BD66" i="5"/>
  <c r="BA66" i="5"/>
  <c r="BP66" i="5" s="1"/>
  <c r="AZ66" i="5"/>
  <c r="AY66" i="5"/>
  <c r="AU66" i="5"/>
  <c r="BN66" i="5" s="1"/>
  <c r="AV66" i="5"/>
  <c r="BC66" i="5" s="1"/>
  <c r="CK130" i="5"/>
  <c r="CI130" i="5"/>
  <c r="CG130" i="5"/>
  <c r="CF130" i="5"/>
  <c r="CC130" i="5"/>
  <c r="CE130" i="5"/>
  <c r="CD130" i="5"/>
  <c r="CA130" i="5"/>
  <c r="BW130" i="5"/>
  <c r="BY130" i="5"/>
  <c r="BV130" i="5"/>
  <c r="BU130" i="5"/>
  <c r="BT130" i="5"/>
  <c r="BS130" i="5"/>
  <c r="BR130" i="5"/>
  <c r="BQ130" i="5"/>
  <c r="BM130" i="5"/>
  <c r="BK130" i="5"/>
  <c r="BJ130" i="5"/>
  <c r="BI130" i="5"/>
  <c r="BH130" i="5"/>
  <c r="BG130" i="5"/>
  <c r="BF130" i="5"/>
  <c r="BE130" i="5"/>
  <c r="BD130" i="5"/>
  <c r="BA130" i="5"/>
  <c r="BP130" i="5" s="1"/>
  <c r="AZ130" i="5"/>
  <c r="AY130" i="5"/>
  <c r="AV130" i="5"/>
  <c r="BO130" i="5" s="1"/>
  <c r="AU130" i="5"/>
  <c r="BN130" i="5" s="1"/>
  <c r="CK194" i="5"/>
  <c r="CI194" i="5"/>
  <c r="CG194" i="5"/>
  <c r="CF194" i="5"/>
  <c r="CC194" i="5"/>
  <c r="CD194" i="5"/>
  <c r="CE194" i="5"/>
  <c r="CA194" i="5"/>
  <c r="BY194" i="5"/>
  <c r="BW194" i="5"/>
  <c r="BU194" i="5"/>
  <c r="BT194" i="5"/>
  <c r="BS194" i="5"/>
  <c r="BV194" i="5"/>
  <c r="BR194" i="5"/>
  <c r="BQ194" i="5"/>
  <c r="BM194" i="5"/>
  <c r="BK194" i="5"/>
  <c r="BJ194" i="5"/>
  <c r="BI194" i="5"/>
  <c r="BH194" i="5"/>
  <c r="BG194" i="5"/>
  <c r="BF194" i="5"/>
  <c r="BE194" i="5"/>
  <c r="BD194" i="5"/>
  <c r="BA194" i="5"/>
  <c r="BP194" i="5" s="1"/>
  <c r="AZ194" i="5"/>
  <c r="AY194" i="5"/>
  <c r="AV194" i="5"/>
  <c r="BO194" i="5" s="1"/>
  <c r="AU194" i="5"/>
  <c r="BB194" i="5" s="1"/>
  <c r="CK51" i="5"/>
  <c r="CI51" i="5"/>
  <c r="CF51" i="5"/>
  <c r="CG51" i="5"/>
  <c r="CD51" i="5"/>
  <c r="CA51" i="5"/>
  <c r="CC51" i="5"/>
  <c r="CE51" i="5"/>
  <c r="BW51" i="5"/>
  <c r="BV51" i="5"/>
  <c r="BY51" i="5"/>
  <c r="BU51" i="5"/>
  <c r="BT51" i="5"/>
  <c r="BS51" i="5"/>
  <c r="BR51" i="5"/>
  <c r="BQ51" i="5"/>
  <c r="BK51" i="5"/>
  <c r="BJ51" i="5"/>
  <c r="BI51" i="5"/>
  <c r="BH51" i="5"/>
  <c r="BM51" i="5"/>
  <c r="BG51" i="5"/>
  <c r="BF51" i="5"/>
  <c r="BE51" i="5"/>
  <c r="BD51" i="5"/>
  <c r="AZ51" i="5"/>
  <c r="AY51" i="5"/>
  <c r="BA51" i="5"/>
  <c r="BP51" i="5" s="1"/>
  <c r="AU51" i="5"/>
  <c r="BB51" i="5" s="1"/>
  <c r="AV51" i="5"/>
  <c r="BO51" i="5" s="1"/>
  <c r="CK115" i="5"/>
  <c r="CJ115" i="5"/>
  <c r="CI115" i="5"/>
  <c r="CH115" i="5"/>
  <c r="CF115" i="5"/>
  <c r="CG115" i="5"/>
  <c r="CD115" i="5"/>
  <c r="CC115" i="5"/>
  <c r="CA115" i="5"/>
  <c r="BZ115" i="5"/>
  <c r="CE115" i="5"/>
  <c r="BY115" i="5"/>
  <c r="BX115" i="5"/>
  <c r="BW115" i="5"/>
  <c r="BV115" i="5"/>
  <c r="BU115" i="5"/>
  <c r="BT115" i="5"/>
  <c r="BS115" i="5"/>
  <c r="BR115" i="5"/>
  <c r="BQ115" i="5"/>
  <c r="BK115" i="5"/>
  <c r="BJ115" i="5"/>
  <c r="BI115" i="5"/>
  <c r="BH115" i="5"/>
  <c r="BM115" i="5"/>
  <c r="BL115" i="5"/>
  <c r="BG115" i="5"/>
  <c r="BF115" i="5"/>
  <c r="BE115" i="5"/>
  <c r="BD115" i="5"/>
  <c r="BA115" i="5"/>
  <c r="BP115" i="5" s="1"/>
  <c r="AZ115" i="5"/>
  <c r="AY115" i="5"/>
  <c r="AU115" i="5"/>
  <c r="BB115" i="5" s="1"/>
  <c r="AV115" i="5"/>
  <c r="BC115" i="5" s="1"/>
  <c r="CK179" i="5"/>
  <c r="CI179" i="5"/>
  <c r="CG179" i="5"/>
  <c r="CF179" i="5"/>
  <c r="CA179" i="5"/>
  <c r="CE179" i="5"/>
  <c r="CC179" i="5"/>
  <c r="CD179" i="5"/>
  <c r="BY179" i="5"/>
  <c r="BW179" i="5"/>
  <c r="BV179" i="5"/>
  <c r="BU179" i="5"/>
  <c r="BT179" i="5"/>
  <c r="BS179" i="5"/>
  <c r="BR179" i="5"/>
  <c r="BQ179" i="5"/>
  <c r="BK179" i="5"/>
  <c r="BJ179" i="5"/>
  <c r="BI179" i="5"/>
  <c r="BM179" i="5"/>
  <c r="BH179" i="5"/>
  <c r="BG179" i="5"/>
  <c r="BF179" i="5"/>
  <c r="BE179" i="5"/>
  <c r="BD179" i="5"/>
  <c r="BA179" i="5"/>
  <c r="BP179" i="5" s="1"/>
  <c r="AZ179" i="5"/>
  <c r="AY179" i="5"/>
  <c r="AU179" i="5"/>
  <c r="BB179" i="5" s="1"/>
  <c r="AV179" i="5"/>
  <c r="BO179" i="5" s="1"/>
  <c r="CK44" i="5"/>
  <c r="CG44" i="5"/>
  <c r="CI44" i="5"/>
  <c r="CE44" i="5"/>
  <c r="CA44" i="5"/>
  <c r="CC44" i="5"/>
  <c r="CD44" i="5"/>
  <c r="CF44" i="5"/>
  <c r="BY44" i="5"/>
  <c r="BW44" i="5"/>
  <c r="BV44" i="5"/>
  <c r="BU44" i="5"/>
  <c r="BT44" i="5"/>
  <c r="BS44" i="5"/>
  <c r="BQ44" i="5"/>
  <c r="BR44" i="5"/>
  <c r="BK44" i="5"/>
  <c r="BJ44" i="5"/>
  <c r="BI44" i="5"/>
  <c r="BH44" i="5"/>
  <c r="BM44" i="5"/>
  <c r="BG44" i="5"/>
  <c r="BF44" i="5"/>
  <c r="BE44" i="5"/>
  <c r="BD44" i="5"/>
  <c r="BA44" i="5"/>
  <c r="BP44" i="5" s="1"/>
  <c r="AZ44" i="5"/>
  <c r="AY44" i="5"/>
  <c r="AU44" i="5"/>
  <c r="BN44" i="5" s="1"/>
  <c r="AV44" i="5"/>
  <c r="BC44" i="5" s="1"/>
  <c r="CK108" i="5"/>
  <c r="CJ108" i="5"/>
  <c r="CI108" i="5"/>
  <c r="CH108" i="5"/>
  <c r="CG108" i="5"/>
  <c r="CF108" i="5"/>
  <c r="CE108" i="5"/>
  <c r="CD108" i="5"/>
  <c r="CA108" i="5"/>
  <c r="BZ108" i="5"/>
  <c r="CC108" i="5"/>
  <c r="BY108" i="5"/>
  <c r="BX108" i="5"/>
  <c r="BW108" i="5"/>
  <c r="BV108" i="5"/>
  <c r="BU108" i="5"/>
  <c r="BT108" i="5"/>
  <c r="BS108" i="5"/>
  <c r="BR108" i="5"/>
  <c r="BQ108" i="5"/>
  <c r="BK108" i="5"/>
  <c r="BJ108" i="5"/>
  <c r="BI108" i="5"/>
  <c r="BH108" i="5"/>
  <c r="BM108" i="5"/>
  <c r="BL108" i="5"/>
  <c r="BG108" i="5"/>
  <c r="BF108" i="5"/>
  <c r="BE108" i="5"/>
  <c r="BD108" i="5"/>
  <c r="BA108" i="5"/>
  <c r="BP108" i="5" s="1"/>
  <c r="AZ108" i="5"/>
  <c r="AY108" i="5"/>
  <c r="AU108" i="5"/>
  <c r="BN108" i="5" s="1"/>
  <c r="AV108" i="5"/>
  <c r="BC108" i="5" s="1"/>
  <c r="CK172" i="5"/>
  <c r="CI172" i="5"/>
  <c r="CG172" i="5"/>
  <c r="CF172" i="5"/>
  <c r="CD172" i="5"/>
  <c r="CE172" i="5"/>
  <c r="CC172" i="5"/>
  <c r="CA172" i="5"/>
  <c r="BY172" i="5"/>
  <c r="BW172" i="5"/>
  <c r="BV172" i="5"/>
  <c r="BU172" i="5"/>
  <c r="BT172" i="5"/>
  <c r="BS172" i="5"/>
  <c r="BR172" i="5"/>
  <c r="BQ172" i="5"/>
  <c r="BK172" i="5"/>
  <c r="BJ172" i="5"/>
  <c r="BI172" i="5"/>
  <c r="BM172" i="5"/>
  <c r="BH172" i="5"/>
  <c r="BG172" i="5"/>
  <c r="BF172" i="5"/>
  <c r="BE172" i="5"/>
  <c r="BD172" i="5"/>
  <c r="BA172" i="5"/>
  <c r="BP172" i="5" s="1"/>
  <c r="AZ172" i="5"/>
  <c r="AY172" i="5"/>
  <c r="AU172" i="5"/>
  <c r="BB172" i="5" s="1"/>
  <c r="AV172" i="5"/>
  <c r="BO172" i="5" s="1"/>
  <c r="CI6" i="5"/>
  <c r="CH6" i="5"/>
  <c r="CF6" i="5"/>
  <c r="CK6" i="5"/>
  <c r="CG6" i="5"/>
  <c r="CD6" i="5"/>
  <c r="CE6" i="5"/>
  <c r="CJ6" i="5"/>
  <c r="CC6" i="5"/>
  <c r="BZ6" i="5"/>
  <c r="BY6" i="5"/>
  <c r="CA6" i="5"/>
  <c r="BW6" i="5"/>
  <c r="BV6" i="5"/>
  <c r="BX6" i="5"/>
  <c r="BU6" i="5"/>
  <c r="BT6" i="5"/>
  <c r="BS6" i="5"/>
  <c r="BR6" i="5"/>
  <c r="BQ6" i="5"/>
  <c r="BL6" i="5"/>
  <c r="BM6" i="5"/>
  <c r="BK6" i="5"/>
  <c r="BJ6" i="5"/>
  <c r="BI6" i="5"/>
  <c r="BH6" i="5"/>
  <c r="BG6" i="5"/>
  <c r="BF6" i="5"/>
  <c r="BE6" i="5"/>
  <c r="BD6" i="5"/>
  <c r="BA6" i="5"/>
  <c r="BP6" i="5" s="1"/>
  <c r="AZ6" i="5"/>
  <c r="AY6" i="5"/>
  <c r="AU6" i="5"/>
  <c r="BB6" i="5" s="1"/>
  <c r="AV6" i="5"/>
  <c r="BC6" i="5" s="1"/>
  <c r="CG127" i="5"/>
  <c r="CF127" i="5"/>
  <c r="CK127" i="5"/>
  <c r="CI127" i="5"/>
  <c r="CE127" i="5"/>
  <c r="CD127" i="5"/>
  <c r="CA127" i="5"/>
  <c r="BW127" i="5"/>
  <c r="BV127" i="5"/>
  <c r="CC127" i="5"/>
  <c r="BY127" i="5"/>
  <c r="BU127" i="5"/>
  <c r="BT127" i="5"/>
  <c r="BS127" i="5"/>
  <c r="BR127" i="5"/>
  <c r="BQ127" i="5"/>
  <c r="BM127" i="5"/>
  <c r="BK127" i="5"/>
  <c r="BJ127" i="5"/>
  <c r="BI127" i="5"/>
  <c r="BH127" i="5"/>
  <c r="BG127" i="5"/>
  <c r="BF127" i="5"/>
  <c r="BE127" i="5"/>
  <c r="BD127" i="5"/>
  <c r="BA127" i="5"/>
  <c r="BP127" i="5" s="1"/>
  <c r="AZ127" i="5"/>
  <c r="AY127" i="5"/>
  <c r="AV127" i="5"/>
  <c r="BO127" i="5" s="1"/>
  <c r="AU127" i="5"/>
  <c r="BB127" i="5" s="1"/>
  <c r="CK184" i="5"/>
  <c r="CI184" i="5"/>
  <c r="CF184" i="5"/>
  <c r="CE184" i="5"/>
  <c r="CD184" i="5"/>
  <c r="CC184" i="5"/>
  <c r="CG184" i="5"/>
  <c r="CA184" i="5"/>
  <c r="BY184" i="5"/>
  <c r="BW184" i="5"/>
  <c r="BU184" i="5"/>
  <c r="BT184" i="5"/>
  <c r="BS184" i="5"/>
  <c r="BV184" i="5"/>
  <c r="BR184" i="5"/>
  <c r="BQ184" i="5"/>
  <c r="BM184" i="5"/>
  <c r="BK184" i="5"/>
  <c r="BJ184" i="5"/>
  <c r="BI184" i="5"/>
  <c r="BH184" i="5"/>
  <c r="BG184" i="5"/>
  <c r="BF184" i="5"/>
  <c r="BE184" i="5"/>
  <c r="BD184" i="5"/>
  <c r="AV184" i="5"/>
  <c r="BO184" i="5" s="1"/>
  <c r="BA184" i="5"/>
  <c r="BP184" i="5" s="1"/>
  <c r="AZ184" i="5"/>
  <c r="AY184" i="5"/>
  <c r="AU184" i="5"/>
  <c r="BN184" i="5" s="1"/>
  <c r="CK42" i="5"/>
  <c r="CI42" i="5"/>
  <c r="CG42" i="5"/>
  <c r="CF42" i="5"/>
  <c r="CE42" i="5"/>
  <c r="CA42" i="5"/>
  <c r="CC42" i="5"/>
  <c r="CD42" i="5"/>
  <c r="BY42" i="5"/>
  <c r="BW42" i="5"/>
  <c r="BV42" i="5"/>
  <c r="BU42" i="5"/>
  <c r="BT42" i="5"/>
  <c r="BS42" i="5"/>
  <c r="BQ42" i="5"/>
  <c r="BR42" i="5"/>
  <c r="BM42" i="5"/>
  <c r="BK42" i="5"/>
  <c r="BJ42" i="5"/>
  <c r="BI42" i="5"/>
  <c r="BH42" i="5"/>
  <c r="BG42" i="5"/>
  <c r="BF42" i="5"/>
  <c r="BE42" i="5"/>
  <c r="BD42" i="5"/>
  <c r="AZ42" i="5"/>
  <c r="AY42" i="5"/>
  <c r="BA42" i="5"/>
  <c r="BP42" i="5" s="1"/>
  <c r="AU42" i="5"/>
  <c r="BN42" i="5" s="1"/>
  <c r="AV42" i="5"/>
  <c r="BO42" i="5" s="1"/>
  <c r="CK91" i="5"/>
  <c r="CI91" i="5"/>
  <c r="CJ91" i="5"/>
  <c r="CH91" i="5"/>
  <c r="CF91" i="5"/>
  <c r="CG91" i="5"/>
  <c r="CE91" i="5"/>
  <c r="CA91" i="5"/>
  <c r="CD91" i="5"/>
  <c r="CC91" i="5"/>
  <c r="BZ91" i="5"/>
  <c r="BY91" i="5"/>
  <c r="BW91" i="5"/>
  <c r="BV91" i="5"/>
  <c r="BX91" i="5"/>
  <c r="BU91" i="5"/>
  <c r="BT91" i="5"/>
  <c r="BS91" i="5"/>
  <c r="BR91" i="5"/>
  <c r="BQ91" i="5"/>
  <c r="BK91" i="5"/>
  <c r="BJ91" i="5"/>
  <c r="BI91" i="5"/>
  <c r="BH91" i="5"/>
  <c r="BL91" i="5"/>
  <c r="BM91" i="5"/>
  <c r="BG91" i="5"/>
  <c r="BF91" i="5"/>
  <c r="BE91" i="5"/>
  <c r="BD91" i="5"/>
  <c r="BA91" i="5"/>
  <c r="BP91" i="5" s="1"/>
  <c r="AZ91" i="5"/>
  <c r="AY91" i="5"/>
  <c r="AV91" i="5"/>
  <c r="BO91" i="5" s="1"/>
  <c r="AU91" i="5"/>
  <c r="BB91" i="5" s="1"/>
  <c r="CJ84" i="5"/>
  <c r="CK84" i="5"/>
  <c r="CI84" i="5"/>
  <c r="CH84" i="5"/>
  <c r="CF84" i="5"/>
  <c r="CG84" i="5"/>
  <c r="CD84" i="5"/>
  <c r="CE84" i="5"/>
  <c r="BZ84" i="5"/>
  <c r="CC84" i="5"/>
  <c r="CA84" i="5"/>
  <c r="BY84" i="5"/>
  <c r="BX84" i="5"/>
  <c r="BW84" i="5"/>
  <c r="BV84" i="5"/>
  <c r="BU84" i="5"/>
  <c r="BT84" i="5"/>
  <c r="BS84" i="5"/>
  <c r="BR84" i="5"/>
  <c r="BQ84" i="5"/>
  <c r="BK84" i="5"/>
  <c r="BJ84" i="5"/>
  <c r="BI84" i="5"/>
  <c r="BH84" i="5"/>
  <c r="BL84" i="5"/>
  <c r="BM84" i="5"/>
  <c r="BG84" i="5"/>
  <c r="BF84" i="5"/>
  <c r="BE84" i="5"/>
  <c r="BD84" i="5"/>
  <c r="BA84" i="5"/>
  <c r="BP84" i="5" s="1"/>
  <c r="AZ84" i="5"/>
  <c r="AY84" i="5"/>
  <c r="AU84" i="5"/>
  <c r="BN84" i="5" s="1"/>
  <c r="AV84" i="5"/>
  <c r="BO84" i="5" s="1"/>
  <c r="CK45" i="5"/>
  <c r="CG45" i="5"/>
  <c r="CI45" i="5"/>
  <c r="CE45" i="5"/>
  <c r="CF45" i="5"/>
  <c r="CA45" i="5"/>
  <c r="BY45" i="5"/>
  <c r="CC45" i="5"/>
  <c r="BW45" i="5"/>
  <c r="BV45" i="5"/>
  <c r="CD45" i="5"/>
  <c r="BU45" i="5"/>
  <c r="BT45" i="5"/>
  <c r="BS45" i="5"/>
  <c r="BQ45" i="5"/>
  <c r="BR45" i="5"/>
  <c r="BM45" i="5"/>
  <c r="BK45" i="5"/>
  <c r="BJ45" i="5"/>
  <c r="BI45" i="5"/>
  <c r="BH45" i="5"/>
  <c r="BG45" i="5"/>
  <c r="BF45" i="5"/>
  <c r="BE45" i="5"/>
  <c r="BD45" i="5"/>
  <c r="BA45" i="5"/>
  <c r="BP45" i="5" s="1"/>
  <c r="AZ45" i="5"/>
  <c r="AY45" i="5"/>
  <c r="AV45" i="5"/>
  <c r="BO45" i="5" s="1"/>
  <c r="AU45" i="5"/>
  <c r="BN45" i="5" s="1"/>
  <c r="CK109" i="5"/>
  <c r="CJ109" i="5"/>
  <c r="CG109" i="5"/>
  <c r="CI109" i="5"/>
  <c r="CH109" i="5"/>
  <c r="CF109" i="5"/>
  <c r="CE109" i="5"/>
  <c r="CD109" i="5"/>
  <c r="CA109" i="5"/>
  <c r="BZ109" i="5"/>
  <c r="CC109" i="5"/>
  <c r="BW109" i="5"/>
  <c r="BV109" i="5"/>
  <c r="BY109" i="5"/>
  <c r="BX109" i="5"/>
  <c r="BU109" i="5"/>
  <c r="BT109" i="5"/>
  <c r="BS109" i="5"/>
  <c r="BR109" i="5"/>
  <c r="BQ109" i="5"/>
  <c r="BM109" i="5"/>
  <c r="BL109" i="5"/>
  <c r="BK109" i="5"/>
  <c r="BJ109" i="5"/>
  <c r="BI109" i="5"/>
  <c r="BH109" i="5"/>
  <c r="BG109" i="5"/>
  <c r="BF109" i="5"/>
  <c r="BE109" i="5"/>
  <c r="BD109" i="5"/>
  <c r="BA109" i="5"/>
  <c r="BP109" i="5" s="1"/>
  <c r="AZ109" i="5"/>
  <c r="AY109" i="5"/>
  <c r="AV109" i="5"/>
  <c r="BC109" i="5" s="1"/>
  <c r="AU109" i="5"/>
  <c r="BN109" i="5" s="1"/>
  <c r="CK173" i="5"/>
  <c r="CG173" i="5"/>
  <c r="CI173" i="5"/>
  <c r="CF173" i="5"/>
  <c r="CD173" i="5"/>
  <c r="CE173" i="5"/>
  <c r="CC173" i="5"/>
  <c r="CA173" i="5"/>
  <c r="BW173" i="5"/>
  <c r="BY173" i="5"/>
  <c r="BV173" i="5"/>
  <c r="BU173" i="5"/>
  <c r="BT173" i="5"/>
  <c r="BS173" i="5"/>
  <c r="BR173" i="5"/>
  <c r="BQ173" i="5"/>
  <c r="BM173" i="5"/>
  <c r="BK173" i="5"/>
  <c r="BJ173" i="5"/>
  <c r="BI173" i="5"/>
  <c r="BH173" i="5"/>
  <c r="BG173" i="5"/>
  <c r="BF173" i="5"/>
  <c r="BE173" i="5"/>
  <c r="BD173" i="5"/>
  <c r="BA173" i="5"/>
  <c r="BP173" i="5" s="1"/>
  <c r="AZ173" i="5"/>
  <c r="AY173" i="5"/>
  <c r="AV173" i="5"/>
  <c r="BO173" i="5" s="1"/>
  <c r="AU173" i="5"/>
  <c r="BN173" i="5" s="1"/>
  <c r="CI38" i="5"/>
  <c r="CG38" i="5"/>
  <c r="CF38" i="5"/>
  <c r="CK38" i="5"/>
  <c r="CD38" i="5"/>
  <c r="CE38" i="5"/>
  <c r="CC38" i="5"/>
  <c r="BY38" i="5"/>
  <c r="CA38" i="5"/>
  <c r="BW38" i="5"/>
  <c r="BV38" i="5"/>
  <c r="BU38" i="5"/>
  <c r="BT38" i="5"/>
  <c r="BS38" i="5"/>
  <c r="BQ38" i="5"/>
  <c r="BR38" i="5"/>
  <c r="BM38" i="5"/>
  <c r="BK38" i="5"/>
  <c r="BJ38" i="5"/>
  <c r="BI38" i="5"/>
  <c r="BH38" i="5"/>
  <c r="BG38" i="5"/>
  <c r="BF38" i="5"/>
  <c r="BE38" i="5"/>
  <c r="BD38" i="5"/>
  <c r="BA38" i="5"/>
  <c r="AZ38" i="5"/>
  <c r="AY38" i="5"/>
  <c r="AU38" i="5"/>
  <c r="AV38" i="5"/>
  <c r="CI102" i="5"/>
  <c r="CG102" i="5"/>
  <c r="CF102" i="5"/>
  <c r="CJ102" i="5"/>
  <c r="CK102" i="5"/>
  <c r="CE102" i="5"/>
  <c r="CD102" i="5"/>
  <c r="CH102" i="5"/>
  <c r="CC102" i="5"/>
  <c r="BZ102" i="5"/>
  <c r="BY102" i="5"/>
  <c r="CA102" i="5"/>
  <c r="BW102" i="5"/>
  <c r="BV102" i="5"/>
  <c r="BX102" i="5"/>
  <c r="BU102" i="5"/>
  <c r="BT102" i="5"/>
  <c r="BS102" i="5"/>
  <c r="BR102" i="5"/>
  <c r="BQ102" i="5"/>
  <c r="BM102" i="5"/>
  <c r="BL102" i="5"/>
  <c r="BK102" i="5"/>
  <c r="BJ102" i="5"/>
  <c r="BI102" i="5"/>
  <c r="BH102" i="5"/>
  <c r="BG102" i="5"/>
  <c r="BF102" i="5"/>
  <c r="BE102" i="5"/>
  <c r="BD102" i="5"/>
  <c r="BA102" i="5"/>
  <c r="BP102" i="5" s="1"/>
  <c r="AZ102" i="5"/>
  <c r="AY102" i="5"/>
  <c r="AU102" i="5"/>
  <c r="BN102" i="5" s="1"/>
  <c r="AV102" i="5"/>
  <c r="BC102" i="5" s="1"/>
  <c r="CI166" i="5"/>
  <c r="CG166" i="5"/>
  <c r="CK166" i="5"/>
  <c r="CE166" i="5"/>
  <c r="CD166" i="5"/>
  <c r="CA166" i="5"/>
  <c r="CC166" i="5"/>
  <c r="CF166" i="5"/>
  <c r="BW166" i="5"/>
  <c r="BV166" i="5"/>
  <c r="BY166" i="5"/>
  <c r="BU166" i="5"/>
  <c r="BT166" i="5"/>
  <c r="BS166" i="5"/>
  <c r="BR166" i="5"/>
  <c r="BQ166" i="5"/>
  <c r="BM166" i="5"/>
  <c r="BK166" i="5"/>
  <c r="BJ166" i="5"/>
  <c r="BI166" i="5"/>
  <c r="BH166" i="5"/>
  <c r="BG166" i="5"/>
  <c r="BF166" i="5"/>
  <c r="BE166" i="5"/>
  <c r="BD166" i="5"/>
  <c r="BA166" i="5"/>
  <c r="BP166" i="5" s="1"/>
  <c r="AZ166" i="5"/>
  <c r="AY166" i="5"/>
  <c r="AU166" i="5"/>
  <c r="BN166" i="5" s="1"/>
  <c r="AV166" i="5"/>
  <c r="BO166" i="5" s="1"/>
  <c r="CI31" i="5"/>
  <c r="CF31" i="5"/>
  <c r="CE31" i="5"/>
  <c r="CK31" i="5"/>
  <c r="CG31" i="5"/>
  <c r="CD31" i="5"/>
  <c r="CA31" i="5"/>
  <c r="BW31" i="5"/>
  <c r="BV31" i="5"/>
  <c r="CC31" i="5"/>
  <c r="BY31" i="5"/>
  <c r="BU31" i="5"/>
  <c r="BT31" i="5"/>
  <c r="BS31" i="5"/>
  <c r="BR31" i="5"/>
  <c r="BQ31" i="5"/>
  <c r="BM31" i="5"/>
  <c r="BK31" i="5"/>
  <c r="BJ31" i="5"/>
  <c r="BI31" i="5"/>
  <c r="BH31" i="5"/>
  <c r="BE31" i="5"/>
  <c r="BD31" i="5"/>
  <c r="BG31" i="5"/>
  <c r="BA31" i="5"/>
  <c r="BP31" i="5" s="1"/>
  <c r="AZ31" i="5"/>
  <c r="AY31" i="5"/>
  <c r="BF31" i="5"/>
  <c r="AU31" i="5"/>
  <c r="BN31" i="5" s="1"/>
  <c r="AV31" i="5"/>
  <c r="BC31" i="5" s="1"/>
  <c r="CJ95" i="5"/>
  <c r="CH95" i="5"/>
  <c r="CG95" i="5"/>
  <c r="CF95" i="5"/>
  <c r="CK95" i="5"/>
  <c r="CE95" i="5"/>
  <c r="CD95" i="5"/>
  <c r="CI95" i="5"/>
  <c r="CA95" i="5"/>
  <c r="BY95" i="5"/>
  <c r="CC95" i="5"/>
  <c r="BX95" i="5"/>
  <c r="BW95" i="5"/>
  <c r="BV95" i="5"/>
  <c r="BZ95" i="5"/>
  <c r="BU95" i="5"/>
  <c r="BT95" i="5"/>
  <c r="BS95" i="5"/>
  <c r="BR95" i="5"/>
  <c r="BQ95" i="5"/>
  <c r="BM95" i="5"/>
  <c r="BL95" i="5"/>
  <c r="BK95" i="5"/>
  <c r="BJ95" i="5"/>
  <c r="BI95" i="5"/>
  <c r="BH95" i="5"/>
  <c r="BE95" i="5"/>
  <c r="BD95" i="5"/>
  <c r="BG95" i="5"/>
  <c r="BA95" i="5"/>
  <c r="BP95" i="5" s="1"/>
  <c r="AZ95" i="5"/>
  <c r="AY95" i="5"/>
  <c r="BF95" i="5"/>
  <c r="AU95" i="5"/>
  <c r="BN95" i="5" s="1"/>
  <c r="AV95" i="5"/>
  <c r="BC95" i="5" s="1"/>
  <c r="CG159" i="5"/>
  <c r="CF159" i="5"/>
  <c r="CK159" i="5"/>
  <c r="CE159" i="5"/>
  <c r="CC159" i="5"/>
  <c r="CD159" i="5"/>
  <c r="CA159" i="5"/>
  <c r="CI159" i="5"/>
  <c r="BY159" i="5"/>
  <c r="BW159" i="5"/>
  <c r="BV159" i="5"/>
  <c r="BU159" i="5"/>
  <c r="BT159" i="5"/>
  <c r="BS159" i="5"/>
  <c r="BR159" i="5"/>
  <c r="BQ159" i="5"/>
  <c r="BM159" i="5"/>
  <c r="BK159" i="5"/>
  <c r="BJ159" i="5"/>
  <c r="BI159" i="5"/>
  <c r="BE159" i="5"/>
  <c r="BD159" i="5"/>
  <c r="BH159" i="5"/>
  <c r="BG159" i="5"/>
  <c r="BA159" i="5"/>
  <c r="BP159" i="5" s="1"/>
  <c r="AZ159" i="5"/>
  <c r="AY159" i="5"/>
  <c r="BF159" i="5"/>
  <c r="AU159" i="5"/>
  <c r="BN159" i="5" s="1"/>
  <c r="AV159" i="5"/>
  <c r="BO159" i="5" s="1"/>
  <c r="CK24" i="5"/>
  <c r="CI24" i="5"/>
  <c r="CG24" i="5"/>
  <c r="CE24" i="5"/>
  <c r="CF24" i="5"/>
  <c r="CD24" i="5"/>
  <c r="CC24" i="5"/>
  <c r="CA24" i="5"/>
  <c r="BW24" i="5"/>
  <c r="BV24" i="5"/>
  <c r="BY24" i="5"/>
  <c r="BU24" i="5"/>
  <c r="BT24" i="5"/>
  <c r="BS24" i="5"/>
  <c r="BR24" i="5"/>
  <c r="BQ24" i="5"/>
  <c r="BM24" i="5"/>
  <c r="BK24" i="5"/>
  <c r="BJ24" i="5"/>
  <c r="BI24" i="5"/>
  <c r="BH24" i="5"/>
  <c r="BG24" i="5"/>
  <c r="BF24" i="5"/>
  <c r="BE24" i="5"/>
  <c r="BD24" i="5"/>
  <c r="BA24" i="5"/>
  <c r="BP24" i="5" s="1"/>
  <c r="AZ24" i="5"/>
  <c r="AY24" i="5"/>
  <c r="AU24" i="5"/>
  <c r="BN24" i="5" s="1"/>
  <c r="AV24" i="5"/>
  <c r="BO24" i="5" s="1"/>
  <c r="CK88" i="5"/>
  <c r="CJ88" i="5"/>
  <c r="CI88" i="5"/>
  <c r="CE88" i="5"/>
  <c r="CD88" i="5"/>
  <c r="CH88" i="5"/>
  <c r="CC88" i="5"/>
  <c r="CF88" i="5"/>
  <c r="CG88" i="5"/>
  <c r="BZ88" i="5"/>
  <c r="CA88" i="5"/>
  <c r="BY88" i="5"/>
  <c r="BW88" i="5"/>
  <c r="BV88" i="5"/>
  <c r="BX88" i="5"/>
  <c r="BU88" i="5"/>
  <c r="BT88" i="5"/>
  <c r="BS88" i="5"/>
  <c r="BR88" i="5"/>
  <c r="BQ88" i="5"/>
  <c r="BM88" i="5"/>
  <c r="BK88" i="5"/>
  <c r="BJ88" i="5"/>
  <c r="BI88" i="5"/>
  <c r="BL88" i="5"/>
  <c r="BH88" i="5"/>
  <c r="BG88" i="5"/>
  <c r="BF88" i="5"/>
  <c r="BE88" i="5"/>
  <c r="BD88" i="5"/>
  <c r="BA88" i="5"/>
  <c r="BP88" i="5" s="1"/>
  <c r="AZ88" i="5"/>
  <c r="AY88" i="5"/>
  <c r="AU88" i="5"/>
  <c r="BN88" i="5" s="1"/>
  <c r="AV88" i="5"/>
  <c r="BC88" i="5" s="1"/>
  <c r="CK152" i="5"/>
  <c r="CI152" i="5"/>
  <c r="CF152" i="5"/>
  <c r="CE152" i="5"/>
  <c r="CD152" i="5"/>
  <c r="CC152" i="5"/>
  <c r="CA152" i="5"/>
  <c r="CG152" i="5"/>
  <c r="BY152" i="5"/>
  <c r="BW152" i="5"/>
  <c r="BU152" i="5"/>
  <c r="BT152" i="5"/>
  <c r="BS152" i="5"/>
  <c r="BV152" i="5"/>
  <c r="BR152" i="5"/>
  <c r="BQ152" i="5"/>
  <c r="BM152" i="5"/>
  <c r="BK152" i="5"/>
  <c r="BJ152" i="5"/>
  <c r="BI152" i="5"/>
  <c r="BH152" i="5"/>
  <c r="BG152" i="5"/>
  <c r="BF152" i="5"/>
  <c r="BE152" i="5"/>
  <c r="BD152" i="5"/>
  <c r="AV152" i="5"/>
  <c r="BC152" i="5" s="1"/>
  <c r="BA152" i="5"/>
  <c r="BP152" i="5" s="1"/>
  <c r="AZ152" i="5"/>
  <c r="AY152" i="5"/>
  <c r="AU152" i="5"/>
  <c r="BN152" i="5" s="1"/>
  <c r="CK17" i="5"/>
  <c r="CI17" i="5"/>
  <c r="CE17" i="5"/>
  <c r="CD17" i="5"/>
  <c r="CC17" i="5"/>
  <c r="CA17" i="5"/>
  <c r="BY17" i="5"/>
  <c r="CG17" i="5"/>
  <c r="CF17" i="5"/>
  <c r="BW17" i="5"/>
  <c r="BV17" i="5"/>
  <c r="BU17" i="5"/>
  <c r="BT17" i="5"/>
  <c r="BS17" i="5"/>
  <c r="BR17" i="5"/>
  <c r="BM17" i="5"/>
  <c r="BQ17" i="5"/>
  <c r="BK17" i="5"/>
  <c r="BJ17" i="5"/>
  <c r="BI17" i="5"/>
  <c r="BH17" i="5"/>
  <c r="BG17" i="5"/>
  <c r="BF17" i="5"/>
  <c r="BE17" i="5"/>
  <c r="BD17" i="5"/>
  <c r="BA17" i="5"/>
  <c r="BP17" i="5" s="1"/>
  <c r="AZ17" i="5"/>
  <c r="AY17" i="5"/>
  <c r="AV17" i="5"/>
  <c r="BO17" i="5" s="1"/>
  <c r="AU17" i="5"/>
  <c r="BB17" i="5" s="1"/>
  <c r="CK81" i="5"/>
  <c r="CI81" i="5"/>
  <c r="CG81" i="5"/>
  <c r="CF81" i="5"/>
  <c r="CE81" i="5"/>
  <c r="CD81" i="5"/>
  <c r="CC81" i="5"/>
  <c r="CA81" i="5"/>
  <c r="BW81" i="5"/>
  <c r="BV81" i="5"/>
  <c r="BY81" i="5"/>
  <c r="BU81" i="5"/>
  <c r="BT81" i="5"/>
  <c r="BS81" i="5"/>
  <c r="BM81" i="5"/>
  <c r="BR81" i="5"/>
  <c r="BQ81" i="5"/>
  <c r="BK81" i="5"/>
  <c r="BJ81" i="5"/>
  <c r="BI81" i="5"/>
  <c r="BG81" i="5"/>
  <c r="BF81" i="5"/>
  <c r="BE81" i="5"/>
  <c r="BD81" i="5"/>
  <c r="BH81" i="5"/>
  <c r="BA81" i="5"/>
  <c r="BP81" i="5" s="1"/>
  <c r="AZ81" i="5"/>
  <c r="AY81" i="5"/>
  <c r="AV81" i="5"/>
  <c r="BO81" i="5" s="1"/>
  <c r="AU81" i="5"/>
  <c r="BN81" i="5" s="1"/>
  <c r="CK145" i="5"/>
  <c r="CI145" i="5"/>
  <c r="CG145" i="5"/>
  <c r="CE145" i="5"/>
  <c r="CD145" i="5"/>
  <c r="CC145" i="5"/>
  <c r="CF145" i="5"/>
  <c r="BY145" i="5"/>
  <c r="BW145" i="5"/>
  <c r="CA145" i="5"/>
  <c r="BV145" i="5"/>
  <c r="BU145" i="5"/>
  <c r="BT145" i="5"/>
  <c r="BS145" i="5"/>
  <c r="BM145" i="5"/>
  <c r="BR145" i="5"/>
  <c r="BQ145" i="5"/>
  <c r="BK145" i="5"/>
  <c r="BJ145" i="5"/>
  <c r="BI145" i="5"/>
  <c r="BH145" i="5"/>
  <c r="BG145" i="5"/>
  <c r="BF145" i="5"/>
  <c r="BE145" i="5"/>
  <c r="BD145" i="5"/>
  <c r="BA145" i="5"/>
  <c r="AZ145" i="5"/>
  <c r="AY145" i="5"/>
  <c r="AV145" i="5"/>
  <c r="AU145" i="5"/>
  <c r="CK10" i="5"/>
  <c r="CI10" i="5"/>
  <c r="CG10" i="5"/>
  <c r="CF10" i="5"/>
  <c r="CE10" i="5"/>
  <c r="CC10" i="5"/>
  <c r="CA10" i="5"/>
  <c r="BY10" i="5"/>
  <c r="CD10" i="5"/>
  <c r="BW10" i="5"/>
  <c r="BV10" i="5"/>
  <c r="BU10" i="5"/>
  <c r="BT10" i="5"/>
  <c r="BS10" i="5"/>
  <c r="BR10" i="5"/>
  <c r="BQ10" i="5"/>
  <c r="BM10" i="5"/>
  <c r="BK10" i="5"/>
  <c r="BJ10" i="5"/>
  <c r="BI10" i="5"/>
  <c r="BH10" i="5"/>
  <c r="BG10" i="5"/>
  <c r="BF10" i="5"/>
  <c r="BE10" i="5"/>
  <c r="BD10" i="5"/>
  <c r="AZ10" i="5"/>
  <c r="AY10" i="5"/>
  <c r="BA10" i="5"/>
  <c r="BP10" i="5" s="1"/>
  <c r="AU10" i="5"/>
  <c r="BN10" i="5" s="1"/>
  <c r="AV10" i="5"/>
  <c r="BC10" i="5" s="1"/>
  <c r="CJ74" i="5"/>
  <c r="CK74" i="5"/>
  <c r="CI74" i="5"/>
  <c r="CH74" i="5"/>
  <c r="CG74" i="5"/>
  <c r="CF74" i="5"/>
  <c r="CE74" i="5"/>
  <c r="CD74" i="5"/>
  <c r="CA74" i="5"/>
  <c r="CC74" i="5"/>
  <c r="BZ74" i="5"/>
  <c r="BY74" i="5"/>
  <c r="BX74" i="5"/>
  <c r="BW74" i="5"/>
  <c r="BV74" i="5"/>
  <c r="BU74" i="5"/>
  <c r="BT74" i="5"/>
  <c r="BS74" i="5"/>
  <c r="BR74" i="5"/>
  <c r="BQ74" i="5"/>
  <c r="BL74" i="5"/>
  <c r="BM74" i="5"/>
  <c r="BK74" i="5"/>
  <c r="BJ74" i="5"/>
  <c r="BI74" i="5"/>
  <c r="BH74" i="5"/>
  <c r="BG74" i="5"/>
  <c r="BF74" i="5"/>
  <c r="BE74" i="5"/>
  <c r="BD74" i="5"/>
  <c r="BA74" i="5"/>
  <c r="BP74" i="5" s="1"/>
  <c r="AZ74" i="5"/>
  <c r="AY74" i="5"/>
  <c r="AU74" i="5"/>
  <c r="BN74" i="5" s="1"/>
  <c r="AV74" i="5"/>
  <c r="BO74" i="5" s="1"/>
  <c r="CH138" i="5"/>
  <c r="CK138" i="5"/>
  <c r="CI138" i="5"/>
  <c r="CG138" i="5"/>
  <c r="CF138" i="5"/>
  <c r="CE138" i="5"/>
  <c r="CD138" i="5"/>
  <c r="CC138" i="5"/>
  <c r="CJ138" i="5"/>
  <c r="BZ138" i="5"/>
  <c r="CA138" i="5"/>
  <c r="BX138" i="5"/>
  <c r="BW138" i="5"/>
  <c r="BY138" i="5"/>
  <c r="BU138" i="5"/>
  <c r="BT138" i="5"/>
  <c r="BS138" i="5"/>
  <c r="BV138" i="5"/>
  <c r="BR138" i="5"/>
  <c r="BQ138" i="5"/>
  <c r="BL138" i="5"/>
  <c r="BM138" i="5"/>
  <c r="BK138" i="5"/>
  <c r="BJ138" i="5"/>
  <c r="BI138" i="5"/>
  <c r="BH138" i="5"/>
  <c r="BG138" i="5"/>
  <c r="BF138" i="5"/>
  <c r="BE138" i="5"/>
  <c r="BD138" i="5"/>
  <c r="BA138" i="5"/>
  <c r="BP138" i="5" s="1"/>
  <c r="AZ138" i="5"/>
  <c r="AY138" i="5"/>
  <c r="AV138" i="5"/>
  <c r="BO138" i="5" s="1"/>
  <c r="AU138" i="5"/>
  <c r="BN138" i="5" s="1"/>
  <c r="AT204" i="5"/>
  <c r="AT205" i="5" s="1"/>
  <c r="CK2" i="5"/>
  <c r="AS204" i="5"/>
  <c r="AS205" i="5" s="1"/>
  <c r="CJ2" i="5"/>
  <c r="CH2" i="5"/>
  <c r="CG2" i="5"/>
  <c r="CF2" i="5"/>
  <c r="CI2" i="5"/>
  <c r="CE2" i="5"/>
  <c r="CD2" i="5"/>
  <c r="CC2" i="5"/>
  <c r="BZ2" i="5"/>
  <c r="CA2" i="5"/>
  <c r="BY2" i="5"/>
  <c r="BX2" i="5"/>
  <c r="BW2" i="5"/>
  <c r="BV2" i="5"/>
  <c r="BU2" i="5"/>
  <c r="BT2" i="5"/>
  <c r="BS2" i="5"/>
  <c r="BR2" i="5"/>
  <c r="BQ2" i="5"/>
  <c r="BM2" i="5"/>
  <c r="BL2" i="5"/>
  <c r="BK2" i="5"/>
  <c r="BJ2" i="5"/>
  <c r="BI2" i="5"/>
  <c r="BH2" i="5"/>
  <c r="BG2" i="5"/>
  <c r="BF2" i="5"/>
  <c r="BE2" i="5"/>
  <c r="BD2" i="5"/>
  <c r="BA2" i="5"/>
  <c r="BP2" i="5" s="1"/>
  <c r="AZ2" i="5"/>
  <c r="AY2" i="5"/>
  <c r="AU2" i="5"/>
  <c r="BN2" i="5" s="1"/>
  <c r="AV2" i="5"/>
  <c r="BC2" i="5" s="1"/>
  <c r="CJ59" i="5"/>
  <c r="CK59" i="5"/>
  <c r="CI59" i="5"/>
  <c r="CH59" i="5"/>
  <c r="CG59" i="5"/>
  <c r="CF59" i="5"/>
  <c r="CE59" i="5"/>
  <c r="CA59" i="5"/>
  <c r="CC59" i="5"/>
  <c r="CD59" i="5"/>
  <c r="BZ59" i="5"/>
  <c r="BX59" i="5"/>
  <c r="BY59" i="5"/>
  <c r="BW59" i="5"/>
  <c r="BV59" i="5"/>
  <c r="BU59" i="5"/>
  <c r="BT59" i="5"/>
  <c r="BS59" i="5"/>
  <c r="BR59" i="5"/>
  <c r="BQ59" i="5"/>
  <c r="BK59" i="5"/>
  <c r="BJ59" i="5"/>
  <c r="BI59" i="5"/>
  <c r="BH59" i="5"/>
  <c r="BL59" i="5"/>
  <c r="BM59" i="5"/>
  <c r="BG59" i="5"/>
  <c r="BF59" i="5"/>
  <c r="BE59" i="5"/>
  <c r="BD59" i="5"/>
  <c r="AZ59" i="5"/>
  <c r="AY59" i="5"/>
  <c r="BA59" i="5"/>
  <c r="BP59" i="5" s="1"/>
  <c r="AU59" i="5"/>
  <c r="BN59" i="5" s="1"/>
  <c r="AV59" i="5"/>
  <c r="BC59" i="5" s="1"/>
  <c r="CK123" i="5"/>
  <c r="CI123" i="5"/>
  <c r="CG123" i="5"/>
  <c r="CE123" i="5"/>
  <c r="CC123" i="5"/>
  <c r="CA123" i="5"/>
  <c r="CF123" i="5"/>
  <c r="BY123" i="5"/>
  <c r="BW123" i="5"/>
  <c r="BV123" i="5"/>
  <c r="CD123" i="5"/>
  <c r="BU123" i="5"/>
  <c r="BT123" i="5"/>
  <c r="BS123" i="5"/>
  <c r="BR123" i="5"/>
  <c r="BQ123" i="5"/>
  <c r="BK123" i="5"/>
  <c r="BJ123" i="5"/>
  <c r="BI123" i="5"/>
  <c r="BM123" i="5"/>
  <c r="BG123" i="5"/>
  <c r="BF123" i="5"/>
  <c r="BE123" i="5"/>
  <c r="BD123" i="5"/>
  <c r="BH123" i="5"/>
  <c r="BA123" i="5"/>
  <c r="BP123" i="5" s="1"/>
  <c r="AZ123" i="5"/>
  <c r="AY123" i="5"/>
  <c r="AV123" i="5"/>
  <c r="BC123" i="5" s="1"/>
  <c r="AU123" i="5"/>
  <c r="BB123" i="5" s="1"/>
  <c r="CK187" i="5"/>
  <c r="CI187" i="5"/>
  <c r="CG187" i="5"/>
  <c r="CE187" i="5"/>
  <c r="CD187" i="5"/>
  <c r="CA187" i="5"/>
  <c r="CF187" i="5"/>
  <c r="CC187" i="5"/>
  <c r="BY187" i="5"/>
  <c r="BW187" i="5"/>
  <c r="BU187" i="5"/>
  <c r="BT187" i="5"/>
  <c r="BS187" i="5"/>
  <c r="BV187" i="5"/>
  <c r="BR187" i="5"/>
  <c r="BQ187" i="5"/>
  <c r="BK187" i="5"/>
  <c r="BJ187" i="5"/>
  <c r="BI187" i="5"/>
  <c r="BM187" i="5"/>
  <c r="BH187" i="5"/>
  <c r="BG187" i="5"/>
  <c r="BF187" i="5"/>
  <c r="BE187" i="5"/>
  <c r="BD187" i="5"/>
  <c r="BA187" i="5"/>
  <c r="BP187" i="5" s="1"/>
  <c r="AZ187" i="5"/>
  <c r="AY187" i="5"/>
  <c r="AV187" i="5"/>
  <c r="BO187" i="5" s="1"/>
  <c r="AU187" i="5"/>
  <c r="BB187" i="5" s="1"/>
  <c r="CK52" i="5"/>
  <c r="CI52" i="5"/>
  <c r="CF52" i="5"/>
  <c r="CD52" i="5"/>
  <c r="CG52" i="5"/>
  <c r="CE52" i="5"/>
  <c r="CC52" i="5"/>
  <c r="CA52" i="5"/>
  <c r="BY52" i="5"/>
  <c r="BW52" i="5"/>
  <c r="BV52" i="5"/>
  <c r="BU52" i="5"/>
  <c r="BT52" i="5"/>
  <c r="BS52" i="5"/>
  <c r="BR52" i="5"/>
  <c r="BQ52" i="5"/>
  <c r="BK52" i="5"/>
  <c r="BJ52" i="5"/>
  <c r="BI52" i="5"/>
  <c r="BH52" i="5"/>
  <c r="BM52" i="5"/>
  <c r="BG52" i="5"/>
  <c r="BF52" i="5"/>
  <c r="BE52" i="5"/>
  <c r="BD52" i="5"/>
  <c r="AZ52" i="5"/>
  <c r="AY52" i="5"/>
  <c r="BA52" i="5"/>
  <c r="BP52" i="5" s="1"/>
  <c r="AU52" i="5"/>
  <c r="BB52" i="5" s="1"/>
  <c r="AV52" i="5"/>
  <c r="BO52" i="5" s="1"/>
  <c r="CK116" i="5"/>
  <c r="CJ116" i="5"/>
  <c r="CI116" i="5"/>
  <c r="CH116" i="5"/>
  <c r="CF116" i="5"/>
  <c r="CD116" i="5"/>
  <c r="CA116" i="5"/>
  <c r="BZ116" i="5"/>
  <c r="CG116" i="5"/>
  <c r="CE116" i="5"/>
  <c r="CC116" i="5"/>
  <c r="BY116" i="5"/>
  <c r="BX116" i="5"/>
  <c r="BW116" i="5"/>
  <c r="BV116" i="5"/>
  <c r="BU116" i="5"/>
  <c r="BT116" i="5"/>
  <c r="BS116" i="5"/>
  <c r="BR116" i="5"/>
  <c r="BQ116" i="5"/>
  <c r="BK116" i="5"/>
  <c r="BJ116" i="5"/>
  <c r="BI116" i="5"/>
  <c r="BH116" i="5"/>
  <c r="BM116" i="5"/>
  <c r="BL116" i="5"/>
  <c r="BG116" i="5"/>
  <c r="BF116" i="5"/>
  <c r="BE116" i="5"/>
  <c r="BD116" i="5"/>
  <c r="BA116" i="5"/>
  <c r="BP116" i="5" s="1"/>
  <c r="AZ116" i="5"/>
  <c r="AY116" i="5"/>
  <c r="AU116" i="5"/>
  <c r="BB116" i="5" s="1"/>
  <c r="AV116" i="5"/>
  <c r="BC116" i="5" s="1"/>
  <c r="CK180" i="5"/>
  <c r="CI180" i="5"/>
  <c r="CF180" i="5"/>
  <c r="CG180" i="5"/>
  <c r="CA180" i="5"/>
  <c r="CE180" i="5"/>
  <c r="CC180" i="5"/>
  <c r="CD180" i="5"/>
  <c r="BY180" i="5"/>
  <c r="BW180" i="5"/>
  <c r="BV180" i="5"/>
  <c r="BU180" i="5"/>
  <c r="BT180" i="5"/>
  <c r="BS180" i="5"/>
  <c r="BR180" i="5"/>
  <c r="BQ180" i="5"/>
  <c r="BK180" i="5"/>
  <c r="BJ180" i="5"/>
  <c r="BI180" i="5"/>
  <c r="BM180" i="5"/>
  <c r="BH180" i="5"/>
  <c r="BG180" i="5"/>
  <c r="BF180" i="5"/>
  <c r="BE180" i="5"/>
  <c r="BD180" i="5"/>
  <c r="BA180" i="5"/>
  <c r="BP180" i="5" s="1"/>
  <c r="AZ180" i="5"/>
  <c r="AY180" i="5"/>
  <c r="AU180" i="5"/>
  <c r="BB180" i="5" s="1"/>
  <c r="AV180" i="5"/>
  <c r="BC180" i="5" s="1"/>
  <c r="CJ77" i="5"/>
  <c r="CK77" i="5"/>
  <c r="CG77" i="5"/>
  <c r="CI77" i="5"/>
  <c r="CF77" i="5"/>
  <c r="CH77" i="5"/>
  <c r="CE77" i="5"/>
  <c r="CD77" i="5"/>
  <c r="BZ77" i="5"/>
  <c r="CA77" i="5"/>
  <c r="BY77" i="5"/>
  <c r="CC77" i="5"/>
  <c r="BW77" i="5"/>
  <c r="BV77" i="5"/>
  <c r="BX77" i="5"/>
  <c r="BU77" i="5"/>
  <c r="BT77" i="5"/>
  <c r="BS77" i="5"/>
  <c r="BR77" i="5"/>
  <c r="BQ77" i="5"/>
  <c r="BM77" i="5"/>
  <c r="BK77" i="5"/>
  <c r="BJ77" i="5"/>
  <c r="BI77" i="5"/>
  <c r="BH77" i="5"/>
  <c r="BL77" i="5"/>
  <c r="BG77" i="5"/>
  <c r="BF77" i="5"/>
  <c r="BE77" i="5"/>
  <c r="BD77" i="5"/>
  <c r="BA77" i="5"/>
  <c r="BP77" i="5" s="1"/>
  <c r="AZ77" i="5"/>
  <c r="AY77" i="5"/>
  <c r="AU77" i="5"/>
  <c r="BN77" i="5" s="1"/>
  <c r="AV77" i="5"/>
  <c r="BO77" i="5" s="1"/>
  <c r="I11" i="12"/>
  <c r="I39" i="12" s="1"/>
  <c r="AB39" i="12" s="1"/>
  <c r="G5" i="10"/>
  <c r="CK53" i="5"/>
  <c r="CG53" i="5"/>
  <c r="CI53" i="5"/>
  <c r="CF53" i="5"/>
  <c r="CC53" i="5"/>
  <c r="CA53" i="5"/>
  <c r="BY53" i="5"/>
  <c r="CD53" i="5"/>
  <c r="BW53" i="5"/>
  <c r="BV53" i="5"/>
  <c r="CE53" i="5"/>
  <c r="BU53" i="5"/>
  <c r="BT53" i="5"/>
  <c r="BS53" i="5"/>
  <c r="BR53" i="5"/>
  <c r="BQ53" i="5"/>
  <c r="BM53" i="5"/>
  <c r="BK53" i="5"/>
  <c r="BJ53" i="5"/>
  <c r="BI53" i="5"/>
  <c r="BH53" i="5"/>
  <c r="BG53" i="5"/>
  <c r="BF53" i="5"/>
  <c r="BE53" i="5"/>
  <c r="BD53" i="5"/>
  <c r="BA53" i="5"/>
  <c r="BP53" i="5" s="1"/>
  <c r="AZ53" i="5"/>
  <c r="AY53" i="5"/>
  <c r="AU53" i="5"/>
  <c r="BN53" i="5" s="1"/>
  <c r="AV53" i="5"/>
  <c r="BO53" i="5" s="1"/>
  <c r="CK117" i="5"/>
  <c r="CG117" i="5"/>
  <c r="CI117" i="5"/>
  <c r="CF117" i="5"/>
  <c r="CC117" i="5"/>
  <c r="CA117" i="5"/>
  <c r="CD117" i="5"/>
  <c r="CE117" i="5"/>
  <c r="BW117" i="5"/>
  <c r="BV117" i="5"/>
  <c r="BY117" i="5"/>
  <c r="BU117" i="5"/>
  <c r="BT117" i="5"/>
  <c r="BS117" i="5"/>
  <c r="BR117" i="5"/>
  <c r="BQ117" i="5"/>
  <c r="BM117" i="5"/>
  <c r="BK117" i="5"/>
  <c r="BJ117" i="5"/>
  <c r="BI117" i="5"/>
  <c r="BH117" i="5"/>
  <c r="BG117" i="5"/>
  <c r="BF117" i="5"/>
  <c r="BE117" i="5"/>
  <c r="BD117" i="5"/>
  <c r="BA117" i="5"/>
  <c r="AZ117" i="5"/>
  <c r="AY117" i="5"/>
  <c r="AU117" i="5"/>
  <c r="AV117" i="5"/>
  <c r="CK181" i="5"/>
  <c r="CG181" i="5"/>
  <c r="CI181" i="5"/>
  <c r="CF181" i="5"/>
  <c r="CD181" i="5"/>
  <c r="CA181" i="5"/>
  <c r="BW181" i="5"/>
  <c r="CE181" i="5"/>
  <c r="BY181" i="5"/>
  <c r="CC181" i="5"/>
  <c r="BV181" i="5"/>
  <c r="BU181" i="5"/>
  <c r="BT181" i="5"/>
  <c r="BS181" i="5"/>
  <c r="BR181" i="5"/>
  <c r="BQ181" i="5"/>
  <c r="BM181" i="5"/>
  <c r="BK181" i="5"/>
  <c r="BJ181" i="5"/>
  <c r="BI181" i="5"/>
  <c r="BH181" i="5"/>
  <c r="BG181" i="5"/>
  <c r="BF181" i="5"/>
  <c r="BE181" i="5"/>
  <c r="BD181" i="5"/>
  <c r="BA181" i="5"/>
  <c r="BP181" i="5" s="1"/>
  <c r="AZ181" i="5"/>
  <c r="AY181" i="5"/>
  <c r="AU181" i="5"/>
  <c r="BN181" i="5" s="1"/>
  <c r="AV181" i="5"/>
  <c r="BC181" i="5" s="1"/>
  <c r="CI46" i="5"/>
  <c r="CG46" i="5"/>
  <c r="CF46" i="5"/>
  <c r="CE46" i="5"/>
  <c r="CD46" i="5"/>
  <c r="CA46" i="5"/>
  <c r="BY46" i="5"/>
  <c r="CC46" i="5"/>
  <c r="CK46" i="5"/>
  <c r="BW46" i="5"/>
  <c r="BV46" i="5"/>
  <c r="BU46" i="5"/>
  <c r="BT46" i="5"/>
  <c r="BS46" i="5"/>
  <c r="BQ46" i="5"/>
  <c r="BR46" i="5"/>
  <c r="BM46" i="5"/>
  <c r="BK46" i="5"/>
  <c r="BJ46" i="5"/>
  <c r="BI46" i="5"/>
  <c r="BH46" i="5"/>
  <c r="BG46" i="5"/>
  <c r="BF46" i="5"/>
  <c r="BE46" i="5"/>
  <c r="BD46" i="5"/>
  <c r="BA46" i="5"/>
  <c r="BP46" i="5" s="1"/>
  <c r="AZ46" i="5"/>
  <c r="AY46" i="5"/>
  <c r="AU46" i="5"/>
  <c r="BN46" i="5" s="1"/>
  <c r="AV46" i="5"/>
  <c r="BO46" i="5" s="1"/>
  <c r="CI110" i="5"/>
  <c r="CG110" i="5"/>
  <c r="CF110" i="5"/>
  <c r="CJ110" i="5"/>
  <c r="CE110" i="5"/>
  <c r="CK110" i="5"/>
  <c r="CH110" i="5"/>
  <c r="CD110" i="5"/>
  <c r="CA110" i="5"/>
  <c r="BZ110" i="5"/>
  <c r="BY110" i="5"/>
  <c r="CC110" i="5"/>
  <c r="BW110" i="5"/>
  <c r="BV110" i="5"/>
  <c r="BX110" i="5"/>
  <c r="BU110" i="5"/>
  <c r="BT110" i="5"/>
  <c r="BS110" i="5"/>
  <c r="BR110" i="5"/>
  <c r="BQ110" i="5"/>
  <c r="BM110" i="5"/>
  <c r="BL110" i="5"/>
  <c r="BK110" i="5"/>
  <c r="BJ110" i="5"/>
  <c r="BI110" i="5"/>
  <c r="BH110" i="5"/>
  <c r="BG110" i="5"/>
  <c r="BF110" i="5"/>
  <c r="BE110" i="5"/>
  <c r="BD110" i="5"/>
  <c r="BA110" i="5"/>
  <c r="BP110" i="5" s="1"/>
  <c r="AZ110" i="5"/>
  <c r="AY110" i="5"/>
  <c r="AV110" i="5"/>
  <c r="BO110" i="5" s="1"/>
  <c r="AU110" i="5"/>
  <c r="BN110" i="5" s="1"/>
  <c r="CI174" i="5"/>
  <c r="CG174" i="5"/>
  <c r="CE174" i="5"/>
  <c r="CF174" i="5"/>
  <c r="CK174" i="5"/>
  <c r="CD174" i="5"/>
  <c r="CC174" i="5"/>
  <c r="CA174" i="5"/>
  <c r="BW174" i="5"/>
  <c r="BV174" i="5"/>
  <c r="BY174" i="5"/>
  <c r="BU174" i="5"/>
  <c r="BT174" i="5"/>
  <c r="BS174" i="5"/>
  <c r="BR174" i="5"/>
  <c r="BQ174" i="5"/>
  <c r="BM174" i="5"/>
  <c r="BK174" i="5"/>
  <c r="BJ174" i="5"/>
  <c r="BI174" i="5"/>
  <c r="BH174" i="5"/>
  <c r="BG174" i="5"/>
  <c r="BF174" i="5"/>
  <c r="BE174" i="5"/>
  <c r="BD174" i="5"/>
  <c r="BA174" i="5"/>
  <c r="BP174" i="5" s="1"/>
  <c r="AZ174" i="5"/>
  <c r="AY174" i="5"/>
  <c r="AV174" i="5"/>
  <c r="BO174" i="5" s="1"/>
  <c r="AU174" i="5"/>
  <c r="BB174" i="5" s="1"/>
  <c r="CG39" i="5"/>
  <c r="CF39" i="5"/>
  <c r="CE39" i="5"/>
  <c r="CK39" i="5"/>
  <c r="CI39" i="5"/>
  <c r="CD39" i="5"/>
  <c r="CC39" i="5"/>
  <c r="BW39" i="5"/>
  <c r="BV39" i="5"/>
  <c r="CA39" i="5"/>
  <c r="BY39" i="5"/>
  <c r="BU39" i="5"/>
  <c r="BT39" i="5"/>
  <c r="BS39" i="5"/>
  <c r="BQ39" i="5"/>
  <c r="BR39" i="5"/>
  <c r="BM39" i="5"/>
  <c r="BK39" i="5"/>
  <c r="BJ39" i="5"/>
  <c r="BI39" i="5"/>
  <c r="BH39" i="5"/>
  <c r="BF39" i="5"/>
  <c r="BE39" i="5"/>
  <c r="BD39" i="5"/>
  <c r="BA39" i="5"/>
  <c r="BP39" i="5" s="1"/>
  <c r="AZ39" i="5"/>
  <c r="AY39" i="5"/>
  <c r="BG39" i="5"/>
  <c r="AU39" i="5"/>
  <c r="BN39" i="5" s="1"/>
  <c r="AV39" i="5"/>
  <c r="BO39" i="5" s="1"/>
  <c r="CH103" i="5"/>
  <c r="CI103" i="5"/>
  <c r="CG103" i="5"/>
  <c r="CF103" i="5"/>
  <c r="CJ103" i="5"/>
  <c r="CK103" i="5"/>
  <c r="CE103" i="5"/>
  <c r="CD103" i="5"/>
  <c r="CC103" i="5"/>
  <c r="BZ103" i="5"/>
  <c r="BX103" i="5"/>
  <c r="CA103" i="5"/>
  <c r="BW103" i="5"/>
  <c r="BV103" i="5"/>
  <c r="BY103" i="5"/>
  <c r="BU103" i="5"/>
  <c r="BT103" i="5"/>
  <c r="BS103" i="5"/>
  <c r="BR103" i="5"/>
  <c r="BQ103" i="5"/>
  <c r="BM103" i="5"/>
  <c r="BL103" i="5"/>
  <c r="BK103" i="5"/>
  <c r="BJ103" i="5"/>
  <c r="BI103" i="5"/>
  <c r="BH103" i="5"/>
  <c r="BF103" i="5"/>
  <c r="BE103" i="5"/>
  <c r="BD103" i="5"/>
  <c r="BA103" i="5"/>
  <c r="BP103" i="5" s="1"/>
  <c r="AZ103" i="5"/>
  <c r="AY103" i="5"/>
  <c r="BG103" i="5"/>
  <c r="AU103" i="5"/>
  <c r="BN103" i="5" s="1"/>
  <c r="AV103" i="5"/>
  <c r="BC103" i="5" s="1"/>
  <c r="CI167" i="5"/>
  <c r="CG167" i="5"/>
  <c r="CF167" i="5"/>
  <c r="CK167" i="5"/>
  <c r="CE167" i="5"/>
  <c r="CA167" i="5"/>
  <c r="CD167" i="5"/>
  <c r="BY167" i="5"/>
  <c r="BW167" i="5"/>
  <c r="BV167" i="5"/>
  <c r="CC167" i="5"/>
  <c r="BU167" i="5"/>
  <c r="BT167" i="5"/>
  <c r="BS167" i="5"/>
  <c r="BR167" i="5"/>
  <c r="BQ167" i="5"/>
  <c r="BM167" i="5"/>
  <c r="BK167" i="5"/>
  <c r="BJ167" i="5"/>
  <c r="BI167" i="5"/>
  <c r="BF167" i="5"/>
  <c r="BE167" i="5"/>
  <c r="BD167" i="5"/>
  <c r="BH167" i="5"/>
  <c r="BA167" i="5"/>
  <c r="BP167" i="5" s="1"/>
  <c r="AZ167" i="5"/>
  <c r="AY167" i="5"/>
  <c r="BG167" i="5"/>
  <c r="AU167" i="5"/>
  <c r="BN167" i="5" s="1"/>
  <c r="AV167" i="5"/>
  <c r="BC167" i="5" s="1"/>
  <c r="CK32" i="5"/>
  <c r="CI32" i="5"/>
  <c r="CG32" i="5"/>
  <c r="CD32" i="5"/>
  <c r="CC32" i="5"/>
  <c r="CF32" i="5"/>
  <c r="CE32" i="5"/>
  <c r="CA32" i="5"/>
  <c r="BY32" i="5"/>
  <c r="BW32" i="5"/>
  <c r="BV32" i="5"/>
  <c r="BU32" i="5"/>
  <c r="BT32" i="5"/>
  <c r="BS32" i="5"/>
  <c r="BR32" i="5"/>
  <c r="BQ32" i="5"/>
  <c r="BM32" i="5"/>
  <c r="BK32" i="5"/>
  <c r="BJ32" i="5"/>
  <c r="BI32" i="5"/>
  <c r="BH32" i="5"/>
  <c r="BG32" i="5"/>
  <c r="BF32" i="5"/>
  <c r="BE32" i="5"/>
  <c r="BD32" i="5"/>
  <c r="BA32" i="5"/>
  <c r="BP32" i="5" s="1"/>
  <c r="AZ32" i="5"/>
  <c r="AY32" i="5"/>
  <c r="AU32" i="5"/>
  <c r="BN32" i="5" s="1"/>
  <c r="AV32" i="5"/>
  <c r="BC32" i="5" s="1"/>
  <c r="CK96" i="5"/>
  <c r="CJ96" i="5"/>
  <c r="CH96" i="5"/>
  <c r="CG96" i="5"/>
  <c r="CE96" i="5"/>
  <c r="CD96" i="5"/>
  <c r="CC96" i="5"/>
  <c r="CI96" i="5"/>
  <c r="CA96" i="5"/>
  <c r="CF96" i="5"/>
  <c r="BZ96" i="5"/>
  <c r="BY96" i="5"/>
  <c r="BX96" i="5"/>
  <c r="BW96" i="5"/>
  <c r="BV96" i="5"/>
  <c r="BU96" i="5"/>
  <c r="BT96" i="5"/>
  <c r="BS96" i="5"/>
  <c r="BR96" i="5"/>
  <c r="BQ96" i="5"/>
  <c r="BM96" i="5"/>
  <c r="BL96" i="5"/>
  <c r="BK96" i="5"/>
  <c r="BJ96" i="5"/>
  <c r="BI96" i="5"/>
  <c r="BH96" i="5"/>
  <c r="BG96" i="5"/>
  <c r="BF96" i="5"/>
  <c r="BE96" i="5"/>
  <c r="BD96" i="5"/>
  <c r="AV96" i="5"/>
  <c r="BC96" i="5" s="1"/>
  <c r="BA96" i="5"/>
  <c r="BP96" i="5" s="1"/>
  <c r="AZ96" i="5"/>
  <c r="AY96" i="5"/>
  <c r="AU96" i="5"/>
  <c r="BN96" i="5" s="1"/>
  <c r="CK160" i="5"/>
  <c r="CF160" i="5"/>
  <c r="CG160" i="5"/>
  <c r="CE160" i="5"/>
  <c r="CD160" i="5"/>
  <c r="CC160" i="5"/>
  <c r="CA160" i="5"/>
  <c r="BY160" i="5"/>
  <c r="BW160" i="5"/>
  <c r="CI160" i="5"/>
  <c r="BU160" i="5"/>
  <c r="BT160" i="5"/>
  <c r="BS160" i="5"/>
  <c r="BV160" i="5"/>
  <c r="BR160" i="5"/>
  <c r="BQ160" i="5"/>
  <c r="BM160" i="5"/>
  <c r="BK160" i="5"/>
  <c r="BJ160" i="5"/>
  <c r="BI160" i="5"/>
  <c r="BH160" i="5"/>
  <c r="BG160" i="5"/>
  <c r="BF160" i="5"/>
  <c r="BE160" i="5"/>
  <c r="BD160" i="5"/>
  <c r="AV160" i="5"/>
  <c r="BO160" i="5" s="1"/>
  <c r="BA160" i="5"/>
  <c r="BP160" i="5" s="1"/>
  <c r="AZ160" i="5"/>
  <c r="AY160" i="5"/>
  <c r="AU160" i="5"/>
  <c r="BN160" i="5" s="1"/>
  <c r="CJ25" i="5"/>
  <c r="CK25" i="5"/>
  <c r="CI25" i="5"/>
  <c r="CH25" i="5"/>
  <c r="CE25" i="5"/>
  <c r="CF25" i="5"/>
  <c r="CD25" i="5"/>
  <c r="CG25" i="5"/>
  <c r="CC25" i="5"/>
  <c r="CA25" i="5"/>
  <c r="BY25" i="5"/>
  <c r="BZ25" i="5"/>
  <c r="BX25" i="5"/>
  <c r="BW25" i="5"/>
  <c r="BV25" i="5"/>
  <c r="BU25" i="5"/>
  <c r="BT25" i="5"/>
  <c r="BS25" i="5"/>
  <c r="BR25" i="5"/>
  <c r="BL25" i="5"/>
  <c r="BM25" i="5"/>
  <c r="BK25" i="5"/>
  <c r="BJ25" i="5"/>
  <c r="BI25" i="5"/>
  <c r="BH25" i="5"/>
  <c r="BQ25" i="5"/>
  <c r="BG25" i="5"/>
  <c r="BF25" i="5"/>
  <c r="BE25" i="5"/>
  <c r="BD25" i="5"/>
  <c r="BA25" i="5"/>
  <c r="BP25" i="5" s="1"/>
  <c r="AZ25" i="5"/>
  <c r="AY25" i="5"/>
  <c r="AV25" i="5"/>
  <c r="BC25" i="5" s="1"/>
  <c r="AU25" i="5"/>
  <c r="BN25" i="5" s="1"/>
  <c r="CK89" i="5"/>
  <c r="CI89" i="5"/>
  <c r="CF89" i="5"/>
  <c r="CE89" i="5"/>
  <c r="CD89" i="5"/>
  <c r="CC89" i="5"/>
  <c r="CG89" i="5"/>
  <c r="CA89" i="5"/>
  <c r="BY89" i="5"/>
  <c r="BW89" i="5"/>
  <c r="BV89" i="5"/>
  <c r="BU89" i="5"/>
  <c r="BT89" i="5"/>
  <c r="BS89" i="5"/>
  <c r="BM89" i="5"/>
  <c r="BR89" i="5"/>
  <c r="BK89" i="5"/>
  <c r="BJ89" i="5"/>
  <c r="BI89" i="5"/>
  <c r="BQ89" i="5"/>
  <c r="BG89" i="5"/>
  <c r="BF89" i="5"/>
  <c r="BE89" i="5"/>
  <c r="BD89" i="5"/>
  <c r="BA89" i="5"/>
  <c r="BP89" i="5" s="1"/>
  <c r="AZ89" i="5"/>
  <c r="AY89" i="5"/>
  <c r="AV89" i="5"/>
  <c r="BC89" i="5" s="1"/>
  <c r="AU89" i="5"/>
  <c r="BN89" i="5" s="1"/>
  <c r="BH89" i="5"/>
  <c r="CK153" i="5"/>
  <c r="CI153" i="5"/>
  <c r="CF153" i="5"/>
  <c r="CE153" i="5"/>
  <c r="CC153" i="5"/>
  <c r="CG153" i="5"/>
  <c r="CD153" i="5"/>
  <c r="CA153" i="5"/>
  <c r="BY153" i="5"/>
  <c r="BW153" i="5"/>
  <c r="BU153" i="5"/>
  <c r="BT153" i="5"/>
  <c r="BS153" i="5"/>
  <c r="BV153" i="5"/>
  <c r="BM153" i="5"/>
  <c r="BR153" i="5"/>
  <c r="BK153" i="5"/>
  <c r="BJ153" i="5"/>
  <c r="BI153" i="5"/>
  <c r="BQ153" i="5"/>
  <c r="BH153" i="5"/>
  <c r="BG153" i="5"/>
  <c r="BF153" i="5"/>
  <c r="BE153" i="5"/>
  <c r="BD153" i="5"/>
  <c r="BA153" i="5"/>
  <c r="BP153" i="5" s="1"/>
  <c r="AZ153" i="5"/>
  <c r="AY153" i="5"/>
  <c r="AV153" i="5"/>
  <c r="BO153" i="5" s="1"/>
  <c r="AU153" i="5"/>
  <c r="BB153" i="5" s="1"/>
  <c r="CK18" i="5"/>
  <c r="CJ18" i="5"/>
  <c r="CI18" i="5"/>
  <c r="CG18" i="5"/>
  <c r="CF18" i="5"/>
  <c r="CE18" i="5"/>
  <c r="CD18" i="5"/>
  <c r="CH18" i="5"/>
  <c r="CC18" i="5"/>
  <c r="CA18" i="5"/>
  <c r="BZ18" i="5"/>
  <c r="BY18" i="5"/>
  <c r="BX18" i="5"/>
  <c r="BW18" i="5"/>
  <c r="BV18" i="5"/>
  <c r="BU18" i="5"/>
  <c r="BT18" i="5"/>
  <c r="BS18" i="5"/>
  <c r="BQ18" i="5"/>
  <c r="BR18" i="5"/>
  <c r="BM18" i="5"/>
  <c r="BL18" i="5"/>
  <c r="BK18" i="5"/>
  <c r="BJ18" i="5"/>
  <c r="BI18" i="5"/>
  <c r="BH18" i="5"/>
  <c r="BG18" i="5"/>
  <c r="BF18" i="5"/>
  <c r="BE18" i="5"/>
  <c r="BD18" i="5"/>
  <c r="AZ18" i="5"/>
  <c r="AY18" i="5"/>
  <c r="BA18" i="5"/>
  <c r="BP18" i="5" s="1"/>
  <c r="AV18" i="5"/>
  <c r="BO18" i="5" s="1"/>
  <c r="AU18" i="5"/>
  <c r="BB18" i="5" s="1"/>
  <c r="CK82" i="5"/>
  <c r="CI82" i="5"/>
  <c r="CH82" i="5"/>
  <c r="CG82" i="5"/>
  <c r="CF82" i="5"/>
  <c r="CJ82" i="5"/>
  <c r="CA82" i="5"/>
  <c r="CC82" i="5"/>
  <c r="CD82" i="5"/>
  <c r="CE82" i="5"/>
  <c r="BZ82" i="5"/>
  <c r="BW82" i="5"/>
  <c r="BV82" i="5"/>
  <c r="BY82" i="5"/>
  <c r="BX82" i="5"/>
  <c r="BU82" i="5"/>
  <c r="BT82" i="5"/>
  <c r="BS82" i="5"/>
  <c r="BR82" i="5"/>
  <c r="BQ82" i="5"/>
  <c r="BL82" i="5"/>
  <c r="BM82" i="5"/>
  <c r="BK82" i="5"/>
  <c r="BJ82" i="5"/>
  <c r="BI82" i="5"/>
  <c r="BH82" i="5"/>
  <c r="BG82" i="5"/>
  <c r="BF82" i="5"/>
  <c r="BE82" i="5"/>
  <c r="BD82" i="5"/>
  <c r="BA82" i="5"/>
  <c r="BP82" i="5" s="1"/>
  <c r="AZ82" i="5"/>
  <c r="AY82" i="5"/>
  <c r="AV82" i="5"/>
  <c r="BO82" i="5" s="1"/>
  <c r="AU82" i="5"/>
  <c r="BN82" i="5" s="1"/>
  <c r="CK146" i="5"/>
  <c r="CI146" i="5"/>
  <c r="CG146" i="5"/>
  <c r="CF146" i="5"/>
  <c r="CD146" i="5"/>
  <c r="CC146" i="5"/>
  <c r="CE146" i="5"/>
  <c r="CA146" i="5"/>
  <c r="BY146" i="5"/>
  <c r="BW146" i="5"/>
  <c r="BV146" i="5"/>
  <c r="BU146" i="5"/>
  <c r="BT146" i="5"/>
  <c r="BS146" i="5"/>
  <c r="BR146" i="5"/>
  <c r="BQ146" i="5"/>
  <c r="BM146" i="5"/>
  <c r="BK146" i="5"/>
  <c r="BJ146" i="5"/>
  <c r="BI146" i="5"/>
  <c r="BH146" i="5"/>
  <c r="BG146" i="5"/>
  <c r="BF146" i="5"/>
  <c r="BE146" i="5"/>
  <c r="BD146" i="5"/>
  <c r="BA146" i="5"/>
  <c r="BP146" i="5" s="1"/>
  <c r="AZ146" i="5"/>
  <c r="AY146" i="5"/>
  <c r="AV146" i="5"/>
  <c r="BO146" i="5" s="1"/>
  <c r="AU146" i="5"/>
  <c r="BN146" i="5" s="1"/>
  <c r="CJ3" i="5"/>
  <c r="CK3" i="5"/>
  <c r="CI3" i="5"/>
  <c r="CH3" i="5"/>
  <c r="CE3" i="5"/>
  <c r="CG3" i="5"/>
  <c r="CD3" i="5"/>
  <c r="CF3" i="5"/>
  <c r="CC3" i="5"/>
  <c r="BZ3" i="5"/>
  <c r="BY3" i="5"/>
  <c r="CA3" i="5"/>
  <c r="BX3" i="5"/>
  <c r="BW3" i="5"/>
  <c r="BV3" i="5"/>
  <c r="BU3" i="5"/>
  <c r="BT3" i="5"/>
  <c r="BS3" i="5"/>
  <c r="BR3" i="5"/>
  <c r="BQ3" i="5"/>
  <c r="BK3" i="5"/>
  <c r="BJ3" i="5"/>
  <c r="BI3" i="5"/>
  <c r="BH3" i="5"/>
  <c r="BL3" i="5"/>
  <c r="BM3" i="5"/>
  <c r="BG3" i="5"/>
  <c r="BF3" i="5"/>
  <c r="BE3" i="5"/>
  <c r="BD3" i="5"/>
  <c r="BA3" i="5"/>
  <c r="BP3" i="5" s="1"/>
  <c r="AZ3" i="5"/>
  <c r="AY3" i="5"/>
  <c r="AU3" i="5"/>
  <c r="BN3" i="5" s="1"/>
  <c r="AV3" i="5"/>
  <c r="BO3" i="5" s="1"/>
  <c r="CK67" i="5"/>
  <c r="CI67" i="5"/>
  <c r="CF67" i="5"/>
  <c r="CG67" i="5"/>
  <c r="CA67" i="5"/>
  <c r="CC67" i="5"/>
  <c r="CE67" i="5"/>
  <c r="CD67" i="5"/>
  <c r="BY67" i="5"/>
  <c r="BW67" i="5"/>
  <c r="BV67" i="5"/>
  <c r="BU67" i="5"/>
  <c r="BT67" i="5"/>
  <c r="BS67" i="5"/>
  <c r="BR67" i="5"/>
  <c r="BQ67" i="5"/>
  <c r="BK67" i="5"/>
  <c r="BJ67" i="5"/>
  <c r="BI67" i="5"/>
  <c r="BH67" i="5"/>
  <c r="BM67" i="5"/>
  <c r="BG67" i="5"/>
  <c r="BF67" i="5"/>
  <c r="BE67" i="5"/>
  <c r="BD67" i="5"/>
  <c r="BA67" i="5"/>
  <c r="BP67" i="5" s="1"/>
  <c r="AZ67" i="5"/>
  <c r="AY67" i="5"/>
  <c r="AU67" i="5"/>
  <c r="BB67" i="5" s="1"/>
  <c r="AV67" i="5"/>
  <c r="BO67" i="5" s="1"/>
  <c r="CK131" i="5"/>
  <c r="CI131" i="5"/>
  <c r="CF131" i="5"/>
  <c r="CG131" i="5"/>
  <c r="CC131" i="5"/>
  <c r="CE131" i="5"/>
  <c r="CD131" i="5"/>
  <c r="CA131" i="5"/>
  <c r="BY131" i="5"/>
  <c r="BW131" i="5"/>
  <c r="BV131" i="5"/>
  <c r="BU131" i="5"/>
  <c r="BT131" i="5"/>
  <c r="BS131" i="5"/>
  <c r="BR131" i="5"/>
  <c r="BQ131" i="5"/>
  <c r="BK131" i="5"/>
  <c r="BJ131" i="5"/>
  <c r="BI131" i="5"/>
  <c r="BM131" i="5"/>
  <c r="BH131" i="5"/>
  <c r="BG131" i="5"/>
  <c r="BF131" i="5"/>
  <c r="BE131" i="5"/>
  <c r="BD131" i="5"/>
  <c r="BA131" i="5"/>
  <c r="BP131" i="5" s="1"/>
  <c r="AZ131" i="5"/>
  <c r="AY131" i="5"/>
  <c r="AV131" i="5"/>
  <c r="BO131" i="5" s="1"/>
  <c r="AU131" i="5"/>
  <c r="BB131" i="5" s="1"/>
  <c r="CJ195" i="5"/>
  <c r="CK195" i="5"/>
  <c r="CH195" i="5"/>
  <c r="CI195" i="5"/>
  <c r="CF195" i="5"/>
  <c r="CG195" i="5"/>
  <c r="CE195" i="5"/>
  <c r="CA195" i="5"/>
  <c r="CD195" i="5"/>
  <c r="BZ195" i="5"/>
  <c r="CC195" i="5"/>
  <c r="BX195" i="5"/>
  <c r="BY195" i="5"/>
  <c r="BW195" i="5"/>
  <c r="BU195" i="5"/>
  <c r="BT195" i="5"/>
  <c r="BS195" i="5"/>
  <c r="BV195" i="5"/>
  <c r="BR195" i="5"/>
  <c r="BQ195" i="5"/>
  <c r="BK195" i="5"/>
  <c r="BJ195" i="5"/>
  <c r="BI195" i="5"/>
  <c r="BL195" i="5"/>
  <c r="BM195" i="5"/>
  <c r="BH195" i="5"/>
  <c r="BG195" i="5"/>
  <c r="BF195" i="5"/>
  <c r="BE195" i="5"/>
  <c r="BD195" i="5"/>
  <c r="BA195" i="5"/>
  <c r="BP195" i="5" s="1"/>
  <c r="AZ195" i="5"/>
  <c r="AY195" i="5"/>
  <c r="AV195" i="5"/>
  <c r="BO195" i="5" s="1"/>
  <c r="AU195" i="5"/>
  <c r="BB195" i="5" s="1"/>
  <c r="CK60" i="5"/>
  <c r="CI60" i="5"/>
  <c r="CG60" i="5"/>
  <c r="CD60" i="5"/>
  <c r="CF60" i="5"/>
  <c r="CE60" i="5"/>
  <c r="CC60" i="5"/>
  <c r="CA60" i="5"/>
  <c r="BY60" i="5"/>
  <c r="BW60" i="5"/>
  <c r="BV60" i="5"/>
  <c r="BU60" i="5"/>
  <c r="BT60" i="5"/>
  <c r="BS60" i="5"/>
  <c r="BR60" i="5"/>
  <c r="BQ60" i="5"/>
  <c r="BK60" i="5"/>
  <c r="BJ60" i="5"/>
  <c r="BI60" i="5"/>
  <c r="BH60" i="5"/>
  <c r="BM60" i="5"/>
  <c r="BG60" i="5"/>
  <c r="BF60" i="5"/>
  <c r="BE60" i="5"/>
  <c r="BD60" i="5"/>
  <c r="AZ60" i="5"/>
  <c r="AY60" i="5"/>
  <c r="BA60" i="5"/>
  <c r="BP60" i="5" s="1"/>
  <c r="AU60" i="5"/>
  <c r="BN60" i="5" s="1"/>
  <c r="AV60" i="5"/>
  <c r="BC60" i="5" s="1"/>
  <c r="CK124" i="5"/>
  <c r="CI124" i="5"/>
  <c r="CG124" i="5"/>
  <c r="CD124" i="5"/>
  <c r="CE124" i="5"/>
  <c r="CA124" i="5"/>
  <c r="CF124" i="5"/>
  <c r="CC124" i="5"/>
  <c r="BY124" i="5"/>
  <c r="BW124" i="5"/>
  <c r="BU124" i="5"/>
  <c r="BT124" i="5"/>
  <c r="BS124" i="5"/>
  <c r="BV124" i="5"/>
  <c r="BR124" i="5"/>
  <c r="BQ124" i="5"/>
  <c r="BK124" i="5"/>
  <c r="BJ124" i="5"/>
  <c r="BI124" i="5"/>
  <c r="BM124" i="5"/>
  <c r="BG124" i="5"/>
  <c r="BF124" i="5"/>
  <c r="BE124" i="5"/>
  <c r="BD124" i="5"/>
  <c r="BH124" i="5"/>
  <c r="BA124" i="5"/>
  <c r="BP124" i="5" s="1"/>
  <c r="AZ124" i="5"/>
  <c r="AY124" i="5"/>
  <c r="AU124" i="5"/>
  <c r="BB124" i="5" s="1"/>
  <c r="AV124" i="5"/>
  <c r="BO124" i="5" s="1"/>
  <c r="CK188" i="5"/>
  <c r="CI188" i="5"/>
  <c r="CG188" i="5"/>
  <c r="CE188" i="5"/>
  <c r="CD188" i="5"/>
  <c r="CA188" i="5"/>
  <c r="CF188" i="5"/>
  <c r="CC188" i="5"/>
  <c r="BY188" i="5"/>
  <c r="BW188" i="5"/>
  <c r="BU188" i="5"/>
  <c r="BT188" i="5"/>
  <c r="BS188" i="5"/>
  <c r="BV188" i="5"/>
  <c r="BR188" i="5"/>
  <c r="BQ188" i="5"/>
  <c r="BK188" i="5"/>
  <c r="BJ188" i="5"/>
  <c r="BI188" i="5"/>
  <c r="BM188" i="5"/>
  <c r="BH188" i="5"/>
  <c r="BG188" i="5"/>
  <c r="BF188" i="5"/>
  <c r="BE188" i="5"/>
  <c r="BD188" i="5"/>
  <c r="BA188" i="5"/>
  <c r="BP188" i="5" s="1"/>
  <c r="AZ188" i="5"/>
  <c r="AY188" i="5"/>
  <c r="AU188" i="5"/>
  <c r="BN188" i="5" s="1"/>
  <c r="AV188" i="5"/>
  <c r="BC188" i="5" s="1"/>
  <c r="CG13" i="5"/>
  <c r="CF13" i="5"/>
  <c r="CI13" i="5"/>
  <c r="CE13" i="5"/>
  <c r="CK13" i="5"/>
  <c r="CA13" i="5"/>
  <c r="CC13" i="5"/>
  <c r="BY13" i="5"/>
  <c r="BW13" i="5"/>
  <c r="BV13" i="5"/>
  <c r="CD13" i="5"/>
  <c r="BU13" i="5"/>
  <c r="BT13" i="5"/>
  <c r="BS13" i="5"/>
  <c r="BR13" i="5"/>
  <c r="BQ13" i="5"/>
  <c r="BM13" i="5"/>
  <c r="BK13" i="5"/>
  <c r="BJ13" i="5"/>
  <c r="BI13" i="5"/>
  <c r="BH13" i="5"/>
  <c r="BG13" i="5"/>
  <c r="BF13" i="5"/>
  <c r="BE13" i="5"/>
  <c r="BD13" i="5"/>
  <c r="BA13" i="5"/>
  <c r="BP13" i="5" s="1"/>
  <c r="AZ13" i="5"/>
  <c r="AY13" i="5"/>
  <c r="AU13" i="5"/>
  <c r="BB13" i="5" s="1"/>
  <c r="AV13" i="5"/>
  <c r="BO13" i="5" s="1"/>
  <c r="G11" i="12"/>
  <c r="E5" i="10"/>
  <c r="CK61" i="5"/>
  <c r="CG61" i="5"/>
  <c r="CI61" i="5"/>
  <c r="CD61" i="5"/>
  <c r="CF61" i="5"/>
  <c r="CE61" i="5"/>
  <c r="BY61" i="5"/>
  <c r="CC61" i="5"/>
  <c r="BW61" i="5"/>
  <c r="BV61" i="5"/>
  <c r="CA61" i="5"/>
  <c r="BU61" i="5"/>
  <c r="BT61" i="5"/>
  <c r="BS61" i="5"/>
  <c r="BR61" i="5"/>
  <c r="BQ61" i="5"/>
  <c r="BM61" i="5"/>
  <c r="BK61" i="5"/>
  <c r="BJ61" i="5"/>
  <c r="BI61" i="5"/>
  <c r="BH61" i="5"/>
  <c r="BG61" i="5"/>
  <c r="BF61" i="5"/>
  <c r="BE61" i="5"/>
  <c r="BD61" i="5"/>
  <c r="BA61" i="5"/>
  <c r="BP61" i="5" s="1"/>
  <c r="AZ61" i="5"/>
  <c r="AY61" i="5"/>
  <c r="AU61" i="5"/>
  <c r="BN61" i="5" s="1"/>
  <c r="AV61" i="5"/>
  <c r="BC61" i="5" s="1"/>
  <c r="CK125" i="5"/>
  <c r="CG125" i="5"/>
  <c r="CI125" i="5"/>
  <c r="CF125" i="5"/>
  <c r="CD125" i="5"/>
  <c r="CE125" i="5"/>
  <c r="CA125" i="5"/>
  <c r="CC125" i="5"/>
  <c r="BW125" i="5"/>
  <c r="BV125" i="5"/>
  <c r="BY125" i="5"/>
  <c r="BU125" i="5"/>
  <c r="BT125" i="5"/>
  <c r="BS125" i="5"/>
  <c r="BR125" i="5"/>
  <c r="BQ125" i="5"/>
  <c r="BM125" i="5"/>
  <c r="BK125" i="5"/>
  <c r="BJ125" i="5"/>
  <c r="BI125" i="5"/>
  <c r="BG125" i="5"/>
  <c r="BF125" i="5"/>
  <c r="BE125" i="5"/>
  <c r="BD125" i="5"/>
  <c r="BH125" i="5"/>
  <c r="BA125" i="5"/>
  <c r="BP125" i="5" s="1"/>
  <c r="AZ125" i="5"/>
  <c r="AY125" i="5"/>
  <c r="AU125" i="5"/>
  <c r="BB125" i="5" s="1"/>
  <c r="AV125" i="5"/>
  <c r="BO125" i="5" s="1"/>
  <c r="CK189" i="5"/>
  <c r="CG189" i="5"/>
  <c r="CI189" i="5"/>
  <c r="CE189" i="5"/>
  <c r="CD189" i="5"/>
  <c r="CA189" i="5"/>
  <c r="CF189" i="5"/>
  <c r="CC189" i="5"/>
  <c r="BW189" i="5"/>
  <c r="BY189" i="5"/>
  <c r="BV189" i="5"/>
  <c r="BU189" i="5"/>
  <c r="BT189" i="5"/>
  <c r="BS189" i="5"/>
  <c r="BR189" i="5"/>
  <c r="BQ189" i="5"/>
  <c r="BM189" i="5"/>
  <c r="BK189" i="5"/>
  <c r="BJ189" i="5"/>
  <c r="BI189" i="5"/>
  <c r="BH189" i="5"/>
  <c r="BG189" i="5"/>
  <c r="BF189" i="5"/>
  <c r="BE189" i="5"/>
  <c r="BD189" i="5"/>
  <c r="BA189" i="5"/>
  <c r="BP189" i="5" s="1"/>
  <c r="AZ189" i="5"/>
  <c r="AY189" i="5"/>
  <c r="AU189" i="5"/>
  <c r="BN189" i="5" s="1"/>
  <c r="AV189" i="5"/>
  <c r="BC189" i="5" s="1"/>
  <c r="CI54" i="5"/>
  <c r="CK54" i="5"/>
  <c r="CG54" i="5"/>
  <c r="CF54" i="5"/>
  <c r="CE54" i="5"/>
  <c r="CD54" i="5"/>
  <c r="CC54" i="5"/>
  <c r="CA54" i="5"/>
  <c r="BY54" i="5"/>
  <c r="BW54" i="5"/>
  <c r="BV54" i="5"/>
  <c r="BU54" i="5"/>
  <c r="BT54" i="5"/>
  <c r="BS54" i="5"/>
  <c r="BR54" i="5"/>
  <c r="BQ54" i="5"/>
  <c r="BM54" i="5"/>
  <c r="BK54" i="5"/>
  <c r="BJ54" i="5"/>
  <c r="BI54" i="5"/>
  <c r="BH54" i="5"/>
  <c r="BG54" i="5"/>
  <c r="BF54" i="5"/>
  <c r="BE54" i="5"/>
  <c r="BD54" i="5"/>
  <c r="AZ54" i="5"/>
  <c r="AY54" i="5"/>
  <c r="BA54" i="5"/>
  <c r="BP54" i="5" s="1"/>
  <c r="AV54" i="5"/>
  <c r="BO54" i="5" s="1"/>
  <c r="AU54" i="5"/>
  <c r="BN54" i="5" s="1"/>
  <c r="CI118" i="5"/>
  <c r="CK118" i="5"/>
  <c r="CG118" i="5"/>
  <c r="CF118" i="5"/>
  <c r="CE118" i="5"/>
  <c r="CC118" i="5"/>
  <c r="CA118" i="5"/>
  <c r="CD118" i="5"/>
  <c r="BY118" i="5"/>
  <c r="BW118" i="5"/>
  <c r="BV118" i="5"/>
  <c r="BU118" i="5"/>
  <c r="BT118" i="5"/>
  <c r="BS118" i="5"/>
  <c r="BR118" i="5"/>
  <c r="BQ118" i="5"/>
  <c r="BM118" i="5"/>
  <c r="BK118" i="5"/>
  <c r="BJ118" i="5"/>
  <c r="BI118" i="5"/>
  <c r="BH118" i="5"/>
  <c r="BG118" i="5"/>
  <c r="BF118" i="5"/>
  <c r="BE118" i="5"/>
  <c r="BD118" i="5"/>
  <c r="BA118" i="5"/>
  <c r="BP118" i="5" s="1"/>
  <c r="AZ118" i="5"/>
  <c r="AY118" i="5"/>
  <c r="AV118" i="5"/>
  <c r="BO118" i="5" s="1"/>
  <c r="AU118" i="5"/>
  <c r="BN118" i="5" s="1"/>
  <c r="CI182" i="5"/>
  <c r="CK182" i="5"/>
  <c r="CG182" i="5"/>
  <c r="CE182" i="5"/>
  <c r="CF182" i="5"/>
  <c r="CD182" i="5"/>
  <c r="CA182" i="5"/>
  <c r="CC182" i="5"/>
  <c r="BW182" i="5"/>
  <c r="BV182" i="5"/>
  <c r="BY182" i="5"/>
  <c r="BU182" i="5"/>
  <c r="BT182" i="5"/>
  <c r="BS182" i="5"/>
  <c r="BR182" i="5"/>
  <c r="BQ182" i="5"/>
  <c r="BM182" i="5"/>
  <c r="BK182" i="5"/>
  <c r="BJ182" i="5"/>
  <c r="BI182" i="5"/>
  <c r="BH182" i="5"/>
  <c r="BG182" i="5"/>
  <c r="BF182" i="5"/>
  <c r="BE182" i="5"/>
  <c r="BD182" i="5"/>
  <c r="BA182" i="5"/>
  <c r="BP182" i="5" s="1"/>
  <c r="AZ182" i="5"/>
  <c r="AY182" i="5"/>
  <c r="AV182" i="5"/>
  <c r="BO182" i="5" s="1"/>
  <c r="AU182" i="5"/>
  <c r="BN182" i="5" s="1"/>
  <c r="CI47" i="5"/>
  <c r="CG47" i="5"/>
  <c r="CF47" i="5"/>
  <c r="CE47" i="5"/>
  <c r="CD47" i="5"/>
  <c r="CK47" i="5"/>
  <c r="CA47" i="5"/>
  <c r="BW47" i="5"/>
  <c r="BV47" i="5"/>
  <c r="BY47" i="5"/>
  <c r="CC47" i="5"/>
  <c r="BU47" i="5"/>
  <c r="BT47" i="5"/>
  <c r="BS47" i="5"/>
  <c r="BQ47" i="5"/>
  <c r="BR47" i="5"/>
  <c r="BM47" i="5"/>
  <c r="BK47" i="5"/>
  <c r="BJ47" i="5"/>
  <c r="BI47" i="5"/>
  <c r="BH47" i="5"/>
  <c r="BG47" i="5"/>
  <c r="BF47" i="5"/>
  <c r="BE47" i="5"/>
  <c r="BA47" i="5"/>
  <c r="BP47" i="5" s="1"/>
  <c r="BD47" i="5"/>
  <c r="AZ47" i="5"/>
  <c r="AY47" i="5"/>
  <c r="AU47" i="5"/>
  <c r="BN47" i="5" s="1"/>
  <c r="AV47" i="5"/>
  <c r="BC47" i="5" s="1"/>
  <c r="CH111" i="5"/>
  <c r="CG111" i="5"/>
  <c r="CF111" i="5"/>
  <c r="CJ111" i="5"/>
  <c r="CE111" i="5"/>
  <c r="CD111" i="5"/>
  <c r="CK111" i="5"/>
  <c r="CI111" i="5"/>
  <c r="CA111" i="5"/>
  <c r="BZ111" i="5"/>
  <c r="BX111" i="5"/>
  <c r="CC111" i="5"/>
  <c r="BW111" i="5"/>
  <c r="BV111" i="5"/>
  <c r="BY111" i="5"/>
  <c r="BU111" i="5"/>
  <c r="BT111" i="5"/>
  <c r="BS111" i="5"/>
  <c r="BR111" i="5"/>
  <c r="BQ111" i="5"/>
  <c r="BM111" i="5"/>
  <c r="BL111" i="5"/>
  <c r="BK111" i="5"/>
  <c r="BJ111" i="5"/>
  <c r="BI111" i="5"/>
  <c r="BH111" i="5"/>
  <c r="BG111" i="5"/>
  <c r="BF111" i="5"/>
  <c r="BE111" i="5"/>
  <c r="BD111" i="5"/>
  <c r="BA111" i="5"/>
  <c r="BP111" i="5" s="1"/>
  <c r="AZ111" i="5"/>
  <c r="AY111" i="5"/>
  <c r="AV111" i="5"/>
  <c r="BO111" i="5" s="1"/>
  <c r="AU111" i="5"/>
  <c r="BB111" i="5" s="1"/>
  <c r="CG175" i="5"/>
  <c r="CF175" i="5"/>
  <c r="CE175" i="5"/>
  <c r="CI175" i="5"/>
  <c r="CK175" i="5"/>
  <c r="CD175" i="5"/>
  <c r="CC175" i="5"/>
  <c r="CA175" i="5"/>
  <c r="BY175" i="5"/>
  <c r="BW175" i="5"/>
  <c r="BV175" i="5"/>
  <c r="BU175" i="5"/>
  <c r="BT175" i="5"/>
  <c r="BS175" i="5"/>
  <c r="BR175" i="5"/>
  <c r="BQ175" i="5"/>
  <c r="BM175" i="5"/>
  <c r="BK175" i="5"/>
  <c r="BJ175" i="5"/>
  <c r="BI175" i="5"/>
  <c r="BG175" i="5"/>
  <c r="BF175" i="5"/>
  <c r="BE175" i="5"/>
  <c r="BD175" i="5"/>
  <c r="BA175" i="5"/>
  <c r="BP175" i="5" s="1"/>
  <c r="AZ175" i="5"/>
  <c r="AY175" i="5"/>
  <c r="BH175" i="5"/>
  <c r="AV175" i="5"/>
  <c r="BC175" i="5" s="1"/>
  <c r="AU175" i="5"/>
  <c r="BB175" i="5" s="1"/>
  <c r="CK40" i="5"/>
  <c r="CI40" i="5"/>
  <c r="CF40" i="5"/>
  <c r="CD40" i="5"/>
  <c r="CE40" i="5"/>
  <c r="CC40" i="5"/>
  <c r="CG40" i="5"/>
  <c r="CA40" i="5"/>
  <c r="BW40" i="5"/>
  <c r="BV40" i="5"/>
  <c r="BY40" i="5"/>
  <c r="BU40" i="5"/>
  <c r="BT40" i="5"/>
  <c r="BS40" i="5"/>
  <c r="BR40" i="5"/>
  <c r="BQ40" i="5"/>
  <c r="BM40" i="5"/>
  <c r="BK40" i="5"/>
  <c r="BJ40" i="5"/>
  <c r="BI40" i="5"/>
  <c r="BH40" i="5"/>
  <c r="BG40" i="5"/>
  <c r="BF40" i="5"/>
  <c r="BE40" i="5"/>
  <c r="BD40" i="5"/>
  <c r="BA40" i="5"/>
  <c r="BP40" i="5" s="1"/>
  <c r="AZ40" i="5"/>
  <c r="AY40" i="5"/>
  <c r="AU40" i="5"/>
  <c r="BN40" i="5" s="1"/>
  <c r="AV40" i="5"/>
  <c r="BC40" i="5" s="1"/>
  <c r="CK104" i="5"/>
  <c r="CJ104" i="5"/>
  <c r="CH104" i="5"/>
  <c r="CI104" i="5"/>
  <c r="CF104" i="5"/>
  <c r="CE104" i="5"/>
  <c r="CD104" i="5"/>
  <c r="CC104" i="5"/>
  <c r="CG104" i="5"/>
  <c r="BZ104" i="5"/>
  <c r="CA104" i="5"/>
  <c r="BY104" i="5"/>
  <c r="BX104" i="5"/>
  <c r="BW104" i="5"/>
  <c r="BV104" i="5"/>
  <c r="BU104" i="5"/>
  <c r="BT104" i="5"/>
  <c r="BS104" i="5"/>
  <c r="BR104" i="5"/>
  <c r="BQ104" i="5"/>
  <c r="BM104" i="5"/>
  <c r="BL104" i="5"/>
  <c r="BK104" i="5"/>
  <c r="BJ104" i="5"/>
  <c r="BI104" i="5"/>
  <c r="BH104" i="5"/>
  <c r="BG104" i="5"/>
  <c r="BF104" i="5"/>
  <c r="BE104" i="5"/>
  <c r="BD104" i="5"/>
  <c r="AV104" i="5"/>
  <c r="BO104" i="5" s="1"/>
  <c r="BA104" i="5"/>
  <c r="BP104" i="5" s="1"/>
  <c r="AZ104" i="5"/>
  <c r="AY104" i="5"/>
  <c r="AU104" i="5"/>
  <c r="BN104" i="5" s="1"/>
  <c r="CK168" i="5"/>
  <c r="CI168" i="5"/>
  <c r="CE168" i="5"/>
  <c r="CD168" i="5"/>
  <c r="CC168" i="5"/>
  <c r="CG168" i="5"/>
  <c r="CF168" i="5"/>
  <c r="CA168" i="5"/>
  <c r="BY168" i="5"/>
  <c r="BW168" i="5"/>
  <c r="BU168" i="5"/>
  <c r="BT168" i="5"/>
  <c r="BS168" i="5"/>
  <c r="BV168" i="5"/>
  <c r="BR168" i="5"/>
  <c r="BQ168" i="5"/>
  <c r="BM168" i="5"/>
  <c r="BK168" i="5"/>
  <c r="BJ168" i="5"/>
  <c r="BI168" i="5"/>
  <c r="BH168" i="5"/>
  <c r="BG168" i="5"/>
  <c r="BF168" i="5"/>
  <c r="BE168" i="5"/>
  <c r="BD168" i="5"/>
  <c r="AV168" i="5"/>
  <c r="BC168" i="5" s="1"/>
  <c r="BA168" i="5"/>
  <c r="BP168" i="5" s="1"/>
  <c r="AZ168" i="5"/>
  <c r="AY168" i="5"/>
  <c r="AU168" i="5"/>
  <c r="BN168" i="5" s="1"/>
  <c r="CK33" i="5"/>
  <c r="CJ33" i="5"/>
  <c r="CI33" i="5"/>
  <c r="CH33" i="5"/>
  <c r="CG33" i="5"/>
  <c r="CD33" i="5"/>
  <c r="CC33" i="5"/>
  <c r="CF33" i="5"/>
  <c r="BZ33" i="5"/>
  <c r="CE33" i="5"/>
  <c r="CA33" i="5"/>
  <c r="BY33" i="5"/>
  <c r="BX33" i="5"/>
  <c r="BW33" i="5"/>
  <c r="BV33" i="5"/>
  <c r="BU33" i="5"/>
  <c r="BT33" i="5"/>
  <c r="BS33" i="5"/>
  <c r="BR33" i="5"/>
  <c r="BQ33" i="5"/>
  <c r="BM33" i="5"/>
  <c r="BL33" i="5"/>
  <c r="BK33" i="5"/>
  <c r="BJ33" i="5"/>
  <c r="BI33" i="5"/>
  <c r="BH33" i="5"/>
  <c r="BG33" i="5"/>
  <c r="BF33" i="5"/>
  <c r="BE33" i="5"/>
  <c r="BD33" i="5"/>
  <c r="BA33" i="5"/>
  <c r="BP33" i="5" s="1"/>
  <c r="AZ33" i="5"/>
  <c r="AY33" i="5"/>
  <c r="AV33" i="5"/>
  <c r="BC33" i="5" s="1"/>
  <c r="AU33" i="5"/>
  <c r="BN33" i="5" s="1"/>
  <c r="CK97" i="5"/>
  <c r="CJ97" i="5"/>
  <c r="CI97" i="5"/>
  <c r="CH97" i="5"/>
  <c r="CG97" i="5"/>
  <c r="CE97" i="5"/>
  <c r="CD97" i="5"/>
  <c r="CC97" i="5"/>
  <c r="BZ97" i="5"/>
  <c r="CA97" i="5"/>
  <c r="BY97" i="5"/>
  <c r="CF97" i="5"/>
  <c r="BX97" i="5"/>
  <c r="BW97" i="5"/>
  <c r="BV97" i="5"/>
  <c r="BU97" i="5"/>
  <c r="BT97" i="5"/>
  <c r="BS97" i="5"/>
  <c r="BQ97" i="5"/>
  <c r="BM97" i="5"/>
  <c r="BL97" i="5"/>
  <c r="BK97" i="5"/>
  <c r="BJ97" i="5"/>
  <c r="BI97" i="5"/>
  <c r="BR97" i="5"/>
  <c r="BG97" i="5"/>
  <c r="BF97" i="5"/>
  <c r="BE97" i="5"/>
  <c r="BD97" i="5"/>
  <c r="BH97" i="5"/>
  <c r="BA97" i="5"/>
  <c r="BP97" i="5" s="1"/>
  <c r="AZ97" i="5"/>
  <c r="AY97" i="5"/>
  <c r="AV97" i="5"/>
  <c r="BC97" i="5" s="1"/>
  <c r="AU97" i="5"/>
  <c r="BB97" i="5" s="1"/>
  <c r="CK161" i="5"/>
  <c r="CI161" i="5"/>
  <c r="CF161" i="5"/>
  <c r="CG161" i="5"/>
  <c r="CE161" i="5"/>
  <c r="CC161" i="5"/>
  <c r="CD161" i="5"/>
  <c r="CA161" i="5"/>
  <c r="BY161" i="5"/>
  <c r="BW161" i="5"/>
  <c r="BU161" i="5"/>
  <c r="BT161" i="5"/>
  <c r="BS161" i="5"/>
  <c r="BV161" i="5"/>
  <c r="BQ161" i="5"/>
  <c r="BM161" i="5"/>
  <c r="BK161" i="5"/>
  <c r="BJ161" i="5"/>
  <c r="BI161" i="5"/>
  <c r="BR161" i="5"/>
  <c r="BH161" i="5"/>
  <c r="BG161" i="5"/>
  <c r="BF161" i="5"/>
  <c r="BE161" i="5"/>
  <c r="BD161" i="5"/>
  <c r="BA161" i="5"/>
  <c r="BP161" i="5" s="1"/>
  <c r="AZ161" i="5"/>
  <c r="AY161" i="5"/>
  <c r="AV161" i="5"/>
  <c r="BO161" i="5" s="1"/>
  <c r="AU161" i="5"/>
  <c r="BN161" i="5" s="1"/>
  <c r="CK26" i="5"/>
  <c r="CI26" i="5"/>
  <c r="CF26" i="5"/>
  <c r="CE26" i="5"/>
  <c r="CG26" i="5"/>
  <c r="CC26" i="5"/>
  <c r="CA26" i="5"/>
  <c r="CD26" i="5"/>
  <c r="BY26" i="5"/>
  <c r="BW26" i="5"/>
  <c r="BV26" i="5"/>
  <c r="BU26" i="5"/>
  <c r="BT26" i="5"/>
  <c r="BS26" i="5"/>
  <c r="BQ26" i="5"/>
  <c r="BR26" i="5"/>
  <c r="BM26" i="5"/>
  <c r="BK26" i="5"/>
  <c r="BJ26" i="5"/>
  <c r="BI26" i="5"/>
  <c r="BH26" i="5"/>
  <c r="BG26" i="5"/>
  <c r="BF26" i="5"/>
  <c r="BE26" i="5"/>
  <c r="BD26" i="5"/>
  <c r="AZ26" i="5"/>
  <c r="AY26" i="5"/>
  <c r="BA26" i="5"/>
  <c r="BP26" i="5" s="1"/>
  <c r="AU26" i="5"/>
  <c r="BN26" i="5" s="1"/>
  <c r="AV26" i="5"/>
  <c r="BC26" i="5" s="1"/>
  <c r="CK90" i="5"/>
  <c r="CI90" i="5"/>
  <c r="CJ90" i="5"/>
  <c r="CG90" i="5"/>
  <c r="CF90" i="5"/>
  <c r="CE90" i="5"/>
  <c r="CA90" i="5"/>
  <c r="CD90" i="5"/>
  <c r="CC90" i="5"/>
  <c r="BZ90" i="5"/>
  <c r="CH90" i="5"/>
  <c r="BY90" i="5"/>
  <c r="BW90" i="5"/>
  <c r="BV90" i="5"/>
  <c r="BX90" i="5"/>
  <c r="BU90" i="5"/>
  <c r="BT90" i="5"/>
  <c r="BS90" i="5"/>
  <c r="BR90" i="5"/>
  <c r="BQ90" i="5"/>
  <c r="BL90" i="5"/>
  <c r="BM90" i="5"/>
  <c r="BK90" i="5"/>
  <c r="BJ90" i="5"/>
  <c r="BI90" i="5"/>
  <c r="BH90" i="5"/>
  <c r="BG90" i="5"/>
  <c r="BF90" i="5"/>
  <c r="BE90" i="5"/>
  <c r="BD90" i="5"/>
  <c r="BA90" i="5"/>
  <c r="BP90" i="5" s="1"/>
  <c r="AZ90" i="5"/>
  <c r="AY90" i="5"/>
  <c r="AU90" i="5"/>
  <c r="BN90" i="5" s="1"/>
  <c r="AV90" i="5"/>
  <c r="BC90" i="5" s="1"/>
  <c r="CK154" i="5"/>
  <c r="CI154" i="5"/>
  <c r="CG154" i="5"/>
  <c r="CF154" i="5"/>
  <c r="CE154" i="5"/>
  <c r="CD154" i="5"/>
  <c r="CC154" i="5"/>
  <c r="CA154" i="5"/>
  <c r="BY154" i="5"/>
  <c r="BW154" i="5"/>
  <c r="BU154" i="5"/>
  <c r="BT154" i="5"/>
  <c r="BS154" i="5"/>
  <c r="BV154" i="5"/>
  <c r="BR154" i="5"/>
  <c r="BQ154" i="5"/>
  <c r="BM154" i="5"/>
  <c r="BK154" i="5"/>
  <c r="BJ154" i="5"/>
  <c r="BI154" i="5"/>
  <c r="BH154" i="5"/>
  <c r="BG154" i="5"/>
  <c r="BF154" i="5"/>
  <c r="BE154" i="5"/>
  <c r="BD154" i="5"/>
  <c r="BA154" i="5"/>
  <c r="BP154" i="5" s="1"/>
  <c r="AZ154" i="5"/>
  <c r="AY154" i="5"/>
  <c r="AU154" i="5"/>
  <c r="BN154" i="5" s="1"/>
  <c r="AV154" i="5"/>
  <c r="BC154" i="5" s="1"/>
  <c r="CJ11" i="5"/>
  <c r="CH11" i="5"/>
  <c r="CK11" i="5"/>
  <c r="CI11" i="5"/>
  <c r="CG11" i="5"/>
  <c r="CF11" i="5"/>
  <c r="CC11" i="5"/>
  <c r="CA11" i="5"/>
  <c r="BY11" i="5"/>
  <c r="CD11" i="5"/>
  <c r="BX11" i="5"/>
  <c r="CE11" i="5"/>
  <c r="BW11" i="5"/>
  <c r="BV11" i="5"/>
  <c r="BZ11" i="5"/>
  <c r="BU11" i="5"/>
  <c r="BT11" i="5"/>
  <c r="BS11" i="5"/>
  <c r="BR11" i="5"/>
  <c r="BQ11" i="5"/>
  <c r="BK11" i="5"/>
  <c r="BJ11" i="5"/>
  <c r="BI11" i="5"/>
  <c r="BH11" i="5"/>
  <c r="BL11" i="5"/>
  <c r="BM11" i="5"/>
  <c r="BG11" i="5"/>
  <c r="BF11" i="5"/>
  <c r="BE11" i="5"/>
  <c r="BD11" i="5"/>
  <c r="AZ11" i="5"/>
  <c r="AY11" i="5"/>
  <c r="BA11" i="5"/>
  <c r="BP11" i="5" s="1"/>
  <c r="AU11" i="5"/>
  <c r="BN11" i="5" s="1"/>
  <c r="AV11" i="5"/>
  <c r="BC11" i="5" s="1"/>
  <c r="CJ75" i="5"/>
  <c r="CK75" i="5"/>
  <c r="CI75" i="5"/>
  <c r="CH75" i="5"/>
  <c r="CF75" i="5"/>
  <c r="CE75" i="5"/>
  <c r="CD75" i="5"/>
  <c r="CA75" i="5"/>
  <c r="CG75" i="5"/>
  <c r="CC75" i="5"/>
  <c r="BY75" i="5"/>
  <c r="BZ75" i="5"/>
  <c r="BX75" i="5"/>
  <c r="BW75" i="5"/>
  <c r="BV75" i="5"/>
  <c r="BU75" i="5"/>
  <c r="BT75" i="5"/>
  <c r="BS75" i="5"/>
  <c r="BR75" i="5"/>
  <c r="BQ75" i="5"/>
  <c r="BK75" i="5"/>
  <c r="BJ75" i="5"/>
  <c r="BI75" i="5"/>
  <c r="BH75" i="5"/>
  <c r="BL75" i="5"/>
  <c r="BM75" i="5"/>
  <c r="BG75" i="5"/>
  <c r="BF75" i="5"/>
  <c r="BE75" i="5"/>
  <c r="BD75" i="5"/>
  <c r="BA75" i="5"/>
  <c r="BP75" i="5" s="1"/>
  <c r="AZ75" i="5"/>
  <c r="AY75" i="5"/>
  <c r="AU75" i="5"/>
  <c r="BN75" i="5" s="1"/>
  <c r="AV75" i="5"/>
  <c r="BC75" i="5" s="1"/>
  <c r="CK139" i="5"/>
  <c r="CI139" i="5"/>
  <c r="CF139" i="5"/>
  <c r="CE139" i="5"/>
  <c r="CG139" i="5"/>
  <c r="CD139" i="5"/>
  <c r="CA139" i="5"/>
  <c r="CC139" i="5"/>
  <c r="BW139" i="5"/>
  <c r="BV139" i="5"/>
  <c r="BY139" i="5"/>
  <c r="BU139" i="5"/>
  <c r="BT139" i="5"/>
  <c r="BS139" i="5"/>
  <c r="BR139" i="5"/>
  <c r="BQ139" i="5"/>
  <c r="BK139" i="5"/>
  <c r="BJ139" i="5"/>
  <c r="BI139" i="5"/>
  <c r="BM139" i="5"/>
  <c r="BH139" i="5"/>
  <c r="BG139" i="5"/>
  <c r="BF139" i="5"/>
  <c r="BE139" i="5"/>
  <c r="BD139" i="5"/>
  <c r="BA139" i="5"/>
  <c r="BP139" i="5" s="1"/>
  <c r="AZ139" i="5"/>
  <c r="AY139" i="5"/>
  <c r="AV139" i="5"/>
  <c r="BC139" i="5" s="1"/>
  <c r="AU139" i="5"/>
  <c r="BB139" i="5" s="1"/>
  <c r="CJ4" i="5"/>
  <c r="CK4" i="5"/>
  <c r="CI4" i="5"/>
  <c r="CH4" i="5"/>
  <c r="CF4" i="5"/>
  <c r="CE4" i="5"/>
  <c r="CG4" i="5"/>
  <c r="CD4" i="5"/>
  <c r="BZ4" i="5"/>
  <c r="BY4" i="5"/>
  <c r="CA4" i="5"/>
  <c r="CC4" i="5"/>
  <c r="BX4" i="5"/>
  <c r="BW4" i="5"/>
  <c r="BV4" i="5"/>
  <c r="BU4" i="5"/>
  <c r="BT4" i="5"/>
  <c r="BS4" i="5"/>
  <c r="BR4" i="5"/>
  <c r="BQ4" i="5"/>
  <c r="BM4" i="5"/>
  <c r="BK4" i="5"/>
  <c r="BJ4" i="5"/>
  <c r="BI4" i="5"/>
  <c r="BH4" i="5"/>
  <c r="BL4" i="5"/>
  <c r="BG4" i="5"/>
  <c r="BF4" i="5"/>
  <c r="BE4" i="5"/>
  <c r="BD4" i="5"/>
  <c r="BA4" i="5"/>
  <c r="BP4" i="5" s="1"/>
  <c r="AZ4" i="5"/>
  <c r="AY4" i="5"/>
  <c r="AU4" i="5"/>
  <c r="BB4" i="5" s="1"/>
  <c r="AV4" i="5"/>
  <c r="BO4" i="5" s="1"/>
  <c r="CJ68" i="5"/>
  <c r="CH68" i="5"/>
  <c r="CK68" i="5"/>
  <c r="CI68" i="5"/>
  <c r="CF68" i="5"/>
  <c r="CG68" i="5"/>
  <c r="CE68" i="5"/>
  <c r="CA68" i="5"/>
  <c r="CD68" i="5"/>
  <c r="CC68" i="5"/>
  <c r="BZ68" i="5"/>
  <c r="BX68" i="5"/>
  <c r="BY68" i="5"/>
  <c r="BW68" i="5"/>
  <c r="BU68" i="5"/>
  <c r="BT68" i="5"/>
  <c r="BS68" i="5"/>
  <c r="BV68" i="5"/>
  <c r="BR68" i="5"/>
  <c r="BQ68" i="5"/>
  <c r="BK68" i="5"/>
  <c r="BJ68" i="5"/>
  <c r="BI68" i="5"/>
  <c r="BH68" i="5"/>
  <c r="BL68" i="5"/>
  <c r="BM68" i="5"/>
  <c r="BG68" i="5"/>
  <c r="BF68" i="5"/>
  <c r="BE68" i="5"/>
  <c r="BD68" i="5"/>
  <c r="BA68" i="5"/>
  <c r="AZ68" i="5"/>
  <c r="AY68" i="5"/>
  <c r="AU68" i="5"/>
  <c r="AV68" i="5"/>
  <c r="CK132" i="5"/>
  <c r="CI132" i="5"/>
  <c r="CF132" i="5"/>
  <c r="CG132" i="5"/>
  <c r="CE132" i="5"/>
  <c r="CD132" i="5"/>
  <c r="CA132" i="5"/>
  <c r="CC132" i="5"/>
  <c r="BY132" i="5"/>
  <c r="BW132" i="5"/>
  <c r="BV132" i="5"/>
  <c r="BU132" i="5"/>
  <c r="BT132" i="5"/>
  <c r="BS132" i="5"/>
  <c r="BR132" i="5"/>
  <c r="BQ132" i="5"/>
  <c r="BK132" i="5"/>
  <c r="BJ132" i="5"/>
  <c r="BI132" i="5"/>
  <c r="BM132" i="5"/>
  <c r="BH132" i="5"/>
  <c r="BG132" i="5"/>
  <c r="BF132" i="5"/>
  <c r="BE132" i="5"/>
  <c r="BD132" i="5"/>
  <c r="BA132" i="5"/>
  <c r="BP132" i="5" s="1"/>
  <c r="AZ132" i="5"/>
  <c r="AY132" i="5"/>
  <c r="AV132" i="5"/>
  <c r="BO132" i="5" s="1"/>
  <c r="AU132" i="5"/>
  <c r="BB132" i="5" s="1"/>
  <c r="CK196" i="5"/>
  <c r="CI196" i="5"/>
  <c r="CF196" i="5"/>
  <c r="CG196" i="5"/>
  <c r="CE196" i="5"/>
  <c r="CA196" i="5"/>
  <c r="CD196" i="5"/>
  <c r="CC196" i="5"/>
  <c r="BY196" i="5"/>
  <c r="BW196" i="5"/>
  <c r="BU196" i="5"/>
  <c r="BT196" i="5"/>
  <c r="BS196" i="5"/>
  <c r="BV196" i="5"/>
  <c r="BR196" i="5"/>
  <c r="BQ196" i="5"/>
  <c r="BK196" i="5"/>
  <c r="BJ196" i="5"/>
  <c r="BI196" i="5"/>
  <c r="BM196" i="5"/>
  <c r="BH196" i="5"/>
  <c r="BG196" i="5"/>
  <c r="BF196" i="5"/>
  <c r="BE196" i="5"/>
  <c r="BD196" i="5"/>
  <c r="BA196" i="5"/>
  <c r="BP196" i="5" s="1"/>
  <c r="AZ196" i="5"/>
  <c r="AY196" i="5"/>
  <c r="AV196" i="5"/>
  <c r="BC196" i="5" s="1"/>
  <c r="AU196" i="5"/>
  <c r="BB196" i="5" s="1"/>
  <c r="F75" i="12"/>
  <c r="F80" i="12" s="1"/>
  <c r="C12" i="7"/>
  <c r="C13" i="7"/>
  <c r="C14" i="7"/>
  <c r="G63" i="15" l="1"/>
  <c r="I63" i="15" s="1"/>
  <c r="G63" i="16"/>
  <c r="I63" i="16" s="1"/>
  <c r="G63" i="12"/>
  <c r="I63" i="12" s="1"/>
  <c r="G63" i="13"/>
  <c r="I63" i="13" s="1"/>
  <c r="G63" i="14"/>
  <c r="H49" i="10"/>
  <c r="G39" i="13"/>
  <c r="J39" i="13" s="1"/>
  <c r="AB45" i="15"/>
  <c r="CB112" i="5"/>
  <c r="H38" i="10"/>
  <c r="D48" i="10"/>
  <c r="F10" i="16"/>
  <c r="F12" i="16"/>
  <c r="F40" i="16" s="1"/>
  <c r="D50" i="10"/>
  <c r="AV225" i="5"/>
  <c r="AV226" i="5" s="1"/>
  <c r="AY225" i="5"/>
  <c r="AY226" i="5" s="1"/>
  <c r="AY227" i="5"/>
  <c r="AY228" i="5" s="1"/>
  <c r="AY223" i="5"/>
  <c r="AY224" i="5" s="1"/>
  <c r="AV227" i="5"/>
  <c r="AV228" i="5" s="1"/>
  <c r="AV223" i="5"/>
  <c r="AV224" i="5" s="1"/>
  <c r="G39" i="16"/>
  <c r="AB11" i="16"/>
  <c r="AA11" i="16"/>
  <c r="J11" i="16"/>
  <c r="AA45" i="15"/>
  <c r="AB45" i="16"/>
  <c r="AZ214" i="5"/>
  <c r="AZ215" i="5" s="1"/>
  <c r="BJ214" i="5"/>
  <c r="BJ215" i="5" s="1"/>
  <c r="BV214" i="5"/>
  <c r="BV215" i="5" s="1"/>
  <c r="CG214" i="5"/>
  <c r="CG215" i="5" s="1"/>
  <c r="BP145" i="5"/>
  <c r="BP214" i="5" s="1"/>
  <c r="BP215" i="5" s="1"/>
  <c r="BA214" i="5"/>
  <c r="BA215" i="5" s="1"/>
  <c r="BK214" i="5"/>
  <c r="BK215" i="5" s="1"/>
  <c r="CA214" i="5"/>
  <c r="CA215" i="5" s="1"/>
  <c r="CI214" i="5"/>
  <c r="CI215" i="5" s="1"/>
  <c r="BD214" i="5"/>
  <c r="BD215" i="5" s="1"/>
  <c r="BQ214" i="5"/>
  <c r="BQ215" i="5" s="1"/>
  <c r="BW214" i="5"/>
  <c r="BW215" i="5" s="1"/>
  <c r="CK214" i="5"/>
  <c r="CK215" i="5" s="1"/>
  <c r="BE214" i="5"/>
  <c r="BE215" i="5" s="1"/>
  <c r="BR214" i="5"/>
  <c r="BR215" i="5" s="1"/>
  <c r="BY214" i="5"/>
  <c r="BY215" i="5" s="1"/>
  <c r="BF214" i="5"/>
  <c r="BF215" i="5" s="1"/>
  <c r="BM214" i="5"/>
  <c r="BM215" i="5" s="1"/>
  <c r="CF214" i="5"/>
  <c r="CF215" i="5" s="1"/>
  <c r="BB145" i="5"/>
  <c r="AU214" i="5"/>
  <c r="AU215" i="5" s="1"/>
  <c r="BG214" i="5"/>
  <c r="BG215" i="5" s="1"/>
  <c r="BS214" i="5"/>
  <c r="BS215" i="5" s="1"/>
  <c r="CC214" i="5"/>
  <c r="CC215" i="5" s="1"/>
  <c r="BO145" i="5"/>
  <c r="AV214" i="5"/>
  <c r="AV215" i="5" s="1"/>
  <c r="BH214" i="5"/>
  <c r="BH215" i="5" s="1"/>
  <c r="BT214" i="5"/>
  <c r="BT215" i="5" s="1"/>
  <c r="CD214" i="5"/>
  <c r="CD215" i="5" s="1"/>
  <c r="AY214" i="5"/>
  <c r="AY215" i="5" s="1"/>
  <c r="BI214" i="5"/>
  <c r="BI215" i="5" s="1"/>
  <c r="BU214" i="5"/>
  <c r="BU215" i="5" s="1"/>
  <c r="CE214" i="5"/>
  <c r="CE215" i="5" s="1"/>
  <c r="AY210" i="5"/>
  <c r="AY211" i="5" s="1"/>
  <c r="BS210" i="5"/>
  <c r="BS211" i="5" s="1"/>
  <c r="CD210" i="5"/>
  <c r="CD211" i="5" s="1"/>
  <c r="BM210" i="5"/>
  <c r="BM211" i="5" s="1"/>
  <c r="AZ210" i="5"/>
  <c r="AZ211" i="5" s="1"/>
  <c r="BH210" i="5"/>
  <c r="BH211" i="5" s="1"/>
  <c r="CA210" i="5"/>
  <c r="CA211" i="5" s="1"/>
  <c r="BT210" i="5"/>
  <c r="BT211" i="5" s="1"/>
  <c r="BI210" i="5"/>
  <c r="BI211" i="5" s="1"/>
  <c r="CE210" i="5"/>
  <c r="CE211" i="5" s="1"/>
  <c r="BD210" i="5"/>
  <c r="BD211" i="5" s="1"/>
  <c r="BJ210" i="5"/>
  <c r="BJ211" i="5" s="1"/>
  <c r="BW210" i="5"/>
  <c r="BW211" i="5" s="1"/>
  <c r="CG210" i="5"/>
  <c r="CG211" i="5" s="1"/>
  <c r="BE210" i="5"/>
  <c r="BE211" i="5" s="1"/>
  <c r="BK210" i="5"/>
  <c r="BK211" i="5" s="1"/>
  <c r="BY210" i="5"/>
  <c r="BY211" i="5" s="1"/>
  <c r="CF210" i="5"/>
  <c r="CF211" i="5" s="1"/>
  <c r="AY212" i="5"/>
  <c r="AY213" i="5" s="1"/>
  <c r="BF210" i="5"/>
  <c r="BF211" i="5" s="1"/>
  <c r="BQ210" i="5"/>
  <c r="BQ211" i="5" s="1"/>
  <c r="CI210" i="5"/>
  <c r="CI211" i="5" s="1"/>
  <c r="BO68" i="5"/>
  <c r="AV210" i="5"/>
  <c r="AV211" i="5" s="1"/>
  <c r="BG210" i="5"/>
  <c r="BG211" i="5" s="1"/>
  <c r="BR210" i="5"/>
  <c r="BR211" i="5" s="1"/>
  <c r="CK210" i="5"/>
  <c r="CK211" i="5" s="1"/>
  <c r="AC45" i="15"/>
  <c r="BN68" i="5"/>
  <c r="AU210" i="5"/>
  <c r="AU211" i="5" s="1"/>
  <c r="BV210" i="5"/>
  <c r="BV211" i="5" s="1"/>
  <c r="CC210" i="5"/>
  <c r="CC211" i="5" s="1"/>
  <c r="BO117" i="5"/>
  <c r="AV212" i="5"/>
  <c r="AV213" i="5" s="1"/>
  <c r="J39" i="15"/>
  <c r="AC39" i="15"/>
  <c r="BN117" i="5"/>
  <c r="AU212" i="5"/>
  <c r="AU213" i="5" s="1"/>
  <c r="AZ212" i="5"/>
  <c r="AZ213" i="5" s="1"/>
  <c r="F10" i="15"/>
  <c r="D37" i="10"/>
  <c r="BP68" i="5"/>
  <c r="BP210" i="5" s="1"/>
  <c r="BP211" i="5" s="1"/>
  <c r="BA210" i="5"/>
  <c r="BA211" i="5" s="1"/>
  <c r="BU210" i="5"/>
  <c r="BU211" i="5" s="1"/>
  <c r="BP117" i="5"/>
  <c r="BP212" i="5" s="1"/>
  <c r="BP213" i="5" s="1"/>
  <c r="BA212" i="5"/>
  <c r="BA213" i="5" s="1"/>
  <c r="F12" i="15"/>
  <c r="F40" i="15" s="1"/>
  <c r="D39" i="10"/>
  <c r="BJ212" i="5"/>
  <c r="BJ213" i="5" s="1"/>
  <c r="BY212" i="5"/>
  <c r="BY213" i="5" s="1"/>
  <c r="CI212" i="5"/>
  <c r="CI213" i="5" s="1"/>
  <c r="CB197" i="5"/>
  <c r="N38" i="14"/>
  <c r="BK212" i="5"/>
  <c r="BK213" i="5" s="1"/>
  <c r="BV212" i="5"/>
  <c r="BV213" i="5" s="1"/>
  <c r="CG212" i="5"/>
  <c r="CG213" i="5" s="1"/>
  <c r="BD212" i="5"/>
  <c r="BD213" i="5" s="1"/>
  <c r="BM212" i="5"/>
  <c r="BM213" i="5" s="1"/>
  <c r="BW212" i="5"/>
  <c r="BW213" i="5" s="1"/>
  <c r="CK212" i="5"/>
  <c r="CK213" i="5" s="1"/>
  <c r="AB11" i="13"/>
  <c r="AB45" i="13" s="1"/>
  <c r="J11" i="13"/>
  <c r="BE212" i="5"/>
  <c r="BE213" i="5" s="1"/>
  <c r="BQ212" i="5"/>
  <c r="BQ213" i="5" s="1"/>
  <c r="CE212" i="5"/>
  <c r="CE213" i="5" s="1"/>
  <c r="BF212" i="5"/>
  <c r="BF213" i="5" s="1"/>
  <c r="BR212" i="5"/>
  <c r="BR213" i="5" s="1"/>
  <c r="CD212" i="5"/>
  <c r="CD213" i="5" s="1"/>
  <c r="BG212" i="5"/>
  <c r="BG213" i="5" s="1"/>
  <c r="BS212" i="5"/>
  <c r="BS213" i="5" s="1"/>
  <c r="CA212" i="5"/>
  <c r="CA213" i="5" s="1"/>
  <c r="BH212" i="5"/>
  <c r="BH213" i="5" s="1"/>
  <c r="BT212" i="5"/>
  <c r="BT213" i="5" s="1"/>
  <c r="CC212" i="5"/>
  <c r="CC213" i="5" s="1"/>
  <c r="BI212" i="5"/>
  <c r="BI213" i="5" s="1"/>
  <c r="BU212" i="5"/>
  <c r="BU213" i="5" s="1"/>
  <c r="CF212" i="5"/>
  <c r="CF213" i="5" s="1"/>
  <c r="BL120" i="5"/>
  <c r="BB11" i="5"/>
  <c r="F44" i="14"/>
  <c r="CB69" i="5"/>
  <c r="H5" i="10"/>
  <c r="G41" i="14"/>
  <c r="J38" i="14"/>
  <c r="AA38" i="14"/>
  <c r="AB38" i="14"/>
  <c r="AB44" i="14" s="1"/>
  <c r="I41" i="14"/>
  <c r="AC10" i="14"/>
  <c r="BC38" i="5"/>
  <c r="AV206" i="5"/>
  <c r="AV207" i="5" s="1"/>
  <c r="BN38" i="5"/>
  <c r="AU206" i="5"/>
  <c r="AU207" i="5" s="1"/>
  <c r="J13" i="14"/>
  <c r="J16" i="14" s="1"/>
  <c r="G16" i="14"/>
  <c r="AY206" i="5"/>
  <c r="AY207" i="5" s="1"/>
  <c r="AZ206" i="5"/>
  <c r="AZ207" i="5" s="1"/>
  <c r="F12" i="13"/>
  <c r="F40" i="13" s="1"/>
  <c r="D17" i="10"/>
  <c r="BP38" i="5"/>
  <c r="BP206" i="5" s="1"/>
  <c r="BP207" i="5" s="1"/>
  <c r="BA206" i="5"/>
  <c r="BA207" i="5" s="1"/>
  <c r="D15" i="10"/>
  <c r="F10" i="13"/>
  <c r="AA39" i="14"/>
  <c r="J39" i="14"/>
  <c r="F32" i="10"/>
  <c r="H29" i="10"/>
  <c r="H32" i="10" s="1"/>
  <c r="H44" i="14"/>
  <c r="H67" i="14"/>
  <c r="F45" i="14"/>
  <c r="F75" i="14"/>
  <c r="F80" i="14" s="1"/>
  <c r="G72" i="14"/>
  <c r="H68" i="14"/>
  <c r="J68" i="14" s="1"/>
  <c r="G73" i="14"/>
  <c r="O72" i="14"/>
  <c r="I69" i="14"/>
  <c r="J69" i="14" s="1"/>
  <c r="M72" i="14"/>
  <c r="K45" i="14"/>
  <c r="BK206" i="5"/>
  <c r="BK207" i="5" s="1"/>
  <c r="BW206" i="5"/>
  <c r="BW207" i="5" s="1"/>
  <c r="CG206" i="5"/>
  <c r="CG207" i="5" s="1"/>
  <c r="BD206" i="5"/>
  <c r="BD207" i="5" s="1"/>
  <c r="BM206" i="5"/>
  <c r="BM207" i="5" s="1"/>
  <c r="CA206" i="5"/>
  <c r="CA207" i="5" s="1"/>
  <c r="CI206" i="5"/>
  <c r="CI207" i="5" s="1"/>
  <c r="BE206" i="5"/>
  <c r="BE207" i="5" s="1"/>
  <c r="BR206" i="5"/>
  <c r="BR207" i="5" s="1"/>
  <c r="BY206" i="5"/>
  <c r="BY207" i="5" s="1"/>
  <c r="BF206" i="5"/>
  <c r="BF207" i="5" s="1"/>
  <c r="BQ206" i="5"/>
  <c r="BQ207" i="5" s="1"/>
  <c r="CC206" i="5"/>
  <c r="CC207" i="5" s="1"/>
  <c r="BG206" i="5"/>
  <c r="BG207" i="5" s="1"/>
  <c r="BS206" i="5"/>
  <c r="BS207" i="5" s="1"/>
  <c r="CE206" i="5"/>
  <c r="CE207" i="5" s="1"/>
  <c r="BH206" i="5"/>
  <c r="BH207" i="5" s="1"/>
  <c r="BT206" i="5"/>
  <c r="BT207" i="5" s="1"/>
  <c r="CD206" i="5"/>
  <c r="CD207" i="5" s="1"/>
  <c r="BI206" i="5"/>
  <c r="BI207" i="5" s="1"/>
  <c r="BU206" i="5"/>
  <c r="BU207" i="5" s="1"/>
  <c r="CK206" i="5"/>
  <c r="CK207" i="5" s="1"/>
  <c r="F75" i="13"/>
  <c r="F80" i="13" s="1"/>
  <c r="BJ206" i="5"/>
  <c r="BJ207" i="5" s="1"/>
  <c r="BV206" i="5"/>
  <c r="BV207" i="5" s="1"/>
  <c r="CF206" i="5"/>
  <c r="CF207" i="5" s="1"/>
  <c r="BB59" i="5"/>
  <c r="CB74" i="5"/>
  <c r="CB87" i="5"/>
  <c r="BC111" i="5"/>
  <c r="CB78" i="5"/>
  <c r="BB96" i="5"/>
  <c r="BC5" i="5"/>
  <c r="BO123" i="5"/>
  <c r="BB37" i="5"/>
  <c r="CB6" i="5"/>
  <c r="BB168" i="5"/>
  <c r="BZ168" i="5" s="1"/>
  <c r="BN148" i="5"/>
  <c r="BN111" i="5"/>
  <c r="BC77" i="5"/>
  <c r="CB86" i="5"/>
  <c r="BC201" i="5"/>
  <c r="CB93" i="5"/>
  <c r="CB23" i="5"/>
  <c r="CB37" i="5"/>
  <c r="BB8" i="5"/>
  <c r="CB75" i="5"/>
  <c r="CB3" i="5"/>
  <c r="BO158" i="5"/>
  <c r="CB91" i="5"/>
  <c r="CB102" i="5"/>
  <c r="CB70" i="5"/>
  <c r="BC114" i="5"/>
  <c r="BC105" i="5"/>
  <c r="BN105" i="5"/>
  <c r="CB13" i="5"/>
  <c r="CB77" i="5"/>
  <c r="BN172" i="5"/>
  <c r="BZ172" i="5" s="1"/>
  <c r="CB106" i="5"/>
  <c r="BO72" i="5"/>
  <c r="CB98" i="5"/>
  <c r="CB94" i="5"/>
  <c r="CB36" i="5"/>
  <c r="CB134" i="5"/>
  <c r="BC71" i="5"/>
  <c r="BN131" i="5"/>
  <c r="BZ131" i="5" s="1"/>
  <c r="BC153" i="5"/>
  <c r="CB22" i="5"/>
  <c r="BO60" i="5"/>
  <c r="BO108" i="5"/>
  <c r="BB9" i="5"/>
  <c r="BZ9" i="5" s="1"/>
  <c r="BN186" i="5"/>
  <c r="BZ186" i="5" s="1"/>
  <c r="CB71" i="5"/>
  <c r="BB33" i="5"/>
  <c r="CB104" i="5"/>
  <c r="BC124" i="5"/>
  <c r="BC67" i="5"/>
  <c r="CB59" i="5"/>
  <c r="BC145" i="5"/>
  <c r="CB88" i="5"/>
  <c r="BN6" i="5"/>
  <c r="BB108" i="5"/>
  <c r="CB170" i="5"/>
  <c r="BX170" i="5"/>
  <c r="CB18" i="5"/>
  <c r="BN174" i="5"/>
  <c r="BZ174" i="5" s="1"/>
  <c r="BB171" i="5"/>
  <c r="BN107" i="5"/>
  <c r="BC7" i="5"/>
  <c r="BN7" i="5"/>
  <c r="BN78" i="5"/>
  <c r="BX63" i="5"/>
  <c r="CB34" i="5"/>
  <c r="CB33" i="5"/>
  <c r="BO40" i="5"/>
  <c r="BO89" i="5"/>
  <c r="BO10" i="5"/>
  <c r="BC106" i="5"/>
  <c r="BN70" i="5"/>
  <c r="CB72" i="5"/>
  <c r="BO150" i="5"/>
  <c r="BC27" i="5"/>
  <c r="CB114" i="5"/>
  <c r="BB149" i="5"/>
  <c r="BZ149" i="5" s="1"/>
  <c r="BO95" i="5"/>
  <c r="BC127" i="5"/>
  <c r="CB35" i="5"/>
  <c r="BC18" i="5"/>
  <c r="BB2" i="5"/>
  <c r="CB42" i="5"/>
  <c r="BL127" i="5"/>
  <c r="BC165" i="5"/>
  <c r="CB20" i="5"/>
  <c r="BB163" i="5"/>
  <c r="BZ163" i="5" s="1"/>
  <c r="BC35" i="5"/>
  <c r="BN67" i="5"/>
  <c r="CB96" i="5"/>
  <c r="CB4" i="5"/>
  <c r="CB111" i="5"/>
  <c r="CB66" i="5"/>
  <c r="BC49" i="5"/>
  <c r="BC79" i="5"/>
  <c r="BN29" i="5"/>
  <c r="BZ29" i="5" s="1"/>
  <c r="CB113" i="5"/>
  <c r="CB7" i="5"/>
  <c r="BC112" i="5"/>
  <c r="BL62" i="5"/>
  <c r="BN62" i="5"/>
  <c r="BZ62" i="5" s="1"/>
  <c r="BN197" i="5"/>
  <c r="CB110" i="5"/>
  <c r="CB84" i="5"/>
  <c r="BL170" i="5"/>
  <c r="BL177" i="5"/>
  <c r="BN126" i="5"/>
  <c r="BZ126" i="5" s="1"/>
  <c r="CB11" i="5"/>
  <c r="BB154" i="5"/>
  <c r="BZ154" i="5" s="1"/>
  <c r="BL168" i="5"/>
  <c r="BN175" i="5"/>
  <c r="BZ175" i="5" s="1"/>
  <c r="BO134" i="5"/>
  <c r="BC141" i="5"/>
  <c r="CB83" i="5"/>
  <c r="BB162" i="5"/>
  <c r="BZ162" i="5" s="1"/>
  <c r="BN196" i="5"/>
  <c r="BZ196" i="5" s="1"/>
  <c r="BN132" i="5"/>
  <c r="BZ132" i="5" s="1"/>
  <c r="BO25" i="5"/>
  <c r="BO103" i="5"/>
  <c r="BO109" i="5"/>
  <c r="BN91" i="5"/>
  <c r="BC184" i="5"/>
  <c r="CB137" i="5"/>
  <c r="BO9" i="5"/>
  <c r="BO70" i="5"/>
  <c r="BO100" i="5"/>
  <c r="BO58" i="5"/>
  <c r="BO113" i="5"/>
  <c r="CB85" i="5"/>
  <c r="CB76" i="5"/>
  <c r="CB19" i="5"/>
  <c r="BO90" i="5"/>
  <c r="CB90" i="5"/>
  <c r="BO116" i="5"/>
  <c r="CB138" i="5"/>
  <c r="BC174" i="5"/>
  <c r="BN43" i="5"/>
  <c r="BB143" i="5"/>
  <c r="BZ143" i="5" s="1"/>
  <c r="CB27" i="5"/>
  <c r="BO156" i="5"/>
  <c r="BL28" i="5"/>
  <c r="BL135" i="5"/>
  <c r="BB19" i="5"/>
  <c r="BC162" i="5"/>
  <c r="BB55" i="5"/>
  <c r="BZ55" i="5" s="1"/>
  <c r="BC69" i="5"/>
  <c r="BC160" i="5"/>
  <c r="BC159" i="5"/>
  <c r="BO115" i="5"/>
  <c r="BL184" i="5"/>
  <c r="BB75" i="5"/>
  <c r="BB26" i="5"/>
  <c r="BZ26" i="5" s="1"/>
  <c r="BC161" i="5"/>
  <c r="CB97" i="5"/>
  <c r="BB189" i="5"/>
  <c r="BZ189" i="5" s="1"/>
  <c r="BB188" i="5"/>
  <c r="BZ188" i="5" s="1"/>
  <c r="BN195" i="5"/>
  <c r="CB25" i="5"/>
  <c r="BC39" i="5"/>
  <c r="BC52" i="5"/>
  <c r="BC17" i="5"/>
  <c r="BB152" i="5"/>
  <c r="BZ152" i="5" s="1"/>
  <c r="BC45" i="5"/>
  <c r="BO6" i="5"/>
  <c r="BN179" i="5"/>
  <c r="BZ179" i="5" s="1"/>
  <c r="BC51" i="5"/>
  <c r="BC194" i="5"/>
  <c r="BB164" i="5"/>
  <c r="BZ164" i="5" s="1"/>
  <c r="BO164" i="5"/>
  <c r="BC36" i="5"/>
  <c r="BB65" i="5"/>
  <c r="BZ65" i="5" s="1"/>
  <c r="BB136" i="5"/>
  <c r="BZ136" i="5" s="1"/>
  <c r="BB72" i="5"/>
  <c r="BO8" i="5"/>
  <c r="BB155" i="5"/>
  <c r="BZ155" i="5" s="1"/>
  <c r="BB156" i="5"/>
  <c r="BZ156" i="5" s="1"/>
  <c r="BO99" i="5"/>
  <c r="BB57" i="5"/>
  <c r="BZ57" i="5" s="1"/>
  <c r="BB128" i="5"/>
  <c r="BZ128" i="5" s="1"/>
  <c r="BB64" i="5"/>
  <c r="BZ64" i="5" s="1"/>
  <c r="BO85" i="5"/>
  <c r="CB148" i="5"/>
  <c r="CB12" i="5"/>
  <c r="BC19" i="5"/>
  <c r="BL123" i="5"/>
  <c r="BO2" i="5"/>
  <c r="BO33" i="5"/>
  <c r="BB54" i="5"/>
  <c r="BZ54" i="5" s="1"/>
  <c r="CB82" i="5"/>
  <c r="BO59" i="5"/>
  <c r="BL152" i="5"/>
  <c r="BN194" i="5"/>
  <c r="BZ194" i="5" s="1"/>
  <c r="BB73" i="5"/>
  <c r="BB80" i="5"/>
  <c r="BZ80" i="5" s="1"/>
  <c r="BN151" i="5"/>
  <c r="BZ171" i="5"/>
  <c r="BC65" i="5"/>
  <c r="BL136" i="5"/>
  <c r="BO136" i="5"/>
  <c r="BN93" i="5"/>
  <c r="CB178" i="5"/>
  <c r="BB185" i="5"/>
  <c r="BZ185" i="5" s="1"/>
  <c r="BO192" i="5"/>
  <c r="BC128" i="5"/>
  <c r="BO98" i="5"/>
  <c r="BO97" i="5"/>
  <c r="BO47" i="5"/>
  <c r="BN13" i="5"/>
  <c r="BZ13" i="5" s="1"/>
  <c r="BC132" i="5"/>
  <c r="BB90" i="5"/>
  <c r="BB47" i="5"/>
  <c r="BZ47" i="5" s="1"/>
  <c r="BC118" i="5"/>
  <c r="BC125" i="5"/>
  <c r="BN125" i="5"/>
  <c r="BZ125" i="5" s="1"/>
  <c r="BO61" i="5"/>
  <c r="CB195" i="5"/>
  <c r="BC82" i="5"/>
  <c r="BB32" i="5"/>
  <c r="BZ32" i="5" s="1"/>
  <c r="BO167" i="5"/>
  <c r="CB103" i="5"/>
  <c r="BB181" i="5"/>
  <c r="BZ181" i="5" s="1"/>
  <c r="BB117" i="5"/>
  <c r="BB53" i="5"/>
  <c r="BZ53" i="5" s="1"/>
  <c r="BO180" i="5"/>
  <c r="CB116" i="5"/>
  <c r="BO31" i="5"/>
  <c r="BB173" i="5"/>
  <c r="BZ173" i="5" s="1"/>
  <c r="BL42" i="5"/>
  <c r="BB44" i="5"/>
  <c r="BZ44" i="5" s="1"/>
  <c r="BC179" i="5"/>
  <c r="CB115" i="5"/>
  <c r="BB137" i="5"/>
  <c r="BC73" i="5"/>
  <c r="BL80" i="5"/>
  <c r="BO16" i="5"/>
  <c r="BC20" i="5"/>
  <c r="BN198" i="5"/>
  <c r="BZ198" i="5" s="1"/>
  <c r="BL129" i="5"/>
  <c r="BO15" i="5"/>
  <c r="BO157" i="5"/>
  <c r="BB134" i="5"/>
  <c r="BC178" i="5"/>
  <c r="BC50" i="5"/>
  <c r="BL128" i="5"/>
  <c r="CB63" i="5"/>
  <c r="BB83" i="5"/>
  <c r="BL183" i="5"/>
  <c r="BO26" i="5"/>
  <c r="BL47" i="5"/>
  <c r="BL13" i="5"/>
  <c r="BL32" i="5"/>
  <c r="BO88" i="5"/>
  <c r="CB108" i="5"/>
  <c r="BL44" i="5"/>
  <c r="BC137" i="5"/>
  <c r="CB73" i="5"/>
  <c r="BB101" i="5"/>
  <c r="BZ101" i="5" s="1"/>
  <c r="BL198" i="5"/>
  <c r="BL43" i="5"/>
  <c r="BB122" i="5"/>
  <c r="BZ122" i="5" s="1"/>
  <c r="BX191" i="5"/>
  <c r="BL121" i="5"/>
  <c r="BB71" i="5"/>
  <c r="BB142" i="5"/>
  <c r="BZ142" i="5" s="1"/>
  <c r="BC83" i="5"/>
  <c r="BL41" i="5"/>
  <c r="BN41" i="5"/>
  <c r="BZ41" i="5" s="1"/>
  <c r="BB183" i="5"/>
  <c r="BZ183" i="5" s="1"/>
  <c r="BX127" i="5"/>
  <c r="BC87" i="5"/>
  <c r="BC101" i="5"/>
  <c r="BN49" i="5"/>
  <c r="BZ49" i="5" s="1"/>
  <c r="BO56" i="5"/>
  <c r="CB107" i="5"/>
  <c r="CB8" i="5"/>
  <c r="BL155" i="5"/>
  <c r="BL191" i="5"/>
  <c r="BN177" i="5"/>
  <c r="BZ177" i="5" s="1"/>
  <c r="BO190" i="5"/>
  <c r="CB5" i="5"/>
  <c r="BX154" i="5"/>
  <c r="CB154" i="5"/>
  <c r="BX153" i="5"/>
  <c r="CB153" i="5"/>
  <c r="BX145" i="5"/>
  <c r="CB145" i="5"/>
  <c r="CB49" i="5"/>
  <c r="BX49" i="5"/>
  <c r="BX122" i="5"/>
  <c r="CB122" i="5"/>
  <c r="CB40" i="5"/>
  <c r="BX40" i="5"/>
  <c r="BX175" i="5"/>
  <c r="CB175" i="5"/>
  <c r="BX26" i="5"/>
  <c r="CB26" i="5"/>
  <c r="BX52" i="5"/>
  <c r="CB52" i="5"/>
  <c r="CB123" i="5"/>
  <c r="BX123" i="5"/>
  <c r="BX51" i="5"/>
  <c r="CB51" i="5"/>
  <c r="BX149" i="5"/>
  <c r="CB149" i="5"/>
  <c r="BX162" i="5"/>
  <c r="CB162" i="5"/>
  <c r="CB62" i="5"/>
  <c r="BX62" i="5"/>
  <c r="CB54" i="5"/>
  <c r="BX54" i="5"/>
  <c r="CB131" i="5"/>
  <c r="BX131" i="5"/>
  <c r="CB67" i="5"/>
  <c r="BX67" i="5"/>
  <c r="CB174" i="5"/>
  <c r="BX174" i="5"/>
  <c r="CB136" i="5"/>
  <c r="BX136" i="5"/>
  <c r="CB99" i="5"/>
  <c r="BX99" i="5"/>
  <c r="CB128" i="5"/>
  <c r="BX128" i="5"/>
  <c r="BX135" i="5"/>
  <c r="CB135" i="5"/>
  <c r="CB190" i="5"/>
  <c r="BX190" i="5"/>
  <c r="CB39" i="5"/>
  <c r="BX39" i="5"/>
  <c r="BX187" i="5"/>
  <c r="CB187" i="5"/>
  <c r="CB17" i="5"/>
  <c r="BX17" i="5"/>
  <c r="BX43" i="5"/>
  <c r="CB43" i="5"/>
  <c r="CB156" i="5"/>
  <c r="BX156" i="5"/>
  <c r="BX50" i="5"/>
  <c r="CB50" i="5"/>
  <c r="CB57" i="5"/>
  <c r="BX57" i="5"/>
  <c r="BX64" i="5"/>
  <c r="CB64" i="5"/>
  <c r="BX14" i="5"/>
  <c r="CB14" i="5"/>
  <c r="CB140" i="5"/>
  <c r="BX140" i="5"/>
  <c r="BX125" i="5"/>
  <c r="CB125" i="5"/>
  <c r="CB61" i="5"/>
  <c r="BX61" i="5"/>
  <c r="BX60" i="5"/>
  <c r="CB60" i="5"/>
  <c r="CB166" i="5"/>
  <c r="BX166" i="5"/>
  <c r="CB130" i="5"/>
  <c r="BX130" i="5"/>
  <c r="BX80" i="5"/>
  <c r="CB80" i="5"/>
  <c r="BX16" i="5"/>
  <c r="CB16" i="5"/>
  <c r="BX158" i="5"/>
  <c r="CB158" i="5"/>
  <c r="CB58" i="5"/>
  <c r="BX58" i="5"/>
  <c r="BX150" i="5"/>
  <c r="CB150" i="5"/>
  <c r="BX157" i="5"/>
  <c r="CB157" i="5"/>
  <c r="CB141" i="5"/>
  <c r="BX141" i="5"/>
  <c r="CB176" i="5"/>
  <c r="BX176" i="5"/>
  <c r="CB133" i="5"/>
  <c r="BX133" i="5"/>
  <c r="CB132" i="5"/>
  <c r="BX132" i="5"/>
  <c r="CB139" i="5"/>
  <c r="BX139" i="5"/>
  <c r="CB168" i="5"/>
  <c r="BX168" i="5"/>
  <c r="CB118" i="5"/>
  <c r="BX118" i="5"/>
  <c r="CB32" i="5"/>
  <c r="BX32" i="5"/>
  <c r="BX181" i="5"/>
  <c r="CB181" i="5"/>
  <c r="CB10" i="5"/>
  <c r="BX10" i="5"/>
  <c r="BX81" i="5"/>
  <c r="CB81" i="5"/>
  <c r="BX44" i="5"/>
  <c r="CB44" i="5"/>
  <c r="CB179" i="5"/>
  <c r="BX179" i="5"/>
  <c r="CB198" i="5"/>
  <c r="BX198" i="5"/>
  <c r="BX121" i="5"/>
  <c r="CB121" i="5"/>
  <c r="BX183" i="5"/>
  <c r="CB183" i="5"/>
  <c r="CB119" i="5"/>
  <c r="BX119" i="5"/>
  <c r="CB120" i="5"/>
  <c r="BX120" i="5"/>
  <c r="CB41" i="5"/>
  <c r="BX41" i="5"/>
  <c r="CB182" i="5"/>
  <c r="BX182" i="5"/>
  <c r="CB146" i="5"/>
  <c r="BX146" i="5"/>
  <c r="CB184" i="5"/>
  <c r="BX184" i="5"/>
  <c r="BX165" i="5"/>
  <c r="CB165" i="5"/>
  <c r="CB29" i="5"/>
  <c r="BX29" i="5"/>
  <c r="CB155" i="5"/>
  <c r="BX155" i="5"/>
  <c r="CB147" i="5"/>
  <c r="BX147" i="5"/>
  <c r="CB48" i="5"/>
  <c r="BX48" i="5"/>
  <c r="BX196" i="5"/>
  <c r="CB196" i="5"/>
  <c r="CB124" i="5"/>
  <c r="BX124" i="5"/>
  <c r="CB89" i="5"/>
  <c r="BX89" i="5"/>
  <c r="BX180" i="5"/>
  <c r="CB180" i="5"/>
  <c r="CB201" i="5"/>
  <c r="BX201" i="5"/>
  <c r="CB56" i="5"/>
  <c r="BX56" i="5"/>
  <c r="BX193" i="5"/>
  <c r="CB193" i="5"/>
  <c r="CB24" i="5"/>
  <c r="BX24" i="5"/>
  <c r="CB55" i="5"/>
  <c r="BX55" i="5"/>
  <c r="BN180" i="5"/>
  <c r="BZ180" i="5" s="1"/>
  <c r="BX172" i="5"/>
  <c r="CB172" i="5"/>
  <c r="BN201" i="5"/>
  <c r="BZ201" i="5" s="1"/>
  <c r="BX144" i="5"/>
  <c r="CB144" i="5"/>
  <c r="BO151" i="5"/>
  <c r="BY30" i="5"/>
  <c r="BY204" i="5" s="1"/>
  <c r="BY205" i="5" s="1"/>
  <c r="CB30" i="5"/>
  <c r="BX171" i="5"/>
  <c r="CB171" i="5"/>
  <c r="BO122" i="5"/>
  <c r="BX129" i="5"/>
  <c r="CB129" i="5"/>
  <c r="CB200" i="5"/>
  <c r="BX200" i="5"/>
  <c r="BB79" i="5"/>
  <c r="BB15" i="5"/>
  <c r="BZ15" i="5" s="1"/>
  <c r="BN113" i="5"/>
  <c r="CB92" i="5"/>
  <c r="BX92" i="5"/>
  <c r="BX192" i="5"/>
  <c r="CB192" i="5"/>
  <c r="CB21" i="5"/>
  <c r="BX21" i="5"/>
  <c r="BO63" i="5"/>
  <c r="BX169" i="5"/>
  <c r="CB169" i="5"/>
  <c r="CB126" i="5"/>
  <c r="BX126" i="5"/>
  <c r="BO175" i="5"/>
  <c r="BX53" i="5"/>
  <c r="CB53" i="5"/>
  <c r="BO154" i="5"/>
  <c r="BC54" i="5"/>
  <c r="BL125" i="5"/>
  <c r="BB61" i="5"/>
  <c r="BZ61" i="5" s="1"/>
  <c r="BC13" i="5"/>
  <c r="BL124" i="5"/>
  <c r="BB60" i="5"/>
  <c r="BZ60" i="5" s="1"/>
  <c r="BL67" i="5"/>
  <c r="BN153" i="5"/>
  <c r="BZ153" i="5" s="1"/>
  <c r="BB89" i="5"/>
  <c r="BZ89" i="5" s="1"/>
  <c r="BL174" i="5"/>
  <c r="BC117" i="5"/>
  <c r="BL52" i="5"/>
  <c r="BN187" i="5"/>
  <c r="BZ187" i="5" s="1"/>
  <c r="BK204" i="5"/>
  <c r="BK205" i="5" s="1"/>
  <c r="BS204" i="5"/>
  <c r="BS205" i="5" s="1"/>
  <c r="BN145" i="5"/>
  <c r="BB81" i="5"/>
  <c r="BZ81" i="5" s="1"/>
  <c r="BN17" i="5"/>
  <c r="BZ17" i="5" s="1"/>
  <c r="BB88" i="5"/>
  <c r="BB24" i="5"/>
  <c r="BZ24" i="5" s="1"/>
  <c r="BL159" i="5"/>
  <c r="BX159" i="5"/>
  <c r="CB159" i="5"/>
  <c r="BB95" i="5"/>
  <c r="BB31" i="5"/>
  <c r="BZ31" i="5" s="1"/>
  <c r="BC173" i="5"/>
  <c r="CB109" i="5"/>
  <c r="CB45" i="5"/>
  <c r="BX45" i="5"/>
  <c r="BL194" i="5"/>
  <c r="BB16" i="5"/>
  <c r="BZ16" i="5" s="1"/>
  <c r="CB151" i="5"/>
  <c r="BX151" i="5"/>
  <c r="BB23" i="5"/>
  <c r="BL158" i="5"/>
  <c r="BO37" i="5"/>
  <c r="BN20" i="5"/>
  <c r="BN106" i="5"/>
  <c r="BL49" i="5"/>
  <c r="CB100" i="5"/>
  <c r="BL58" i="5"/>
  <c r="BN58" i="5"/>
  <c r="BZ58" i="5" s="1"/>
  <c r="BO193" i="5"/>
  <c r="BL15" i="5"/>
  <c r="CB15" i="5"/>
  <c r="BX15" i="5"/>
  <c r="BL150" i="5"/>
  <c r="BO191" i="5"/>
  <c r="BN28" i="5"/>
  <c r="BZ28" i="5" s="1"/>
  <c r="BN178" i="5"/>
  <c r="BN114" i="5"/>
  <c r="BL50" i="5"/>
  <c r="BN50" i="5"/>
  <c r="BZ50" i="5" s="1"/>
  <c r="BC57" i="5"/>
  <c r="BC199" i="5"/>
  <c r="CB199" i="5"/>
  <c r="BX199" i="5"/>
  <c r="BO135" i="5"/>
  <c r="BO14" i="5"/>
  <c r="BC149" i="5"/>
  <c r="BB120" i="5"/>
  <c r="BZ120" i="5" s="1"/>
  <c r="BB63" i="5"/>
  <c r="BZ63" i="5" s="1"/>
  <c r="BL141" i="5"/>
  <c r="BN141" i="5"/>
  <c r="BZ141" i="5" s="1"/>
  <c r="BN76" i="5"/>
  <c r="BO34" i="5"/>
  <c r="BB176" i="5"/>
  <c r="BZ176" i="5" s="1"/>
  <c r="BO48" i="5"/>
  <c r="BO55" i="5"/>
  <c r="BO197" i="5"/>
  <c r="BB133" i="5"/>
  <c r="BZ133" i="5" s="1"/>
  <c r="BJ204" i="5"/>
  <c r="BJ205" i="5" s="1"/>
  <c r="BR204" i="5"/>
  <c r="BR205" i="5" s="1"/>
  <c r="BL132" i="5"/>
  <c r="BN4" i="5"/>
  <c r="BN139" i="5"/>
  <c r="BZ139" i="5" s="1"/>
  <c r="BB104" i="5"/>
  <c r="BB40" i="5"/>
  <c r="BZ40" i="5" s="1"/>
  <c r="BB68" i="5"/>
  <c r="BO139" i="5"/>
  <c r="BO75" i="5"/>
  <c r="BO11" i="5"/>
  <c r="BL26" i="5"/>
  <c r="BN97" i="5"/>
  <c r="BC104" i="5"/>
  <c r="BB182" i="5"/>
  <c r="BZ182" i="5" s="1"/>
  <c r="BL54" i="5"/>
  <c r="BO189" i="5"/>
  <c r="BN124" i="5"/>
  <c r="BZ124" i="5" s="1"/>
  <c r="BB3" i="5"/>
  <c r="BB146" i="5"/>
  <c r="BZ146" i="5" s="1"/>
  <c r="BN18" i="5"/>
  <c r="BO32" i="5"/>
  <c r="BB167" i="5"/>
  <c r="BZ167" i="5" s="1"/>
  <c r="BB110" i="5"/>
  <c r="BB46" i="5"/>
  <c r="BZ46" i="5" s="1"/>
  <c r="BL117" i="5"/>
  <c r="BN52" i="5"/>
  <c r="BZ52" i="5" s="1"/>
  <c r="BD204" i="5"/>
  <c r="BD205" i="5" s="1"/>
  <c r="BT204" i="5"/>
  <c r="BT205" i="5" s="1"/>
  <c r="CC204" i="5"/>
  <c r="CC205" i="5" s="1"/>
  <c r="F10" i="12"/>
  <c r="D4" i="10"/>
  <c r="BB138" i="5"/>
  <c r="BB74" i="5"/>
  <c r="BB10" i="5"/>
  <c r="BZ10" i="5" s="1"/>
  <c r="BC81" i="5"/>
  <c r="BO152" i="5"/>
  <c r="BC24" i="5"/>
  <c r="BB166" i="5"/>
  <c r="BZ166" i="5" s="1"/>
  <c r="BO102" i="5"/>
  <c r="BO38" i="5"/>
  <c r="BL173" i="5"/>
  <c r="BB84" i="5"/>
  <c r="BB42" i="5"/>
  <c r="BZ42" i="5" s="1"/>
  <c r="CB127" i="5"/>
  <c r="BN115" i="5"/>
  <c r="BN51" i="5"/>
  <c r="BZ51" i="5" s="1"/>
  <c r="BB130" i="5"/>
  <c r="BZ130" i="5" s="1"/>
  <c r="BO66" i="5"/>
  <c r="BL9" i="5"/>
  <c r="BO80" i="5"/>
  <c r="BL151" i="5"/>
  <c r="BB87" i="5"/>
  <c r="BC23" i="5"/>
  <c r="BN158" i="5"/>
  <c r="BZ158" i="5" s="1"/>
  <c r="BB94" i="5"/>
  <c r="BB30" i="5"/>
  <c r="BL101" i="5"/>
  <c r="BB56" i="5"/>
  <c r="BZ56" i="5" s="1"/>
  <c r="BL164" i="5"/>
  <c r="BC186" i="5"/>
  <c r="BB193" i="5"/>
  <c r="BZ193" i="5" s="1"/>
  <c r="BL65" i="5"/>
  <c r="BB200" i="5"/>
  <c r="BZ200" i="5" s="1"/>
  <c r="CB79" i="5"/>
  <c r="BN150" i="5"/>
  <c r="BZ150" i="5" s="1"/>
  <c r="BB86" i="5"/>
  <c r="BB22" i="5"/>
  <c r="BB157" i="5"/>
  <c r="BZ157" i="5" s="1"/>
  <c r="BO93" i="5"/>
  <c r="BO29" i="5"/>
  <c r="BL156" i="5"/>
  <c r="BC163" i="5"/>
  <c r="BN99" i="5"/>
  <c r="BZ99" i="5" s="1"/>
  <c r="BO121" i="5"/>
  <c r="BL57" i="5"/>
  <c r="BC64" i="5"/>
  <c r="BN135" i="5"/>
  <c r="BZ135" i="5" s="1"/>
  <c r="BO78" i="5"/>
  <c r="BL149" i="5"/>
  <c r="BO177" i="5"/>
  <c r="BC120" i="5"/>
  <c r="BB140" i="5"/>
  <c r="BZ140" i="5" s="1"/>
  <c r="BO76" i="5"/>
  <c r="BO12" i="5"/>
  <c r="BL162" i="5"/>
  <c r="BO41" i="5"/>
  <c r="BC176" i="5"/>
  <c r="BB119" i="5"/>
  <c r="BZ119" i="5" s="1"/>
  <c r="BL190" i="5"/>
  <c r="BO62" i="5"/>
  <c r="BC133" i="5"/>
  <c r="BN5" i="5"/>
  <c r="BX189" i="5"/>
  <c r="CB189" i="5"/>
  <c r="AB11" i="12"/>
  <c r="AB45" i="12" s="1"/>
  <c r="G39" i="12"/>
  <c r="AA11" i="12"/>
  <c r="J11" i="12"/>
  <c r="BX188" i="5"/>
  <c r="CB188" i="5"/>
  <c r="CB160" i="5"/>
  <c r="BX160" i="5"/>
  <c r="CB46" i="5"/>
  <c r="BX46" i="5"/>
  <c r="BC68" i="5"/>
  <c r="BC4" i="5"/>
  <c r="BB161" i="5"/>
  <c r="BZ161" i="5" s="1"/>
  <c r="BL40" i="5"/>
  <c r="BC182" i="5"/>
  <c r="BL61" i="5"/>
  <c r="BO188" i="5"/>
  <c r="BL60" i="5"/>
  <c r="BC3" i="5"/>
  <c r="BC146" i="5"/>
  <c r="BL89" i="5"/>
  <c r="BB25" i="5"/>
  <c r="BB160" i="5"/>
  <c r="BZ160" i="5" s="1"/>
  <c r="BO96" i="5"/>
  <c r="BC110" i="5"/>
  <c r="BC46" i="5"/>
  <c r="BN116" i="5"/>
  <c r="BC187" i="5"/>
  <c r="AV204" i="5"/>
  <c r="AV205" i="5" s="1"/>
  <c r="BE204" i="5"/>
  <c r="BE205" i="5" s="1"/>
  <c r="BU204" i="5"/>
  <c r="BU205" i="5" s="1"/>
  <c r="CD204" i="5"/>
  <c r="CD205" i="5" s="1"/>
  <c r="BC138" i="5"/>
  <c r="BC74" i="5"/>
  <c r="BL81" i="5"/>
  <c r="CB152" i="5"/>
  <c r="BX152" i="5"/>
  <c r="BL24" i="5"/>
  <c r="BL31" i="5"/>
  <c r="BC166" i="5"/>
  <c r="BX38" i="5"/>
  <c r="CB38" i="5"/>
  <c r="BB109" i="5"/>
  <c r="BB45" i="5"/>
  <c r="BZ45" i="5" s="1"/>
  <c r="BC84" i="5"/>
  <c r="BC91" i="5"/>
  <c r="BC42" i="5"/>
  <c r="BN127" i="5"/>
  <c r="BZ127" i="5" s="1"/>
  <c r="BO44" i="5"/>
  <c r="BL179" i="5"/>
  <c r="BC130" i="5"/>
  <c r="CB9" i="5"/>
  <c r="BX9" i="5"/>
  <c r="BB144" i="5"/>
  <c r="BZ144" i="5" s="1"/>
  <c r="BL16" i="5"/>
  <c r="BC94" i="5"/>
  <c r="BC30" i="5"/>
  <c r="CA30" i="5" s="1"/>
  <c r="CA204" i="5" s="1"/>
  <c r="CA205" i="5" s="1"/>
  <c r="BB100" i="5"/>
  <c r="BB36" i="5"/>
  <c r="BO171" i="5"/>
  <c r="BO107" i="5"/>
  <c r="BO43" i="5"/>
  <c r="BL186" i="5"/>
  <c r="BC86" i="5"/>
  <c r="BC22" i="5"/>
  <c r="BC155" i="5"/>
  <c r="BB191" i="5"/>
  <c r="BZ191" i="5" s="1"/>
  <c r="BB92" i="5"/>
  <c r="BZ92" i="5" s="1"/>
  <c r="BO28" i="5"/>
  <c r="BL163" i="5"/>
  <c r="BC185" i="5"/>
  <c r="BB192" i="5"/>
  <c r="BZ192" i="5" s="1"/>
  <c r="BL64" i="5"/>
  <c r="BC142" i="5"/>
  <c r="BN14" i="5"/>
  <c r="BZ14" i="5" s="1"/>
  <c r="BB85" i="5"/>
  <c r="BB21" i="5"/>
  <c r="BZ21" i="5" s="1"/>
  <c r="BL63" i="5"/>
  <c r="BO148" i="5"/>
  <c r="BB170" i="5"/>
  <c r="BZ170" i="5" s="1"/>
  <c r="CB177" i="5"/>
  <c r="BX177" i="5"/>
  <c r="BC140" i="5"/>
  <c r="BB98" i="5"/>
  <c r="BB34" i="5"/>
  <c r="BB169" i="5"/>
  <c r="BZ169" i="5" s="1"/>
  <c r="BL176" i="5"/>
  <c r="BO183" i="5"/>
  <c r="BC119" i="5"/>
  <c r="BN190" i="5"/>
  <c r="BZ190" i="5" s="1"/>
  <c r="BL133" i="5"/>
  <c r="BO196" i="5"/>
  <c r="BL139" i="5"/>
  <c r="BL182" i="5"/>
  <c r="BL146" i="5"/>
  <c r="BL46" i="5"/>
  <c r="BO181" i="5"/>
  <c r="BC53" i="5"/>
  <c r="BB77" i="5"/>
  <c r="BL187" i="5"/>
  <c r="BN123" i="5"/>
  <c r="BZ123" i="5" s="1"/>
  <c r="AU204" i="5"/>
  <c r="AU205" i="5" s="1"/>
  <c r="BF204" i="5"/>
  <c r="BF205" i="5" s="1"/>
  <c r="BV204" i="5"/>
  <c r="BV205" i="5" s="1"/>
  <c r="CE204" i="5"/>
  <c r="CE205" i="5" s="1"/>
  <c r="F12" i="12"/>
  <c r="F40" i="12" s="1"/>
  <c r="D6" i="10"/>
  <c r="BL10" i="5"/>
  <c r="CB31" i="5"/>
  <c r="BX31" i="5"/>
  <c r="BL166" i="5"/>
  <c r="BC172" i="5"/>
  <c r="CB194" i="5"/>
  <c r="BX194" i="5"/>
  <c r="BL130" i="5"/>
  <c r="BC144" i="5"/>
  <c r="BM30" i="5"/>
  <c r="BM204" i="5" s="1"/>
  <c r="BM205" i="5" s="1"/>
  <c r="BL56" i="5"/>
  <c r="BO198" i="5"/>
  <c r="BZ43" i="5"/>
  <c r="BL193" i="5"/>
  <c r="BO129" i="5"/>
  <c r="CB65" i="5"/>
  <c r="BX65" i="5"/>
  <c r="BC200" i="5"/>
  <c r="BL157" i="5"/>
  <c r="BN27" i="5"/>
  <c r="BC92" i="5"/>
  <c r="CB28" i="5"/>
  <c r="BX28" i="5"/>
  <c r="BL185" i="5"/>
  <c r="BL142" i="5"/>
  <c r="BC21" i="5"/>
  <c r="BC170" i="5"/>
  <c r="BL140" i="5"/>
  <c r="BN12" i="5"/>
  <c r="BN147" i="5"/>
  <c r="BZ147" i="5" s="1"/>
  <c r="BC169" i="5"/>
  <c r="CB105" i="5"/>
  <c r="BB48" i="5"/>
  <c r="BZ48" i="5" s="1"/>
  <c r="BL119" i="5"/>
  <c r="BC126" i="5"/>
  <c r="BB69" i="5"/>
  <c r="BX161" i="5"/>
  <c r="CB161" i="5"/>
  <c r="BO168" i="5"/>
  <c r="CB47" i="5"/>
  <c r="BX47" i="5"/>
  <c r="BB118" i="5"/>
  <c r="BZ118" i="5" s="1"/>
  <c r="BL189" i="5"/>
  <c r="BL188" i="5"/>
  <c r="BC195" i="5"/>
  <c r="BC131" i="5"/>
  <c r="BZ67" i="5"/>
  <c r="BB82" i="5"/>
  <c r="BL160" i="5"/>
  <c r="BL167" i="5"/>
  <c r="BB103" i="5"/>
  <c r="BB39" i="5"/>
  <c r="BZ39" i="5" s="1"/>
  <c r="CB117" i="5"/>
  <c r="BL53" i="5"/>
  <c r="AY204" i="5"/>
  <c r="AY205" i="5" s="1"/>
  <c r="BG204" i="5"/>
  <c r="BG205" i="5" s="1"/>
  <c r="BW204" i="5"/>
  <c r="BW205" i="5" s="1"/>
  <c r="CI204" i="5"/>
  <c r="CI205" i="5" s="1"/>
  <c r="BL17" i="5"/>
  <c r="CB95" i="5"/>
  <c r="BB102" i="5"/>
  <c r="BB38" i="5"/>
  <c r="CB173" i="5"/>
  <c r="BX173" i="5"/>
  <c r="BL45" i="5"/>
  <c r="BB184" i="5"/>
  <c r="BZ184" i="5" s="1"/>
  <c r="BL172" i="5"/>
  <c r="BB66" i="5"/>
  <c r="BL144" i="5"/>
  <c r="BB165" i="5"/>
  <c r="BZ165" i="5" s="1"/>
  <c r="CB101" i="5"/>
  <c r="BX101" i="5"/>
  <c r="BX164" i="5"/>
  <c r="CB164" i="5"/>
  <c r="BL171" i="5"/>
  <c r="BL200" i="5"/>
  <c r="BO143" i="5"/>
  <c r="BL92" i="5"/>
  <c r="BN35" i="5"/>
  <c r="BL192" i="5"/>
  <c r="BB199" i="5"/>
  <c r="BZ199" i="5" s="1"/>
  <c r="BL21" i="5"/>
  <c r="BX13" i="5"/>
  <c r="BL169" i="5"/>
  <c r="BB112" i="5"/>
  <c r="BL126" i="5"/>
  <c r="BL161" i="5"/>
  <c r="BL131" i="5"/>
  <c r="CB167" i="5"/>
  <c r="BX167" i="5"/>
  <c r="BL180" i="5"/>
  <c r="AZ204" i="5"/>
  <c r="AZ205" i="5" s="1"/>
  <c r="BH204" i="5"/>
  <c r="BH205" i="5" s="1"/>
  <c r="BP204" i="5"/>
  <c r="BP205" i="5" s="1"/>
  <c r="CB2" i="5"/>
  <c r="CF204" i="5"/>
  <c r="CF205" i="5" s="1"/>
  <c r="BL51" i="5"/>
  <c r="BZ151" i="5"/>
  <c r="CB186" i="5"/>
  <c r="BX186" i="5"/>
  <c r="BL122" i="5"/>
  <c r="BB129" i="5"/>
  <c r="BZ129" i="5" s="1"/>
  <c r="BL143" i="5"/>
  <c r="CB143" i="5"/>
  <c r="BX143" i="5"/>
  <c r="CB191" i="5"/>
  <c r="BX163" i="5"/>
  <c r="CB163" i="5"/>
  <c r="BL99" i="5"/>
  <c r="BX185" i="5"/>
  <c r="CB185" i="5"/>
  <c r="BB121" i="5"/>
  <c r="BZ121" i="5" s="1"/>
  <c r="BL199" i="5"/>
  <c r="BC147" i="5"/>
  <c r="BL48" i="5"/>
  <c r="BL55" i="5"/>
  <c r="BX42" i="5"/>
  <c r="BL196" i="5"/>
  <c r="BL175" i="5"/>
  <c r="BL154" i="5"/>
  <c r="BL118" i="5"/>
  <c r="BL153" i="5"/>
  <c r="BL39" i="5"/>
  <c r="BL181" i="5"/>
  <c r="BA204" i="5"/>
  <c r="BA205" i="5" s="1"/>
  <c r="BI204" i="5"/>
  <c r="BI205" i="5" s="1"/>
  <c r="BQ204" i="5"/>
  <c r="BQ205" i="5" s="1"/>
  <c r="CG204" i="5"/>
  <c r="CG205" i="5" s="1"/>
  <c r="BL145" i="5"/>
  <c r="BB159" i="5"/>
  <c r="BZ159" i="5" s="1"/>
  <c r="BL38" i="5"/>
  <c r="BL201" i="5"/>
  <c r="BL165" i="5"/>
  <c r="BL29" i="5"/>
  <c r="BX142" i="5"/>
  <c r="CB142" i="5"/>
  <c r="BL14" i="5"/>
  <c r="BL147" i="5"/>
  <c r="D14" i="7"/>
  <c r="AA39" i="13" l="1"/>
  <c r="I63" i="14"/>
  <c r="I67" i="14" s="1"/>
  <c r="G67" i="14"/>
  <c r="G45" i="14"/>
  <c r="I45" i="14"/>
  <c r="BX117" i="5"/>
  <c r="AX227" i="5"/>
  <c r="D51" i="10"/>
  <c r="D54" i="10" s="1"/>
  <c r="BA223" i="5"/>
  <c r="AZ223" i="5"/>
  <c r="AZ224" i="5" s="1"/>
  <c r="AW223" i="5"/>
  <c r="AW224" i="5" s="1"/>
  <c r="AW227" i="5"/>
  <c r="AW228" i="5" s="1"/>
  <c r="AW225" i="5"/>
  <c r="AW226" i="5" s="1"/>
  <c r="G10" i="16"/>
  <c r="E48" i="10"/>
  <c r="I48" i="10"/>
  <c r="K10" i="16"/>
  <c r="AX225" i="5"/>
  <c r="AZ225" i="5"/>
  <c r="AZ226" i="5" s="1"/>
  <c r="M12" i="16"/>
  <c r="M40" i="16" s="1"/>
  <c r="K50" i="10"/>
  <c r="AX223" i="5"/>
  <c r="AZ227" i="5"/>
  <c r="AZ228" i="5" s="1"/>
  <c r="F13" i="16"/>
  <c r="F16" i="16" s="1"/>
  <c r="F38" i="16"/>
  <c r="F41" i="16" s="1"/>
  <c r="I12" i="16"/>
  <c r="I40" i="16" s="1"/>
  <c r="G50" i="10"/>
  <c r="G12" i="16"/>
  <c r="E50" i="10"/>
  <c r="BA227" i="5"/>
  <c r="L12" i="16"/>
  <c r="J50" i="10"/>
  <c r="BA225" i="5"/>
  <c r="AA39" i="16"/>
  <c r="J39" i="16"/>
  <c r="BZ145" i="5"/>
  <c r="BZ214" i="5" s="1"/>
  <c r="BZ215" i="5" s="1"/>
  <c r="BN214" i="5"/>
  <c r="BN215" i="5" s="1"/>
  <c r="BL214" i="5"/>
  <c r="BL215" i="5" s="1"/>
  <c r="BB214" i="5"/>
  <c r="BB215" i="5" s="1"/>
  <c r="BX214" i="5"/>
  <c r="BX215" i="5" s="1"/>
  <c r="CB214" i="5"/>
  <c r="CB215" i="5" s="1"/>
  <c r="BC214" i="5"/>
  <c r="BC215" i="5" s="1"/>
  <c r="BO214" i="5"/>
  <c r="BO215" i="5" s="1"/>
  <c r="D40" i="10"/>
  <c r="D43" i="10" s="1"/>
  <c r="CB68" i="5"/>
  <c r="BN210" i="5"/>
  <c r="BN211" i="5" s="1"/>
  <c r="F13" i="15"/>
  <c r="F16" i="15" s="1"/>
  <c r="F38" i="15"/>
  <c r="F41" i="15" s="1"/>
  <c r="BO210" i="5"/>
  <c r="BO211" i="5" s="1"/>
  <c r="I12" i="15"/>
  <c r="I40" i="15" s="1"/>
  <c r="G39" i="10"/>
  <c r="E39" i="10"/>
  <c r="G12" i="15"/>
  <c r="G40" i="15" s="1"/>
  <c r="I37" i="10"/>
  <c r="K10" i="15"/>
  <c r="BL210" i="5"/>
  <c r="BL211" i="5" s="1"/>
  <c r="BZ210" i="5"/>
  <c r="BZ211" i="5" s="1"/>
  <c r="L12" i="15"/>
  <c r="J39" i="10"/>
  <c r="G10" i="15"/>
  <c r="E37" i="10"/>
  <c r="BO212" i="5"/>
  <c r="BO213" i="5" s="1"/>
  <c r="BX210" i="5"/>
  <c r="BX211" i="5" s="1"/>
  <c r="M12" i="15"/>
  <c r="M40" i="15" s="1"/>
  <c r="K39" i="10"/>
  <c r="CB212" i="5"/>
  <c r="CB213" i="5" s="1"/>
  <c r="BL212" i="5"/>
  <c r="BL213" i="5" s="1"/>
  <c r="BZ117" i="5"/>
  <c r="BZ212" i="5" s="1"/>
  <c r="BZ213" i="5" s="1"/>
  <c r="BB212" i="5"/>
  <c r="BB213" i="5" s="1"/>
  <c r="CB210" i="5"/>
  <c r="CB211" i="5" s="1"/>
  <c r="BB210" i="5"/>
  <c r="BB211" i="5" s="1"/>
  <c r="BC210" i="5"/>
  <c r="BC211" i="5" s="1"/>
  <c r="BN212" i="5"/>
  <c r="BN213" i="5" s="1"/>
  <c r="BX212" i="5"/>
  <c r="BX213" i="5" s="1"/>
  <c r="BC212" i="5"/>
  <c r="BC213" i="5" s="1"/>
  <c r="D7" i="10"/>
  <c r="D10" i="10" s="1"/>
  <c r="CB206" i="5"/>
  <c r="CB207" i="5" s="1"/>
  <c r="D18" i="10"/>
  <c r="D21" i="10" s="1"/>
  <c r="BL206" i="5"/>
  <c r="BL207" i="5" s="1"/>
  <c r="G15" i="10" s="1"/>
  <c r="AC39" i="14"/>
  <c r="AA45" i="14"/>
  <c r="AC45" i="14" s="1"/>
  <c r="G12" i="13"/>
  <c r="G40" i="13" s="1"/>
  <c r="E17" i="10"/>
  <c r="F38" i="13"/>
  <c r="F41" i="13" s="1"/>
  <c r="F13" i="13"/>
  <c r="F16" i="13" s="1"/>
  <c r="E15" i="10"/>
  <c r="G10" i="13"/>
  <c r="I43" i="14"/>
  <c r="I44" i="14"/>
  <c r="K10" i="13"/>
  <c r="I15" i="10"/>
  <c r="AC38" i="14"/>
  <c r="AA44" i="14"/>
  <c r="AC44" i="14" s="1"/>
  <c r="AC39" i="13"/>
  <c r="AA45" i="13"/>
  <c r="AC45" i="13" s="1"/>
  <c r="J41" i="14"/>
  <c r="G43" i="14"/>
  <c r="G44" i="14"/>
  <c r="G75" i="14"/>
  <c r="G80" i="14" s="1"/>
  <c r="BC206" i="5"/>
  <c r="BC207" i="5" s="1"/>
  <c r="K17" i="10"/>
  <c r="M12" i="13"/>
  <c r="M40" i="13" s="1"/>
  <c r="J17" i="10"/>
  <c r="L12" i="13"/>
  <c r="I12" i="13"/>
  <c r="I40" i="13" s="1"/>
  <c r="G17" i="10"/>
  <c r="I73" i="14"/>
  <c r="J73" i="14" s="1"/>
  <c r="H45" i="14"/>
  <c r="H75" i="14"/>
  <c r="H80" i="14" s="1"/>
  <c r="BN206" i="5"/>
  <c r="BN207" i="5" s="1"/>
  <c r="BO206" i="5"/>
  <c r="BO207" i="5" s="1"/>
  <c r="BZ38" i="5"/>
  <c r="BZ206" i="5" s="1"/>
  <c r="BZ207" i="5" s="1"/>
  <c r="BB206" i="5"/>
  <c r="BB207" i="5" s="1"/>
  <c r="BX206" i="5"/>
  <c r="BX207" i="5" s="1"/>
  <c r="BO204" i="5"/>
  <c r="BO205" i="5" s="1"/>
  <c r="BN204" i="5"/>
  <c r="BN205" i="5" s="1"/>
  <c r="BB204" i="5"/>
  <c r="BB205" i="5" s="1"/>
  <c r="F4" i="10" s="1"/>
  <c r="CB204" i="5"/>
  <c r="CB205" i="5" s="1"/>
  <c r="BC204" i="5"/>
  <c r="BC205" i="5" s="1"/>
  <c r="F6" i="10" s="1"/>
  <c r="L12" i="12"/>
  <c r="J6" i="10"/>
  <c r="BL204" i="5"/>
  <c r="BL205" i="5" s="1"/>
  <c r="G6" i="10"/>
  <c r="I12" i="12"/>
  <c r="I40" i="12" s="1"/>
  <c r="K10" i="12"/>
  <c r="I4" i="10"/>
  <c r="G10" i="12"/>
  <c r="E4" i="10"/>
  <c r="F38" i="12"/>
  <c r="F41" i="12" s="1"/>
  <c r="F13" i="12"/>
  <c r="F16" i="12" s="1"/>
  <c r="G12" i="12"/>
  <c r="E6" i="10"/>
  <c r="BZ204" i="5"/>
  <c r="BZ205" i="5" s="1"/>
  <c r="BX204" i="5"/>
  <c r="BX205" i="5" s="1"/>
  <c r="J39" i="12"/>
  <c r="AA39" i="12"/>
  <c r="AB10" i="9"/>
  <c r="BA226" i="5" l="1"/>
  <c r="M11" i="11" s="1"/>
  <c r="M10" i="11"/>
  <c r="BA228" i="5"/>
  <c r="M13" i="11" s="1"/>
  <c r="M12" i="11"/>
  <c r="BA224" i="5"/>
  <c r="M8" i="11"/>
  <c r="AX228" i="5"/>
  <c r="J13" i="11" s="1"/>
  <c r="J12" i="11"/>
  <c r="AX224" i="5"/>
  <c r="J8" i="11"/>
  <c r="J45" i="14"/>
  <c r="K46" i="14" s="1"/>
  <c r="AX226" i="5"/>
  <c r="J11" i="11" s="1"/>
  <c r="J10" i="11"/>
  <c r="AA45" i="16"/>
  <c r="AC45" i="16" s="1"/>
  <c r="AC39" i="16"/>
  <c r="F44" i="16"/>
  <c r="F45" i="16"/>
  <c r="F43" i="16"/>
  <c r="H10" i="16"/>
  <c r="F48" i="10"/>
  <c r="L50" i="10"/>
  <c r="I10" i="16"/>
  <c r="G48" i="10"/>
  <c r="G51" i="10" s="1"/>
  <c r="L40" i="16"/>
  <c r="N40" i="16" s="1"/>
  <c r="N12" i="16"/>
  <c r="E51" i="10"/>
  <c r="G38" i="16"/>
  <c r="AA10" i="16"/>
  <c r="G13" i="16"/>
  <c r="L10" i="16"/>
  <c r="J48" i="10"/>
  <c r="G40" i="16"/>
  <c r="H12" i="16"/>
  <c r="H40" i="16" s="1"/>
  <c r="F50" i="10"/>
  <c r="H50" i="10" s="1"/>
  <c r="E40" i="10"/>
  <c r="G18" i="10"/>
  <c r="F37" i="10"/>
  <c r="H10" i="15"/>
  <c r="G38" i="15"/>
  <c r="AA10" i="15"/>
  <c r="G13" i="15"/>
  <c r="L10" i="15"/>
  <c r="J37" i="10"/>
  <c r="L39" i="10"/>
  <c r="F39" i="10"/>
  <c r="F40" i="10" s="1"/>
  <c r="H12" i="15"/>
  <c r="G37" i="10"/>
  <c r="G40" i="10" s="1"/>
  <c r="I10" i="15"/>
  <c r="L40" i="15"/>
  <c r="N40" i="15" s="1"/>
  <c r="N12" i="15"/>
  <c r="J43" i="14"/>
  <c r="F43" i="15"/>
  <c r="F44" i="15"/>
  <c r="F45" i="15"/>
  <c r="I10" i="13"/>
  <c r="I38" i="13" s="1"/>
  <c r="J44" i="14"/>
  <c r="L17" i="10"/>
  <c r="E18" i="10"/>
  <c r="F43" i="13"/>
  <c r="F44" i="13"/>
  <c r="F45" i="13"/>
  <c r="G38" i="13"/>
  <c r="AA10" i="13"/>
  <c r="G13" i="13"/>
  <c r="L40" i="13"/>
  <c r="N40" i="13" s="1"/>
  <c r="N12" i="13"/>
  <c r="H10" i="13"/>
  <c r="F15" i="10"/>
  <c r="H15" i="10" s="1"/>
  <c r="J15" i="10"/>
  <c r="L10" i="13"/>
  <c r="H12" i="13"/>
  <c r="F17" i="10"/>
  <c r="H10" i="12"/>
  <c r="H38" i="12" s="1"/>
  <c r="H12" i="12"/>
  <c r="H40" i="12" s="1"/>
  <c r="H6" i="10"/>
  <c r="G40" i="12"/>
  <c r="F44" i="12"/>
  <c r="F43" i="12"/>
  <c r="F45" i="12"/>
  <c r="G4" i="10"/>
  <c r="G7" i="10" s="1"/>
  <c r="I10" i="12"/>
  <c r="J10" i="12" s="1"/>
  <c r="AC39" i="12"/>
  <c r="AA45" i="12"/>
  <c r="AC45" i="12" s="1"/>
  <c r="E7" i="10"/>
  <c r="G38" i="12"/>
  <c r="G13" i="12"/>
  <c r="AA10" i="12"/>
  <c r="L40" i="12"/>
  <c r="L10" i="12"/>
  <c r="J4" i="10"/>
  <c r="F7" i="10"/>
  <c r="AA11" i="9"/>
  <c r="AC11" i="9"/>
  <c r="AA10" i="9"/>
  <c r="BA230" i="5" l="1"/>
  <c r="M9" i="11"/>
  <c r="AX230" i="5"/>
  <c r="J9" i="11"/>
  <c r="J10" i="16"/>
  <c r="J40" i="16"/>
  <c r="J12" i="16"/>
  <c r="H48" i="10"/>
  <c r="G41" i="16"/>
  <c r="AA38" i="16"/>
  <c r="H13" i="16"/>
  <c r="H38" i="16"/>
  <c r="H41" i="16" s="1"/>
  <c r="J51" i="10"/>
  <c r="L38" i="16"/>
  <c r="L13" i="16"/>
  <c r="F51" i="10"/>
  <c r="H51" i="10" s="1"/>
  <c r="E53" i="10" s="1"/>
  <c r="I38" i="16"/>
  <c r="I13" i="16"/>
  <c r="I13" i="15"/>
  <c r="I38" i="15"/>
  <c r="J12" i="15"/>
  <c r="H40" i="15"/>
  <c r="J40" i="15" s="1"/>
  <c r="AA38" i="15"/>
  <c r="G41" i="15"/>
  <c r="J10" i="15"/>
  <c r="H13" i="15"/>
  <c r="H38" i="15"/>
  <c r="H37" i="10"/>
  <c r="J40" i="10"/>
  <c r="L13" i="15"/>
  <c r="L38" i="15"/>
  <c r="H40" i="10"/>
  <c r="E42" i="10" s="1"/>
  <c r="H39" i="10"/>
  <c r="I13" i="13"/>
  <c r="AA38" i="13"/>
  <c r="AA44" i="13" s="1"/>
  <c r="G41" i="13"/>
  <c r="I41" i="13"/>
  <c r="F18" i="10"/>
  <c r="H17" i="10"/>
  <c r="H38" i="13"/>
  <c r="H13" i="13"/>
  <c r="J10" i="13"/>
  <c r="H40" i="13"/>
  <c r="J40" i="13" s="1"/>
  <c r="J12" i="13"/>
  <c r="L13" i="13"/>
  <c r="L38" i="13"/>
  <c r="J18" i="10"/>
  <c r="J12" i="12"/>
  <c r="J40" i="12"/>
  <c r="H41" i="12"/>
  <c r="H13" i="12"/>
  <c r="G41" i="12"/>
  <c r="AA38" i="12"/>
  <c r="J7" i="10"/>
  <c r="H4" i="10"/>
  <c r="H7" i="10"/>
  <c r="E9" i="10" s="1"/>
  <c r="L13" i="12"/>
  <c r="L38" i="12"/>
  <c r="I13" i="12"/>
  <c r="I38" i="12"/>
  <c r="AC10" i="9"/>
  <c r="M15" i="11" l="1"/>
  <c r="BA238" i="5"/>
  <c r="M23" i="11" s="1"/>
  <c r="AX238" i="5"/>
  <c r="J23" i="11" s="1"/>
  <c r="J15" i="11"/>
  <c r="J13" i="16"/>
  <c r="H15" i="16" s="1"/>
  <c r="H16" i="16" s="1"/>
  <c r="G53" i="10"/>
  <c r="G54" i="10" s="1"/>
  <c r="E54" i="10"/>
  <c r="F53" i="10"/>
  <c r="F54" i="10" s="1"/>
  <c r="J38" i="16"/>
  <c r="J41" i="16" s="1"/>
  <c r="G51" i="16" s="1"/>
  <c r="I41" i="16"/>
  <c r="L41" i="16"/>
  <c r="AA44" i="16"/>
  <c r="J13" i="15"/>
  <c r="H15" i="15" s="1"/>
  <c r="H16" i="15" s="1"/>
  <c r="J38" i="15"/>
  <c r="J41" i="15" s="1"/>
  <c r="G51" i="15" s="1"/>
  <c r="F42" i="10"/>
  <c r="F43" i="10" s="1"/>
  <c r="H41" i="15"/>
  <c r="G42" i="10"/>
  <c r="G43" i="10" s="1"/>
  <c r="E43" i="10"/>
  <c r="L41" i="15"/>
  <c r="I41" i="15"/>
  <c r="AA44" i="15"/>
  <c r="J13" i="12"/>
  <c r="H15" i="12" s="1"/>
  <c r="H16" i="12" s="1"/>
  <c r="J13" i="13"/>
  <c r="G15" i="13" s="1"/>
  <c r="J38" i="13"/>
  <c r="J41" i="13" s="1"/>
  <c r="G51" i="13" s="1"/>
  <c r="H41" i="13"/>
  <c r="L41" i="13"/>
  <c r="H18" i="10"/>
  <c r="E20" i="10" s="1"/>
  <c r="G9" i="10"/>
  <c r="G10" i="10" s="1"/>
  <c r="E10" i="10"/>
  <c r="L41" i="12"/>
  <c r="AA44" i="12"/>
  <c r="I41" i="12"/>
  <c r="F9" i="10"/>
  <c r="F10" i="10" s="1"/>
  <c r="J38" i="12"/>
  <c r="J41" i="12" s="1"/>
  <c r="H51" i="12" s="1"/>
  <c r="E73" i="9"/>
  <c r="E72" i="9"/>
  <c r="G15" i="16" l="1"/>
  <c r="G16" i="16" s="1"/>
  <c r="I51" i="15"/>
  <c r="I52" i="15" s="1"/>
  <c r="I56" i="15" s="1"/>
  <c r="I60" i="15" s="1"/>
  <c r="I51" i="16"/>
  <c r="G43" i="16"/>
  <c r="G52" i="16"/>
  <c r="G56" i="16" s="1"/>
  <c r="G60" i="16" s="1"/>
  <c r="H51" i="16"/>
  <c r="H53" i="10"/>
  <c r="H54" i="10" s="1"/>
  <c r="H51" i="15"/>
  <c r="H52" i="15" s="1"/>
  <c r="H56" i="15" s="1"/>
  <c r="H60" i="15" s="1"/>
  <c r="G15" i="15"/>
  <c r="I15" i="15" s="1"/>
  <c r="I16" i="15" s="1"/>
  <c r="H42" i="10"/>
  <c r="H43" i="10" s="1"/>
  <c r="H15" i="13"/>
  <c r="H16" i="13" s="1"/>
  <c r="H51" i="13"/>
  <c r="H43" i="13" s="1"/>
  <c r="I51" i="13"/>
  <c r="I43" i="13" s="1"/>
  <c r="G43" i="15"/>
  <c r="G52" i="15"/>
  <c r="G56" i="15" s="1"/>
  <c r="G60" i="15" s="1"/>
  <c r="G15" i="12"/>
  <c r="I15" i="12" s="1"/>
  <c r="I16" i="12" s="1"/>
  <c r="G20" i="10"/>
  <c r="G21" i="10" s="1"/>
  <c r="E21" i="10"/>
  <c r="F20" i="10"/>
  <c r="F21" i="10" s="1"/>
  <c r="G43" i="13"/>
  <c r="G52" i="13"/>
  <c r="G56" i="13" s="1"/>
  <c r="G60" i="13" s="1"/>
  <c r="G16" i="13"/>
  <c r="I15" i="13"/>
  <c r="I16" i="13" s="1"/>
  <c r="G51" i="12"/>
  <c r="H9" i="10"/>
  <c r="H10" i="10" s="1"/>
  <c r="H43" i="12"/>
  <c r="H52" i="12"/>
  <c r="H56" i="12" s="1"/>
  <c r="H60" i="12" s="1"/>
  <c r="I51" i="12"/>
  <c r="J79" i="9"/>
  <c r="J78" i="9"/>
  <c r="J77" i="9"/>
  <c r="I43" i="15" l="1"/>
  <c r="G16" i="15"/>
  <c r="I15" i="16"/>
  <c r="I16" i="16" s="1"/>
  <c r="H43" i="15"/>
  <c r="J51" i="15"/>
  <c r="J52" i="15" s="1"/>
  <c r="J56" i="15" s="1"/>
  <c r="J60" i="15" s="1"/>
  <c r="J67" i="15" s="1"/>
  <c r="H68" i="15" s="1"/>
  <c r="J68" i="15" s="1"/>
  <c r="J51" i="13"/>
  <c r="J52" i="13" s="1"/>
  <c r="J56" i="13" s="1"/>
  <c r="J60" i="13" s="1"/>
  <c r="J67" i="13" s="1"/>
  <c r="O72" i="13" s="1"/>
  <c r="H43" i="16"/>
  <c r="H52" i="16"/>
  <c r="H56" i="16" s="1"/>
  <c r="H60" i="16" s="1"/>
  <c r="J51" i="16"/>
  <c r="J52" i="16" s="1"/>
  <c r="J56" i="16" s="1"/>
  <c r="J60" i="16" s="1"/>
  <c r="J67" i="16" s="1"/>
  <c r="G44" i="16"/>
  <c r="G67" i="16"/>
  <c r="I43" i="16"/>
  <c r="I52" i="16"/>
  <c r="I56" i="16" s="1"/>
  <c r="I60" i="16" s="1"/>
  <c r="I52" i="13"/>
  <c r="I56" i="13" s="1"/>
  <c r="I60" i="13" s="1"/>
  <c r="I44" i="13" s="1"/>
  <c r="H52" i="13"/>
  <c r="H56" i="13" s="1"/>
  <c r="H60" i="13" s="1"/>
  <c r="H44" i="13" s="1"/>
  <c r="J15" i="15"/>
  <c r="J16" i="15" s="1"/>
  <c r="L16" i="15" s="1"/>
  <c r="H44" i="15"/>
  <c r="H67" i="15"/>
  <c r="G44" i="15"/>
  <c r="G67" i="15"/>
  <c r="I67" i="15"/>
  <c r="I44" i="15"/>
  <c r="M72" i="15"/>
  <c r="J43" i="15"/>
  <c r="K43" i="15" s="1"/>
  <c r="G16" i="12"/>
  <c r="J43" i="13"/>
  <c r="J15" i="13"/>
  <c r="J16" i="13" s="1"/>
  <c r="H20" i="10"/>
  <c r="H21" i="10" s="1"/>
  <c r="G44" i="13"/>
  <c r="G67" i="13"/>
  <c r="J15" i="12"/>
  <c r="J16" i="12" s="1"/>
  <c r="G52" i="12"/>
  <c r="G56" i="12" s="1"/>
  <c r="G60" i="12" s="1"/>
  <c r="J51" i="12"/>
  <c r="J52" i="12" s="1"/>
  <c r="J56" i="12" s="1"/>
  <c r="J60" i="12" s="1"/>
  <c r="J67" i="12" s="1"/>
  <c r="G43" i="12"/>
  <c r="I43" i="12"/>
  <c r="I52" i="12"/>
  <c r="I56" i="12" s="1"/>
  <c r="I60" i="12" s="1"/>
  <c r="H67" i="12"/>
  <c r="H44" i="12"/>
  <c r="H63" i="9"/>
  <c r="M72" i="13" l="1"/>
  <c r="G73" i="13"/>
  <c r="I73" i="13" s="1"/>
  <c r="J73" i="13" s="1"/>
  <c r="H68" i="13"/>
  <c r="J68" i="13" s="1"/>
  <c r="G72" i="13"/>
  <c r="G73" i="15"/>
  <c r="I73" i="15" s="1"/>
  <c r="J73" i="15" s="1"/>
  <c r="K43" i="13"/>
  <c r="G72" i="15"/>
  <c r="I67" i="13"/>
  <c r="I45" i="13" s="1"/>
  <c r="J15" i="16"/>
  <c r="J16" i="16" s="1"/>
  <c r="J54" i="10" s="1"/>
  <c r="O72" i="15"/>
  <c r="I44" i="16"/>
  <c r="I67" i="16"/>
  <c r="I45" i="16" s="1"/>
  <c r="L16" i="16"/>
  <c r="G45" i="16"/>
  <c r="O72" i="16"/>
  <c r="G72" i="16"/>
  <c r="H68" i="16"/>
  <c r="J68" i="16" s="1"/>
  <c r="M72" i="16"/>
  <c r="G73" i="16"/>
  <c r="I73" i="16" s="1"/>
  <c r="J73" i="16" s="1"/>
  <c r="H44" i="16"/>
  <c r="H67" i="16"/>
  <c r="J43" i="16"/>
  <c r="K43" i="16" s="1"/>
  <c r="J43" i="10"/>
  <c r="H67" i="13"/>
  <c r="H75" i="13" s="1"/>
  <c r="H80" i="13" s="1"/>
  <c r="I45" i="15"/>
  <c r="G45" i="15"/>
  <c r="J44" i="15"/>
  <c r="K44" i="15" s="1"/>
  <c r="H45" i="15"/>
  <c r="H75" i="15"/>
  <c r="H80" i="15" s="1"/>
  <c r="G45" i="13"/>
  <c r="G75" i="13"/>
  <c r="G80" i="13" s="1"/>
  <c r="L16" i="13"/>
  <c r="J21" i="10"/>
  <c r="J44" i="13"/>
  <c r="K44" i="13" s="1"/>
  <c r="J43" i="12"/>
  <c r="K43" i="12" s="1"/>
  <c r="H45" i="12"/>
  <c r="I67" i="12"/>
  <c r="I45" i="12" s="1"/>
  <c r="I44" i="12"/>
  <c r="G44" i="12"/>
  <c r="G67" i="12"/>
  <c r="G45" i="12" s="1"/>
  <c r="M72" i="12"/>
  <c r="H68" i="12"/>
  <c r="J68" i="12" s="1"/>
  <c r="G73" i="12"/>
  <c r="I73" i="12" s="1"/>
  <c r="J73" i="12" s="1"/>
  <c r="G72" i="12"/>
  <c r="O72" i="12"/>
  <c r="L16" i="12"/>
  <c r="J10" i="10"/>
  <c r="K8" i="9"/>
  <c r="G75" i="15" l="1"/>
  <c r="G80" i="15" s="1"/>
  <c r="J44" i="16"/>
  <c r="K44" i="16" s="1"/>
  <c r="H45" i="13"/>
  <c r="J45" i="13" s="1"/>
  <c r="K46" i="13" s="1"/>
  <c r="H45" i="16"/>
  <c r="J45" i="16" s="1"/>
  <c r="H75" i="16"/>
  <c r="H80" i="16" s="1"/>
  <c r="G75" i="16"/>
  <c r="G80" i="16" s="1"/>
  <c r="J45" i="15"/>
  <c r="K46" i="15" s="1"/>
  <c r="J44" i="12"/>
  <c r="K44" i="12" s="1"/>
  <c r="J45" i="12"/>
  <c r="K46" i="12" s="1"/>
  <c r="G75" i="12"/>
  <c r="G80" i="12" s="1"/>
  <c r="H75" i="12"/>
  <c r="H80" i="12" s="1"/>
  <c r="I35" i="9"/>
  <c r="G63" i="9"/>
  <c r="I63" i="9" s="1"/>
  <c r="K45" i="13" l="1"/>
  <c r="K46" i="16"/>
  <c r="K45" i="16"/>
  <c r="K45" i="15"/>
  <c r="K45" i="12"/>
  <c r="K50" i="9"/>
  <c r="G8" i="9" l="1"/>
  <c r="H8" i="9"/>
  <c r="M20" i="9"/>
  <c r="I71" i="9" l="1"/>
  <c r="F38" i="9" l="1"/>
  <c r="N64" i="9" l="1"/>
  <c r="I40" i="9" l="1"/>
  <c r="G38" i="9"/>
  <c r="AA38" i="9" s="1"/>
  <c r="M40" i="9"/>
  <c r="L40" i="9"/>
  <c r="H40" i="9"/>
  <c r="G40" i="9"/>
  <c r="G39" i="9"/>
  <c r="AA39" i="9" l="1"/>
  <c r="AA45" i="9" s="1"/>
  <c r="AA44" i="9"/>
  <c r="N63" i="9"/>
  <c r="N62" i="9"/>
  <c r="N55" i="9"/>
  <c r="N59" i="9"/>
  <c r="M8" i="9" l="1"/>
  <c r="L8" i="9"/>
  <c r="D12" i="7" l="1"/>
  <c r="I72" i="14" l="1"/>
  <c r="I72" i="13"/>
  <c r="J72" i="13" s="1"/>
  <c r="I72" i="16"/>
  <c r="J72" i="16" s="1"/>
  <c r="I72" i="12"/>
  <c r="J72" i="12" s="1"/>
  <c r="I72" i="15"/>
  <c r="J72" i="15" s="1"/>
  <c r="M21" i="9"/>
  <c r="M22" i="9"/>
  <c r="M23" i="9"/>
  <c r="M24" i="9"/>
  <c r="M25" i="9"/>
  <c r="M26" i="9"/>
  <c r="M27" i="9"/>
  <c r="M28" i="9"/>
  <c r="M29" i="9"/>
  <c r="M30" i="9"/>
  <c r="M32" i="9"/>
  <c r="M33" i="9"/>
  <c r="M34" i="9"/>
  <c r="I21" i="9"/>
  <c r="I22" i="9"/>
  <c r="I23" i="9"/>
  <c r="I24" i="9"/>
  <c r="I25" i="9"/>
  <c r="I26" i="9"/>
  <c r="I27" i="9"/>
  <c r="I28" i="9"/>
  <c r="I29" i="9"/>
  <c r="I30" i="9"/>
  <c r="I32" i="9"/>
  <c r="I33" i="9"/>
  <c r="I34" i="9"/>
  <c r="I20" i="9"/>
  <c r="J72" i="14" l="1"/>
  <c r="J75" i="14" s="1"/>
  <c r="J80" i="14" s="1"/>
  <c r="I75" i="14"/>
  <c r="I80" i="14" s="1"/>
  <c r="I39" i="9"/>
  <c r="AB39" i="9" s="1"/>
  <c r="AC39" i="9" s="1"/>
  <c r="I38" i="9"/>
  <c r="J21" i="9"/>
  <c r="J23" i="9"/>
  <c r="J24" i="9"/>
  <c r="J25" i="9"/>
  <c r="J26" i="9"/>
  <c r="J27" i="9"/>
  <c r="J28" i="9"/>
  <c r="J29" i="9"/>
  <c r="C15" i="9" l="1"/>
  <c r="J8" i="9" l="1"/>
  <c r="I8" i="9"/>
  <c r="D13" i="7" l="1"/>
  <c r="AB11" i="9" s="1"/>
  <c r="AB45" i="9" s="1"/>
  <c r="AC45" i="9" s="1"/>
  <c r="I74" i="9"/>
  <c r="H21" i="9"/>
  <c r="H22" i="9"/>
  <c r="H23" i="9"/>
  <c r="H24" i="9"/>
  <c r="H25" i="9"/>
  <c r="H26" i="9"/>
  <c r="H27" i="9"/>
  <c r="H28" i="9"/>
  <c r="H29" i="9"/>
  <c r="H30" i="9"/>
  <c r="J30" i="9" s="1"/>
  <c r="H32" i="9"/>
  <c r="H33" i="9"/>
  <c r="J33" i="9" s="1"/>
  <c r="H34" i="9"/>
  <c r="J34" i="9" s="1"/>
  <c r="H35" i="9"/>
  <c r="J35" i="9" s="1"/>
  <c r="L21" i="9"/>
  <c r="L22" i="9"/>
  <c r="L23" i="9"/>
  <c r="L24" i="9"/>
  <c r="L25" i="9"/>
  <c r="L26" i="9"/>
  <c r="L27" i="9"/>
  <c r="L28" i="9"/>
  <c r="L29" i="9"/>
  <c r="L30" i="9"/>
  <c r="L32" i="9"/>
  <c r="L33" i="9"/>
  <c r="L34" i="9"/>
  <c r="L35" i="9"/>
  <c r="L20" i="9"/>
  <c r="H20" i="9"/>
  <c r="L39" i="9" l="1"/>
  <c r="H39" i="9"/>
  <c r="J22" i="9"/>
  <c r="J20" i="9"/>
  <c r="H38" i="9"/>
  <c r="L38" i="9"/>
  <c r="J32" i="9"/>
  <c r="E12" i="7"/>
  <c r="M35" i="9" s="1"/>
  <c r="M13" i="9"/>
  <c r="L13" i="9"/>
  <c r="I13" i="9"/>
  <c r="H13" i="9"/>
  <c r="G13" i="9"/>
  <c r="F13" i="9"/>
  <c r="N12" i="9"/>
  <c r="J12" i="9"/>
  <c r="J11" i="9"/>
  <c r="N10" i="9"/>
  <c r="J10" i="9"/>
  <c r="L41" i="9" l="1"/>
  <c r="M38" i="9"/>
  <c r="AB38" i="9" s="1"/>
  <c r="M39" i="9"/>
  <c r="J38" i="9"/>
  <c r="H41" i="9"/>
  <c r="N13" i="9"/>
  <c r="J13" i="9"/>
  <c r="H15" i="9" s="1"/>
  <c r="E26" i="7"/>
  <c r="E25" i="7"/>
  <c r="E24" i="7"/>
  <c r="E22" i="7"/>
  <c r="E21" i="7"/>
  <c r="E20" i="7"/>
  <c r="G15" i="9" l="1"/>
  <c r="I15" i="9" s="1"/>
  <c r="M41" i="9"/>
  <c r="AB44" i="9"/>
  <c r="AC44" i="9" s="1"/>
  <c r="AC38" i="9"/>
  <c r="E16" i="7"/>
  <c r="J15" i="9" l="1"/>
  <c r="F39" i="9" l="1"/>
  <c r="D4" i="7" l="1"/>
  <c r="D19" i="7" l="1"/>
  <c r="G4" i="7"/>
  <c r="F16" i="9"/>
  <c r="N23" i="9"/>
  <c r="N24" i="9"/>
  <c r="N25" i="9"/>
  <c r="N26" i="9"/>
  <c r="N27" i="9"/>
  <c r="N28" i="9"/>
  <c r="N30" i="9"/>
  <c r="N32" i="9"/>
  <c r="N33" i="9"/>
  <c r="N35" i="9"/>
  <c r="C38" i="9"/>
  <c r="C39" i="9"/>
  <c r="C40" i="9"/>
  <c r="F40" i="9"/>
  <c r="G50" i="9"/>
  <c r="H50" i="9"/>
  <c r="I50" i="9"/>
  <c r="J50" i="9"/>
  <c r="L50" i="9"/>
  <c r="M50" i="9"/>
  <c r="C51" i="9"/>
  <c r="F51" i="9"/>
  <c r="J54" i="9"/>
  <c r="J55" i="9"/>
  <c r="C56" i="9"/>
  <c r="J58" i="9"/>
  <c r="N58" i="9"/>
  <c r="J59" i="9"/>
  <c r="C60" i="9"/>
  <c r="J62" i="9"/>
  <c r="J64" i="9"/>
  <c r="G66" i="9"/>
  <c r="H66" i="9"/>
  <c r="I66" i="9"/>
  <c r="J66" i="9"/>
  <c r="C67" i="9"/>
  <c r="J70" i="9"/>
  <c r="J71" i="9"/>
  <c r="C75" i="9"/>
  <c r="C80" i="9"/>
  <c r="G16" i="9" l="1"/>
  <c r="H16" i="9"/>
  <c r="F52" i="9"/>
  <c r="F56" i="9" s="1"/>
  <c r="F60" i="9" s="1"/>
  <c r="F41" i="9"/>
  <c r="N39" i="9"/>
  <c r="I16" i="9"/>
  <c r="J40" i="9"/>
  <c r="J39" i="9"/>
  <c r="N29" i="9"/>
  <c r="N34" i="9"/>
  <c r="N40" i="9"/>
  <c r="I41" i="9"/>
  <c r="G41" i="9"/>
  <c r="E14" i="7"/>
  <c r="E15" i="7"/>
  <c r="E11" i="7"/>
  <c r="E10" i="7"/>
  <c r="E9" i="7"/>
  <c r="E8" i="7"/>
  <c r="E7" i="7"/>
  <c r="E6" i="7"/>
  <c r="E5" i="7"/>
  <c r="C4" i="7"/>
  <c r="CH10" i="5" l="1"/>
  <c r="CJ10" i="5" s="1"/>
  <c r="CH26" i="5"/>
  <c r="CJ26" i="5" s="1"/>
  <c r="CH42" i="5"/>
  <c r="CJ42" i="5" s="1"/>
  <c r="CH50" i="5"/>
  <c r="CJ50" i="5" s="1"/>
  <c r="CH58" i="5"/>
  <c r="CJ58" i="5" s="1"/>
  <c r="CH122" i="5"/>
  <c r="CJ122" i="5" s="1"/>
  <c r="CH130" i="5"/>
  <c r="CJ130" i="5" s="1"/>
  <c r="CH146" i="5"/>
  <c r="CJ146" i="5" s="1"/>
  <c r="CH154" i="5"/>
  <c r="CJ154" i="5" s="1"/>
  <c r="CH162" i="5"/>
  <c r="CJ162" i="5" s="1"/>
  <c r="CH170" i="5"/>
  <c r="CJ170" i="5" s="1"/>
  <c r="CH186" i="5"/>
  <c r="CJ186" i="5" s="1"/>
  <c r="CH194" i="5"/>
  <c r="CJ194" i="5" s="1"/>
  <c r="CH43" i="5"/>
  <c r="CJ43" i="5" s="1"/>
  <c r="CH51" i="5"/>
  <c r="CJ51" i="5" s="1"/>
  <c r="CH67" i="5"/>
  <c r="CJ67" i="5" s="1"/>
  <c r="CH99" i="5"/>
  <c r="CJ99" i="5" s="1"/>
  <c r="CH123" i="5"/>
  <c r="CJ123" i="5" s="1"/>
  <c r="CH131" i="5"/>
  <c r="CJ131" i="5" s="1"/>
  <c r="CH139" i="5"/>
  <c r="CJ139" i="5" s="1"/>
  <c r="CH147" i="5"/>
  <c r="CJ147" i="5" s="1"/>
  <c r="CH155" i="5"/>
  <c r="CJ155" i="5" s="1"/>
  <c r="CH163" i="5"/>
  <c r="CJ163" i="5" s="1"/>
  <c r="CH171" i="5"/>
  <c r="CJ171" i="5" s="1"/>
  <c r="CH179" i="5"/>
  <c r="CJ179" i="5" s="1"/>
  <c r="CH187" i="5"/>
  <c r="CJ187" i="5" s="1"/>
  <c r="CH28" i="5"/>
  <c r="CJ28" i="5" s="1"/>
  <c r="CH44" i="5"/>
  <c r="CJ44" i="5" s="1"/>
  <c r="CH52" i="5"/>
  <c r="CJ52" i="5" s="1"/>
  <c r="CH60" i="5"/>
  <c r="CJ60" i="5" s="1"/>
  <c r="CH92" i="5"/>
  <c r="CJ92" i="5" s="1"/>
  <c r="CH124" i="5"/>
  <c r="CJ124" i="5" s="1"/>
  <c r="CH132" i="5"/>
  <c r="CJ132" i="5" s="1"/>
  <c r="CH140" i="5"/>
  <c r="CJ140" i="5" s="1"/>
  <c r="CH156" i="5"/>
  <c r="CJ156" i="5" s="1"/>
  <c r="CH164" i="5"/>
  <c r="CJ164" i="5" s="1"/>
  <c r="CH172" i="5"/>
  <c r="CJ172" i="5" s="1"/>
  <c r="CH180" i="5"/>
  <c r="CJ180" i="5" s="1"/>
  <c r="CH188" i="5"/>
  <c r="CJ188" i="5" s="1"/>
  <c r="CH196" i="5"/>
  <c r="CJ196" i="5" s="1"/>
  <c r="CH13" i="5"/>
  <c r="CJ13" i="5" s="1"/>
  <c r="CH21" i="5"/>
  <c r="CJ21" i="5" s="1"/>
  <c r="CH29" i="5"/>
  <c r="CJ29" i="5" s="1"/>
  <c r="CH45" i="5"/>
  <c r="CJ45" i="5" s="1"/>
  <c r="CH53" i="5"/>
  <c r="CJ53" i="5" s="1"/>
  <c r="CH61" i="5"/>
  <c r="CJ61" i="5" s="1"/>
  <c r="CH101" i="5"/>
  <c r="CJ101" i="5" s="1"/>
  <c r="CH117" i="5"/>
  <c r="CH125" i="5"/>
  <c r="CJ125" i="5" s="1"/>
  <c r="CH133" i="5"/>
  <c r="CJ133" i="5" s="1"/>
  <c r="CH141" i="5"/>
  <c r="CJ141" i="5" s="1"/>
  <c r="CH149" i="5"/>
  <c r="CJ149" i="5" s="1"/>
  <c r="CH157" i="5"/>
  <c r="CJ157" i="5" s="1"/>
  <c r="CH165" i="5"/>
  <c r="CJ165" i="5" s="1"/>
  <c r="CH173" i="5"/>
  <c r="CJ173" i="5" s="1"/>
  <c r="CH181" i="5"/>
  <c r="CJ181" i="5" s="1"/>
  <c r="CH189" i="5"/>
  <c r="CJ189" i="5" s="1"/>
  <c r="CH14" i="5"/>
  <c r="CJ14" i="5" s="1"/>
  <c r="CH30" i="5"/>
  <c r="CK30" i="5" s="1"/>
  <c r="CK204" i="5" s="1"/>
  <c r="CK205" i="5" s="1"/>
  <c r="CH38" i="5"/>
  <c r="CH46" i="5"/>
  <c r="CJ46" i="5" s="1"/>
  <c r="CH54" i="5"/>
  <c r="CJ54" i="5" s="1"/>
  <c r="CH62" i="5"/>
  <c r="CJ62" i="5" s="1"/>
  <c r="CH118" i="5"/>
  <c r="CJ118" i="5" s="1"/>
  <c r="CH126" i="5"/>
  <c r="CJ126" i="5" s="1"/>
  <c r="CH142" i="5"/>
  <c r="CJ142" i="5" s="1"/>
  <c r="CH150" i="5"/>
  <c r="CJ150" i="5" s="1"/>
  <c r="CH158" i="5"/>
  <c r="CJ158" i="5" s="1"/>
  <c r="CH166" i="5"/>
  <c r="CJ166" i="5" s="1"/>
  <c r="CH174" i="5"/>
  <c r="CJ174" i="5" s="1"/>
  <c r="CH182" i="5"/>
  <c r="CJ182" i="5" s="1"/>
  <c r="CH190" i="5"/>
  <c r="CJ190" i="5" s="1"/>
  <c r="CH198" i="5"/>
  <c r="CJ198" i="5" s="1"/>
  <c r="CH15" i="5"/>
  <c r="CJ15" i="5" s="1"/>
  <c r="CH31" i="5"/>
  <c r="CJ31" i="5" s="1"/>
  <c r="CH39" i="5"/>
  <c r="CJ39" i="5" s="1"/>
  <c r="CH47" i="5"/>
  <c r="CJ47" i="5" s="1"/>
  <c r="CH55" i="5"/>
  <c r="CJ55" i="5" s="1"/>
  <c r="CH63" i="5"/>
  <c r="CJ63" i="5" s="1"/>
  <c r="CH119" i="5"/>
  <c r="CJ119" i="5" s="1"/>
  <c r="CH127" i="5"/>
  <c r="CJ127" i="5" s="1"/>
  <c r="CH135" i="5"/>
  <c r="CJ135" i="5" s="1"/>
  <c r="CH143" i="5"/>
  <c r="CJ143" i="5" s="1"/>
  <c r="CH151" i="5"/>
  <c r="CJ151" i="5" s="1"/>
  <c r="CH159" i="5"/>
  <c r="CJ159" i="5" s="1"/>
  <c r="CH167" i="5"/>
  <c r="CJ167" i="5" s="1"/>
  <c r="CH175" i="5"/>
  <c r="CJ175" i="5" s="1"/>
  <c r="CH183" i="5"/>
  <c r="CJ183" i="5" s="1"/>
  <c r="CH191" i="5"/>
  <c r="CJ191" i="5" s="1"/>
  <c r="CH199" i="5"/>
  <c r="CJ199" i="5" s="1"/>
  <c r="CH16" i="5"/>
  <c r="CJ16" i="5" s="1"/>
  <c r="CH24" i="5"/>
  <c r="CJ24" i="5" s="1"/>
  <c r="CH32" i="5"/>
  <c r="CJ32" i="5" s="1"/>
  <c r="CH40" i="5"/>
  <c r="CJ40" i="5" s="1"/>
  <c r="CH48" i="5"/>
  <c r="CJ48" i="5" s="1"/>
  <c r="CH56" i="5"/>
  <c r="CJ56" i="5" s="1"/>
  <c r="CH64" i="5"/>
  <c r="CJ64" i="5" s="1"/>
  <c r="CH80" i="5"/>
  <c r="CH120" i="5"/>
  <c r="CJ120" i="5" s="1"/>
  <c r="CH128" i="5"/>
  <c r="CJ128" i="5" s="1"/>
  <c r="CH136" i="5"/>
  <c r="CJ136" i="5" s="1"/>
  <c r="CH144" i="5"/>
  <c r="CJ144" i="5" s="1"/>
  <c r="CH152" i="5"/>
  <c r="CJ152" i="5" s="1"/>
  <c r="CH160" i="5"/>
  <c r="CJ160" i="5" s="1"/>
  <c r="CH168" i="5"/>
  <c r="CJ168" i="5" s="1"/>
  <c r="CH176" i="5"/>
  <c r="CJ176" i="5" s="1"/>
  <c r="CH184" i="5"/>
  <c r="CJ184" i="5" s="1"/>
  <c r="CH192" i="5"/>
  <c r="CJ192" i="5" s="1"/>
  <c r="CH200" i="5"/>
  <c r="CJ200" i="5" s="1"/>
  <c r="CH9" i="5"/>
  <c r="CH17" i="5"/>
  <c r="CJ17" i="5" s="1"/>
  <c r="CH41" i="5"/>
  <c r="CJ41" i="5" s="1"/>
  <c r="CH49" i="5"/>
  <c r="CJ49" i="5" s="1"/>
  <c r="CH57" i="5"/>
  <c r="CJ57" i="5" s="1"/>
  <c r="CH65" i="5"/>
  <c r="CJ65" i="5" s="1"/>
  <c r="CH81" i="5"/>
  <c r="CJ81" i="5" s="1"/>
  <c r="CH89" i="5"/>
  <c r="CJ89" i="5" s="1"/>
  <c r="CH121" i="5"/>
  <c r="CJ121" i="5" s="1"/>
  <c r="CH129" i="5"/>
  <c r="CJ129" i="5" s="1"/>
  <c r="CH145" i="5"/>
  <c r="CH153" i="5"/>
  <c r="CJ153" i="5" s="1"/>
  <c r="CH161" i="5"/>
  <c r="CJ161" i="5" s="1"/>
  <c r="CH169" i="5"/>
  <c r="CJ169" i="5" s="1"/>
  <c r="CH177" i="5"/>
  <c r="CJ177" i="5" s="1"/>
  <c r="CH185" i="5"/>
  <c r="CJ185" i="5" s="1"/>
  <c r="CH193" i="5"/>
  <c r="CJ193" i="5" s="1"/>
  <c r="CH201" i="5"/>
  <c r="CJ201" i="5" s="1"/>
  <c r="F43" i="9"/>
  <c r="F44" i="9"/>
  <c r="C19" i="7"/>
  <c r="F4" i="7"/>
  <c r="J74" i="9"/>
  <c r="J41" i="9"/>
  <c r="G51" i="9" s="1"/>
  <c r="G43" i="9" s="1"/>
  <c r="E13" i="7"/>
  <c r="J16" i="9"/>
  <c r="L16" i="9" s="1"/>
  <c r="F67" i="9"/>
  <c r="F75" i="9" s="1"/>
  <c r="E4" i="7"/>
  <c r="E19" i="7" s="1"/>
  <c r="CJ145" i="5" l="1"/>
  <c r="CJ214" i="5" s="1"/>
  <c r="CJ215" i="5" s="1"/>
  <c r="CH214" i="5"/>
  <c r="CH215" i="5" s="1"/>
  <c r="CJ117" i="5"/>
  <c r="CJ212" i="5" s="1"/>
  <c r="CJ213" i="5" s="1"/>
  <c r="CH212" i="5"/>
  <c r="CH213" i="5" s="1"/>
  <c r="CJ80" i="5"/>
  <c r="CJ210" i="5" s="1"/>
  <c r="CJ211" i="5" s="1"/>
  <c r="CH210" i="5"/>
  <c r="CH211" i="5" s="1"/>
  <c r="CJ38" i="5"/>
  <c r="CJ206" i="5" s="1"/>
  <c r="CJ207" i="5" s="1"/>
  <c r="CH206" i="5"/>
  <c r="CH207" i="5" s="1"/>
  <c r="M12" i="12"/>
  <c r="K6" i="10"/>
  <c r="L6" i="10" s="1"/>
  <c r="CJ9" i="5"/>
  <c r="CJ204" i="5" s="1"/>
  <c r="CJ205" i="5" s="1"/>
  <c r="CH204" i="5"/>
  <c r="CH205" i="5" s="1"/>
  <c r="F80" i="9"/>
  <c r="F45" i="9"/>
  <c r="N22" i="9"/>
  <c r="N21" i="9"/>
  <c r="H51" i="9"/>
  <c r="H43" i="9" s="1"/>
  <c r="I51" i="9"/>
  <c r="I43" i="9" s="1"/>
  <c r="M10" i="16" l="1"/>
  <c r="K48" i="10"/>
  <c r="M10" i="15"/>
  <c r="K37" i="10"/>
  <c r="K15" i="10"/>
  <c r="M10" i="13"/>
  <c r="M10" i="12"/>
  <c r="K4" i="10"/>
  <c r="M40" i="12"/>
  <c r="N40" i="12" s="1"/>
  <c r="N12" i="12"/>
  <c r="H52" i="9"/>
  <c r="H56" i="9" s="1"/>
  <c r="H60" i="9" s="1"/>
  <c r="H44" i="9" s="1"/>
  <c r="N20" i="9"/>
  <c r="G52" i="9"/>
  <c r="G56" i="9" s="1"/>
  <c r="G60" i="9" s="1"/>
  <c r="G44" i="9" s="1"/>
  <c r="J51" i="9"/>
  <c r="J52" i="9" s="1"/>
  <c r="J56" i="9" s="1"/>
  <c r="J60" i="9" s="1"/>
  <c r="I52" i="9"/>
  <c r="I56" i="9" s="1"/>
  <c r="I60" i="9" s="1"/>
  <c r="I44" i="9" s="1"/>
  <c r="K51" i="10" l="1"/>
  <c r="L48" i="10"/>
  <c r="L51" i="10" s="1"/>
  <c r="M13" i="16"/>
  <c r="M38" i="16"/>
  <c r="AB10" i="16"/>
  <c r="AC10" i="16" s="1"/>
  <c r="N10" i="16"/>
  <c r="N13" i="16" s="1"/>
  <c r="K40" i="10"/>
  <c r="L37" i="10"/>
  <c r="L40" i="10" s="1"/>
  <c r="N10" i="15"/>
  <c r="N13" i="15" s="1"/>
  <c r="M38" i="15"/>
  <c r="M13" i="15"/>
  <c r="AB10" i="15"/>
  <c r="AC10" i="15" s="1"/>
  <c r="M13" i="13"/>
  <c r="M38" i="13"/>
  <c r="AB10" i="13"/>
  <c r="AC10" i="13" s="1"/>
  <c r="N10" i="13"/>
  <c r="N13" i="13" s="1"/>
  <c r="K18" i="10"/>
  <c r="L15" i="10"/>
  <c r="L18" i="10" s="1"/>
  <c r="K7" i="10"/>
  <c r="L4" i="10"/>
  <c r="L7" i="10" s="1"/>
  <c r="M38" i="12"/>
  <c r="M13" i="12"/>
  <c r="AB10" i="12"/>
  <c r="AC10" i="12" s="1"/>
  <c r="N10" i="12"/>
  <c r="N13" i="12" s="1"/>
  <c r="N41" i="9"/>
  <c r="N38" i="9"/>
  <c r="J43" i="9"/>
  <c r="K43" i="9" s="1"/>
  <c r="I67" i="9"/>
  <c r="I45" i="9" s="1"/>
  <c r="M41" i="16" l="1"/>
  <c r="AB38" i="16"/>
  <c r="N38" i="16"/>
  <c r="M41" i="15"/>
  <c r="AB38" i="15"/>
  <c r="N38" i="15"/>
  <c r="M41" i="13"/>
  <c r="AB38" i="13"/>
  <c r="N38" i="13"/>
  <c r="M41" i="12"/>
  <c r="AB38" i="12"/>
  <c r="N38" i="12"/>
  <c r="J44" i="9"/>
  <c r="K44" i="9" s="1"/>
  <c r="AB44" i="16" l="1"/>
  <c r="AC44" i="16" s="1"/>
  <c r="AC38" i="16"/>
  <c r="N41" i="16"/>
  <c r="I69" i="16"/>
  <c r="AB44" i="15"/>
  <c r="AC44" i="15" s="1"/>
  <c r="AC38" i="15"/>
  <c r="N41" i="15"/>
  <c r="I69" i="15"/>
  <c r="AB44" i="13"/>
  <c r="AC44" i="13" s="1"/>
  <c r="AC38" i="13"/>
  <c r="N41" i="13"/>
  <c r="I69" i="13"/>
  <c r="AB44" i="12"/>
  <c r="AC44" i="12" s="1"/>
  <c r="AC38" i="12"/>
  <c r="N41" i="12"/>
  <c r="I69" i="12"/>
  <c r="J67" i="9"/>
  <c r="J69" i="16" l="1"/>
  <c r="J75" i="16" s="1"/>
  <c r="J80" i="16" s="1"/>
  <c r="I75" i="16"/>
  <c r="I80" i="16" s="1"/>
  <c r="J69" i="15"/>
  <c r="J75" i="15" s="1"/>
  <c r="J80" i="15" s="1"/>
  <c r="I75" i="15"/>
  <c r="I80" i="15" s="1"/>
  <c r="J69" i="13"/>
  <c r="J75" i="13" s="1"/>
  <c r="J80" i="13" s="1"/>
  <c r="I75" i="13"/>
  <c r="I80" i="13" s="1"/>
  <c r="J69" i="12"/>
  <c r="J75" i="12" s="1"/>
  <c r="J80" i="12" s="1"/>
  <c r="I75" i="12"/>
  <c r="I80" i="12" s="1"/>
  <c r="G73" i="9"/>
  <c r="G72" i="9"/>
  <c r="H68" i="9"/>
  <c r="J68" i="9" s="1"/>
  <c r="I69" i="9"/>
  <c r="H67" i="9"/>
  <c r="H45" i="9" s="1"/>
  <c r="G67" i="9"/>
  <c r="G45" i="9" s="1"/>
  <c r="H75" i="9" l="1"/>
  <c r="H80" i="9" s="1"/>
  <c r="G75" i="9"/>
  <c r="J69" i="9"/>
  <c r="J45" i="9" l="1"/>
  <c r="K45" i="9" s="1"/>
  <c r="I73" i="9"/>
  <c r="J73" i="9" s="1"/>
  <c r="O72" i="9"/>
  <c r="I72" i="9"/>
  <c r="M72" i="9"/>
  <c r="K46" i="9" l="1"/>
  <c r="I75" i="9"/>
  <c r="I80" i="9" s="1"/>
  <c r="G80" i="9"/>
  <c r="J72" i="9"/>
  <c r="J75" i="9" l="1"/>
  <c r="J80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LSO-BPA</author>
    <author>mfreeman</author>
    <author>Jared Tatro</author>
    <author>Ray Houston</author>
  </authors>
  <commentList>
    <comment ref="A8" authorId="0" shapeId="0" xr:uid="{1513E6B1-B94D-4D90-B7A9-2D6E83ECB9A4}">
      <text>
        <r>
          <rPr>
            <sz val="8"/>
            <color indexed="81"/>
            <rFont val="Tahoma"/>
            <family val="2"/>
          </rPr>
          <t>Position Control Number</t>
        </r>
      </text>
    </comment>
    <comment ref="B8" authorId="1" shapeId="0" xr:uid="{39019C11-DF08-434C-93D0-2BDF62D53DDC}">
      <text>
        <r>
          <rPr>
            <sz val="8"/>
            <color indexed="81"/>
            <rFont val="Tahoma"/>
            <family val="2"/>
          </rPr>
          <t>Five-digit class code associated with a position title.</t>
        </r>
      </text>
    </comment>
    <comment ref="E8" authorId="1" shapeId="0" xr:uid="{E759AD3E-C2C5-4F2B-A769-F8D2988B67E1}">
      <text>
        <r>
          <rPr>
            <sz val="8"/>
            <color indexed="81"/>
            <rFont val="Tahoma"/>
            <family val="2"/>
          </rPr>
          <t>An Indicator of "1" refers to permanent positions, an Indicator of "2" refers to board &amp; group positions, and an Indicator of "3" refers to  elected official positions and other full time commissioners</t>
        </r>
      </text>
    </comment>
    <comment ref="C19" authorId="2" shapeId="0" xr:uid="{42D95A71-8C7C-44BD-879F-51AF132D4498}">
      <text>
        <r>
          <rPr>
            <sz val="10"/>
            <color indexed="81"/>
            <rFont val="Tahoma"/>
            <family val="2"/>
          </rPr>
          <t>R1 = Regular Retirement Rate (most common)
R2 = Police/Fire
R4 = Former Public Safety (1985)
R5 = Dept of Labor (rare)
R6 = Judges
R7 = Optional Retirement
R8 = Optional Retirement</t>
        </r>
      </text>
    </comment>
    <comment ref="F39" authorId="2" shapeId="0" xr:uid="{D23276BC-70B2-49A0-A1D9-1425F579B5E3}">
      <text>
        <r>
          <rPr>
            <sz val="9"/>
            <color indexed="81"/>
            <rFont val="Tahoma"/>
            <family val="2"/>
          </rPr>
          <t>This cell should always equal zero</t>
        </r>
      </text>
    </comment>
    <comment ref="A50" authorId="0" shapeId="0" xr:uid="{45069CE9-33F8-4D53-8B84-F632A439E1BE}">
      <text>
        <r>
          <rPr>
            <sz val="8"/>
            <color indexed="81"/>
            <rFont val="Tahoma"/>
            <family val="2"/>
          </rPr>
          <t>Decision Unit Number</t>
        </r>
      </text>
    </comment>
    <comment ref="I59" authorId="3" shapeId="0" xr:uid="{26FE94E6-EE31-4CB0-94B9-D8E4A5864E5D}">
      <text>
        <r>
          <rPr>
            <sz val="9"/>
            <color indexed="81"/>
            <rFont val="Arial"/>
            <family val="2"/>
          </rPr>
          <t>Any benefits relating to positions transferred should be reconciled here with an upward or downward adjustment. This adjustment should net to zero agency-wide.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2" authorId="3" shapeId="0" xr:uid="{4D98288E-2A77-41E6-893E-7E05C5B1FC30}">
      <text>
        <r>
          <rPr>
            <sz val="9"/>
            <color indexed="81"/>
            <rFont val="Arial"/>
            <family val="2"/>
          </rPr>
          <t>Any benefits relating to positions transferred should be reconciled here with an upward or downward adjustment. This adjustment should net to zero agency-wide.</t>
        </r>
      </text>
    </comment>
    <comment ref="E70" authorId="2" shapeId="0" xr:uid="{D4B9A5CA-4295-439D-9AA9-E41128961E1C}">
      <text>
        <r>
          <rPr>
            <b/>
            <sz val="9"/>
            <color indexed="81"/>
            <rFont val="Tahoma"/>
            <family val="2"/>
          </rPr>
          <t>Jared Tatro:</t>
        </r>
        <r>
          <rPr>
            <sz val="9"/>
            <color indexed="81"/>
            <rFont val="Tahoma"/>
            <family val="2"/>
          </rPr>
          <t xml:space="preserve">
These rates should be changed on the Benefit worksheet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LSO-BPA</author>
    <author>mfreeman</author>
    <author>Jared Tatro</author>
    <author>Ray Houston</author>
  </authors>
  <commentList>
    <comment ref="A8" authorId="0" shapeId="0" xr:uid="{B50F84B8-E89F-4434-B6EC-32796F4515D3}">
      <text>
        <r>
          <rPr>
            <sz val="8"/>
            <color indexed="81"/>
            <rFont val="Tahoma"/>
            <family val="2"/>
          </rPr>
          <t>Position Control Number</t>
        </r>
      </text>
    </comment>
    <comment ref="B8" authorId="1" shapeId="0" xr:uid="{A3E36B5E-9EA6-49D8-87EE-7BA2F7FA1AB1}">
      <text>
        <r>
          <rPr>
            <sz val="8"/>
            <color indexed="81"/>
            <rFont val="Tahoma"/>
            <family val="2"/>
          </rPr>
          <t>Five-digit class code associated with a position title.</t>
        </r>
      </text>
    </comment>
    <comment ref="E8" authorId="1" shapeId="0" xr:uid="{746E5465-D3E2-4863-8F84-F41A1AFF5955}">
      <text>
        <r>
          <rPr>
            <sz val="8"/>
            <color indexed="81"/>
            <rFont val="Tahoma"/>
            <family val="2"/>
          </rPr>
          <t>An Indicator of "1" refers to permanent positions, an Indicator of "2" refers to board &amp; group positions, and an Indicator of "3" refers to  elected official positions and other full time commissioners</t>
        </r>
      </text>
    </comment>
    <comment ref="C19" authorId="2" shapeId="0" xr:uid="{3E21F833-6B5A-4949-966E-4268D6F9E3FA}">
      <text>
        <r>
          <rPr>
            <sz val="10"/>
            <color indexed="81"/>
            <rFont val="Tahoma"/>
            <family val="2"/>
          </rPr>
          <t>R1 = Regular Retirement Rate (most common)
R2 = Police/Fire
R4 = Former Public Safety (1985)
R5 = Dept of Labor (rare)
R6 = Judges
R7 = Optional Retirement
R8 = Optional Retirement</t>
        </r>
      </text>
    </comment>
    <comment ref="F39" authorId="2" shapeId="0" xr:uid="{3BECCFEE-C305-49DD-9E15-D4AED35C5D30}">
      <text>
        <r>
          <rPr>
            <sz val="9"/>
            <color indexed="81"/>
            <rFont val="Tahoma"/>
            <family val="2"/>
          </rPr>
          <t>This cell should always equal zero</t>
        </r>
      </text>
    </comment>
    <comment ref="A50" authorId="0" shapeId="0" xr:uid="{94BE9A40-020E-4BB9-838E-F7C4F4DC3CF1}">
      <text>
        <r>
          <rPr>
            <sz val="8"/>
            <color indexed="81"/>
            <rFont val="Tahoma"/>
            <family val="2"/>
          </rPr>
          <t>Decision Unit Number</t>
        </r>
      </text>
    </comment>
    <comment ref="I59" authorId="3" shapeId="0" xr:uid="{18BFEA82-58AE-46C1-8741-75B407D78FF3}">
      <text>
        <r>
          <rPr>
            <sz val="9"/>
            <color indexed="81"/>
            <rFont val="Arial"/>
            <family val="2"/>
          </rPr>
          <t>Any benefits relating to positions transferred should be reconciled here with an upward or downward adjustment. This adjustment should net to zero agency-wide.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2" authorId="3" shapeId="0" xr:uid="{32B012AF-32BE-4F7C-BF0E-6578F8E11ADD}">
      <text>
        <r>
          <rPr>
            <sz val="9"/>
            <color indexed="81"/>
            <rFont val="Arial"/>
            <family val="2"/>
          </rPr>
          <t>Any benefits relating to positions transferred should be reconciled here with an upward or downward adjustment. This adjustment should net to zero agency-wide.</t>
        </r>
      </text>
    </comment>
    <comment ref="E70" authorId="2" shapeId="0" xr:uid="{2F58FE06-BC2A-4644-9F85-BA819F16CC4D}">
      <text>
        <r>
          <rPr>
            <b/>
            <sz val="9"/>
            <color indexed="81"/>
            <rFont val="Tahoma"/>
            <family val="2"/>
          </rPr>
          <t>Jared Tatro:</t>
        </r>
        <r>
          <rPr>
            <sz val="9"/>
            <color indexed="81"/>
            <rFont val="Tahoma"/>
            <family val="2"/>
          </rPr>
          <t xml:space="preserve">
These rates should be changed on the Benefit worksheet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LSO-BPA</author>
    <author>mfreeman</author>
    <author>Jared Tatro</author>
    <author>Ray Houston</author>
  </authors>
  <commentList>
    <comment ref="A8" authorId="0" shapeId="0" xr:uid="{E4359951-6F0D-4E8A-8388-DFD3D7FCA5FE}">
      <text>
        <r>
          <rPr>
            <sz val="8"/>
            <color indexed="81"/>
            <rFont val="Tahoma"/>
            <family val="2"/>
          </rPr>
          <t>Position Control Number</t>
        </r>
      </text>
    </comment>
    <comment ref="B8" authorId="1" shapeId="0" xr:uid="{34DD2557-DF74-41B6-A0E7-6A8C123B7376}">
      <text>
        <r>
          <rPr>
            <sz val="8"/>
            <color indexed="81"/>
            <rFont val="Tahoma"/>
            <family val="2"/>
          </rPr>
          <t>Five-digit class code associated with a position title.</t>
        </r>
      </text>
    </comment>
    <comment ref="E8" authorId="1" shapeId="0" xr:uid="{71286A48-48DE-402B-BC8C-4AB6DA10A9B2}">
      <text>
        <r>
          <rPr>
            <sz val="8"/>
            <color indexed="81"/>
            <rFont val="Tahoma"/>
            <family val="2"/>
          </rPr>
          <t>An Indicator of "1" refers to permanent positions, an Indicator of "2" refers to board &amp; group positions, and an Indicator of "3" refers to  elected official positions and other full time commissioners</t>
        </r>
      </text>
    </comment>
    <comment ref="C19" authorId="2" shapeId="0" xr:uid="{DEBBB00A-BA84-440E-A256-B7AAE06D4AA3}">
      <text>
        <r>
          <rPr>
            <sz val="10"/>
            <color indexed="81"/>
            <rFont val="Tahoma"/>
            <family val="2"/>
          </rPr>
          <t>R1 = Regular Retirement Rate (most common)
R2 = Police/Fire
R4 = Former Public Safety (1985)
R5 = Dept of Labor (rare)
R6 = Judges
R7 = Optional Retirement
R8 = Optional Retirement</t>
        </r>
      </text>
    </comment>
    <comment ref="F39" authorId="2" shapeId="0" xr:uid="{ADA87170-75A1-4883-9451-E4435567236B}">
      <text>
        <r>
          <rPr>
            <sz val="9"/>
            <color indexed="81"/>
            <rFont val="Tahoma"/>
            <family val="2"/>
          </rPr>
          <t>This cell should always equal zero</t>
        </r>
      </text>
    </comment>
    <comment ref="A50" authorId="0" shapeId="0" xr:uid="{95F19745-B904-4FAF-A5DF-CC5FC0D87440}">
      <text>
        <r>
          <rPr>
            <sz val="8"/>
            <color indexed="81"/>
            <rFont val="Tahoma"/>
            <family val="2"/>
          </rPr>
          <t>Decision Unit Number</t>
        </r>
      </text>
    </comment>
    <comment ref="I59" authorId="3" shapeId="0" xr:uid="{0E865F81-DFA7-4A73-8A2A-FF29DA69AB06}">
      <text>
        <r>
          <rPr>
            <sz val="9"/>
            <color indexed="81"/>
            <rFont val="Arial"/>
            <family val="2"/>
          </rPr>
          <t>Any benefits relating to positions transferred should be reconciled here with an upward or downward adjustment. This adjustment should net to zero agency-wide.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2" authorId="3" shapeId="0" xr:uid="{91E5A145-1C99-4792-AC8A-D9D4B29D6541}">
      <text>
        <r>
          <rPr>
            <sz val="9"/>
            <color indexed="81"/>
            <rFont val="Arial"/>
            <family val="2"/>
          </rPr>
          <t>Any benefits relating to positions transferred should be reconciled here with an upward or downward adjustment. This adjustment should net to zero agency-wide.</t>
        </r>
      </text>
    </comment>
    <comment ref="E70" authorId="2" shapeId="0" xr:uid="{D35A5E61-5CAB-4699-B285-598D89F20F68}">
      <text>
        <r>
          <rPr>
            <b/>
            <sz val="9"/>
            <color indexed="81"/>
            <rFont val="Tahoma"/>
            <family val="2"/>
          </rPr>
          <t>Jared Tatro:</t>
        </r>
        <r>
          <rPr>
            <sz val="9"/>
            <color indexed="81"/>
            <rFont val="Tahoma"/>
            <family val="2"/>
          </rPr>
          <t xml:space="preserve">
These rates should be changed on the Benefit worksheet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LSO-BPA</author>
    <author>mfreeman</author>
    <author>Jared Tatro</author>
    <author>Ray Houston</author>
  </authors>
  <commentList>
    <comment ref="A8" authorId="0" shapeId="0" xr:uid="{43B1E42C-459A-40E9-990D-AB595BB9DFCA}">
      <text>
        <r>
          <rPr>
            <sz val="8"/>
            <color indexed="81"/>
            <rFont val="Tahoma"/>
            <family val="2"/>
          </rPr>
          <t>Position Control Number</t>
        </r>
      </text>
    </comment>
    <comment ref="B8" authorId="1" shapeId="0" xr:uid="{59BCC084-5E7C-4C28-AC04-57E758120CBA}">
      <text>
        <r>
          <rPr>
            <sz val="8"/>
            <color indexed="81"/>
            <rFont val="Tahoma"/>
            <family val="2"/>
          </rPr>
          <t>Five-digit class code associated with a position title.</t>
        </r>
      </text>
    </comment>
    <comment ref="E8" authorId="1" shapeId="0" xr:uid="{8CC333AF-AAC4-43AE-89FC-C1A6636BDC40}">
      <text>
        <r>
          <rPr>
            <sz val="8"/>
            <color indexed="81"/>
            <rFont val="Tahoma"/>
            <family val="2"/>
          </rPr>
          <t>An Indicator of "1" refers to permanent positions, an Indicator of "2" refers to board &amp; group positions, and an Indicator of "3" refers to  elected official positions and other full time commissioners</t>
        </r>
      </text>
    </comment>
    <comment ref="C19" authorId="2" shapeId="0" xr:uid="{3C84ABE8-2FB5-4D89-B571-1575E6F7718B}">
      <text>
        <r>
          <rPr>
            <sz val="10"/>
            <color indexed="81"/>
            <rFont val="Tahoma"/>
            <family val="2"/>
          </rPr>
          <t>R1 = Regular Retirement Rate (most common)
R2 = Police/Fire
R4 = Former Public Safety (1985)
R5 = Dept of Labor (rare)
R6 = Judges
R7 = Optional Retirement
R8 = Optional Retirement</t>
        </r>
      </text>
    </comment>
    <comment ref="F39" authorId="2" shapeId="0" xr:uid="{3AAC87D9-7B79-4B70-A698-DB08E63C01D1}">
      <text>
        <r>
          <rPr>
            <sz val="9"/>
            <color indexed="81"/>
            <rFont val="Tahoma"/>
            <family val="2"/>
          </rPr>
          <t>This cell should always equal zero</t>
        </r>
      </text>
    </comment>
    <comment ref="A50" authorId="0" shapeId="0" xr:uid="{B7F43DA2-7BA9-4751-84AC-9511E0BC320C}">
      <text>
        <r>
          <rPr>
            <sz val="8"/>
            <color indexed="81"/>
            <rFont val="Tahoma"/>
            <family val="2"/>
          </rPr>
          <t>Decision Unit Number</t>
        </r>
      </text>
    </comment>
    <comment ref="I59" authorId="3" shapeId="0" xr:uid="{2153BCF3-3BF3-4004-ADB0-8C25E6EDBF49}">
      <text>
        <r>
          <rPr>
            <sz val="9"/>
            <color indexed="81"/>
            <rFont val="Arial"/>
            <family val="2"/>
          </rPr>
          <t>Any benefits relating to positions transferred should be reconciled here with an upward or downward adjustment. This adjustment should net to zero agency-wide.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2" authorId="3" shapeId="0" xr:uid="{FA5A0DED-D0E5-4CA8-A296-40ABC99FA882}">
      <text>
        <r>
          <rPr>
            <sz val="9"/>
            <color indexed="81"/>
            <rFont val="Arial"/>
            <family val="2"/>
          </rPr>
          <t>Any benefits relating to positions transferred should be reconciled here with an upward or downward adjustment. This adjustment should net to zero agency-wide.</t>
        </r>
      </text>
    </comment>
    <comment ref="E70" authorId="2" shapeId="0" xr:uid="{94B860A5-DF32-4686-AA47-5BB97F9FCBF0}">
      <text>
        <r>
          <rPr>
            <b/>
            <sz val="9"/>
            <color indexed="81"/>
            <rFont val="Tahoma"/>
            <family val="2"/>
          </rPr>
          <t>Jared Tatro:</t>
        </r>
        <r>
          <rPr>
            <sz val="9"/>
            <color indexed="81"/>
            <rFont val="Tahoma"/>
            <family val="2"/>
          </rPr>
          <t xml:space="preserve">
These rates should be changed on the Benefit worksheet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LSO-BPA</author>
    <author>mfreeman</author>
    <author>Jared Tatro</author>
    <author>Ray Houston</author>
  </authors>
  <commentList>
    <comment ref="A8" authorId="0" shapeId="0" xr:uid="{89931CA4-701A-4B4F-9852-54F45FC8A2ED}">
      <text>
        <r>
          <rPr>
            <sz val="8"/>
            <color indexed="81"/>
            <rFont val="Tahoma"/>
            <family val="2"/>
          </rPr>
          <t>Position Control Number</t>
        </r>
      </text>
    </comment>
    <comment ref="B8" authorId="1" shapeId="0" xr:uid="{BBCBF0B0-3553-453E-B9C1-2E1FE237A2CC}">
      <text>
        <r>
          <rPr>
            <sz val="8"/>
            <color indexed="81"/>
            <rFont val="Tahoma"/>
            <family val="2"/>
          </rPr>
          <t>Five-digit class code associated with a position title.</t>
        </r>
      </text>
    </comment>
    <comment ref="E8" authorId="1" shapeId="0" xr:uid="{884139E2-F21E-4D6A-9FB4-F37B1C5F50D6}">
      <text>
        <r>
          <rPr>
            <sz val="8"/>
            <color indexed="81"/>
            <rFont val="Tahoma"/>
            <family val="2"/>
          </rPr>
          <t>An Indicator of "1" refers to permanent positions, an Indicator of "2" refers to board &amp; group positions, and an Indicator of "3" refers to  elected official positions and other full time commissioners</t>
        </r>
      </text>
    </comment>
    <comment ref="C19" authorId="2" shapeId="0" xr:uid="{D19953EE-3F65-43D3-A634-6566DD3D1318}">
      <text>
        <r>
          <rPr>
            <sz val="10"/>
            <color indexed="81"/>
            <rFont val="Tahoma"/>
            <family val="2"/>
          </rPr>
          <t>R1 = Regular Retirement Rate (most common)
R2 = Police/Fire
R4 = Former Public Safety (1985)
R5 = Dept of Labor (rare)
R6 = Judges
R7 = Optional Retirement
R8 = Optional Retirement</t>
        </r>
      </text>
    </comment>
    <comment ref="F39" authorId="2" shapeId="0" xr:uid="{559366CC-B379-4262-88CA-D1453C688A55}">
      <text>
        <r>
          <rPr>
            <sz val="9"/>
            <color indexed="81"/>
            <rFont val="Tahoma"/>
            <family val="2"/>
          </rPr>
          <t>This cell should always equal zero</t>
        </r>
      </text>
    </comment>
    <comment ref="A50" authorId="0" shapeId="0" xr:uid="{A0D89320-F353-4C37-B141-B26AED647CF6}">
      <text>
        <r>
          <rPr>
            <sz val="8"/>
            <color indexed="81"/>
            <rFont val="Tahoma"/>
            <family val="2"/>
          </rPr>
          <t>Decision Unit Number</t>
        </r>
      </text>
    </comment>
    <comment ref="I59" authorId="3" shapeId="0" xr:uid="{DE4515BF-64B4-4378-ADC8-78F0A4CD2186}">
      <text>
        <r>
          <rPr>
            <sz val="9"/>
            <color indexed="81"/>
            <rFont val="Arial"/>
            <family val="2"/>
          </rPr>
          <t>Any benefits relating to positions transferred should be reconciled here with an upward or downward adjustment. This adjustment should net to zero agency-wide.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2" authorId="3" shapeId="0" xr:uid="{9E9FD807-C96F-4E66-8FCF-0725F281C859}">
      <text>
        <r>
          <rPr>
            <sz val="9"/>
            <color indexed="81"/>
            <rFont val="Arial"/>
            <family val="2"/>
          </rPr>
          <t>Any benefits relating to positions transferred should be reconciled here with an upward or downward adjustment. This adjustment should net to zero agency-wide.</t>
        </r>
      </text>
    </comment>
    <comment ref="E70" authorId="2" shapeId="0" xr:uid="{BCA31D38-7EDB-49CD-BD49-25D699EEF80A}">
      <text>
        <r>
          <rPr>
            <b/>
            <sz val="9"/>
            <color indexed="81"/>
            <rFont val="Tahoma"/>
            <family val="2"/>
          </rPr>
          <t>Jared Tatro:</t>
        </r>
        <r>
          <rPr>
            <sz val="9"/>
            <color indexed="81"/>
            <rFont val="Tahoma"/>
            <family val="2"/>
          </rPr>
          <t xml:space="preserve">
These rates should be changed on the Benefit worksheet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LSO-BPA</author>
    <author>mfreeman</author>
    <author>Jared Tatro</author>
    <author>Ray Houston</author>
  </authors>
  <commentList>
    <comment ref="A8" authorId="0" shapeId="0" xr:uid="{00000000-0006-0000-0200-000001000000}">
      <text>
        <r>
          <rPr>
            <sz val="8"/>
            <color indexed="81"/>
            <rFont val="Tahoma"/>
            <family val="2"/>
          </rPr>
          <t>Position Control Number</t>
        </r>
      </text>
    </comment>
    <comment ref="B8" authorId="1" shapeId="0" xr:uid="{00000000-0006-0000-0200-000002000000}">
      <text>
        <r>
          <rPr>
            <sz val="8"/>
            <color indexed="81"/>
            <rFont val="Tahoma"/>
            <family val="2"/>
          </rPr>
          <t>Five-digit class code associated with a position title.</t>
        </r>
      </text>
    </comment>
    <comment ref="E8" authorId="1" shapeId="0" xr:uid="{00000000-0006-0000-0200-000003000000}">
      <text>
        <r>
          <rPr>
            <sz val="8"/>
            <color indexed="81"/>
            <rFont val="Tahoma"/>
            <family val="2"/>
          </rPr>
          <t>An Indicator of "1" refers to permanent positions, an Indicator of "2" refers to board &amp; group positions, and an Indicator of "3" refers to  elected official positions and other full time commissioners</t>
        </r>
      </text>
    </comment>
    <comment ref="C19" authorId="2" shapeId="0" xr:uid="{00000000-0006-0000-0200-000004000000}">
      <text>
        <r>
          <rPr>
            <sz val="10"/>
            <color indexed="81"/>
            <rFont val="Tahoma"/>
            <family val="2"/>
          </rPr>
          <t>R1 = Regular Retirement Rate (most common)
R2 = Police/Fire
R4 = Former Public Safety (1985)
R5 = Dept of Labor (rare)
R6 = Judges
R7 = Optional Retirement
R8 = Optional Retirement</t>
        </r>
      </text>
    </comment>
    <comment ref="F39" authorId="2" shapeId="0" xr:uid="{00000000-0006-0000-0200-000005000000}">
      <text>
        <r>
          <rPr>
            <sz val="9"/>
            <color indexed="81"/>
            <rFont val="Tahoma"/>
            <family val="2"/>
          </rPr>
          <t>This cell should always equal zero</t>
        </r>
      </text>
    </comment>
    <comment ref="A50" authorId="0" shapeId="0" xr:uid="{00000000-0006-0000-0200-000006000000}">
      <text>
        <r>
          <rPr>
            <sz val="8"/>
            <color indexed="81"/>
            <rFont val="Tahoma"/>
            <family val="2"/>
          </rPr>
          <t>Decision Unit Number</t>
        </r>
      </text>
    </comment>
    <comment ref="I59" authorId="3" shapeId="0" xr:uid="{00000000-0006-0000-0200-000007000000}">
      <text>
        <r>
          <rPr>
            <sz val="9"/>
            <color indexed="81"/>
            <rFont val="Arial"/>
            <family val="2"/>
          </rPr>
          <t>Any benefits relating to positions transferred should be reconciled here with an upward or downward adjustment. This adjustment should net to zero agency-wide.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2" authorId="3" shapeId="0" xr:uid="{00000000-0006-0000-0200-000008000000}">
      <text>
        <r>
          <rPr>
            <sz val="9"/>
            <color indexed="81"/>
            <rFont val="Arial"/>
            <family val="2"/>
          </rPr>
          <t>Any benefits relating to positions transferred should be reconciled here with an upward or downward adjustment. This adjustment should net to zero agency-wide.</t>
        </r>
      </text>
    </comment>
    <comment ref="E70" authorId="2" shapeId="0" xr:uid="{A0A843D4-16DB-40DB-A22A-E9933DF2D2C0}">
      <text>
        <r>
          <rPr>
            <b/>
            <sz val="9"/>
            <color indexed="81"/>
            <rFont val="Tahoma"/>
            <family val="2"/>
          </rPr>
          <t>Jared Tatro:</t>
        </r>
        <r>
          <rPr>
            <sz val="9"/>
            <color indexed="81"/>
            <rFont val="Tahoma"/>
            <family val="2"/>
          </rPr>
          <t xml:space="preserve">
These rates should be changed on the Benefit worksheet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mfreeman</author>
  </authors>
  <commentList>
    <comment ref="C2" authorId="0" shapeId="0" xr:uid="{5F50FEA5-1E45-4C3A-8826-DAD14C9A881D}">
      <text>
        <r>
          <rPr>
            <sz val="8"/>
            <color indexed="81"/>
            <rFont val="Tahoma"/>
            <family val="2"/>
          </rPr>
          <t>An Indicator of "1" refers to permanent positions, an Indicator of "2" refers to board &amp; group positions, and an Indicator of "3" refers to  elected official positions and other full time commissioners</t>
        </r>
      </text>
    </comment>
    <comment ref="C13" authorId="0" shapeId="0" xr:uid="{1D9188F3-A228-46C7-BCDD-AF5E8F468420}">
      <text>
        <r>
          <rPr>
            <sz val="8"/>
            <color indexed="81"/>
            <rFont val="Tahoma"/>
            <family val="2"/>
          </rPr>
          <t>An Indicator of "1" refers to permanent positions, an Indicator of "2" refers to board &amp; group positions, and an Indicator of "3" refers to  elected official positions and other full time commissioners</t>
        </r>
      </text>
    </comment>
    <comment ref="C24" authorId="0" shapeId="0" xr:uid="{93649CC0-88C5-4747-AC7D-ACD2F2EA9D2B}">
      <text>
        <r>
          <rPr>
            <sz val="8"/>
            <color indexed="81"/>
            <rFont val="Tahoma"/>
            <family val="2"/>
          </rPr>
          <t>An Indicator of "1" refers to permanent positions, an Indicator of "2" refers to board &amp; group positions, and an Indicator of "3" refers to  elected official positions and other full time commissioners</t>
        </r>
      </text>
    </comment>
    <comment ref="C35" authorId="0" shapeId="0" xr:uid="{8F5CCF0A-0F7F-4386-8AA5-9387624C4E8A}">
      <text>
        <r>
          <rPr>
            <sz val="8"/>
            <color indexed="81"/>
            <rFont val="Tahoma"/>
            <family val="2"/>
          </rPr>
          <t>An Indicator of "1" refers to permanent positions, an Indicator of "2" refers to board &amp; group positions, and an Indicator of "3" refers to  elected official positions and other full time commissioners</t>
        </r>
      </text>
    </comment>
    <comment ref="C46" authorId="0" shapeId="0" xr:uid="{E61D0ABD-A4C7-4959-9AB1-D953E1A4C19A}">
      <text>
        <r>
          <rPr>
            <sz val="8"/>
            <color indexed="81"/>
            <rFont val="Tahoma"/>
            <family val="2"/>
          </rPr>
          <t>An Indicator of "1" refers to permanent positions, an Indicator of "2" refers to board &amp; group positions, and an Indicator of "3" refers to  elected official positions and other full time commissioners</t>
        </r>
      </text>
    </comment>
  </commentList>
</comments>
</file>

<file path=xl/sharedStrings.xml><?xml version="1.0" encoding="utf-8"?>
<sst xmlns="http://schemas.openxmlformats.org/spreadsheetml/2006/main" count="5673" uniqueCount="808">
  <si>
    <t>Current Year</t>
  </si>
  <si>
    <t>Budgeted Year</t>
  </si>
  <si>
    <t>FICA SSDI Rate</t>
  </si>
  <si>
    <t>FICA SSHI Rate</t>
  </si>
  <si>
    <t>Unemployment Rate</t>
  </si>
  <si>
    <t>Workers Comp Rate</t>
  </si>
  <si>
    <t>Life Insurance Rate</t>
  </si>
  <si>
    <t>Unused sick leave rate</t>
  </si>
  <si>
    <t>DHR rate</t>
  </si>
  <si>
    <t>Total Group</t>
  </si>
  <si>
    <t>Agency Benefit Information</t>
  </si>
  <si>
    <t>Total Permanent</t>
  </si>
  <si>
    <t>Full Time Health Costs</t>
  </si>
  <si>
    <t>Agency/Department:</t>
  </si>
  <si>
    <t>Agency Number:</t>
  </si>
  <si>
    <t>Fiscal Year:</t>
  </si>
  <si>
    <t>Original Request Date:</t>
  </si>
  <si>
    <t>Fund Name:</t>
  </si>
  <si>
    <t>Revision Date:</t>
  </si>
  <si>
    <t>Revision #:</t>
  </si>
  <si>
    <t>PCN</t>
  </si>
  <si>
    <t>CLASS CODE</t>
  </si>
  <si>
    <t>DESCRIPTION</t>
  </si>
  <si>
    <t>Indicator Code</t>
  </si>
  <si>
    <t>FTP</t>
  </si>
  <si>
    <t>TOTAL BENEFIT CHANGES</t>
  </si>
  <si>
    <t>Totals from Wage and Salary Report (WSR):</t>
  </si>
  <si>
    <t>Permanent Positions</t>
  </si>
  <si>
    <t>Board &amp; Group Positions</t>
  </si>
  <si>
    <t>Elected Officials &amp; Full Time Commissioners</t>
  </si>
  <si>
    <t>TOTAL FROM WSR</t>
  </si>
  <si>
    <t>ORIGINAL APPROPRIATION</t>
  </si>
  <si>
    <t>Unadjusted Over or (Under) Funded:</t>
  </si>
  <si>
    <t>Est Difference</t>
  </si>
  <si>
    <t>Adjustments to Wage &amp; Salary:</t>
  </si>
  <si>
    <t>Add Funded / Subtract Unfunded - Vacant or Authorized - Positions:</t>
  </si>
  <si>
    <t>Other Adjustments:</t>
  </si>
  <si>
    <t>Estimated Salary Needs:</t>
  </si>
  <si>
    <t>Estimated Salary and Benefits</t>
  </si>
  <si>
    <t>Adjusted Over or (Under) Funding:</t>
  </si>
  <si>
    <t>Orig. Approp</t>
  </si>
  <si>
    <t>Est. Expend</t>
  </si>
  <si>
    <t>DU</t>
  </si>
  <si>
    <t>Original Appropriation</t>
  </si>
  <si>
    <t>Total Benefit Change</t>
  </si>
  <si>
    <t xml:space="preserve"> </t>
  </si>
  <si>
    <t>Rounded Appropriation</t>
  </si>
  <si>
    <t>Appropriation Adjustments:</t>
  </si>
  <si>
    <t>Reappropriation</t>
  </si>
  <si>
    <t>Supplemental</t>
  </si>
  <si>
    <t>TOTAL APPROPRIATION</t>
  </si>
  <si>
    <t>Expenditure Adjustments:</t>
  </si>
  <si>
    <t>FTP or Fund Adjustment</t>
  </si>
  <si>
    <t>ESTIMATED EXPENDITURES</t>
  </si>
  <si>
    <t>Base Adjustments:</t>
  </si>
  <si>
    <t>Removal of One-Time Expenditures</t>
  </si>
  <si>
    <t>Base Reduction</t>
  </si>
  <si>
    <t>BASE</t>
  </si>
  <si>
    <t>Change in Health Benefit Costs</t>
  </si>
  <si>
    <t>Change in Variable Benefits Costs</t>
  </si>
  <si>
    <t>Annualization</t>
  </si>
  <si>
    <t>CEC for Elected Officials &amp; Commissioners</t>
  </si>
  <si>
    <t>PROGRAM MAINTENANCE</t>
  </si>
  <si>
    <t>Line Items:</t>
  </si>
  <si>
    <t>TOTAL REQUEST</t>
  </si>
  <si>
    <t xml:space="preserve">Transfer Between Programs </t>
  </si>
  <si>
    <t>R1</t>
  </si>
  <si>
    <t>R6</t>
  </si>
  <si>
    <t>R2</t>
  </si>
  <si>
    <t>R4</t>
  </si>
  <si>
    <t>R5</t>
  </si>
  <si>
    <t>R8</t>
  </si>
  <si>
    <t>R7</t>
  </si>
  <si>
    <t>Regular Retirement</t>
  </si>
  <si>
    <t>Police/Fire Retirement</t>
  </si>
  <si>
    <t>Former Public Safety (1985)</t>
  </si>
  <si>
    <t xml:space="preserve">Dept of Labor </t>
  </si>
  <si>
    <t>Judges Retirement</t>
  </si>
  <si>
    <t>Optional Retirement</t>
  </si>
  <si>
    <t>RETIREMENT RATES</t>
  </si>
  <si>
    <t>Part Time Health Costs</t>
  </si>
  <si>
    <t>FTI</t>
  </si>
  <si>
    <t>Budget Submission Page #</t>
  </si>
  <si>
    <t>of</t>
  </si>
  <si>
    <t>Retire Cd</t>
  </si>
  <si>
    <t>Adjustment Description / Position Title</t>
  </si>
  <si>
    <t>** MESSAGE CODES:</t>
  </si>
  <si>
    <t>1 = POSITION WITH MULTIPLE DISTRIBUTIONS</t>
  </si>
  <si>
    <t>2 = DELETED POSITION WITH ACTUAL DOLLARS</t>
  </si>
  <si>
    <t>3 = INCUMBENT IS AN UNDERFILL</t>
  </si>
  <si>
    <t>5 = SHIFT DIFFERENTIAL</t>
  </si>
  <si>
    <t>6 = MULTIPLE FILL CALCULATION</t>
  </si>
  <si>
    <t>Salary</t>
  </si>
  <si>
    <t>Variable Benefits</t>
  </si>
  <si>
    <t>Total Benefits</t>
  </si>
  <si>
    <t>Totals by Fund</t>
  </si>
  <si>
    <t>Health Benefits</t>
  </si>
  <si>
    <t>Base</t>
  </si>
  <si>
    <t xml:space="preserve">Personnel Cost Reconciliation - Relation to Zero Variance  ---&gt; </t>
  </si>
  <si>
    <t>CEC for Permanent Positions</t>
  </si>
  <si>
    <t>Elected Officials</t>
  </si>
  <si>
    <t>Permanent Position CEC Rate</t>
  </si>
  <si>
    <t>Group Position CEC Rate</t>
  </si>
  <si>
    <t>Filled</t>
  </si>
  <si>
    <t>Total</t>
  </si>
  <si>
    <t>Filled and Adjustments</t>
  </si>
  <si>
    <t>Adjustments Only</t>
  </si>
  <si>
    <t>Percent of Filled Positions</t>
  </si>
  <si>
    <t>FTP = POSITION FTE = (PAY PERIOD HOURS/80) * FTE PCT OF YEAR * POSITION DISTRIBUTION %</t>
  </si>
  <si>
    <t>FTI  = EMPLOYEE FTE = (PAY PERIOD HOURS/80)  * FTE PCT OF YEAR * POSITION DISTRIBUTION %</t>
  </si>
  <si>
    <t>orig CEC</t>
  </si>
  <si>
    <t>Luma Fund Number</t>
  </si>
  <si>
    <t>Appropriation (Budget) Unit</t>
  </si>
  <si>
    <t>Historical Fund #:</t>
  </si>
  <si>
    <t>Budgeted Division:</t>
  </si>
  <si>
    <t>Budgeted Program</t>
  </si>
  <si>
    <t>Transfer between programs</t>
  </si>
  <si>
    <t>CEC for Temp/Group Positions</t>
  </si>
  <si>
    <t>School Rate (K12 only)</t>
  </si>
  <si>
    <t>FISCAL YEAR</t>
  </si>
  <si>
    <t>AGENCY CODE</t>
  </si>
  <si>
    <t>PCN TITLE</t>
  </si>
  <si>
    <t>FUND CODE</t>
  </si>
  <si>
    <t>FUND DETAIL CODE</t>
  </si>
  <si>
    <t>BUDGET UNIT</t>
  </si>
  <si>
    <t>PCA</t>
  </si>
  <si>
    <t>INDEX CODE</t>
  </si>
  <si>
    <t>PCN DIST COUNT</t>
  </si>
  <si>
    <t>PCN CLASS CODE</t>
  </si>
  <si>
    <t>PCN PAY GRADE</t>
  </si>
  <si>
    <t>PCN STATUS CODE</t>
  </si>
  <si>
    <t>PCN TYPE CODE</t>
  </si>
  <si>
    <t>INCUMBENT COUNT</t>
  </si>
  <si>
    <t>PCN DIST PCT</t>
  </si>
  <si>
    <t>PCN FTE PCT</t>
  </si>
  <si>
    <t>PCN PP HOURS</t>
  </si>
  <si>
    <t>PCN FTP</t>
  </si>
  <si>
    <t>PCN ACTUAL REGULAR</t>
  </si>
  <si>
    <t>PCN ACTUAL OT</t>
  </si>
  <si>
    <t>PCN ACTUAL BENEFITS</t>
  </si>
  <si>
    <t>PCN ESTIMATED SALARY</t>
  </si>
  <si>
    <t>PCN ESTIMATED BENEFITS</t>
  </si>
  <si>
    <t>PCN PROJECTED SALARY</t>
  </si>
  <si>
    <t>PCN PROJECTED BENEFITS</t>
  </si>
  <si>
    <t>EMPLOYEE NAME</t>
  </si>
  <si>
    <t>LAST NAME</t>
  </si>
  <si>
    <t>FIRST NAME</t>
  </si>
  <si>
    <t>MIDDLE NAME</t>
  </si>
  <si>
    <t>INCUMBENT CLASS</t>
  </si>
  <si>
    <t>INCUMBENT PAY SCHEDULE</t>
  </si>
  <si>
    <t>PAY RATE IND</t>
  </si>
  <si>
    <t>PAY RATE</t>
  </si>
  <si>
    <t>CSS HOURS</t>
  </si>
  <si>
    <t>WORK TYPE CODE</t>
  </si>
  <si>
    <t>HEALTH ELIG IND</t>
  </si>
  <si>
    <t>SICK LEAVE ELIG IND</t>
  </si>
  <si>
    <t>UI ELIG IND</t>
  </si>
  <si>
    <t>RET OPT CODE</t>
  </si>
  <si>
    <t>INCUMBENT PP HOURS</t>
  </si>
  <si>
    <t>INCUMBENT FTE</t>
  </si>
  <si>
    <t>INCUMBENT FTI</t>
  </si>
  <si>
    <t>MSGS</t>
  </si>
  <si>
    <t>2023</t>
  </si>
  <si>
    <t>140</t>
  </si>
  <si>
    <t>0252</t>
  </si>
  <si>
    <t>FINANCIAL SPECIALIST</t>
  </si>
  <si>
    <t>0001</t>
  </si>
  <si>
    <t>00</t>
  </si>
  <si>
    <t>SCAA</t>
  </si>
  <si>
    <t>001</t>
  </si>
  <si>
    <t>04244</t>
  </si>
  <si>
    <t>M</t>
  </si>
  <si>
    <t>F</t>
  </si>
  <si>
    <t>NR</t>
  </si>
  <si>
    <t xml:space="preserve">MILLER, CAROLYN </t>
  </si>
  <si>
    <t>MILLER</t>
  </si>
  <si>
    <t>CAROLYN</t>
  </si>
  <si>
    <t xml:space="preserve">              </t>
  </si>
  <si>
    <t>00000</t>
  </si>
  <si>
    <t>H</t>
  </si>
  <si>
    <t>FS</t>
  </si>
  <si>
    <t>E</t>
  </si>
  <si>
    <t>N</t>
  </si>
  <si>
    <t>Y</t>
  </si>
  <si>
    <t xml:space="preserve">    </t>
  </si>
  <si>
    <t>0241</t>
  </si>
  <si>
    <t>FINANCIAL TECHNICIAN</t>
  </si>
  <si>
    <t>04248</t>
  </si>
  <si>
    <t>HOLT, HUNTER L.</t>
  </si>
  <si>
    <t>HOLT</t>
  </si>
  <si>
    <t>HUNTER</t>
  </si>
  <si>
    <t>LEE</t>
  </si>
  <si>
    <t>0240</t>
  </si>
  <si>
    <t>04246</t>
  </si>
  <si>
    <t>K</t>
  </si>
  <si>
    <t>TISDALE, SANDRA L.</t>
  </si>
  <si>
    <t>TISDALE</t>
  </si>
  <si>
    <t>SANDRA</t>
  </si>
  <si>
    <t>L</t>
  </si>
  <si>
    <t>0239</t>
  </si>
  <si>
    <t>BUR CHIEF, ACCOUNTIN</t>
  </si>
  <si>
    <t>20139</t>
  </si>
  <si>
    <t>MENJIVAR, PAMELA F.</t>
  </si>
  <si>
    <t>MENJIVAR</t>
  </si>
  <si>
    <t>PAMELA</t>
  </si>
  <si>
    <t>0238</t>
  </si>
  <si>
    <t>04245</t>
  </si>
  <si>
    <t xml:space="preserve">ANDERSON, CHRISTY </t>
  </si>
  <si>
    <t>ANDERSON</t>
  </si>
  <si>
    <t>CHRISTY</t>
  </si>
  <si>
    <t>0237</t>
  </si>
  <si>
    <t>FLOYD, CHRISTOPHER L.</t>
  </si>
  <si>
    <t>FLOYD</t>
  </si>
  <si>
    <t>CHRISTOPHER</t>
  </si>
  <si>
    <t>0236</t>
  </si>
  <si>
    <t>DRAVES, ETHAN M.</t>
  </si>
  <si>
    <t>DRAVES</t>
  </si>
  <si>
    <t>ETHAN</t>
  </si>
  <si>
    <t>0234</t>
  </si>
  <si>
    <t>HUMAN RESOURCE OFFIC</t>
  </si>
  <si>
    <t>004</t>
  </si>
  <si>
    <t>05131</t>
  </si>
  <si>
    <t>O</t>
  </si>
  <si>
    <t>HOLT, INGA R.</t>
  </si>
  <si>
    <t>INGA</t>
  </si>
  <si>
    <t>RENEE</t>
  </si>
  <si>
    <t>0232</t>
  </si>
  <si>
    <t xml:space="preserve">BUDGET OFFICER      </t>
  </si>
  <si>
    <t>22414</t>
  </si>
  <si>
    <t>DAVIS, CHRISTOPHER W.</t>
  </si>
  <si>
    <t>DAVIS</t>
  </si>
  <si>
    <t>W</t>
  </si>
  <si>
    <t>0231</t>
  </si>
  <si>
    <t xml:space="preserve">BARCLAY, ASHLEE </t>
  </si>
  <si>
    <t>BARCLAY</t>
  </si>
  <si>
    <t>ASHLEE</t>
  </si>
  <si>
    <t>0224</t>
  </si>
  <si>
    <t>BUR CHIEF, REPORTING</t>
  </si>
  <si>
    <t>20143</t>
  </si>
  <si>
    <t>PURCELL, JOHN B.</t>
  </si>
  <si>
    <t>PURCELL</t>
  </si>
  <si>
    <t>JOHN</t>
  </si>
  <si>
    <t>BRANDON</t>
  </si>
  <si>
    <t>0223</t>
  </si>
  <si>
    <t xml:space="preserve">ADMIN ASST 1        </t>
  </si>
  <si>
    <t>01235</t>
  </si>
  <si>
    <t>GROVE, RACHEL M.</t>
  </si>
  <si>
    <t>GROVE</t>
  </si>
  <si>
    <t>RACHEL</t>
  </si>
  <si>
    <t>0211</t>
  </si>
  <si>
    <t xml:space="preserve">PROGRAM COORDINATOR </t>
  </si>
  <si>
    <t>22431</t>
  </si>
  <si>
    <t>TIPTON, ANNETTE V.</t>
  </si>
  <si>
    <t>TIPTON</t>
  </si>
  <si>
    <t>ANNETTE</t>
  </si>
  <si>
    <t>V</t>
  </si>
  <si>
    <t>PT</t>
  </si>
  <si>
    <t>0135</t>
  </si>
  <si>
    <t xml:space="preserve">DEPUTY CONTROLLER   </t>
  </si>
  <si>
    <t>22430</t>
  </si>
  <si>
    <t>IASONIDES, JOHN N.</t>
  </si>
  <si>
    <t>IASONIDES</t>
  </si>
  <si>
    <t>0131</t>
  </si>
  <si>
    <t>COMMUNICATIONS MANAG</t>
  </si>
  <si>
    <t>005</t>
  </si>
  <si>
    <t>05581</t>
  </si>
  <si>
    <t>REATHAFORD, MACKENZIE N.</t>
  </si>
  <si>
    <t>REATHAFORD</t>
  </si>
  <si>
    <t>MACKENZIE</t>
  </si>
  <si>
    <t>0127</t>
  </si>
  <si>
    <t>DEPUTY CHIEF OF STAF</t>
  </si>
  <si>
    <t>22402</t>
  </si>
  <si>
    <t>BENJAMIN, BRIAN B.</t>
  </si>
  <si>
    <t>BENJAMIN</t>
  </si>
  <si>
    <t>BRIAN</t>
  </si>
  <si>
    <t>BIRDSALL</t>
  </si>
  <si>
    <t>0122</t>
  </si>
  <si>
    <t>PILLAI, VIJAY N.</t>
  </si>
  <si>
    <t>PILLAI</t>
  </si>
  <si>
    <t>VIJAY</t>
  </si>
  <si>
    <t>NATARAJAN</t>
  </si>
  <si>
    <t>0118</t>
  </si>
  <si>
    <t>POTTER, LANAE A.</t>
  </si>
  <si>
    <t>POTTER</t>
  </si>
  <si>
    <t>LANAE</t>
  </si>
  <si>
    <t>A</t>
  </si>
  <si>
    <t>0116</t>
  </si>
  <si>
    <t>POWELL, JUSTIN D.</t>
  </si>
  <si>
    <t>POWELL</t>
  </si>
  <si>
    <t>JUSTIN</t>
  </si>
  <si>
    <t>D</t>
  </si>
  <si>
    <t>0112</t>
  </si>
  <si>
    <t xml:space="preserve">BUSINESS ANALYST    </t>
  </si>
  <si>
    <t>05520</t>
  </si>
  <si>
    <t>FULLER, CHRISTINA M.</t>
  </si>
  <si>
    <t>FULLER</t>
  </si>
  <si>
    <t>CHRISTINA</t>
  </si>
  <si>
    <t>0110</t>
  </si>
  <si>
    <t>RICHARDSON, MINDY L.</t>
  </si>
  <si>
    <t>RICHARDSON</t>
  </si>
  <si>
    <t>MINDY</t>
  </si>
  <si>
    <t>0109</t>
  </si>
  <si>
    <t>HODGES, PATRICK E.</t>
  </si>
  <si>
    <t>HODGES</t>
  </si>
  <si>
    <t>PATRICK</t>
  </si>
  <si>
    <t>0108</t>
  </si>
  <si>
    <t xml:space="preserve">EXECUTIVE ASSISTANT </t>
  </si>
  <si>
    <t>22215</t>
  </si>
  <si>
    <t>PETAIN, YVONNE B.</t>
  </si>
  <si>
    <t>PETAIN</t>
  </si>
  <si>
    <t>YVONNE</t>
  </si>
  <si>
    <t>B</t>
  </si>
  <si>
    <t>9993</t>
  </si>
  <si>
    <t xml:space="preserve">TEMPORARY EMPLOYEES </t>
  </si>
  <si>
    <t>95000</t>
  </si>
  <si>
    <t>NG</t>
  </si>
  <si>
    <t>0107</t>
  </si>
  <si>
    <t>STATE SOCIAL SECURIT</t>
  </si>
  <si>
    <t>22435</t>
  </si>
  <si>
    <t>MCCLEVE, JACQUELINE G.</t>
  </si>
  <si>
    <t>MCCLEVE</t>
  </si>
  <si>
    <t>JACQUELINE</t>
  </si>
  <si>
    <t>GRACE</t>
  </si>
  <si>
    <t>0104</t>
  </si>
  <si>
    <t xml:space="preserve">FINANCIAL TECHNICAL </t>
  </si>
  <si>
    <t>22405</t>
  </si>
  <si>
    <t>ESTENSON, CHARLES L.</t>
  </si>
  <si>
    <t>ESTENSON</t>
  </si>
  <si>
    <t>CHARLES</t>
  </si>
  <si>
    <t>0103</t>
  </si>
  <si>
    <t>RIBORDY, HEATH S.</t>
  </si>
  <si>
    <t>RIBORDY</t>
  </si>
  <si>
    <t>HEATH</t>
  </si>
  <si>
    <t>S</t>
  </si>
  <si>
    <t>0102</t>
  </si>
  <si>
    <t>CHIEF DEPUTY CONTROL</t>
  </si>
  <si>
    <t>22401</t>
  </si>
  <si>
    <t>WHITWORTH, JOSHUA C.</t>
  </si>
  <si>
    <t>WHITWORTH</t>
  </si>
  <si>
    <t>JOSHUA</t>
  </si>
  <si>
    <t>C</t>
  </si>
  <si>
    <t>0101</t>
  </si>
  <si>
    <t xml:space="preserve">STATE CONTROLLER    </t>
  </si>
  <si>
    <t>22400</t>
  </si>
  <si>
    <t>WOOLF, BRANDON D.</t>
  </si>
  <si>
    <t>WOOLF</t>
  </si>
  <si>
    <t>FE</t>
  </si>
  <si>
    <t>0266</t>
  </si>
  <si>
    <t>SILVA, NICHOLENA M.</t>
  </si>
  <si>
    <t>SILVA</t>
  </si>
  <si>
    <t>NICHOLENA</t>
  </si>
  <si>
    <t>0048</t>
  </si>
  <si>
    <t xml:space="preserve">FINANCIAL OFFICER   </t>
  </si>
  <si>
    <t>04241</t>
  </si>
  <si>
    <t>STRATTON, CHRISTOPHER W.</t>
  </si>
  <si>
    <t>STRATTON</t>
  </si>
  <si>
    <t>0262</t>
  </si>
  <si>
    <t>PRUETT, KIRSTEN L.</t>
  </si>
  <si>
    <t>PRUETT</t>
  </si>
  <si>
    <t>KIRSTEN</t>
  </si>
  <si>
    <t>0111</t>
  </si>
  <si>
    <t>0258</t>
  </si>
  <si>
    <t>LEJEUNE, TIFFINI D.</t>
  </si>
  <si>
    <t>LEJEUNE</t>
  </si>
  <si>
    <t>TIFFINI</t>
  </si>
  <si>
    <t>0257</t>
  </si>
  <si>
    <t>BONILLA, JENNIFER D.</t>
  </si>
  <si>
    <t>BONILLA</t>
  </si>
  <si>
    <t>JENNIFER</t>
  </si>
  <si>
    <t>0256</t>
  </si>
  <si>
    <t>STANDLEY, RONI L.</t>
  </si>
  <si>
    <t>STANDLEY</t>
  </si>
  <si>
    <t>RONI</t>
  </si>
  <si>
    <t>SCBA</t>
  </si>
  <si>
    <t>9994</t>
  </si>
  <si>
    <t>0126</t>
  </si>
  <si>
    <t>SCBI</t>
  </si>
  <si>
    <t>0235</t>
  </si>
  <si>
    <t>PAYROLL SUPPORT SPEC</t>
  </si>
  <si>
    <t>22424</t>
  </si>
  <si>
    <t>MCADOO, TAYLOR M.</t>
  </si>
  <si>
    <t>MCADOO</t>
  </si>
  <si>
    <t>TAYLOR</t>
  </si>
  <si>
    <t>0230</t>
  </si>
  <si>
    <t>BUR CHIEF-TECH SUPPO</t>
  </si>
  <si>
    <t>22416</t>
  </si>
  <si>
    <t>BROWN, AMBER C.</t>
  </si>
  <si>
    <t>BROWN</t>
  </si>
  <si>
    <t>AMBER</t>
  </si>
  <si>
    <t>0229</t>
  </si>
  <si>
    <t>PAYROLL ACCT/TAX SPE</t>
  </si>
  <si>
    <t>22413</t>
  </si>
  <si>
    <t>REAGAN, SARAH M.</t>
  </si>
  <si>
    <t>REAGAN</t>
  </si>
  <si>
    <t>SARAH</t>
  </si>
  <si>
    <t>0132</t>
  </si>
  <si>
    <t>COLES, SHEENA L.</t>
  </si>
  <si>
    <t>COLES</t>
  </si>
  <si>
    <t>SHEENA</t>
  </si>
  <si>
    <t>0130</t>
  </si>
  <si>
    <t>BUR CHIEF-PAYROLL SV</t>
  </si>
  <si>
    <t>22407</t>
  </si>
  <si>
    <t xml:space="preserve">MICKELSEN, LESLIE </t>
  </si>
  <si>
    <t>MICKELSEN</t>
  </si>
  <si>
    <t>LESLIE</t>
  </si>
  <si>
    <t>0128</t>
  </si>
  <si>
    <t xml:space="preserve">TRAINING SPEC       </t>
  </si>
  <si>
    <t>05122</t>
  </si>
  <si>
    <t>FENICOTTERO, DIANA M.</t>
  </si>
  <si>
    <t>FENICOTTERO</t>
  </si>
  <si>
    <t>DIANA</t>
  </si>
  <si>
    <t>MARIE</t>
  </si>
  <si>
    <t>0120</t>
  </si>
  <si>
    <t>PAYROLL SUPPORT ANAL</t>
  </si>
  <si>
    <t>22422</t>
  </si>
  <si>
    <t>NAYLOR-MORRIS, MEGHAN H.</t>
  </si>
  <si>
    <t>NAYLOR-MORRIS</t>
  </si>
  <si>
    <t>MEGHAN</t>
  </si>
  <si>
    <t>9999</t>
  </si>
  <si>
    <t>0621</t>
  </si>
  <si>
    <t>LUMA PROCUREMENT LEA</t>
  </si>
  <si>
    <t>96003</t>
  </si>
  <si>
    <t>SKELTON, JASON S.</t>
  </si>
  <si>
    <t>SKELTON</t>
  </si>
  <si>
    <t>JASON</t>
  </si>
  <si>
    <t>9998</t>
  </si>
  <si>
    <t>0114</t>
  </si>
  <si>
    <t>PRODUCTION SUPPORT L</t>
  </si>
  <si>
    <t>22421</t>
  </si>
  <si>
    <t>GRIMES, PATRICIA A.</t>
  </si>
  <si>
    <t>GRIMES</t>
  </si>
  <si>
    <t>PATRICIA</t>
  </si>
  <si>
    <t>ANN</t>
  </si>
  <si>
    <t>0612</t>
  </si>
  <si>
    <t>BJORK, ERIC E.</t>
  </si>
  <si>
    <t>BJORK</t>
  </si>
  <si>
    <t>ERIC</t>
  </si>
  <si>
    <t>EDWIN</t>
  </si>
  <si>
    <t>0113</t>
  </si>
  <si>
    <t>BUR CHIEF-SUPPORT SV</t>
  </si>
  <si>
    <t>22415</t>
  </si>
  <si>
    <t>BROOKE, ELIZABETH L.</t>
  </si>
  <si>
    <t>BROOKE</t>
  </si>
  <si>
    <t>ELIZABETH</t>
  </si>
  <si>
    <t>0264</t>
  </si>
  <si>
    <t xml:space="preserve">MALDONADO  JR, ALEJANDRO </t>
  </si>
  <si>
    <t>MALDONADO  JR</t>
  </si>
  <si>
    <t>ALEJANDRO</t>
  </si>
  <si>
    <t>0259</t>
  </si>
  <si>
    <t xml:space="preserve">PROJECT COORDINATOR </t>
  </si>
  <si>
    <t>02913</t>
  </si>
  <si>
    <t>MACE, ANDREW J.</t>
  </si>
  <si>
    <t>MACE</t>
  </si>
  <si>
    <t>ANDREW</t>
  </si>
  <si>
    <t>0106</t>
  </si>
  <si>
    <t>DETTON, STEVEN M.</t>
  </si>
  <si>
    <t>DETTON</t>
  </si>
  <si>
    <t>STEVEN</t>
  </si>
  <si>
    <t>22429</t>
  </si>
  <si>
    <t>0611</t>
  </si>
  <si>
    <t>0105</t>
  </si>
  <si>
    <t>KISER, VERONICA L.</t>
  </si>
  <si>
    <t>KISER</t>
  </si>
  <si>
    <t>VERONICA</t>
  </si>
  <si>
    <t>0263</t>
  </si>
  <si>
    <t>DOCUMENTATION SPECIA</t>
  </si>
  <si>
    <t>22423</t>
  </si>
  <si>
    <t>0039</t>
  </si>
  <si>
    <t xml:space="preserve">PROJECT MANAGER 3   </t>
  </si>
  <si>
    <t>05570</t>
  </si>
  <si>
    <t>P</t>
  </si>
  <si>
    <t>DUPLESSIE, JACQUES L.</t>
  </si>
  <si>
    <t>DUPLESSIE</t>
  </si>
  <si>
    <t>JACQUES</t>
  </si>
  <si>
    <t>0249</t>
  </si>
  <si>
    <t>PROJECT COORDINATION</t>
  </si>
  <si>
    <t>22427</t>
  </si>
  <si>
    <t>HOKE, JODY L.</t>
  </si>
  <si>
    <t>HOKE</t>
  </si>
  <si>
    <t>JODY</t>
  </si>
  <si>
    <t>LYNN</t>
  </si>
  <si>
    <t>0010</t>
  </si>
  <si>
    <t>BUR CHIEF, IT TECHNI</t>
  </si>
  <si>
    <t>20137</t>
  </si>
  <si>
    <t>HOUGH, ROBERT B.</t>
  </si>
  <si>
    <t>HOUGH</t>
  </si>
  <si>
    <t>ROBERT</t>
  </si>
  <si>
    <t>0246</t>
  </si>
  <si>
    <t>JENKINS, JOSEPH A.</t>
  </si>
  <si>
    <t>JENKINS</t>
  </si>
  <si>
    <t>JOSEPH</t>
  </si>
  <si>
    <t>0244</t>
  </si>
  <si>
    <t>ROMLEIN, KELLIE A.</t>
  </si>
  <si>
    <t>ROMLEIN</t>
  </si>
  <si>
    <t>KELLIE</t>
  </si>
  <si>
    <t>SCCA</t>
  </si>
  <si>
    <t>0204</t>
  </si>
  <si>
    <t>SMITH, SCOTT E.</t>
  </si>
  <si>
    <t>SMITH</t>
  </si>
  <si>
    <t>SCOTT</t>
  </si>
  <si>
    <t>0125</t>
  </si>
  <si>
    <t>RODRIGUEZ, JESSICA A.</t>
  </si>
  <si>
    <t>RODRIGUEZ</t>
  </si>
  <si>
    <t>JESSICA</t>
  </si>
  <si>
    <t>0042</t>
  </si>
  <si>
    <t>0480</t>
  </si>
  <si>
    <t>SCDA</t>
  </si>
  <si>
    <t>BENTON, MARIEA L.</t>
  </si>
  <si>
    <t>BENTON</t>
  </si>
  <si>
    <t>MARIEA</t>
  </si>
  <si>
    <t>0041</t>
  </si>
  <si>
    <t xml:space="preserve">IT MANAGER III      </t>
  </si>
  <si>
    <t>01743</t>
  </si>
  <si>
    <t>CHARLES, TRUDY A.</t>
  </si>
  <si>
    <t>TRUDY</t>
  </si>
  <si>
    <t>01742</t>
  </si>
  <si>
    <t>0040</t>
  </si>
  <si>
    <t>IT INFO SECURITY ENG</t>
  </si>
  <si>
    <t>01736</t>
  </si>
  <si>
    <t>BENCKEN, ROCKY J.</t>
  </si>
  <si>
    <t>BENCKEN</t>
  </si>
  <si>
    <t>ROCKY</t>
  </si>
  <si>
    <t>J</t>
  </si>
  <si>
    <t>0038</t>
  </si>
  <si>
    <t>IT SYSTEMS OPERATOR,</t>
  </si>
  <si>
    <t>22438</t>
  </si>
  <si>
    <t>KOPKE, PEYTON E.</t>
  </si>
  <si>
    <t>KOPKE</t>
  </si>
  <si>
    <t>PEYTON</t>
  </si>
  <si>
    <t>0265</t>
  </si>
  <si>
    <t xml:space="preserve">IT ARCHITECT II     </t>
  </si>
  <si>
    <t>01738</t>
  </si>
  <si>
    <t xml:space="preserve">KOGANTI, NARENDER </t>
  </si>
  <si>
    <t>KOGANTI</t>
  </si>
  <si>
    <t>NARENDER</t>
  </si>
  <si>
    <t>0036</t>
  </si>
  <si>
    <t xml:space="preserve">IT OPS &amp; SUPPORT SR </t>
  </si>
  <si>
    <t>01708</t>
  </si>
  <si>
    <t>CHELDELIN, KIRA L.</t>
  </si>
  <si>
    <t>CHELDELIN</t>
  </si>
  <si>
    <t>KIRA</t>
  </si>
  <si>
    <t>0261</t>
  </si>
  <si>
    <t xml:space="preserve">IT OPS ANALYST, SCO </t>
  </si>
  <si>
    <t>22404</t>
  </si>
  <si>
    <t>KOPKE, KAITLYN E.</t>
  </si>
  <si>
    <t>KAITLYN</t>
  </si>
  <si>
    <t>0034</t>
  </si>
  <si>
    <t>MORAN, RUTH J.</t>
  </si>
  <si>
    <t>MORAN</t>
  </si>
  <si>
    <t>RUTH</t>
  </si>
  <si>
    <t>0248</t>
  </si>
  <si>
    <t>IT SOFTWARE ENGINEER</t>
  </si>
  <si>
    <t>01716</t>
  </si>
  <si>
    <t>NIELSEN, BRIAN H.</t>
  </si>
  <si>
    <t>NIELSEN</t>
  </si>
  <si>
    <t>0033</t>
  </si>
  <si>
    <t>01734</t>
  </si>
  <si>
    <t>DAVISON, DANNY J.</t>
  </si>
  <si>
    <t>DAVISON</t>
  </si>
  <si>
    <t>DANNY</t>
  </si>
  <si>
    <t>0247</t>
  </si>
  <si>
    <t>VIGEANT, JARED A.</t>
  </si>
  <si>
    <t>VIGEANT</t>
  </si>
  <si>
    <t>JARED</t>
  </si>
  <si>
    <t>0032</t>
  </si>
  <si>
    <t>RIDDLE, JOHN R.</t>
  </si>
  <si>
    <t>RIDDLE</t>
  </si>
  <si>
    <t>R</t>
  </si>
  <si>
    <t>0243</t>
  </si>
  <si>
    <t xml:space="preserve">IT NETWORK ENGINEER </t>
  </si>
  <si>
    <t>01703</t>
  </si>
  <si>
    <t>TREVASKIS, STEVEN J.</t>
  </si>
  <si>
    <t>TREVASKIS</t>
  </si>
  <si>
    <t>0031</t>
  </si>
  <si>
    <t>IT INFO SYS AND INFR</t>
  </si>
  <si>
    <t>01730</t>
  </si>
  <si>
    <t>COOK, PHILLIP M.</t>
  </si>
  <si>
    <t>COOK</t>
  </si>
  <si>
    <t>PHILLIP</t>
  </si>
  <si>
    <t>0242</t>
  </si>
  <si>
    <t xml:space="preserve">IT MANAGER II       </t>
  </si>
  <si>
    <t>BILLS, ANDREW J.</t>
  </si>
  <si>
    <t>BILLS</t>
  </si>
  <si>
    <t>0029</t>
  </si>
  <si>
    <t>BUR CHIEF, APP DEV S</t>
  </si>
  <si>
    <t>20138</t>
  </si>
  <si>
    <t>SCHENK, GREGORY A.</t>
  </si>
  <si>
    <t>SCHENK</t>
  </si>
  <si>
    <t>GREGORY</t>
  </si>
  <si>
    <t>ALVIN</t>
  </si>
  <si>
    <t>0026</t>
  </si>
  <si>
    <t>CLIFF, BRIAN A.</t>
  </si>
  <si>
    <t>CLIFF</t>
  </si>
  <si>
    <t>0025</t>
  </si>
  <si>
    <t>HOWLAND-GRINIUS, ZANE E.</t>
  </si>
  <si>
    <t>HOWLAND-GRINIUS</t>
  </si>
  <si>
    <t>ZANE</t>
  </si>
  <si>
    <t>0021</t>
  </si>
  <si>
    <t xml:space="preserve">IT MANAGER I        </t>
  </si>
  <si>
    <t>01741</t>
  </si>
  <si>
    <t>SWICKARD, KERRY L.</t>
  </si>
  <si>
    <t>SWICKARD</t>
  </si>
  <si>
    <t>KERRY</t>
  </si>
  <si>
    <t>LIN</t>
  </si>
  <si>
    <t>0222</t>
  </si>
  <si>
    <t>IT OPS &amp; SUPPORT ANA</t>
  </si>
  <si>
    <t>01709</t>
  </si>
  <si>
    <t xml:space="preserve">AUGER, JOYCE </t>
  </si>
  <si>
    <t>AUGER</t>
  </si>
  <si>
    <t>JOYCE</t>
  </si>
  <si>
    <t>0017</t>
  </si>
  <si>
    <t>IT OPERATION ANALYST</t>
  </si>
  <si>
    <t>22406</t>
  </si>
  <si>
    <t xml:space="preserve">DUDLEY, CHRISTOPHER </t>
  </si>
  <si>
    <t>DUDLEY</t>
  </si>
  <si>
    <t>0221</t>
  </si>
  <si>
    <t>CONAWAY, LORI L.</t>
  </si>
  <si>
    <t>CONAWAY</t>
  </si>
  <si>
    <t>LORI</t>
  </si>
  <si>
    <t>LEIGH</t>
  </si>
  <si>
    <t>0015</t>
  </si>
  <si>
    <t xml:space="preserve">MCKINNISS, CYRIL </t>
  </si>
  <si>
    <t>MCKINNISS</t>
  </si>
  <si>
    <t>CYRIL</t>
  </si>
  <si>
    <t>0220</t>
  </si>
  <si>
    <t>KIRBY, PATRICK R.</t>
  </si>
  <si>
    <t>KIRBY</t>
  </si>
  <si>
    <t>0014</t>
  </si>
  <si>
    <t>WHITMAN, DEBORAH A.</t>
  </si>
  <si>
    <t>WHITMAN</t>
  </si>
  <si>
    <t>DEBORAH</t>
  </si>
  <si>
    <t>0215</t>
  </si>
  <si>
    <t>TURNBOW, LOREN R.</t>
  </si>
  <si>
    <t>TURNBOW</t>
  </si>
  <si>
    <t>LOREN</t>
  </si>
  <si>
    <t>0013</t>
  </si>
  <si>
    <t>01715</t>
  </si>
  <si>
    <t>HIEB, JOHNN W.</t>
  </si>
  <si>
    <t>HIEB</t>
  </si>
  <si>
    <t>JOHNN</t>
  </si>
  <si>
    <t>0209</t>
  </si>
  <si>
    <t>01714</t>
  </si>
  <si>
    <t>VEST, DENNIS F.</t>
  </si>
  <si>
    <t>VEST</t>
  </si>
  <si>
    <t>DENNIS</t>
  </si>
  <si>
    <t>0208</t>
  </si>
  <si>
    <t>LINESES, STEVEN R.</t>
  </si>
  <si>
    <t>LINESES</t>
  </si>
  <si>
    <t>0008</t>
  </si>
  <si>
    <t>DEHAAS, LEANNE A.</t>
  </si>
  <si>
    <t>DEHAAS</t>
  </si>
  <si>
    <t>LEANNE</t>
  </si>
  <si>
    <t>0207</t>
  </si>
  <si>
    <t>01729</t>
  </si>
  <si>
    <t xml:space="preserve">MERRILL, JACOB </t>
  </si>
  <si>
    <t>MERRILL</t>
  </si>
  <si>
    <t>JACOB</t>
  </si>
  <si>
    <t>0007</t>
  </si>
  <si>
    <t>RICHARDSON, BRETT R.</t>
  </si>
  <si>
    <t>BRETT</t>
  </si>
  <si>
    <t>0206</t>
  </si>
  <si>
    <t>AHRENS, DAVID R.</t>
  </si>
  <si>
    <t>AHRENS</t>
  </si>
  <si>
    <t>DAVID</t>
  </si>
  <si>
    <t>0005</t>
  </si>
  <si>
    <t>IT BUSINESS INTEG SP</t>
  </si>
  <si>
    <t>13250</t>
  </si>
  <si>
    <t>SKINNER, LYNNE M.</t>
  </si>
  <si>
    <t>SKINNER</t>
  </si>
  <si>
    <t>LYNNE</t>
  </si>
  <si>
    <t>0205</t>
  </si>
  <si>
    <t>BUR CHIEF, COMP OP S</t>
  </si>
  <si>
    <t>20136</t>
  </si>
  <si>
    <t>MINTER, CHRISTOPHER P.</t>
  </si>
  <si>
    <t>MINTER</t>
  </si>
  <si>
    <t>0004</t>
  </si>
  <si>
    <t xml:space="preserve">WILLIAMS, ANTHONY </t>
  </si>
  <si>
    <t>WILLIAMS</t>
  </si>
  <si>
    <t>ANTHONY</t>
  </si>
  <si>
    <t>0203</t>
  </si>
  <si>
    <t>WEYEN, MATTHEW C.</t>
  </si>
  <si>
    <t>WEYEN</t>
  </si>
  <si>
    <t>MATTHEW</t>
  </si>
  <si>
    <t>CLARK</t>
  </si>
  <si>
    <t>0002</t>
  </si>
  <si>
    <t>HIATT, JORDAN T.</t>
  </si>
  <si>
    <t>HIATT</t>
  </si>
  <si>
    <t>JORDAN</t>
  </si>
  <si>
    <t>T</t>
  </si>
  <si>
    <t>0201</t>
  </si>
  <si>
    <t>HASKETT, PAUL W.</t>
  </si>
  <si>
    <t>HASKETT</t>
  </si>
  <si>
    <t>PAUL</t>
  </si>
  <si>
    <t>FORD, TERESA R.</t>
  </si>
  <si>
    <t>FORD</t>
  </si>
  <si>
    <t>TERESA</t>
  </si>
  <si>
    <t>0233</t>
  </si>
  <si>
    <t>0121</t>
  </si>
  <si>
    <t>IT OPS &amp; SUPPORT TEC</t>
  </si>
  <si>
    <t>01707</t>
  </si>
  <si>
    <t>I</t>
  </si>
  <si>
    <t>RICHY, NICHOLAS B.</t>
  </si>
  <si>
    <t>RICHY</t>
  </si>
  <si>
    <t>NICHOLAS</t>
  </si>
  <si>
    <t>0202</t>
  </si>
  <si>
    <t>0049</t>
  </si>
  <si>
    <t>HARLAN, MARY A.</t>
  </si>
  <si>
    <t>HARLAN</t>
  </si>
  <si>
    <t>MARY</t>
  </si>
  <si>
    <t>INC_FTI</t>
  </si>
  <si>
    <t>INDICATOR</t>
  </si>
  <si>
    <t>TOTAL_PERM_PCN_FTI</t>
  </si>
  <si>
    <t>TOTAL_ELECT_PCN_FTI</t>
  </si>
  <si>
    <t>ROWS_PER_PCN</t>
  </si>
  <si>
    <t>FTI_SALARY_SSDI</t>
  </si>
  <si>
    <t>FTI_SALARY_PERM</t>
  </si>
  <si>
    <t>FTI_SALARY_ELECT</t>
  </si>
  <si>
    <t>SALARY_CHG</t>
  </si>
  <si>
    <t>HEALTH_PERM</t>
  </si>
  <si>
    <t>HEALTH_ELECT</t>
  </si>
  <si>
    <t>SSDI</t>
  </si>
  <si>
    <t>SSHI</t>
  </si>
  <si>
    <t>RETIREMENT</t>
  </si>
  <si>
    <t>LIFE_INS</t>
  </si>
  <si>
    <t>UNEMP_INS</t>
  </si>
  <si>
    <t>DHR</t>
  </si>
  <si>
    <t>WORKERS_COMP</t>
  </si>
  <si>
    <t>SICK</t>
  </si>
  <si>
    <t>TOT_VB_PERM</t>
  </si>
  <si>
    <t>TOT_VB_ELECT</t>
  </si>
  <si>
    <t>HEALTH_PERM_BY</t>
  </si>
  <si>
    <t>HEALTH_ELECT_BY</t>
  </si>
  <si>
    <t>SSDI_BY</t>
  </si>
  <si>
    <t>SSHI_BY</t>
  </si>
  <si>
    <t>RETIREMENT_BY</t>
  </si>
  <si>
    <t>LIFE_INS_BY</t>
  </si>
  <si>
    <t>UNEMP_INS_BY</t>
  </si>
  <si>
    <t>DHR_BY</t>
  </si>
  <si>
    <t>WORKERS_COMP_BY</t>
  </si>
  <si>
    <t>SICK_BY</t>
  </si>
  <si>
    <t>TOT_VB_PERM_BY</t>
  </si>
  <si>
    <t>TOT_VB_ELECT_BY</t>
  </si>
  <si>
    <t>HEALTH_PERM_CHG</t>
  </si>
  <si>
    <t>HEALTH_ELECT_CHG</t>
  </si>
  <si>
    <t>SSDI_CHG</t>
  </si>
  <si>
    <t>SSHI_CHG</t>
  </si>
  <si>
    <t>RETIREMENT_CHG</t>
  </si>
  <si>
    <t>LIFE_INS_CHG</t>
  </si>
  <si>
    <t>UNEMP_INS_CHG</t>
  </si>
  <si>
    <t>DHR_CHG</t>
  </si>
  <si>
    <t>WORKERS_COMP_CHG</t>
  </si>
  <si>
    <t>SICK_CHG</t>
  </si>
  <si>
    <t>TOT_VB_PERM_CHG</t>
  </si>
  <si>
    <t>TOT_VB_ELECT_CHG</t>
  </si>
  <si>
    <t>Group_Salary</t>
  </si>
  <si>
    <t>Group_Ben</t>
  </si>
  <si>
    <t>col_Fund</t>
  </si>
  <si>
    <t>SCAA 0001-00</t>
  </si>
  <si>
    <t>SCAA 0001</t>
  </si>
  <si>
    <t>State Controller</t>
  </si>
  <si>
    <t>Administration</t>
  </si>
  <si>
    <t>General</t>
  </si>
  <si>
    <t>0001-00</t>
  </si>
  <si>
    <t>10000</t>
  </si>
  <si>
    <t>Administration, General   SCAA-0001-00</t>
  </si>
  <si>
    <t>SCBA 0001-00</t>
  </si>
  <si>
    <t>SCBA 0001</t>
  </si>
  <si>
    <t>Statewide Accounting</t>
  </si>
  <si>
    <t>Statewide Accounting, General   SCBA-0001-00</t>
  </si>
  <si>
    <t>SCBA 0126-00</t>
  </si>
  <si>
    <t>SCBA 0126</t>
  </si>
  <si>
    <t>Business Information Infrastructure</t>
  </si>
  <si>
    <t>0126-00</t>
  </si>
  <si>
    <t>12600</t>
  </si>
  <si>
    <t>Statewide Accounting, Business Information Infrastructure   SCBA-0126-00</t>
  </si>
  <si>
    <t>SCBI 0126-00</t>
  </si>
  <si>
    <t>SCBI 0126</t>
  </si>
  <si>
    <t>SCCA 0001-00</t>
  </si>
  <si>
    <t>SCCA 0001</t>
  </si>
  <si>
    <t>Statewide Payroll</t>
  </si>
  <si>
    <t>Statewide Payroll, General   SCCA-0001-00</t>
  </si>
  <si>
    <t>SCDA 0480-00</t>
  </si>
  <si>
    <t>SCDA 0480</t>
  </si>
  <si>
    <t>Computer Center</t>
  </si>
  <si>
    <t>Data Processing Services</t>
  </si>
  <si>
    <t>0480-00</t>
  </si>
  <si>
    <t>48000</t>
  </si>
  <si>
    <t>Computer Center, Data Processing Services   SCDA-0480-00</t>
  </si>
  <si>
    <t>Totals by Budget Unit and Fund</t>
  </si>
  <si>
    <t>Est. FY23_x000D_
Salary</t>
  </si>
  <si>
    <t>Proj. FY24_x000D_
Salary</t>
  </si>
  <si>
    <t>Actual FY 2022</t>
  </si>
  <si>
    <t>Estimate FY 2023</t>
  </si>
  <si>
    <t>Projection FY 2024</t>
  </si>
  <si>
    <t>Filled Permanent/Elected</t>
  </si>
  <si>
    <t>Fund-0001</t>
  </si>
  <si>
    <t>Fund-0126</t>
  </si>
  <si>
    <t>Fund-0480</t>
  </si>
  <si>
    <t>Permanent Total</t>
  </si>
  <si>
    <t>Group</t>
  </si>
  <si>
    <t>Group Total</t>
  </si>
  <si>
    <t>Agency Fund Total</t>
  </si>
  <si>
    <t>DU 10.51</t>
  </si>
  <si>
    <t>FY24 Salary Changes for the State Controller</t>
  </si>
  <si>
    <t>VB</t>
  </si>
  <si>
    <t>Rounded Salary</t>
  </si>
  <si>
    <t>Rounded VB</t>
  </si>
  <si>
    <t>Rounded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</si>
</sst>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&quot;$&quot;#,##0"/>
    <numFmt numFmtId="166" formatCode="0_)"/>
    <numFmt numFmtId="167" formatCode="0.0000"/>
    <numFmt numFmtId="168" formatCode="0000;;"/>
    <numFmt numFmtId="169" formatCode="00;;"/>
    <numFmt numFmtId="170" formatCode="00000;;00000"/>
    <numFmt numFmtId="171" formatCode="0000\-00;;"/>
    <numFmt numFmtId="172" formatCode="0.00\ ;\(0.00\);0.0\ "/>
    <numFmt numFmtId="173" formatCode="#,##0.000_);[Red]\(#,##0.000\)"/>
    <numFmt numFmtId="174" formatCode="0\ ;\(0\);0\ "/>
    <numFmt numFmtId="175" formatCode="#,##0_);[Red]\(#,##0\);0\ "/>
    <numFmt numFmtId="176" formatCode="0.0%"/>
    <numFmt numFmtId="177" formatCode="#,##0.00000000_);[Red]\(#,##0.00000000\)"/>
    <numFmt numFmtId="178" formatCode="#,##0.000000000_);[Red]\(#,##0.000000000\)"/>
    <numFmt numFmtId="179" formatCode="0.00000_);[Red]\(0.00000\)"/>
    <numFmt numFmtId="180" formatCode="0.000"/>
    <numFmt numFmtId="181" formatCode="0.0000_);[Red]\(0.0000\)"/>
    <numFmt numFmtId="182" formatCode="#0"/>
    <numFmt numFmtId="183" formatCode="#0.########"/>
    <numFmt numFmtId="184" formatCode="_(&quot;$&quot;* #,##0_);_(&quot;$&quot;* \(#,##0\);_(&quot;$&quot;* &quot;-&quot;??_);_(@_)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b/>
      <sz val="15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b/>
      <sz val="15"/>
      <color theme="1"/>
      <name val="Times New Roman"/>
      <family val="1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color rgb="FF00206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rgb="FF002060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Arial"/>
      <family val="2"/>
    </font>
    <font>
      <sz val="10"/>
      <color indexed="81"/>
      <name val="Tahoma"/>
      <family val="2"/>
    </font>
    <font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1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2"/>
      <color theme="0"/>
      <name val="Helv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i/>
      <sz val="15"/>
      <color theme="1"/>
      <name val="Times New Roman"/>
      <family val="1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7E5E5"/>
      </patternFill>
    </fill>
    <fill>
      <patternFill patternType="solid">
        <fgColor rgb="FFB8CCE4"/>
        <bgColor indexed="64"/>
      </patternFill>
    </fill>
    <fill>
      <patternFill patternType="solid">
        <fgColor rgb="FFE6B8B8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8AE27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C88700"/>
        <bgColor indexed="64"/>
      </patternFill>
    </fill>
    <fill>
      <patternFill patternType="solid">
        <fgColor rgb="FFEDDE1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92CDD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166" fontId="2" fillId="0" borderId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496">
    <xf numFmtId="0" fontId="0" fillId="0" borderId="0" xfId="0"/>
    <xf numFmtId="0" fontId="5" fillId="0" borderId="0" xfId="0" applyFont="1"/>
    <xf numFmtId="0" fontId="4" fillId="2" borderId="0" xfId="0" applyNumberFormat="1" applyFont="1" applyFill="1" applyAlignment="1">
      <alignment horizontal="left" vertical="top"/>
    </xf>
    <xf numFmtId="0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 wrapText="1"/>
    </xf>
    <xf numFmtId="164" fontId="5" fillId="0" borderId="0" xfId="0" applyNumberFormat="1" applyFont="1"/>
    <xf numFmtId="167" fontId="5" fillId="0" borderId="0" xfId="0" applyNumberFormat="1" applyFont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166" fontId="8" fillId="4" borderId="6" xfId="1" applyFont="1" applyFill="1" applyBorder="1" applyAlignment="1">
      <alignment horizontal="left" vertical="center"/>
    </xf>
    <xf numFmtId="166" fontId="8" fillId="4" borderId="7" xfId="1" applyFont="1" applyFill="1" applyBorder="1" applyAlignment="1">
      <alignment horizontal="left" vertical="center"/>
    </xf>
    <xf numFmtId="168" fontId="9" fillId="4" borderId="5" xfId="7" applyNumberFormat="1" applyFont="1" applyFill="1" applyBorder="1" applyAlignment="1" applyProtection="1">
      <alignment horizontal="left" vertical="center"/>
    </xf>
    <xf numFmtId="168" fontId="10" fillId="4" borderId="7" xfId="7" applyNumberFormat="1" applyFont="1" applyFill="1" applyBorder="1" applyAlignment="1" applyProtection="1">
      <alignment horizontal="center" vertical="center"/>
    </xf>
    <xf numFmtId="166" fontId="8" fillId="4" borderId="7" xfId="1" applyFont="1" applyFill="1" applyBorder="1" applyAlignment="1">
      <alignment horizontal="right" vertical="center"/>
    </xf>
    <xf numFmtId="166" fontId="2" fillId="0" borderId="0" xfId="1" applyFont="1" applyBorder="1"/>
    <xf numFmtId="166" fontId="2" fillId="0" borderId="0" xfId="1" applyFont="1"/>
    <xf numFmtId="166" fontId="8" fillId="4" borderId="9" xfId="1" applyFont="1" applyFill="1" applyBorder="1" applyAlignment="1">
      <alignment vertical="center"/>
    </xf>
    <xf numFmtId="166" fontId="8" fillId="4" borderId="0" xfId="1" applyFont="1" applyFill="1" applyBorder="1" applyAlignment="1">
      <alignment vertical="center"/>
    </xf>
    <xf numFmtId="168" fontId="10" fillId="4" borderId="0" xfId="7" applyNumberFormat="1" applyFont="1" applyFill="1" applyBorder="1" applyAlignment="1" applyProtection="1">
      <alignment horizontal="center" vertical="center"/>
    </xf>
    <xf numFmtId="166" fontId="8" fillId="4" borderId="0" xfId="1" applyFont="1" applyFill="1" applyBorder="1" applyAlignment="1">
      <alignment horizontal="right" vertical="center"/>
    </xf>
    <xf numFmtId="0" fontId="9" fillId="4" borderId="5" xfId="7" applyFont="1" applyFill="1" applyBorder="1" applyAlignment="1" applyProtection="1">
      <alignment horizontal="left" vertical="center"/>
    </xf>
    <xf numFmtId="0" fontId="12" fillId="4" borderId="0" xfId="7" applyFont="1" applyFill="1" applyBorder="1" applyAlignment="1" applyProtection="1">
      <alignment horizontal="center" vertical="center"/>
    </xf>
    <xf numFmtId="0" fontId="12" fillId="4" borderId="0" xfId="7" applyFont="1" applyFill="1" applyBorder="1" applyAlignment="1" applyProtection="1">
      <alignment horizontal="right" vertical="center"/>
    </xf>
    <xf numFmtId="0" fontId="12" fillId="4" borderId="0" xfId="7" applyFont="1" applyFill="1" applyBorder="1" applyAlignment="1" applyProtection="1">
      <alignment vertical="center"/>
    </xf>
    <xf numFmtId="0" fontId="8" fillId="4" borderId="0" xfId="7" applyFont="1" applyFill="1" applyBorder="1" applyAlignment="1" applyProtection="1">
      <alignment vertical="center"/>
    </xf>
    <xf numFmtId="2" fontId="12" fillId="4" borderId="0" xfId="7" applyNumberFormat="1" applyFont="1" applyFill="1" applyBorder="1" applyAlignment="1" applyProtection="1">
      <alignment vertical="center"/>
    </xf>
    <xf numFmtId="14" fontId="11" fillId="4" borderId="1" xfId="7" applyNumberFormat="1" applyFont="1" applyFill="1" applyBorder="1" applyAlignment="1" applyProtection="1">
      <alignment horizontal="left" vertical="center"/>
    </xf>
    <xf numFmtId="0" fontId="8" fillId="4" borderId="0" xfId="7" applyFont="1" applyFill="1" applyBorder="1" applyAlignment="1" applyProtection="1">
      <alignment horizontal="right" vertical="center"/>
    </xf>
    <xf numFmtId="2" fontId="8" fillId="4" borderId="0" xfId="7" applyNumberFormat="1" applyFont="1" applyFill="1" applyBorder="1" applyAlignment="1" applyProtection="1">
      <alignment horizontal="right" vertical="center"/>
    </xf>
    <xf numFmtId="49" fontId="13" fillId="5" borderId="2" xfId="1" applyNumberFormat="1" applyFont="1" applyFill="1" applyBorder="1" applyAlignment="1">
      <alignment horizontal="center" vertical="center" shrinkToFit="1"/>
    </xf>
    <xf numFmtId="166" fontId="2" fillId="0" borderId="0" xfId="1" applyFont="1" applyBorder="1" applyAlignment="1"/>
    <xf numFmtId="166" fontId="2" fillId="0" borderId="0" xfId="1" applyFont="1" applyAlignment="1"/>
    <xf numFmtId="0" fontId="8" fillId="4" borderId="0" xfId="7" applyFont="1" applyFill="1" applyBorder="1" applyAlignment="1" applyProtection="1">
      <alignment horizontal="left" vertical="center"/>
    </xf>
    <xf numFmtId="0" fontId="11" fillId="4" borderId="1" xfId="7" applyNumberFormat="1" applyFont="1" applyFill="1" applyBorder="1" applyAlignment="1" applyProtection="1">
      <alignment horizontal="left" vertical="center"/>
    </xf>
    <xf numFmtId="38" fontId="12" fillId="4" borderId="0" xfId="7" applyNumberFormat="1" applyFont="1" applyFill="1" applyBorder="1" applyAlignment="1" applyProtection="1">
      <alignment vertical="center"/>
    </xf>
    <xf numFmtId="169" fontId="14" fillId="0" borderId="9" xfId="7" applyNumberFormat="1" applyFont="1" applyBorder="1" applyProtection="1"/>
    <xf numFmtId="0" fontId="14" fillId="0" borderId="1" xfId="7" applyFont="1" applyBorder="1" applyAlignment="1" applyProtection="1">
      <alignment horizontal="center"/>
    </xf>
    <xf numFmtId="0" fontId="14" fillId="0" borderId="0" xfId="7" applyFont="1" applyBorder="1" applyAlignment="1" applyProtection="1">
      <alignment horizontal="center"/>
    </xf>
    <xf numFmtId="0" fontId="14" fillId="0" borderId="0" xfId="7" applyFont="1" applyBorder="1" applyProtection="1"/>
    <xf numFmtId="170" fontId="14" fillId="0" borderId="1" xfId="7" applyNumberFormat="1" applyFont="1" applyBorder="1" applyAlignment="1" applyProtection="1">
      <alignment horizontal="center"/>
    </xf>
    <xf numFmtId="0" fontId="14" fillId="0" borderId="1" xfId="7" applyFont="1" applyBorder="1" applyAlignment="1" applyProtection="1">
      <alignment horizontal="right"/>
    </xf>
    <xf numFmtId="0" fontId="14" fillId="0" borderId="0" xfId="7" applyFont="1" applyBorder="1" applyAlignment="1" applyProtection="1">
      <alignment horizontal="right"/>
    </xf>
    <xf numFmtId="171" fontId="14" fillId="0" borderId="0" xfId="7" applyNumberFormat="1" applyFont="1" applyBorder="1" applyProtection="1"/>
    <xf numFmtId="38" fontId="14" fillId="0" borderId="0" xfId="7" applyNumberFormat="1" applyFont="1" applyBorder="1" applyProtection="1"/>
    <xf numFmtId="172" fontId="14" fillId="0" borderId="10" xfId="7" applyNumberFormat="1" applyFont="1" applyBorder="1" applyProtection="1"/>
    <xf numFmtId="168" fontId="15" fillId="0" borderId="2" xfId="7" applyNumberFormat="1" applyFont="1" applyBorder="1" applyAlignment="1" applyProtection="1">
      <alignment horizontal="center" wrapText="1"/>
    </xf>
    <xf numFmtId="172" fontId="15" fillId="0" borderId="2" xfId="7" applyNumberFormat="1" applyFont="1" applyBorder="1" applyAlignment="1" applyProtection="1">
      <alignment horizontal="center" wrapText="1"/>
    </xf>
    <xf numFmtId="38" fontId="15" fillId="0" borderId="2" xfId="7" applyNumberFormat="1" applyFont="1" applyBorder="1" applyAlignment="1" applyProtection="1">
      <alignment horizontal="center" wrapText="1"/>
    </xf>
    <xf numFmtId="166" fontId="2" fillId="0" borderId="0" xfId="1" applyFont="1" applyBorder="1" applyAlignment="1">
      <alignment wrapText="1"/>
    </xf>
    <xf numFmtId="166" fontId="2" fillId="0" borderId="0" xfId="1" applyFont="1" applyAlignment="1">
      <alignment wrapText="1"/>
    </xf>
    <xf numFmtId="0" fontId="14" fillId="0" borderId="0" xfId="7" applyFont="1" applyProtection="1"/>
    <xf numFmtId="168" fontId="15" fillId="0" borderId="6" xfId="7" applyNumberFormat="1" applyFont="1" applyBorder="1" applyAlignment="1" applyProtection="1"/>
    <xf numFmtId="40" fontId="15" fillId="3" borderId="2" xfId="7" applyNumberFormat="1" applyFont="1" applyFill="1" applyBorder="1" applyAlignment="1" applyProtection="1">
      <alignment horizontal="center"/>
    </xf>
    <xf numFmtId="168" fontId="16" fillId="3" borderId="4" xfId="7" applyNumberFormat="1" applyFont="1" applyFill="1" applyBorder="1" applyAlignment="1" applyProtection="1">
      <alignment vertical="center"/>
      <protection locked="0"/>
    </xf>
    <xf numFmtId="49" fontId="3" fillId="6" borderId="2" xfId="7" applyNumberFormat="1" applyFont="1" applyFill="1" applyBorder="1" applyAlignment="1" applyProtection="1">
      <alignment horizontal="center"/>
    </xf>
    <xf numFmtId="40" fontId="3" fillId="6" borderId="2" xfId="7" applyNumberFormat="1" applyFont="1" applyFill="1" applyBorder="1" applyAlignment="1" applyProtection="1">
      <alignment horizontal="center"/>
    </xf>
    <xf numFmtId="40" fontId="3" fillId="0" borderId="3" xfId="7" applyNumberFormat="1" applyFont="1" applyFill="1" applyBorder="1" applyAlignment="1" applyProtection="1">
      <alignment horizontal="center"/>
    </xf>
    <xf numFmtId="38" fontId="3" fillId="0" borderId="10" xfId="7" applyNumberFormat="1" applyFont="1" applyFill="1" applyBorder="1" applyProtection="1"/>
    <xf numFmtId="38" fontId="3" fillId="0" borderId="3" xfId="7" applyNumberFormat="1" applyFont="1" applyFill="1" applyBorder="1" applyProtection="1"/>
    <xf numFmtId="38" fontId="3" fillId="0" borderId="0" xfId="7" applyNumberFormat="1" applyFont="1" applyFill="1" applyBorder="1" applyProtection="1"/>
    <xf numFmtId="49" fontId="3" fillId="7" borderId="11" xfId="7" applyNumberFormat="1" applyFont="1" applyFill="1" applyBorder="1" applyAlignment="1" applyProtection="1">
      <alignment horizontal="center"/>
    </xf>
    <xf numFmtId="49" fontId="3" fillId="7" borderId="0" xfId="7" applyNumberFormat="1" applyFont="1" applyFill="1" applyBorder="1" applyAlignment="1" applyProtection="1">
      <alignment horizontal="center"/>
    </xf>
    <xf numFmtId="49" fontId="3" fillId="7" borderId="1" xfId="7" applyNumberFormat="1" applyFont="1" applyFill="1" applyBorder="1" applyAlignment="1" applyProtection="1">
      <alignment horizontal="center"/>
    </xf>
    <xf numFmtId="49" fontId="3" fillId="7" borderId="14" xfId="7" applyNumberFormat="1" applyFont="1" applyFill="1" applyBorder="1" applyAlignment="1" applyProtection="1">
      <alignment horizontal="center"/>
    </xf>
    <xf numFmtId="49" fontId="3" fillId="7" borderId="10" xfId="7" applyNumberFormat="1" applyFont="1" applyFill="1" applyBorder="1" applyAlignment="1" applyProtection="1">
      <alignment horizontal="center"/>
    </xf>
    <xf numFmtId="40" fontId="3" fillId="7" borderId="10" xfId="7" applyNumberFormat="1" applyFont="1" applyFill="1" applyBorder="1" applyAlignment="1" applyProtection="1"/>
    <xf numFmtId="168" fontId="18" fillId="8" borderId="0" xfId="7" applyNumberFormat="1" applyFont="1" applyFill="1" applyBorder="1" applyAlignment="1" applyProtection="1">
      <alignment horizontal="left" vertical="top" wrapText="1"/>
      <protection locked="0"/>
    </xf>
    <xf numFmtId="168" fontId="18" fillId="8" borderId="10" xfId="7" applyNumberFormat="1" applyFont="1" applyFill="1" applyBorder="1" applyAlignment="1" applyProtection="1">
      <alignment horizontal="left" vertical="top" wrapText="1"/>
      <protection locked="0"/>
    </xf>
    <xf numFmtId="0" fontId="14" fillId="0" borderId="2" xfId="7" applyFont="1" applyBorder="1" applyProtection="1"/>
    <xf numFmtId="0" fontId="20" fillId="0" borderId="2" xfId="7" applyFont="1" applyBorder="1" applyAlignment="1" applyProtection="1">
      <alignment horizontal="center" wrapText="1"/>
    </xf>
    <xf numFmtId="40" fontId="20" fillId="0" borderId="2" xfId="7" applyNumberFormat="1" applyFont="1" applyBorder="1" applyAlignment="1" applyProtection="1">
      <alignment horizontal="center" wrapText="1"/>
    </xf>
    <xf numFmtId="3" fontId="20" fillId="0" borderId="2" xfId="7" applyNumberFormat="1" applyFont="1" applyBorder="1" applyAlignment="1" applyProtection="1">
      <alignment horizontal="center" wrapText="1"/>
    </xf>
    <xf numFmtId="2" fontId="15" fillId="0" borderId="13" xfId="7" applyNumberFormat="1" applyFont="1" applyBorder="1" applyProtection="1"/>
    <xf numFmtId="49" fontId="3" fillId="0" borderId="15" xfId="7" applyNumberFormat="1" applyFont="1" applyBorder="1" applyAlignment="1" applyProtection="1">
      <alignment horizontal="center"/>
    </xf>
    <xf numFmtId="168" fontId="15" fillId="0" borderId="15" xfId="7" applyNumberFormat="1" applyFont="1" applyBorder="1" applyAlignment="1" applyProtection="1"/>
    <xf numFmtId="175" fontId="15" fillId="3" borderId="14" xfId="7" applyNumberFormat="1" applyFont="1" applyFill="1" applyBorder="1" applyAlignment="1" applyProtection="1">
      <alignment horizontal="center"/>
    </xf>
    <xf numFmtId="38" fontId="15" fillId="3" borderId="8" xfId="7" applyNumberFormat="1" applyFont="1" applyFill="1" applyBorder="1" applyProtection="1"/>
    <xf numFmtId="38" fontId="15" fillId="3" borderId="2" xfId="7" applyNumberFormat="1" applyFont="1" applyFill="1" applyBorder="1" applyProtection="1"/>
    <xf numFmtId="38" fontId="3" fillId="0" borderId="3" xfId="7" applyNumberFormat="1" applyFont="1" applyBorder="1" applyProtection="1"/>
    <xf numFmtId="2" fontId="15" fillId="0" borderId="3" xfId="7" applyNumberFormat="1" applyFont="1" applyBorder="1" applyProtection="1"/>
    <xf numFmtId="49" fontId="3" fillId="0" borderId="10" xfId="7" applyNumberFormat="1" applyFont="1" applyBorder="1" applyAlignment="1" applyProtection="1">
      <alignment horizontal="center"/>
    </xf>
    <xf numFmtId="168" fontId="15" fillId="0" borderId="9" xfId="7" applyNumberFormat="1" applyFont="1" applyBorder="1" applyAlignment="1" applyProtection="1"/>
    <xf numFmtId="2" fontId="3" fillId="0" borderId="3" xfId="7" applyNumberFormat="1" applyFont="1" applyBorder="1" applyProtection="1"/>
    <xf numFmtId="38" fontId="14" fillId="0" borderId="3" xfId="7" applyNumberFormat="1" applyFont="1" applyBorder="1" applyProtection="1"/>
    <xf numFmtId="0" fontId="3" fillId="6" borderId="2" xfId="7" applyFont="1" applyFill="1" applyBorder="1" applyAlignment="1" applyProtection="1">
      <alignment horizontal="center"/>
    </xf>
    <xf numFmtId="38" fontId="3" fillId="6" borderId="2" xfId="7" applyNumberFormat="1" applyFont="1" applyFill="1" applyBorder="1" applyProtection="1"/>
    <xf numFmtId="38" fontId="3" fillId="3" borderId="2" xfId="7" applyNumberFormat="1" applyFont="1" applyFill="1" applyBorder="1" applyProtection="1"/>
    <xf numFmtId="38" fontId="15" fillId="3" borderId="13" xfId="7" applyNumberFormat="1" applyFont="1" applyFill="1" applyBorder="1" applyProtection="1"/>
    <xf numFmtId="38" fontId="3" fillId="6" borderId="13" xfId="7" applyNumberFormat="1" applyFont="1" applyFill="1" applyBorder="1" applyProtection="1"/>
    <xf numFmtId="38" fontId="3" fillId="6" borderId="3" xfId="7" applyNumberFormat="1" applyFont="1" applyFill="1" applyBorder="1" applyProtection="1"/>
    <xf numFmtId="0" fontId="3" fillId="0" borderId="16" xfId="7" applyFont="1" applyBorder="1" applyProtection="1"/>
    <xf numFmtId="0" fontId="3" fillId="8" borderId="3" xfId="7" applyFont="1" applyFill="1" applyBorder="1" applyProtection="1"/>
    <xf numFmtId="0" fontId="3" fillId="8" borderId="10" xfId="7" applyFont="1" applyFill="1" applyBorder="1" applyProtection="1"/>
    <xf numFmtId="0" fontId="3" fillId="8" borderId="3" xfId="7" applyFont="1" applyFill="1" applyBorder="1" applyAlignment="1" applyProtection="1">
      <alignment horizontal="center"/>
    </xf>
    <xf numFmtId="40" fontId="3" fillId="8" borderId="3" xfId="7" applyNumberFormat="1" applyFont="1" applyFill="1" applyBorder="1" applyAlignment="1" applyProtection="1">
      <alignment horizontal="center"/>
    </xf>
    <xf numFmtId="38" fontId="15" fillId="8" borderId="3" xfId="7" applyNumberFormat="1" applyFont="1" applyFill="1" applyBorder="1" applyProtection="1"/>
    <xf numFmtId="0" fontId="3" fillId="8" borderId="9" xfId="7" applyFont="1" applyFill="1" applyBorder="1" applyProtection="1"/>
    <xf numFmtId="0" fontId="3" fillId="0" borderId="3" xfId="7" applyFont="1" applyFill="1" applyBorder="1" applyProtection="1"/>
    <xf numFmtId="0" fontId="3" fillId="0" borderId="10" xfId="7" applyFont="1" applyFill="1" applyBorder="1" applyProtection="1"/>
    <xf numFmtId="0" fontId="3" fillId="0" borderId="3" xfId="7" applyFont="1" applyFill="1" applyBorder="1" applyAlignment="1" applyProtection="1">
      <alignment horizontal="center"/>
    </xf>
    <xf numFmtId="40" fontId="20" fillId="0" borderId="13" xfId="7" applyNumberFormat="1" applyFont="1" applyBorder="1" applyAlignment="1" applyProtection="1">
      <alignment horizontal="center"/>
    </xf>
    <xf numFmtId="0" fontId="20" fillId="0" borderId="0" xfId="7" applyFont="1" applyBorder="1" applyAlignment="1" applyProtection="1">
      <alignment horizontal="center"/>
    </xf>
    <xf numFmtId="0" fontId="3" fillId="0" borderId="0" xfId="7" applyFont="1" applyFill="1" applyBorder="1" applyProtection="1"/>
    <xf numFmtId="0" fontId="14" fillId="0" borderId="0" xfId="7" applyFont="1" applyFill="1" applyBorder="1" applyProtection="1"/>
    <xf numFmtId="0" fontId="14" fillId="0" borderId="0" xfId="7" applyFont="1" applyFill="1" applyProtection="1"/>
    <xf numFmtId="168" fontId="15" fillId="0" borderId="10" xfId="7" applyNumberFormat="1" applyFont="1" applyBorder="1" applyAlignment="1" applyProtection="1"/>
    <xf numFmtId="0" fontId="3" fillId="0" borderId="3" xfId="7" applyFont="1" applyBorder="1" applyAlignment="1" applyProtection="1">
      <alignment horizontal="center"/>
    </xf>
    <xf numFmtId="0" fontId="3" fillId="0" borderId="0" xfId="7" applyFont="1" applyBorder="1" applyProtection="1"/>
    <xf numFmtId="0" fontId="3" fillId="0" borderId="10" xfId="7" applyFont="1" applyBorder="1" applyProtection="1"/>
    <xf numFmtId="0" fontId="3" fillId="0" borderId="9" xfId="7" applyFont="1" applyBorder="1" applyAlignment="1" applyProtection="1">
      <alignment horizontal="center"/>
    </xf>
    <xf numFmtId="38" fontId="15" fillId="3" borderId="3" xfId="7" applyNumberFormat="1" applyFont="1" applyFill="1" applyBorder="1" applyProtection="1"/>
    <xf numFmtId="168" fontId="3" fillId="0" borderId="9" xfId="7" applyNumberFormat="1" applyFont="1" applyBorder="1" applyAlignment="1" applyProtection="1">
      <alignment horizontal="left" indent="2"/>
    </xf>
    <xf numFmtId="168" fontId="3" fillId="0" borderId="10" xfId="7" applyNumberFormat="1" applyFont="1" applyBorder="1" applyAlignment="1" applyProtection="1">
      <alignment horizontal="left" indent="2"/>
    </xf>
    <xf numFmtId="2" fontId="3" fillId="6" borderId="2" xfId="7" applyNumberFormat="1" applyFont="1" applyFill="1" applyBorder="1" applyProtection="1"/>
    <xf numFmtId="2" fontId="15" fillId="0" borderId="2" xfId="7" applyNumberFormat="1" applyFont="1" applyBorder="1" applyProtection="1"/>
    <xf numFmtId="49" fontId="3" fillId="0" borderId="8" xfId="7" applyNumberFormat="1" applyFont="1" applyBorder="1" applyAlignment="1" applyProtection="1">
      <alignment horizontal="center"/>
    </xf>
    <xf numFmtId="168" fontId="15" fillId="0" borderId="4" xfId="7" applyNumberFormat="1" applyFont="1" applyBorder="1" applyAlignment="1" applyProtection="1"/>
    <xf numFmtId="168" fontId="15" fillId="0" borderId="8" xfId="7" applyNumberFormat="1" applyFont="1" applyBorder="1" applyAlignment="1" applyProtection="1"/>
    <xf numFmtId="0" fontId="3" fillId="0" borderId="11" xfId="7" applyFont="1" applyBorder="1" applyAlignment="1" applyProtection="1">
      <alignment horizontal="center"/>
    </xf>
    <xf numFmtId="0" fontId="3" fillId="0" borderId="1" xfId="7" applyFont="1" applyBorder="1" applyProtection="1"/>
    <xf numFmtId="0" fontId="3" fillId="0" borderId="14" xfId="7" applyFont="1" applyBorder="1" applyProtection="1"/>
    <xf numFmtId="2" fontId="14" fillId="0" borderId="0" xfId="7" applyNumberFormat="1" applyFont="1" applyProtection="1"/>
    <xf numFmtId="168" fontId="14" fillId="0" borderId="0" xfId="7" applyNumberFormat="1" applyFont="1" applyAlignment="1" applyProtection="1">
      <alignment horizontal="center"/>
    </xf>
    <xf numFmtId="170" fontId="14" fillId="0" borderId="0" xfId="7" applyNumberFormat="1" applyFont="1" applyAlignment="1" applyProtection="1">
      <alignment horizontal="center"/>
    </xf>
    <xf numFmtId="0" fontId="14" fillId="0" borderId="0" xfId="7" applyFont="1" applyAlignment="1" applyProtection="1">
      <alignment horizontal="center"/>
    </xf>
    <xf numFmtId="172" fontId="14" fillId="0" borderId="0" xfId="7" applyNumberFormat="1" applyFont="1" applyProtection="1"/>
    <xf numFmtId="38" fontId="14" fillId="0" borderId="0" xfId="7" applyNumberFormat="1" applyFont="1" applyProtection="1"/>
    <xf numFmtId="0" fontId="6" fillId="0" borderId="0" xfId="0" applyNumberFormat="1" applyFont="1" applyFill="1" applyBorder="1"/>
    <xf numFmtId="168" fontId="15" fillId="0" borderId="7" xfId="7" applyNumberFormat="1" applyFont="1" applyBorder="1" applyAlignment="1" applyProtection="1"/>
    <xf numFmtId="168" fontId="15" fillId="0" borderId="0" xfId="7" applyNumberFormat="1" applyFont="1" applyBorder="1" applyAlignment="1" applyProtection="1">
      <alignment horizontal="right"/>
    </xf>
    <xf numFmtId="175" fontId="15" fillId="0" borderId="13" xfId="7" applyNumberFormat="1" applyFont="1" applyFill="1" applyBorder="1" applyProtection="1"/>
    <xf numFmtId="0" fontId="3" fillId="0" borderId="12" xfId="7" applyFont="1" applyFill="1" applyBorder="1" applyAlignment="1" applyProtection="1">
      <alignment horizontal="center"/>
    </xf>
    <xf numFmtId="0" fontId="3" fillId="0" borderId="13" xfId="7" applyFont="1" applyFill="1" applyBorder="1" applyAlignment="1" applyProtection="1">
      <alignment horizontal="center"/>
    </xf>
    <xf numFmtId="168" fontId="15" fillId="0" borderId="1" xfId="7" applyNumberFormat="1" applyFont="1" applyFill="1" applyBorder="1" applyAlignment="1" applyProtection="1">
      <alignment horizontal="center" vertical="center" wrapText="1"/>
    </xf>
    <xf numFmtId="38" fontId="19" fillId="0" borderId="0" xfId="7" applyNumberFormat="1" applyFont="1" applyFill="1" applyBorder="1" applyAlignment="1" applyProtection="1">
      <alignment horizontal="center" vertical="center"/>
      <protection locked="0"/>
    </xf>
    <xf numFmtId="38" fontId="19" fillId="0" borderId="0" xfId="7" applyNumberFormat="1" applyFont="1" applyFill="1" applyBorder="1" applyAlignment="1" applyProtection="1">
      <alignment horizontal="center" vertical="center"/>
    </xf>
    <xf numFmtId="49" fontId="3" fillId="1" borderId="9" xfId="7" applyNumberFormat="1" applyFont="1" applyFill="1" applyBorder="1" applyAlignment="1" applyProtection="1">
      <alignment horizontal="center" vertical="center"/>
    </xf>
    <xf numFmtId="49" fontId="3" fillId="1" borderId="6" xfId="7" applyNumberFormat="1" applyFont="1" applyFill="1" applyBorder="1" applyAlignment="1" applyProtection="1">
      <alignment horizontal="center" vertical="center"/>
    </xf>
    <xf numFmtId="1" fontId="3" fillId="0" borderId="13" xfId="7" applyNumberFormat="1" applyFont="1" applyBorder="1" applyAlignment="1" applyProtection="1">
      <alignment horizontal="center" vertical="center"/>
    </xf>
    <xf numFmtId="172" fontId="3" fillId="0" borderId="13" xfId="7" applyNumberFormat="1" applyFont="1" applyBorder="1" applyAlignment="1" applyProtection="1">
      <alignment horizontal="center" vertical="center"/>
    </xf>
    <xf numFmtId="173" fontId="3" fillId="0" borderId="13" xfId="7" applyNumberFormat="1" applyFont="1" applyBorder="1" applyAlignment="1" applyProtection="1">
      <alignment horizontal="right" vertical="center"/>
    </xf>
    <xf numFmtId="38" fontId="3" fillId="0" borderId="13" xfId="7" applyNumberFormat="1" applyFont="1" applyBorder="1" applyAlignment="1" applyProtection="1">
      <alignment horizontal="right" vertical="center"/>
    </xf>
    <xf numFmtId="172" fontId="3" fillId="0" borderId="13" xfId="7" applyNumberFormat="1" applyFont="1" applyBorder="1" applyAlignment="1" applyProtection="1">
      <alignment horizontal="right" vertical="center"/>
    </xf>
    <xf numFmtId="174" fontId="3" fillId="0" borderId="13" xfId="7" applyNumberFormat="1" applyFont="1" applyBorder="1" applyAlignment="1" applyProtection="1">
      <alignment horizontal="right" vertical="center"/>
    </xf>
    <xf numFmtId="0" fontId="14" fillId="0" borderId="0" xfId="7" applyFont="1" applyBorder="1" applyAlignment="1" applyProtection="1">
      <alignment vertical="center"/>
    </xf>
    <xf numFmtId="166" fontId="2" fillId="0" borderId="0" xfId="1" applyFont="1" applyBorder="1" applyAlignment="1">
      <alignment vertical="center"/>
    </xf>
    <xf numFmtId="166" fontId="2" fillId="0" borderId="0" xfId="1" applyFont="1" applyAlignment="1">
      <alignment vertical="center"/>
    </xf>
    <xf numFmtId="1" fontId="15" fillId="0" borderId="3" xfId="7" applyNumberFormat="1" applyFont="1" applyBorder="1" applyAlignment="1" applyProtection="1">
      <alignment horizontal="center" vertical="center"/>
    </xf>
    <xf numFmtId="40" fontId="3" fillId="3" borderId="3" xfId="7" applyNumberFormat="1" applyFont="1" applyFill="1" applyBorder="1" applyAlignment="1" applyProtection="1">
      <alignment horizontal="center" vertical="center"/>
    </xf>
    <xf numFmtId="38" fontId="3" fillId="3" borderId="3" xfId="7" applyNumberFormat="1" applyFont="1" applyFill="1" applyBorder="1" applyAlignment="1" applyProtection="1">
      <alignment horizontal="right" vertical="center"/>
    </xf>
    <xf numFmtId="0" fontId="14" fillId="0" borderId="0" xfId="7" applyFont="1" applyAlignment="1" applyProtection="1">
      <alignment vertical="center"/>
    </xf>
    <xf numFmtId="168" fontId="3" fillId="0" borderId="9" xfId="7" applyNumberFormat="1" applyFont="1" applyBorder="1" applyAlignment="1" applyProtection="1">
      <alignment horizontal="left" vertical="center"/>
    </xf>
    <xf numFmtId="168" fontId="3" fillId="0" borderId="0" xfId="7" applyNumberFormat="1" applyFont="1" applyBorder="1" applyAlignment="1" applyProtection="1">
      <alignment horizontal="left" vertical="center"/>
    </xf>
    <xf numFmtId="49" fontId="3" fillId="1" borderId="3" xfId="7" applyNumberFormat="1" applyFont="1" applyFill="1" applyBorder="1" applyAlignment="1" applyProtection="1">
      <alignment horizontal="center" vertical="center"/>
    </xf>
    <xf numFmtId="168" fontId="15" fillId="0" borderId="6" xfId="7" applyNumberFormat="1" applyFont="1" applyBorder="1" applyAlignment="1" applyProtection="1">
      <alignment vertical="center"/>
    </xf>
    <xf numFmtId="168" fontId="15" fillId="0" borderId="5" xfId="7" applyNumberFormat="1" applyFont="1" applyBorder="1" applyAlignment="1" applyProtection="1">
      <alignment vertical="center"/>
    </xf>
    <xf numFmtId="38" fontId="15" fillId="3" borderId="2" xfId="7" applyNumberFormat="1" applyFont="1" applyFill="1" applyBorder="1" applyAlignment="1" applyProtection="1">
      <alignment horizontal="right" vertical="center"/>
    </xf>
    <xf numFmtId="1" fontId="12" fillId="0" borderId="12" xfId="7" applyNumberFormat="1" applyFont="1" applyBorder="1" applyAlignment="1" applyProtection="1">
      <alignment horizontal="right" vertical="center"/>
    </xf>
    <xf numFmtId="40" fontId="15" fillId="3" borderId="12" xfId="7" applyNumberFormat="1" applyFont="1" applyFill="1" applyBorder="1" applyAlignment="1" applyProtection="1">
      <alignment horizontal="center" vertical="center"/>
    </xf>
    <xf numFmtId="38" fontId="15" fillId="3" borderId="12" xfId="7" applyNumberFormat="1" applyFont="1" applyFill="1" applyBorder="1" applyAlignment="1" applyProtection="1">
      <alignment horizontal="right" vertical="center"/>
    </xf>
    <xf numFmtId="168" fontId="17" fillId="3" borderId="5" xfId="7" applyNumberFormat="1" applyFont="1" applyFill="1" applyBorder="1" applyAlignment="1" applyProtection="1">
      <alignment vertical="center" wrapText="1"/>
      <protection locked="0"/>
    </xf>
    <xf numFmtId="168" fontId="17" fillId="3" borderId="8" xfId="7" applyNumberFormat="1" applyFont="1" applyFill="1" applyBorder="1" applyAlignment="1" applyProtection="1">
      <alignment vertical="center" wrapText="1"/>
      <protection locked="0"/>
    </xf>
    <xf numFmtId="40" fontId="3" fillId="0" borderId="3" xfId="7" applyNumberFormat="1" applyFont="1" applyBorder="1" applyAlignment="1" applyProtection="1">
      <alignment horizontal="center" vertical="center"/>
    </xf>
    <xf numFmtId="38" fontId="3" fillId="0" borderId="3" xfId="7" applyNumberFormat="1" applyFont="1" applyBorder="1" applyAlignment="1" applyProtection="1">
      <alignment horizontal="right" vertical="center"/>
    </xf>
    <xf numFmtId="176" fontId="3" fillId="0" borderId="3" xfId="6" applyNumberFormat="1" applyFont="1" applyBorder="1" applyAlignment="1" applyProtection="1">
      <alignment horizontal="right" vertical="center"/>
    </xf>
    <xf numFmtId="49" fontId="3" fillId="1" borderId="11" xfId="7" applyNumberFormat="1" applyFont="1" applyFill="1" applyBorder="1" applyAlignment="1" applyProtection="1">
      <alignment horizontal="center" vertical="center"/>
    </xf>
    <xf numFmtId="38" fontId="3" fillId="0" borderId="3" xfId="7" applyNumberFormat="1" applyFont="1" applyBorder="1" applyAlignment="1" applyProtection="1">
      <alignment horizontal="left" vertical="center"/>
    </xf>
    <xf numFmtId="177" fontId="3" fillId="0" borderId="3" xfId="7" applyNumberFormat="1" applyFont="1" applyBorder="1" applyAlignment="1" applyProtection="1">
      <alignment horizontal="left" vertical="center"/>
    </xf>
    <xf numFmtId="49" fontId="3" fillId="6" borderId="2" xfId="7" applyNumberFormat="1" applyFont="1" applyFill="1" applyBorder="1" applyAlignment="1" applyProtection="1">
      <alignment vertical="center"/>
    </xf>
    <xf numFmtId="49" fontId="3" fillId="6" borderId="2" xfId="7" applyNumberFormat="1" applyFont="1" applyFill="1" applyBorder="1" applyAlignment="1" applyProtection="1">
      <alignment horizontal="center" vertical="center"/>
    </xf>
    <xf numFmtId="1" fontId="15" fillId="6" borderId="2" xfId="7" applyNumberFormat="1" applyFont="1" applyFill="1" applyBorder="1" applyAlignment="1" applyProtection="1">
      <alignment horizontal="center" vertical="center"/>
    </xf>
    <xf numFmtId="40" fontId="3" fillId="6" borderId="2" xfId="7" applyNumberFormat="1" applyFont="1" applyFill="1" applyBorder="1" applyAlignment="1" applyProtection="1">
      <alignment horizontal="center" vertical="center"/>
    </xf>
    <xf numFmtId="38" fontId="3" fillId="6" borderId="2" xfId="7" applyNumberFormat="1" applyFont="1" applyFill="1" applyBorder="1" applyAlignment="1" applyProtection="1">
      <alignment horizontal="right" vertical="center"/>
    </xf>
    <xf numFmtId="38" fontId="3" fillId="3" borderId="2" xfId="7" applyNumberFormat="1" applyFont="1" applyFill="1" applyBorder="1" applyAlignment="1" applyProtection="1">
      <alignment horizontal="right" vertical="center"/>
    </xf>
    <xf numFmtId="0" fontId="14" fillId="0" borderId="1" xfId="7" applyFont="1" applyBorder="1" applyAlignment="1" applyProtection="1">
      <alignment vertical="center"/>
    </xf>
    <xf numFmtId="49" fontId="3" fillId="6" borderId="12" xfId="7" applyNumberFormat="1" applyFont="1" applyFill="1" applyBorder="1" applyAlignment="1" applyProtection="1">
      <alignment vertical="center"/>
    </xf>
    <xf numFmtId="49" fontId="3" fillId="6" borderId="12" xfId="7" applyNumberFormat="1" applyFont="1" applyFill="1" applyBorder="1" applyAlignment="1" applyProtection="1">
      <alignment horizontal="center" vertical="center"/>
    </xf>
    <xf numFmtId="1" fontId="15" fillId="6" borderId="12" xfId="7" applyNumberFormat="1" applyFont="1" applyFill="1" applyBorder="1" applyAlignment="1" applyProtection="1">
      <alignment horizontal="center" vertical="center"/>
    </xf>
    <xf numFmtId="40" fontId="3" fillId="6" borderId="12" xfId="7" applyNumberFormat="1" applyFont="1" applyFill="1" applyBorder="1" applyAlignment="1" applyProtection="1">
      <alignment horizontal="center" vertical="center"/>
    </xf>
    <xf numFmtId="38" fontId="3" fillId="6" borderId="12" xfId="7" applyNumberFormat="1" applyFont="1" applyFill="1" applyBorder="1" applyAlignment="1" applyProtection="1">
      <alignment horizontal="right" vertical="center"/>
    </xf>
    <xf numFmtId="38" fontId="3" fillId="3" borderId="12" xfId="7" applyNumberFormat="1" applyFont="1" applyFill="1" applyBorder="1" applyAlignment="1" applyProtection="1">
      <alignment horizontal="right" vertical="center"/>
    </xf>
    <xf numFmtId="49" fontId="3" fillId="6" borderId="1" xfId="7" applyNumberFormat="1" applyFont="1" applyFill="1" applyBorder="1" applyAlignment="1" applyProtection="1">
      <alignment horizontal="center" vertical="center"/>
    </xf>
    <xf numFmtId="49" fontId="3" fillId="6" borderId="2" xfId="7" applyNumberFormat="1" applyFont="1" applyFill="1" applyBorder="1" applyAlignment="1" applyProtection="1">
      <alignment horizontal="left" vertical="center"/>
    </xf>
    <xf numFmtId="49" fontId="3" fillId="6" borderId="12" xfId="7" applyNumberFormat="1" applyFont="1" applyFill="1" applyBorder="1" applyAlignment="1" applyProtection="1">
      <alignment horizontal="left" vertical="center"/>
    </xf>
    <xf numFmtId="49" fontId="3" fillId="6" borderId="14" xfId="7" applyNumberFormat="1" applyFont="1" applyFill="1" applyBorder="1" applyAlignment="1" applyProtection="1">
      <alignment horizontal="left" vertical="center"/>
    </xf>
    <xf numFmtId="49" fontId="3" fillId="1" borderId="10" xfId="7" applyNumberFormat="1" applyFont="1" applyFill="1" applyBorder="1" applyAlignment="1" applyProtection="1">
      <alignment horizontal="center" vertical="center"/>
    </xf>
    <xf numFmtId="1" fontId="15" fillId="0" borderId="9" xfId="7" applyNumberFormat="1" applyFont="1" applyBorder="1" applyAlignment="1" applyProtection="1">
      <alignment horizontal="center" vertical="center"/>
    </xf>
    <xf numFmtId="40" fontId="3" fillId="3" borderId="13" xfId="7" applyNumberFormat="1" applyFont="1" applyFill="1" applyBorder="1" applyAlignment="1" applyProtection="1">
      <alignment horizontal="center" vertical="center"/>
    </xf>
    <xf numFmtId="38" fontId="3" fillId="3" borderId="15" xfId="7" applyNumberFormat="1" applyFont="1" applyFill="1" applyBorder="1" applyAlignment="1" applyProtection="1">
      <alignment horizontal="right" vertical="center"/>
    </xf>
    <xf numFmtId="38" fontId="3" fillId="3" borderId="13" xfId="7" applyNumberFormat="1" applyFont="1" applyFill="1" applyBorder="1" applyAlignment="1" applyProtection="1">
      <alignment horizontal="right" vertical="center"/>
    </xf>
    <xf numFmtId="38" fontId="3" fillId="3" borderId="10" xfId="7" applyNumberFormat="1" applyFont="1" applyFill="1" applyBorder="1" applyAlignment="1" applyProtection="1">
      <alignment horizontal="right" vertical="center"/>
    </xf>
    <xf numFmtId="168" fontId="3" fillId="0" borderId="10" xfId="7" applyNumberFormat="1" applyFont="1" applyBorder="1" applyAlignment="1" applyProtection="1">
      <alignment horizontal="left" vertical="center"/>
    </xf>
    <xf numFmtId="38" fontId="15" fillId="3" borderId="14" xfId="7" applyNumberFormat="1" applyFont="1" applyFill="1" applyBorder="1" applyAlignment="1" applyProtection="1">
      <alignment horizontal="right" vertical="center"/>
    </xf>
    <xf numFmtId="1" fontId="3" fillId="0" borderId="9" xfId="7" applyNumberFormat="1" applyFont="1" applyBorder="1" applyAlignment="1" applyProtection="1">
      <alignment horizontal="center" vertical="center"/>
    </xf>
    <xf numFmtId="40" fontId="3" fillId="0" borderId="3" xfId="7" applyNumberFormat="1" applyFont="1" applyFill="1" applyBorder="1" applyAlignment="1" applyProtection="1">
      <alignment horizontal="center" vertical="center"/>
    </xf>
    <xf numFmtId="38" fontId="3" fillId="0" borderId="10" xfId="7" applyNumberFormat="1" applyFont="1" applyFill="1" applyBorder="1" applyAlignment="1" applyProtection="1">
      <alignment vertical="center"/>
    </xf>
    <xf numFmtId="38" fontId="3" fillId="0" borderId="3" xfId="7" applyNumberFormat="1" applyFont="1" applyFill="1" applyBorder="1" applyAlignment="1" applyProtection="1">
      <alignment vertical="center"/>
    </xf>
    <xf numFmtId="38" fontId="3" fillId="0" borderId="9" xfId="7" applyNumberFormat="1" applyFont="1" applyFill="1" applyBorder="1" applyAlignment="1" applyProtection="1">
      <alignment vertical="center"/>
    </xf>
    <xf numFmtId="38" fontId="3" fillId="0" borderId="10" xfId="7" applyNumberFormat="1" applyFont="1" applyBorder="1" applyAlignment="1" applyProtection="1">
      <alignment vertical="center"/>
    </xf>
    <xf numFmtId="49" fontId="3" fillId="1" borderId="0" xfId="7" applyNumberFormat="1" applyFont="1" applyFill="1" applyBorder="1" applyAlignment="1" applyProtection="1">
      <alignment horizontal="center" vertical="center"/>
    </xf>
    <xf numFmtId="1" fontId="12" fillId="0" borderId="4" xfId="7" applyNumberFormat="1" applyFont="1" applyFill="1" applyBorder="1" applyAlignment="1" applyProtection="1">
      <alignment horizontal="right" vertical="center"/>
    </xf>
    <xf numFmtId="1" fontId="12" fillId="0" borderId="11" xfId="7" applyNumberFormat="1" applyFont="1" applyFill="1" applyBorder="1" applyAlignment="1" applyProtection="1">
      <alignment horizontal="right" vertical="center"/>
    </xf>
    <xf numFmtId="40" fontId="3" fillId="3" borderId="2" xfId="7" applyNumberFormat="1" applyFont="1" applyFill="1" applyBorder="1" applyAlignment="1" applyProtection="1">
      <alignment horizontal="center" vertical="center"/>
    </xf>
    <xf numFmtId="38" fontId="15" fillId="3" borderId="8" xfId="7" applyNumberFormat="1" applyFont="1" applyFill="1" applyBorder="1" applyAlignment="1" applyProtection="1">
      <alignment horizontal="right" vertical="center"/>
    </xf>
    <xf numFmtId="49" fontId="3" fillId="0" borderId="9" xfId="7" applyNumberFormat="1" applyFont="1" applyFill="1" applyBorder="1" applyAlignment="1" applyProtection="1">
      <alignment horizontal="center" vertical="center"/>
    </xf>
    <xf numFmtId="49" fontId="3" fillId="0" borderId="0" xfId="7" applyNumberFormat="1" applyFont="1" applyFill="1" applyBorder="1" applyAlignment="1" applyProtection="1">
      <alignment horizontal="center" vertical="center"/>
    </xf>
    <xf numFmtId="1" fontId="12" fillId="0" borderId="0" xfId="7" applyNumberFormat="1" applyFont="1" applyFill="1" applyBorder="1" applyAlignment="1" applyProtection="1">
      <alignment horizontal="center" vertical="center"/>
    </xf>
    <xf numFmtId="1" fontId="12" fillId="0" borderId="10" xfId="7" applyNumberFormat="1" applyFont="1" applyFill="1" applyBorder="1" applyAlignment="1" applyProtection="1">
      <alignment horizontal="center" vertical="center"/>
    </xf>
    <xf numFmtId="38" fontId="15" fillId="0" borderId="0" xfId="7" applyNumberFormat="1" applyFont="1" applyFill="1" applyBorder="1" applyAlignment="1" applyProtection="1">
      <alignment horizontal="right" vertical="center"/>
    </xf>
    <xf numFmtId="38" fontId="19" fillId="0" borderId="10" xfId="7" applyNumberFormat="1" applyFont="1" applyFill="1" applyBorder="1" applyAlignment="1" applyProtection="1">
      <alignment vertical="center" wrapText="1"/>
      <protection locked="0"/>
    </xf>
    <xf numFmtId="0" fontId="14" fillId="0" borderId="0" xfId="7" applyFont="1" applyFill="1" applyBorder="1" applyAlignment="1" applyProtection="1">
      <alignment vertical="center"/>
    </xf>
    <xf numFmtId="0" fontId="14" fillId="0" borderId="0" xfId="7" applyFont="1" applyFill="1" applyAlignment="1" applyProtection="1">
      <alignment vertical="center"/>
    </xf>
    <xf numFmtId="168" fontId="15" fillId="0" borderId="0" xfId="7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left"/>
    </xf>
    <xf numFmtId="1" fontId="15" fillId="0" borderId="3" xfId="7" applyNumberFormat="1" applyFont="1" applyBorder="1" applyAlignment="1" applyProtection="1">
      <alignment horizontal="center"/>
    </xf>
    <xf numFmtId="38" fontId="3" fillId="3" borderId="3" xfId="7" applyNumberFormat="1" applyFont="1" applyFill="1" applyBorder="1" applyAlignment="1" applyProtection="1">
      <alignment horizontal="right"/>
    </xf>
    <xf numFmtId="38" fontId="15" fillId="3" borderId="3" xfId="7" applyNumberFormat="1" applyFont="1" applyFill="1" applyBorder="1" applyAlignment="1" applyProtection="1">
      <alignment horizontal="right"/>
    </xf>
    <xf numFmtId="40" fontId="15" fillId="3" borderId="3" xfId="7" applyNumberFormat="1" applyFont="1" applyFill="1" applyBorder="1" applyAlignment="1" applyProtection="1">
      <alignment horizontal="center"/>
    </xf>
    <xf numFmtId="38" fontId="15" fillId="3" borderId="3" xfId="7" applyNumberFormat="1" applyFont="1" applyFill="1" applyBorder="1" applyAlignment="1" applyProtection="1"/>
    <xf numFmtId="38" fontId="15" fillId="3" borderId="10" xfId="7" applyNumberFormat="1" applyFont="1" applyFill="1" applyBorder="1" applyAlignment="1" applyProtection="1">
      <alignment horizontal="right"/>
    </xf>
    <xf numFmtId="38" fontId="15" fillId="3" borderId="2" xfId="7" applyNumberFormat="1" applyFont="1" applyFill="1" applyBorder="1" applyAlignment="1" applyProtection="1">
      <alignment horizontal="right"/>
    </xf>
    <xf numFmtId="3" fontId="3" fillId="3" borderId="3" xfId="7" applyNumberFormat="1" applyFont="1" applyFill="1" applyBorder="1" applyProtection="1"/>
    <xf numFmtId="0" fontId="6" fillId="0" borderId="1" xfId="0" applyNumberFormat="1" applyFont="1" applyBorder="1"/>
    <xf numFmtId="164" fontId="6" fillId="3" borderId="0" xfId="0" applyNumberFormat="1" applyFont="1" applyFill="1" applyBorder="1" applyAlignment="1">
      <alignment horizontal="right" indent="4"/>
    </xf>
    <xf numFmtId="0" fontId="7" fillId="0" borderId="1" xfId="0" applyFont="1" applyBorder="1" applyAlignment="1">
      <alignment horizontal="center"/>
    </xf>
    <xf numFmtId="165" fontId="6" fillId="3" borderId="0" xfId="0" applyNumberFormat="1" applyFont="1" applyFill="1" applyBorder="1" applyAlignment="1">
      <alignment horizontal="right" indent="4"/>
    </xf>
    <xf numFmtId="165" fontId="5" fillId="3" borderId="0" xfId="0" applyNumberFormat="1" applyFont="1" applyFill="1" applyBorder="1" applyAlignment="1">
      <alignment horizontal="right" indent="4"/>
    </xf>
    <xf numFmtId="0" fontId="6" fillId="0" borderId="0" xfId="0" applyFont="1" applyFill="1"/>
    <xf numFmtId="0" fontId="6" fillId="0" borderId="0" xfId="0" applyNumberFormat="1" applyFont="1" applyFill="1" applyBorder="1" applyAlignment="1">
      <alignment horizontal="left" indent="4"/>
    </xf>
    <xf numFmtId="0" fontId="6" fillId="0" borderId="0" xfId="0" applyFont="1" applyFill="1" applyBorder="1" applyAlignment="1">
      <alignment horizontal="left" indent="4"/>
    </xf>
    <xf numFmtId="0" fontId="6" fillId="0" borderId="5" xfId="0" applyNumberFormat="1" applyFont="1" applyFill="1" applyBorder="1" applyAlignment="1">
      <alignment horizontal="left" indent="4"/>
    </xf>
    <xf numFmtId="164" fontId="6" fillId="3" borderId="5" xfId="0" applyNumberFormat="1" applyFont="1" applyFill="1" applyBorder="1" applyAlignment="1">
      <alignment horizontal="right" indent="4"/>
    </xf>
    <xf numFmtId="164" fontId="6" fillId="3" borderId="4" xfId="0" applyNumberFormat="1" applyFont="1" applyFill="1" applyBorder="1" applyAlignment="1">
      <alignment horizontal="right" indent="4"/>
    </xf>
    <xf numFmtId="0" fontId="3" fillId="9" borderId="13" xfId="7" applyFont="1" applyFill="1" applyBorder="1" applyAlignment="1" applyProtection="1">
      <alignment horizontal="center"/>
    </xf>
    <xf numFmtId="0" fontId="3" fillId="6" borderId="12" xfId="7" applyFont="1" applyFill="1" applyBorder="1" applyAlignment="1" applyProtection="1">
      <alignment horizontal="center"/>
    </xf>
    <xf numFmtId="49" fontId="3" fillId="1" borderId="12" xfId="7" applyNumberFormat="1" applyFont="1" applyFill="1" applyBorder="1" applyAlignment="1" applyProtection="1">
      <alignment horizontal="center" vertical="center"/>
    </xf>
    <xf numFmtId="168" fontId="15" fillId="11" borderId="2" xfId="7" applyNumberFormat="1" applyFont="1" applyFill="1" applyBorder="1" applyAlignment="1" applyProtection="1">
      <alignment horizontal="left" vertical="center" wrapText="1"/>
    </xf>
    <xf numFmtId="168" fontId="15" fillId="0" borderId="2" xfId="7" applyNumberFormat="1" applyFont="1" applyFill="1" applyBorder="1" applyAlignment="1" applyProtection="1">
      <alignment horizontal="left" vertical="center" wrapText="1" indent="1"/>
    </xf>
    <xf numFmtId="1" fontId="15" fillId="0" borderId="10" xfId="7" applyNumberFormat="1" applyFont="1" applyBorder="1" applyAlignment="1" applyProtection="1">
      <alignment horizontal="center" vertical="center"/>
    </xf>
    <xf numFmtId="168" fontId="3" fillId="6" borderId="8" xfId="7" applyNumberFormat="1" applyFont="1" applyFill="1" applyBorder="1" applyAlignment="1" applyProtection="1">
      <alignment vertical="center"/>
    </xf>
    <xf numFmtId="49" fontId="3" fillId="6" borderId="8" xfId="7" applyNumberFormat="1" applyFont="1" applyFill="1" applyBorder="1" applyAlignment="1" applyProtection="1">
      <alignment vertical="center"/>
    </xf>
    <xf numFmtId="168" fontId="3" fillId="6" borderId="2" xfId="7" applyNumberFormat="1" applyFont="1" applyFill="1" applyBorder="1" applyAlignment="1" applyProtection="1">
      <alignment vertical="center"/>
    </xf>
    <xf numFmtId="168" fontId="3" fillId="0" borderId="5" xfId="7" applyNumberFormat="1" applyFont="1" applyFill="1" applyBorder="1" applyAlignment="1" applyProtection="1">
      <alignment vertical="center"/>
    </xf>
    <xf numFmtId="168" fontId="15" fillId="0" borderId="5" xfId="7" applyNumberFormat="1" applyFont="1" applyFill="1" applyBorder="1" applyAlignment="1" applyProtection="1">
      <alignment horizontal="left" vertical="center" indent="1"/>
    </xf>
    <xf numFmtId="0" fontId="25" fillId="0" borderId="0" xfId="0" applyFont="1"/>
    <xf numFmtId="165" fontId="5" fillId="0" borderId="0" xfId="0" applyNumberFormat="1" applyFont="1"/>
    <xf numFmtId="0" fontId="0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center"/>
    </xf>
    <xf numFmtId="40" fontId="29" fillId="0" borderId="0" xfId="0" applyNumberFormat="1" applyFont="1" applyFill="1" applyAlignment="1">
      <alignment horizontal="center"/>
    </xf>
    <xf numFmtId="0" fontId="29" fillId="0" borderId="0" xfId="0" applyFont="1" applyAlignment="1">
      <alignment horizontal="center"/>
    </xf>
    <xf numFmtId="0" fontId="15" fillId="0" borderId="4" xfId="7" applyFont="1" applyBorder="1" applyAlignment="1" applyProtection="1">
      <alignment horizontal="center" wrapText="1"/>
    </xf>
    <xf numFmtId="2" fontId="3" fillId="0" borderId="2" xfId="7" applyNumberFormat="1" applyFont="1" applyBorder="1" applyAlignment="1" applyProtection="1">
      <alignment horizontal="center" wrapText="1"/>
    </xf>
    <xf numFmtId="0" fontId="14" fillId="0" borderId="13" xfId="7" applyFont="1" applyBorder="1" applyAlignment="1" applyProtection="1">
      <alignment vertical="center"/>
    </xf>
    <xf numFmtId="38" fontId="3" fillId="0" borderId="3" xfId="7" applyNumberFormat="1" applyFont="1" applyFill="1" applyBorder="1" applyAlignment="1" applyProtection="1">
      <alignment horizontal="right" vertical="center"/>
    </xf>
    <xf numFmtId="38" fontId="15" fillId="3" borderId="4" xfId="7" applyNumberFormat="1" applyFont="1" applyFill="1" applyBorder="1" applyProtection="1"/>
    <xf numFmtId="38" fontId="3" fillId="6" borderId="8" xfId="7" applyNumberFormat="1" applyFont="1" applyFill="1" applyBorder="1" applyProtection="1"/>
    <xf numFmtId="38" fontId="3" fillId="6" borderId="15" xfId="7" applyNumberFormat="1" applyFont="1" applyFill="1" applyBorder="1" applyProtection="1"/>
    <xf numFmtId="38" fontId="15" fillId="0" borderId="0" xfId="7" applyNumberFormat="1" applyFont="1" applyFill="1" applyBorder="1" applyProtection="1"/>
    <xf numFmtId="38" fontId="3" fillId="6" borderId="9" xfId="7" applyNumberFormat="1" applyFont="1" applyFill="1" applyBorder="1" applyProtection="1"/>
    <xf numFmtId="38" fontId="3" fillId="6" borderId="4" xfId="7" applyNumberFormat="1" applyFont="1" applyFill="1" applyBorder="1" applyProtection="1"/>
    <xf numFmtId="38" fontId="15" fillId="3" borderId="5" xfId="7" applyNumberFormat="1" applyFont="1" applyFill="1" applyBorder="1" applyProtection="1"/>
    <xf numFmtId="38" fontId="3" fillId="3" borderId="13" xfId="7" applyNumberFormat="1" applyFont="1" applyFill="1" applyBorder="1" applyProtection="1"/>
    <xf numFmtId="38" fontId="15" fillId="0" borderId="3" xfId="7" applyNumberFormat="1" applyFont="1" applyFill="1" applyBorder="1" applyAlignment="1" applyProtection="1">
      <alignment horizontal="right"/>
    </xf>
    <xf numFmtId="38" fontId="15" fillId="0" borderId="11" xfId="7" applyNumberFormat="1" applyFont="1" applyFill="1" applyBorder="1" applyAlignment="1" applyProtection="1">
      <alignment horizontal="right" vertical="center"/>
    </xf>
    <xf numFmtId="38" fontId="15" fillId="0" borderId="1" xfId="7" applyNumberFormat="1" applyFont="1" applyFill="1" applyBorder="1" applyProtection="1"/>
    <xf numFmtId="40" fontId="3" fillId="0" borderId="9" xfId="7" applyNumberFormat="1" applyFont="1" applyFill="1" applyBorder="1" applyAlignment="1" applyProtection="1">
      <alignment horizontal="center"/>
    </xf>
    <xf numFmtId="40" fontId="15" fillId="3" borderId="10" xfId="7" applyNumberFormat="1" applyFont="1" applyFill="1" applyBorder="1" applyAlignment="1" applyProtection="1">
      <alignment horizontal="center"/>
    </xf>
    <xf numFmtId="40" fontId="3" fillId="0" borderId="0" xfId="7" applyNumberFormat="1" applyFont="1" applyFill="1" applyBorder="1" applyAlignment="1" applyProtection="1">
      <alignment horizontal="center"/>
    </xf>
    <xf numFmtId="38" fontId="15" fillId="3" borderId="15" xfId="7" applyNumberFormat="1" applyFont="1" applyFill="1" applyBorder="1" applyProtection="1"/>
    <xf numFmtId="38" fontId="15" fillId="3" borderId="7" xfId="7" applyNumberFormat="1" applyFont="1" applyFill="1" applyBorder="1" applyProtection="1"/>
    <xf numFmtId="38" fontId="3" fillId="6" borderId="6" xfId="7" applyNumberFormat="1" applyFont="1" applyFill="1" applyBorder="1" applyProtection="1"/>
    <xf numFmtId="40" fontId="3" fillId="6" borderId="10" xfId="7" applyNumberFormat="1" applyFont="1" applyFill="1" applyBorder="1" applyAlignment="1" applyProtection="1">
      <alignment horizontal="center"/>
    </xf>
    <xf numFmtId="0" fontId="29" fillId="0" borderId="0" xfId="0" applyFont="1" applyAlignment="1">
      <alignment horizontal="center"/>
    </xf>
    <xf numFmtId="38" fontId="15" fillId="3" borderId="4" xfId="7" applyNumberFormat="1" applyFont="1" applyFill="1" applyBorder="1" applyAlignment="1" applyProtection="1">
      <alignment horizontal="right" vertical="center"/>
    </xf>
    <xf numFmtId="38" fontId="15" fillId="0" borderId="3" xfId="7" applyNumberFormat="1" applyFont="1" applyFill="1" applyBorder="1" applyAlignment="1" applyProtection="1">
      <alignment horizontal="right" vertical="center"/>
    </xf>
    <xf numFmtId="49" fontId="3" fillId="0" borderId="9" xfId="7" applyNumberFormat="1" applyFont="1" applyFill="1" applyBorder="1" applyAlignment="1" applyProtection="1">
      <alignment horizontal="left" vertical="center"/>
    </xf>
    <xf numFmtId="49" fontId="3" fillId="0" borderId="10" xfId="7" applyNumberFormat="1" applyFont="1" applyFill="1" applyBorder="1" applyAlignment="1" applyProtection="1">
      <alignment horizontal="left" vertical="center"/>
    </xf>
    <xf numFmtId="168" fontId="3" fillId="0" borderId="9" xfId="7" applyNumberFormat="1" applyFont="1" applyFill="1" applyBorder="1" applyAlignment="1" applyProtection="1">
      <alignment vertical="center"/>
    </xf>
    <xf numFmtId="168" fontId="3" fillId="0" borderId="10" xfId="7" applyNumberFormat="1" applyFont="1" applyFill="1" applyBorder="1" applyAlignment="1" applyProtection="1">
      <alignment vertical="center"/>
    </xf>
    <xf numFmtId="1" fontId="15" fillId="0" borderId="3" xfId="7" applyNumberFormat="1" applyFont="1" applyFill="1" applyBorder="1" applyAlignment="1" applyProtection="1">
      <alignment horizontal="center" vertical="center"/>
    </xf>
    <xf numFmtId="38" fontId="15" fillId="0" borderId="9" xfId="7" applyNumberFormat="1" applyFont="1" applyFill="1" applyBorder="1" applyAlignment="1" applyProtection="1">
      <alignment horizontal="right" vertical="center"/>
    </xf>
    <xf numFmtId="38" fontId="3" fillId="3" borderId="3" xfId="7" applyNumberFormat="1" applyFont="1" applyFill="1" applyBorder="1" applyProtection="1"/>
    <xf numFmtId="40" fontId="3" fillId="3" borderId="3" xfId="7" applyNumberFormat="1" applyFont="1" applyFill="1" applyBorder="1" applyAlignment="1" applyProtection="1">
      <alignment horizontal="center"/>
    </xf>
    <xf numFmtId="10" fontId="3" fillId="9" borderId="2" xfId="6" applyNumberFormat="1" applyFont="1" applyFill="1" applyBorder="1" applyAlignment="1" applyProtection="1">
      <alignment horizontal="center"/>
    </xf>
    <xf numFmtId="10" fontId="3" fillId="9" borderId="13" xfId="6" applyNumberFormat="1" applyFont="1" applyFill="1" applyBorder="1" applyAlignment="1" applyProtection="1">
      <alignment horizontal="center" vertical="center"/>
    </xf>
    <xf numFmtId="38" fontId="31" fillId="0" borderId="0" xfId="7" applyNumberFormat="1" applyFont="1" applyFill="1" applyBorder="1" applyProtection="1"/>
    <xf numFmtId="0" fontId="31" fillId="0" borderId="0" xfId="7" applyFont="1" applyBorder="1" applyProtection="1"/>
    <xf numFmtId="0" fontId="31" fillId="0" borderId="10" xfId="7" applyFont="1" applyBorder="1" applyProtection="1"/>
    <xf numFmtId="0" fontId="32" fillId="0" borderId="0" xfId="7" applyFont="1" applyBorder="1" applyProtection="1"/>
    <xf numFmtId="0" fontId="32" fillId="0" borderId="10" xfId="7" applyFont="1" applyBorder="1" applyProtection="1"/>
    <xf numFmtId="38" fontId="33" fillId="0" borderId="0" xfId="7" applyNumberFormat="1" applyFont="1" applyFill="1" applyBorder="1" applyProtection="1"/>
    <xf numFmtId="38" fontId="32" fillId="0" borderId="0" xfId="7" applyNumberFormat="1" applyFont="1" applyBorder="1" applyProtection="1"/>
    <xf numFmtId="38" fontId="32" fillId="0" borderId="0" xfId="7" applyNumberFormat="1" applyFont="1" applyFill="1" applyBorder="1" applyProtection="1"/>
    <xf numFmtId="0" fontId="32" fillId="0" borderId="0" xfId="7" applyFont="1" applyFill="1" applyBorder="1" applyProtection="1"/>
    <xf numFmtId="0" fontId="32" fillId="0" borderId="10" xfId="7" applyFont="1" applyFill="1" applyBorder="1" applyProtection="1"/>
    <xf numFmtId="38" fontId="33" fillId="0" borderId="0" xfId="7" applyNumberFormat="1" applyFont="1" applyFill="1" applyBorder="1" applyAlignment="1" applyProtection="1">
      <alignment vertical="center"/>
    </xf>
    <xf numFmtId="38" fontId="31" fillId="0" borderId="0" xfId="7" applyNumberFormat="1" applyFont="1" applyFill="1" applyBorder="1" applyAlignment="1" applyProtection="1">
      <alignment horizontal="right" indent="4"/>
    </xf>
    <xf numFmtId="38" fontId="31" fillId="0" borderId="0" xfId="7" applyNumberFormat="1" applyFont="1" applyFill="1" applyBorder="1" applyAlignment="1" applyProtection="1">
      <alignment horizontal="right" indent="3"/>
    </xf>
    <xf numFmtId="38" fontId="33" fillId="0" borderId="10" xfId="7" applyNumberFormat="1" applyFont="1" applyFill="1" applyBorder="1" applyAlignment="1" applyProtection="1">
      <alignment horizontal="right" indent="3"/>
    </xf>
    <xf numFmtId="175" fontId="31" fillId="0" borderId="0" xfId="7" applyNumberFormat="1" applyFont="1" applyBorder="1" applyProtection="1"/>
    <xf numFmtId="0" fontId="3" fillId="10" borderId="8" xfId="7" applyFont="1" applyFill="1" applyBorder="1" applyAlignment="1" applyProtection="1">
      <alignment horizontal="center" vertical="center"/>
    </xf>
    <xf numFmtId="0" fontId="34" fillId="0" borderId="2" xfId="7" applyFont="1" applyBorder="1" applyAlignment="1" applyProtection="1">
      <alignment horizontal="center" wrapText="1"/>
    </xf>
    <xf numFmtId="9" fontId="3" fillId="0" borderId="0" xfId="6" applyFont="1" applyFill="1" applyBorder="1" applyProtection="1"/>
    <xf numFmtId="9" fontId="15" fillId="0" borderId="12" xfId="6" applyFont="1" applyFill="1" applyBorder="1" applyAlignment="1" applyProtection="1">
      <alignment horizontal="right" vertical="center"/>
    </xf>
    <xf numFmtId="38" fontId="3" fillId="3" borderId="4" xfId="7" applyNumberFormat="1" applyFont="1" applyFill="1" applyBorder="1" applyProtection="1"/>
    <xf numFmtId="6" fontId="6" fillId="3" borderId="0" xfId="0" applyNumberFormat="1" applyFont="1" applyFill="1" applyBorder="1" applyAlignment="1">
      <alignment horizontal="right" indent="4"/>
    </xf>
    <xf numFmtId="6" fontId="5" fillId="3" borderId="0" xfId="0" applyNumberFormat="1" applyFont="1" applyFill="1" applyBorder="1" applyAlignment="1">
      <alignment horizontal="right" indent="4"/>
    </xf>
    <xf numFmtId="179" fontId="6" fillId="3" borderId="0" xfId="0" applyNumberFormat="1" applyFont="1" applyFill="1" applyBorder="1" applyAlignment="1">
      <alignment horizontal="right" indent="3"/>
    </xf>
    <xf numFmtId="179" fontId="6" fillId="3" borderId="8" xfId="0" applyNumberFormat="1" applyFont="1" applyFill="1" applyBorder="1" applyAlignment="1">
      <alignment horizontal="right" indent="3"/>
    </xf>
    <xf numFmtId="179" fontId="6" fillId="3" borderId="5" xfId="0" applyNumberFormat="1" applyFont="1" applyFill="1" applyBorder="1" applyAlignment="1">
      <alignment horizontal="right" indent="3"/>
    </xf>
    <xf numFmtId="0" fontId="35" fillId="0" borderId="0" xfId="0" applyFont="1"/>
    <xf numFmtId="0" fontId="25" fillId="0" borderId="6" xfId="0" applyFont="1" applyBorder="1"/>
    <xf numFmtId="9" fontId="25" fillId="5" borderId="15" xfId="0" applyNumberFormat="1" applyFont="1" applyFill="1" applyBorder="1" applyAlignment="1">
      <alignment horizontal="center"/>
    </xf>
    <xf numFmtId="180" fontId="5" fillId="0" borderId="0" xfId="0" applyNumberFormat="1" applyFont="1"/>
    <xf numFmtId="1" fontId="5" fillId="0" borderId="0" xfId="0" applyNumberFormat="1" applyFont="1"/>
    <xf numFmtId="38" fontId="3" fillId="0" borderId="13" xfId="7" applyNumberFormat="1" applyFont="1" applyFill="1" applyBorder="1" applyAlignment="1" applyProtection="1">
      <alignment horizontal="right" vertical="center"/>
    </xf>
    <xf numFmtId="38" fontId="3" fillId="0" borderId="9" xfId="7" applyNumberFormat="1" applyFont="1" applyBorder="1" applyAlignment="1" applyProtection="1">
      <alignment horizontal="right" vertical="center"/>
    </xf>
    <xf numFmtId="38" fontId="3" fillId="0" borderId="8" xfId="7" applyNumberFormat="1" applyFont="1" applyFill="1" applyBorder="1" applyAlignment="1" applyProtection="1">
      <alignment vertical="center"/>
    </xf>
    <xf numFmtId="38" fontId="3" fillId="0" borderId="2" xfId="7" applyNumberFormat="1" applyFont="1" applyFill="1" applyBorder="1" applyAlignment="1" applyProtection="1">
      <alignment vertical="center"/>
    </xf>
    <xf numFmtId="166" fontId="3" fillId="0" borderId="0" xfId="1" applyFont="1" applyBorder="1"/>
    <xf numFmtId="166" fontId="3" fillId="0" borderId="0" xfId="1" applyFont="1" applyBorder="1" applyAlignment="1"/>
    <xf numFmtId="166" fontId="3" fillId="0" borderId="0" xfId="1" applyFont="1" applyBorder="1" applyAlignment="1">
      <alignment wrapText="1"/>
    </xf>
    <xf numFmtId="166" fontId="3" fillId="0" borderId="0" xfId="1" applyFont="1" applyBorder="1" applyAlignment="1">
      <alignment vertical="center"/>
    </xf>
    <xf numFmtId="0" fontId="3" fillId="0" borderId="0" xfId="7" applyFont="1" applyBorder="1" applyAlignment="1" applyProtection="1">
      <alignment vertical="center"/>
    </xf>
    <xf numFmtId="0" fontId="3" fillId="0" borderId="0" xfId="7" applyFont="1" applyFill="1" applyBorder="1" applyAlignment="1" applyProtection="1">
      <alignment vertical="center"/>
    </xf>
    <xf numFmtId="0" fontId="3" fillId="0" borderId="9" xfId="7" applyFont="1" applyFill="1" applyBorder="1" applyAlignment="1" applyProtection="1">
      <alignment horizontal="center"/>
    </xf>
    <xf numFmtId="0" fontId="15" fillId="0" borderId="4" xfId="7" applyFont="1" applyBorder="1" applyAlignment="1" applyProtection="1">
      <alignment horizontal="center" wrapText="1"/>
    </xf>
    <xf numFmtId="166" fontId="36" fillId="0" borderId="0" xfId="1" applyFont="1" applyBorder="1" applyAlignment="1">
      <alignment horizontal="center" vertical="center"/>
    </xf>
    <xf numFmtId="38" fontId="36" fillId="0" borderId="0" xfId="7" applyNumberFormat="1" applyFont="1" applyBorder="1" applyAlignment="1" applyProtection="1">
      <alignment horizontal="center" vertical="center"/>
    </xf>
    <xf numFmtId="6" fontId="36" fillId="0" borderId="0" xfId="1" applyNumberFormat="1" applyFont="1" applyBorder="1" applyAlignment="1">
      <alignment horizontal="center" vertical="center"/>
    </xf>
    <xf numFmtId="166" fontId="38" fillId="0" borderId="0" xfId="1" applyFont="1" applyBorder="1" applyAlignment="1">
      <alignment horizontal="center" vertical="center"/>
    </xf>
    <xf numFmtId="0" fontId="36" fillId="0" borderId="0" xfId="7" applyFont="1" applyBorder="1" applyAlignment="1" applyProtection="1">
      <alignment horizontal="center" vertical="center"/>
    </xf>
    <xf numFmtId="6" fontId="36" fillId="0" borderId="0" xfId="7" applyNumberFormat="1" applyFont="1" applyBorder="1" applyAlignment="1" applyProtection="1">
      <alignment horizontal="center" vertical="center"/>
    </xf>
    <xf numFmtId="0" fontId="36" fillId="0" borderId="0" xfId="7" applyFont="1" applyFill="1" applyBorder="1" applyAlignment="1" applyProtection="1">
      <alignment horizontal="center" vertical="center"/>
    </xf>
    <xf numFmtId="9" fontId="25" fillId="13" borderId="10" xfId="0" applyNumberFormat="1" applyFont="1" applyFill="1" applyBorder="1" applyAlignment="1">
      <alignment horizontal="center"/>
    </xf>
    <xf numFmtId="0" fontId="25" fillId="0" borderId="9" xfId="0" applyFont="1" applyBorder="1"/>
    <xf numFmtId="0" fontId="39" fillId="0" borderId="7" xfId="0" applyFont="1" applyBorder="1"/>
    <xf numFmtId="9" fontId="39" fillId="0" borderId="7" xfId="0" applyNumberFormat="1" applyFont="1" applyFill="1" applyBorder="1" applyAlignment="1">
      <alignment horizontal="center"/>
    </xf>
    <xf numFmtId="0" fontId="0" fillId="0" borderId="0" xfId="0" applyBorder="1"/>
    <xf numFmtId="178" fontId="36" fillId="0" borderId="0" xfId="7" applyNumberFormat="1" applyFont="1" applyBorder="1" applyAlignment="1" applyProtection="1">
      <alignment horizontal="center" vertical="center"/>
    </xf>
    <xf numFmtId="43" fontId="36" fillId="0" borderId="0" xfId="5" applyFont="1" applyBorder="1" applyAlignment="1" applyProtection="1">
      <alignment horizontal="center" vertical="center"/>
    </xf>
    <xf numFmtId="43" fontId="36" fillId="0" borderId="0" xfId="7" applyNumberFormat="1" applyFont="1" applyBorder="1" applyAlignment="1" applyProtection="1">
      <alignment horizontal="center" vertical="center"/>
    </xf>
    <xf numFmtId="0" fontId="42" fillId="0" borderId="0" xfId="7" applyFont="1" applyBorder="1" applyProtection="1"/>
    <xf numFmtId="0" fontId="42" fillId="0" borderId="0" xfId="7" applyFont="1" applyFill="1" applyBorder="1" applyProtection="1"/>
    <xf numFmtId="14" fontId="11" fillId="4" borderId="1" xfId="7" applyNumberFormat="1" applyFont="1" applyFill="1" applyBorder="1" applyAlignment="1" applyProtection="1">
      <alignment horizontal="center" vertical="center"/>
    </xf>
    <xf numFmtId="166" fontId="3" fillId="4" borderId="2" xfId="1" applyFont="1" applyFill="1" applyBorder="1" applyAlignment="1">
      <alignment horizontal="center" vertical="center"/>
    </xf>
    <xf numFmtId="0" fontId="3" fillId="10" borderId="4" xfId="7" applyFont="1" applyFill="1" applyBorder="1" applyAlignment="1" applyProtection="1">
      <alignment horizontal="center" vertical="center"/>
    </xf>
    <xf numFmtId="0" fontId="8" fillId="4" borderId="5" xfId="7" applyFont="1" applyFill="1" applyBorder="1" applyAlignment="1" applyProtection="1">
      <alignment horizontal="center" vertical="center"/>
    </xf>
    <xf numFmtId="175" fontId="15" fillId="3" borderId="2" xfId="7" applyNumberFormat="1" applyFont="1" applyFill="1" applyBorder="1" applyAlignment="1">
      <alignment horizontal="center" vertical="center"/>
    </xf>
    <xf numFmtId="38" fontId="3" fillId="3" borderId="3" xfId="7" quotePrefix="1" applyNumberFormat="1" applyFont="1" applyFill="1" applyBorder="1" applyProtection="1"/>
    <xf numFmtId="0" fontId="42" fillId="0" borderId="10" xfId="7" applyFont="1" applyBorder="1" applyProtection="1"/>
    <xf numFmtId="0" fontId="40" fillId="0" borderId="0" xfId="0" applyFont="1"/>
    <xf numFmtId="0" fontId="42" fillId="0" borderId="10" xfId="7" applyFont="1" applyFill="1" applyBorder="1" applyProtection="1"/>
    <xf numFmtId="38" fontId="36" fillId="0" borderId="0" xfId="7" applyNumberFormat="1" applyFont="1" applyFill="1" applyBorder="1" applyAlignment="1" applyProtection="1">
      <alignment horizontal="right" indent="3"/>
    </xf>
    <xf numFmtId="38" fontId="43" fillId="0" borderId="10" xfId="7" applyNumberFormat="1" applyFont="1" applyFill="1" applyBorder="1" applyAlignment="1" applyProtection="1">
      <alignment horizontal="right" indent="3"/>
    </xf>
    <xf numFmtId="181" fontId="5" fillId="0" borderId="0" xfId="0" applyNumberFormat="1" applyFont="1" applyAlignment="1">
      <alignment horizontal="right" indent="4"/>
    </xf>
    <xf numFmtId="181" fontId="5" fillId="0" borderId="0" xfId="0" applyNumberFormat="1" applyFont="1" applyAlignment="1">
      <alignment horizontal="right" indent="3"/>
    </xf>
    <xf numFmtId="0" fontId="44" fillId="0" borderId="0" xfId="0" applyFont="1"/>
    <xf numFmtId="0" fontId="36" fillId="0" borderId="0" xfId="7" applyFont="1" applyBorder="1" applyAlignment="1" applyProtection="1">
      <alignment horizontal="center" vertical="center"/>
    </xf>
    <xf numFmtId="168" fontId="3" fillId="0" borderId="9" xfId="7" applyNumberFormat="1" applyFont="1" applyBorder="1" applyAlignment="1" applyProtection="1">
      <alignment horizontal="left" vertical="center"/>
    </xf>
    <xf numFmtId="168" fontId="3" fillId="0" borderId="10" xfId="7" applyNumberFormat="1" applyFont="1" applyBorder="1" applyAlignment="1" applyProtection="1">
      <alignment horizontal="left" vertical="center"/>
    </xf>
    <xf numFmtId="168" fontId="3" fillId="0" borderId="9" xfId="7" applyNumberFormat="1" applyFont="1" applyBorder="1" applyAlignment="1" applyProtection="1">
      <alignment horizontal="left" indent="2"/>
    </xf>
    <xf numFmtId="0" fontId="3" fillId="0" borderId="9" xfId="7" applyFont="1" applyFill="1" applyBorder="1" applyAlignment="1" applyProtection="1">
      <alignment horizontal="center"/>
    </xf>
    <xf numFmtId="168" fontId="3" fillId="0" borderId="10" xfId="7" applyNumberFormat="1" applyFont="1" applyBorder="1" applyAlignment="1" applyProtection="1">
      <alignment horizontal="left" indent="2"/>
    </xf>
    <xf numFmtId="0" fontId="15" fillId="0" borderId="4" xfId="7" applyFont="1" applyBorder="1" applyAlignment="1" applyProtection="1">
      <alignment horizontal="center" wrapText="1"/>
    </xf>
    <xf numFmtId="168" fontId="3" fillId="0" borderId="0" xfId="7" applyNumberFormat="1" applyFont="1" applyBorder="1" applyAlignment="1" applyProtection="1">
      <alignment horizontal="left" vertical="center"/>
    </xf>
    <xf numFmtId="40" fontId="29" fillId="0" borderId="0" xfId="0" applyNumberFormat="1" applyFont="1" applyFill="1" applyAlignment="1">
      <alignment horizontal="center"/>
    </xf>
    <xf numFmtId="0" fontId="29" fillId="0" borderId="0" xfId="0" applyFont="1" applyAlignment="1">
      <alignment horizontal="center"/>
    </xf>
    <xf numFmtId="0" fontId="45" fillId="14" borderId="17" xfId="0" applyFont="1" applyFill="1" applyBorder="1" applyAlignment="1">
      <alignment horizontal="center" vertical="top"/>
    </xf>
    <xf numFmtId="49" fontId="45" fillId="14" borderId="17" xfId="0" applyNumberFormat="1" applyFont="1" applyFill="1" applyBorder="1" applyAlignment="1">
      <alignment horizontal="center" vertical="top"/>
    </xf>
    <xf numFmtId="0" fontId="46" fillId="0" borderId="18" xfId="0" applyFont="1" applyBorder="1" applyAlignment="1">
      <alignment vertical="top"/>
    </xf>
    <xf numFmtId="49" fontId="0" fillId="0" borderId="18" xfId="0" applyNumberFormat="1" applyBorder="1"/>
    <xf numFmtId="0" fontId="0" fillId="0" borderId="18" xfId="0" applyBorder="1"/>
    <xf numFmtId="182" fontId="46" fillId="0" borderId="18" xfId="0" applyNumberFormat="1" applyFont="1" applyBorder="1" applyAlignment="1">
      <alignment vertical="top"/>
    </xf>
    <xf numFmtId="4" fontId="46" fillId="0" borderId="18" xfId="0" applyNumberFormat="1" applyFont="1" applyBorder="1" applyAlignment="1">
      <alignment vertical="top"/>
    </xf>
    <xf numFmtId="183" fontId="46" fillId="0" borderId="18" xfId="0" applyNumberFormat="1" applyFont="1" applyBorder="1" applyAlignment="1">
      <alignment vertical="top"/>
    </xf>
    <xf numFmtId="0" fontId="46" fillId="0" borderId="18" xfId="0" applyNumberFormat="1" applyFont="1" applyBorder="1" applyAlignment="1">
      <alignment vertical="top"/>
    </xf>
    <xf numFmtId="0" fontId="0" fillId="0" borderId="18" xfId="0" applyNumberFormat="1" applyBorder="1"/>
    <xf numFmtId="40" fontId="46" fillId="0" borderId="18" xfId="0" applyNumberFormat="1" applyFont="1" applyBorder="1" applyAlignment="1">
      <alignment vertical="top"/>
    </xf>
    <xf numFmtId="0" fontId="0" fillId="15" borderId="0" xfId="0" applyFill="1" applyAlignment="1">
      <alignment horizontal="center"/>
    </xf>
    <xf numFmtId="40" fontId="0" fillId="0" borderId="0" xfId="0" applyNumberFormat="1"/>
    <xf numFmtId="0" fontId="0" fillId="16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19" borderId="0" xfId="0" applyFill="1" applyAlignment="1">
      <alignment horizontal="center"/>
    </xf>
    <xf numFmtId="0" fontId="47" fillId="0" borderId="0" xfId="0" applyFont="1"/>
    <xf numFmtId="0" fontId="48" fillId="0" borderId="0" xfId="0" applyFont="1"/>
    <xf numFmtId="40" fontId="29" fillId="20" borderId="19" xfId="0" applyNumberFormat="1" applyFont="1" applyFill="1" applyBorder="1"/>
    <xf numFmtId="0" fontId="47" fillId="21" borderId="0" xfId="0" applyFont="1" applyFill="1"/>
    <xf numFmtId="0" fontId="49" fillId="0" borderId="0" xfId="0" applyFont="1"/>
    <xf numFmtId="0" fontId="50" fillId="0" borderId="0" xfId="0" applyFont="1"/>
    <xf numFmtId="40" fontId="0" fillId="22" borderId="0" xfId="0" applyNumberFormat="1" applyFill="1"/>
    <xf numFmtId="40" fontId="0" fillId="23" borderId="0" xfId="0" applyNumberFormat="1" applyFill="1"/>
    <xf numFmtId="40" fontId="47" fillId="24" borderId="0" xfId="0" applyNumberFormat="1" applyFont="1" applyFill="1"/>
    <xf numFmtId="8" fontId="47" fillId="24" borderId="0" xfId="0" applyNumberFormat="1" applyFont="1" applyFill="1"/>
    <xf numFmtId="43" fontId="0" fillId="0" borderId="0" xfId="0" applyNumberFormat="1"/>
    <xf numFmtId="43" fontId="0" fillId="22" borderId="0" xfId="0" applyNumberFormat="1" applyFill="1"/>
    <xf numFmtId="43" fontId="0" fillId="23" borderId="0" xfId="0" applyNumberFormat="1" applyFill="1"/>
    <xf numFmtId="0" fontId="7" fillId="0" borderId="6" xfId="0" applyFont="1" applyBorder="1"/>
    <xf numFmtId="0" fontId="7" fillId="0" borderId="7" xfId="0" applyFont="1" applyBorder="1"/>
    <xf numFmtId="0" fontId="7" fillId="0" borderId="15" xfId="0" applyFont="1" applyBorder="1"/>
    <xf numFmtId="184" fontId="7" fillId="0" borderId="11" xfId="8" applyNumberFormat="1" applyFont="1" applyBorder="1"/>
    <xf numFmtId="184" fontId="7" fillId="0" borderId="1" xfId="8" applyNumberFormat="1" applyFont="1" applyBorder="1"/>
    <xf numFmtId="184" fontId="7" fillId="0" borderId="14" xfId="8" applyNumberFormat="1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5" xfId="0" applyFont="1" applyBorder="1"/>
    <xf numFmtId="0" fontId="5" fillId="0" borderId="9" xfId="0" applyFont="1" applyBorder="1"/>
    <xf numFmtId="0" fontId="5" fillId="0" borderId="0" xfId="0" applyFont="1" applyBorder="1"/>
    <xf numFmtId="0" fontId="5" fillId="0" borderId="10" xfId="0" applyFont="1" applyBorder="1"/>
    <xf numFmtId="184" fontId="5" fillId="0" borderId="9" xfId="8" applyNumberFormat="1" applyFont="1" applyBorder="1"/>
    <xf numFmtId="184" fontId="5" fillId="0" borderId="0" xfId="8" applyNumberFormat="1" applyFont="1" applyBorder="1"/>
    <xf numFmtId="184" fontId="5" fillId="0" borderId="10" xfId="8" applyNumberFormat="1" applyFont="1" applyBorder="1"/>
    <xf numFmtId="49" fontId="3" fillId="6" borderId="4" xfId="7" applyNumberFormat="1" applyFont="1" applyFill="1" applyBorder="1" applyAlignment="1" applyProtection="1">
      <alignment horizontal="left"/>
    </xf>
    <xf numFmtId="49" fontId="3" fillId="6" borderId="8" xfId="7" applyNumberFormat="1" applyFont="1" applyFill="1" applyBorder="1" applyAlignment="1" applyProtection="1">
      <alignment horizontal="left"/>
    </xf>
    <xf numFmtId="49" fontId="3" fillId="0" borderId="9" xfId="7" applyNumberFormat="1" applyFont="1" applyBorder="1" applyAlignment="1" applyProtection="1">
      <alignment horizontal="left"/>
    </xf>
    <xf numFmtId="49" fontId="3" fillId="0" borderId="10" xfId="7" applyNumberFormat="1" applyFont="1" applyBorder="1" applyAlignment="1" applyProtection="1">
      <alignment horizontal="left"/>
    </xf>
    <xf numFmtId="168" fontId="3" fillId="0" borderId="9" xfId="7" applyNumberFormat="1" applyFont="1" applyBorder="1" applyAlignment="1" applyProtection="1">
      <alignment horizontal="left" indent="2"/>
    </xf>
    <xf numFmtId="168" fontId="3" fillId="0" borderId="0" xfId="7" applyNumberFormat="1" applyFont="1" applyBorder="1" applyAlignment="1" applyProtection="1">
      <alignment horizontal="left" indent="2"/>
    </xf>
    <xf numFmtId="168" fontId="3" fillId="0" borderId="10" xfId="7" applyNumberFormat="1" applyFont="1" applyBorder="1" applyAlignment="1" applyProtection="1">
      <alignment horizontal="left" indent="2"/>
    </xf>
    <xf numFmtId="168" fontId="3" fillId="0" borderId="11" xfId="7" applyNumberFormat="1" applyFont="1" applyBorder="1" applyAlignment="1" applyProtection="1">
      <alignment horizontal="left" indent="1"/>
    </xf>
    <xf numFmtId="168" fontId="3" fillId="0" borderId="14" xfId="7" applyNumberFormat="1" applyFont="1" applyBorder="1" applyAlignment="1" applyProtection="1">
      <alignment horizontal="left" indent="1"/>
    </xf>
    <xf numFmtId="168" fontId="3" fillId="0" borderId="9" xfId="7" applyNumberFormat="1" applyFont="1" applyBorder="1" applyAlignment="1" applyProtection="1">
      <alignment horizontal="left" indent="1"/>
    </xf>
    <xf numFmtId="168" fontId="3" fillId="0" borderId="10" xfId="7" applyNumberFormat="1" applyFont="1" applyBorder="1" applyAlignment="1" applyProtection="1">
      <alignment horizontal="left" indent="1"/>
    </xf>
    <xf numFmtId="168" fontId="3" fillId="0" borderId="11" xfId="7" applyNumberFormat="1" applyFont="1" applyBorder="1" applyAlignment="1" applyProtection="1">
      <alignment horizontal="left" indent="2"/>
    </xf>
    <xf numFmtId="168" fontId="3" fillId="0" borderId="1" xfId="7" applyNumberFormat="1" applyFont="1" applyBorder="1" applyAlignment="1" applyProtection="1">
      <alignment horizontal="left" indent="2"/>
    </xf>
    <xf numFmtId="168" fontId="3" fillId="0" borderId="0" xfId="7" applyNumberFormat="1" applyFont="1" applyBorder="1" applyAlignment="1" applyProtection="1">
      <alignment horizontal="left" indent="1"/>
    </xf>
    <xf numFmtId="168" fontId="3" fillId="0" borderId="9" xfId="7" applyNumberFormat="1" applyBorder="1" applyAlignment="1">
      <alignment horizontal="left" indent="2"/>
    </xf>
    <xf numFmtId="168" fontId="3" fillId="0" borderId="10" xfId="7" applyNumberFormat="1" applyBorder="1" applyAlignment="1">
      <alignment horizontal="left" indent="2"/>
    </xf>
    <xf numFmtId="0" fontId="3" fillId="0" borderId="11" xfId="7" applyFont="1" applyBorder="1" applyAlignment="1" applyProtection="1">
      <alignment horizontal="left" indent="2"/>
    </xf>
    <xf numFmtId="0" fontId="3" fillId="0" borderId="1" xfId="7" applyFont="1" applyBorder="1" applyAlignment="1" applyProtection="1">
      <alignment horizontal="left" indent="2"/>
    </xf>
    <xf numFmtId="0" fontId="3" fillId="8" borderId="9" xfId="7" applyFont="1" applyFill="1" applyBorder="1" applyAlignment="1" applyProtection="1">
      <alignment horizontal="center"/>
    </xf>
    <xf numFmtId="0" fontId="3" fillId="8" borderId="10" xfId="7" applyFont="1" applyFill="1" applyBorder="1" applyAlignment="1" applyProtection="1">
      <alignment horizontal="center"/>
    </xf>
    <xf numFmtId="0" fontId="3" fillId="0" borderId="9" xfId="7" applyFont="1" applyFill="1" applyBorder="1" applyAlignment="1" applyProtection="1">
      <alignment horizontal="center"/>
    </xf>
    <xf numFmtId="0" fontId="3" fillId="0" borderId="10" xfId="7" applyFont="1" applyFill="1" applyBorder="1" applyAlignment="1" applyProtection="1">
      <alignment horizontal="center"/>
    </xf>
    <xf numFmtId="168" fontId="16" fillId="3" borderId="4" xfId="7" quotePrefix="1" applyNumberFormat="1" applyFont="1" applyFill="1" applyBorder="1" applyAlignment="1" applyProtection="1">
      <alignment horizontal="left" vertical="center" indent="1"/>
      <protection locked="0"/>
    </xf>
    <xf numFmtId="168" fontId="16" fillId="3" borderId="5" xfId="7" applyNumberFormat="1" applyFont="1" applyFill="1" applyBorder="1" applyAlignment="1" applyProtection="1">
      <alignment horizontal="left" vertical="center" indent="1"/>
      <protection locked="0"/>
    </xf>
    <xf numFmtId="168" fontId="16" fillId="3" borderId="8" xfId="7" applyNumberFormat="1" applyFont="1" applyFill="1" applyBorder="1" applyAlignment="1" applyProtection="1">
      <alignment horizontal="left" vertical="center" indent="1"/>
      <protection locked="0"/>
    </xf>
    <xf numFmtId="0" fontId="30" fillId="0" borderId="6" xfId="7" applyFont="1" applyBorder="1" applyAlignment="1" applyProtection="1">
      <alignment horizontal="center" vertical="center"/>
    </xf>
    <xf numFmtId="0" fontId="30" fillId="0" borderId="7" xfId="7" applyFont="1" applyBorder="1" applyAlignment="1" applyProtection="1">
      <alignment horizontal="center" vertical="center"/>
    </xf>
    <xf numFmtId="0" fontId="30" fillId="0" borderId="15" xfId="7" applyFont="1" applyBorder="1" applyAlignment="1" applyProtection="1">
      <alignment horizontal="center" vertical="center"/>
    </xf>
    <xf numFmtId="0" fontId="30" fillId="0" borderId="11" xfId="7" applyFont="1" applyBorder="1" applyAlignment="1" applyProtection="1">
      <alignment horizontal="center" vertical="center"/>
    </xf>
    <xf numFmtId="0" fontId="30" fillId="0" borderId="1" xfId="7" applyFont="1" applyBorder="1" applyAlignment="1" applyProtection="1">
      <alignment horizontal="center" vertical="center"/>
    </xf>
    <xf numFmtId="0" fontId="30" fillId="0" borderId="14" xfId="7" applyFont="1" applyBorder="1" applyAlignment="1" applyProtection="1">
      <alignment horizontal="center" vertical="center"/>
    </xf>
    <xf numFmtId="38" fontId="15" fillId="12" borderId="6" xfId="7" applyNumberFormat="1" applyFont="1" applyFill="1" applyBorder="1" applyAlignment="1" applyProtection="1">
      <alignment horizontal="center" vertical="center" wrapText="1"/>
    </xf>
    <xf numFmtId="38" fontId="15" fillId="12" borderId="7" xfId="7" applyNumberFormat="1" applyFont="1" applyFill="1" applyBorder="1" applyAlignment="1" applyProtection="1">
      <alignment horizontal="center" vertical="center" wrapText="1"/>
    </xf>
    <xf numFmtId="38" fontId="15" fillId="12" borderId="15" xfId="7" applyNumberFormat="1" applyFont="1" applyFill="1" applyBorder="1" applyAlignment="1" applyProtection="1">
      <alignment horizontal="center" vertical="center" wrapText="1"/>
    </xf>
    <xf numFmtId="38" fontId="15" fillId="12" borderId="11" xfId="7" applyNumberFormat="1" applyFont="1" applyFill="1" applyBorder="1" applyAlignment="1" applyProtection="1">
      <alignment horizontal="center" vertical="center" wrapText="1"/>
    </xf>
    <xf numFmtId="38" fontId="15" fillId="12" borderId="1" xfId="7" applyNumberFormat="1" applyFont="1" applyFill="1" applyBorder="1" applyAlignment="1" applyProtection="1">
      <alignment horizontal="center" vertical="center" wrapText="1"/>
    </xf>
    <xf numFmtId="38" fontId="15" fillId="12" borderId="14" xfId="7" applyNumberFormat="1" applyFont="1" applyFill="1" applyBorder="1" applyAlignment="1" applyProtection="1">
      <alignment horizontal="center" vertical="center" wrapText="1"/>
    </xf>
    <xf numFmtId="0" fontId="14" fillId="0" borderId="7" xfId="7" applyFont="1" applyBorder="1" applyAlignment="1" applyProtection="1">
      <alignment horizontal="center"/>
    </xf>
    <xf numFmtId="0" fontId="14" fillId="0" borderId="15" xfId="7" applyFont="1" applyBorder="1" applyAlignment="1" applyProtection="1">
      <alignment horizontal="center"/>
    </xf>
    <xf numFmtId="0" fontId="3" fillId="0" borderId="9" xfId="7" applyFont="1" applyBorder="1" applyAlignment="1" applyProtection="1">
      <alignment horizontal="left" indent="1"/>
    </xf>
    <xf numFmtId="0" fontId="3" fillId="0" borderId="0" xfId="7" applyFont="1" applyBorder="1" applyAlignment="1" applyProtection="1">
      <alignment horizontal="left" indent="1"/>
    </xf>
    <xf numFmtId="168" fontId="3" fillId="0" borderId="9" xfId="7" applyNumberFormat="1" applyFont="1" applyBorder="1" applyAlignment="1" applyProtection="1">
      <alignment horizontal="left" vertical="center"/>
    </xf>
    <xf numFmtId="168" fontId="3" fillId="0" borderId="10" xfId="7" applyNumberFormat="1" applyFont="1" applyBorder="1" applyAlignment="1" applyProtection="1">
      <alignment horizontal="left" vertical="center"/>
    </xf>
    <xf numFmtId="49" fontId="3" fillId="0" borderId="9" xfId="7" applyNumberFormat="1" applyFont="1" applyBorder="1" applyAlignment="1" applyProtection="1">
      <alignment horizontal="left" vertical="center"/>
    </xf>
    <xf numFmtId="49" fontId="3" fillId="0" borderId="10" xfId="7" applyNumberFormat="1" applyFont="1" applyBorder="1" applyAlignment="1" applyProtection="1">
      <alignment horizontal="left" vertical="center"/>
    </xf>
    <xf numFmtId="168" fontId="15" fillId="0" borderId="6" xfId="7" applyNumberFormat="1" applyFont="1" applyBorder="1" applyAlignment="1" applyProtection="1">
      <alignment horizontal="center" vertical="center" wrapText="1"/>
    </xf>
    <xf numFmtId="168" fontId="15" fillId="0" borderId="15" xfId="7" applyNumberFormat="1" applyFont="1" applyBorder="1" applyAlignment="1" applyProtection="1">
      <alignment horizontal="center" vertical="center" wrapText="1"/>
    </xf>
    <xf numFmtId="168" fontId="15" fillId="0" borderId="11" xfId="7" applyNumberFormat="1" applyFont="1" applyBorder="1" applyAlignment="1" applyProtection="1">
      <alignment horizontal="center" vertical="center" wrapText="1"/>
    </xf>
    <xf numFmtId="168" fontId="15" fillId="0" borderId="14" xfId="7" applyNumberFormat="1" applyFont="1" applyBorder="1" applyAlignment="1" applyProtection="1">
      <alignment horizontal="center" vertical="center" wrapText="1"/>
    </xf>
    <xf numFmtId="0" fontId="36" fillId="0" borderId="9" xfId="7" applyFont="1" applyBorder="1" applyAlignment="1" applyProtection="1">
      <alignment horizontal="center" vertical="center"/>
    </xf>
    <xf numFmtId="0" fontId="36" fillId="0" borderId="0" xfId="7" applyFont="1" applyBorder="1" applyAlignment="1" applyProtection="1">
      <alignment horizontal="center" vertical="center"/>
    </xf>
    <xf numFmtId="168" fontId="15" fillId="0" borderId="4" xfId="7" applyNumberFormat="1" applyFont="1" applyBorder="1" applyAlignment="1" applyProtection="1">
      <alignment horizontal="center" vertical="center" wrapText="1"/>
    </xf>
    <xf numFmtId="168" fontId="15" fillId="0" borderId="1" xfId="7" applyNumberFormat="1" applyFont="1" applyBorder="1" applyAlignment="1" applyProtection="1">
      <alignment horizontal="center" vertical="center" wrapText="1"/>
    </xf>
    <xf numFmtId="168" fontId="15" fillId="0" borderId="9" xfId="7" applyNumberFormat="1" applyFont="1" applyBorder="1" applyAlignment="1" applyProtection="1">
      <alignment horizontal="left" vertical="center"/>
    </xf>
    <xf numFmtId="168" fontId="15" fillId="0" borderId="10" xfId="7" applyNumberFormat="1" applyFont="1" applyBorder="1" applyAlignment="1" applyProtection="1">
      <alignment horizontal="left" vertical="center"/>
    </xf>
    <xf numFmtId="168" fontId="3" fillId="0" borderId="1" xfId="7" applyNumberFormat="1" applyFont="1" applyFill="1" applyBorder="1" applyAlignment="1" applyProtection="1">
      <alignment horizontal="left" vertical="center" wrapText="1"/>
    </xf>
    <xf numFmtId="168" fontId="3" fillId="0" borderId="14" xfId="7" applyNumberFormat="1" applyFont="1" applyFill="1" applyBorder="1" applyAlignment="1" applyProtection="1">
      <alignment horizontal="left" vertical="center" wrapText="1"/>
    </xf>
    <xf numFmtId="0" fontId="15" fillId="0" borderId="9" xfId="7" applyFont="1" applyBorder="1" applyAlignment="1" applyProtection="1">
      <alignment horizontal="left" vertical="center"/>
    </xf>
    <xf numFmtId="0" fontId="15" fillId="0" borderId="10" xfId="7" applyFont="1" applyBorder="1" applyAlignment="1" applyProtection="1">
      <alignment horizontal="left" vertical="center"/>
    </xf>
    <xf numFmtId="0" fontId="37" fillId="0" borderId="9" xfId="7" applyFont="1" applyBorder="1" applyAlignment="1" applyProtection="1">
      <alignment horizontal="center" vertical="center"/>
    </xf>
    <xf numFmtId="0" fontId="37" fillId="0" borderId="0" xfId="7" applyFont="1" applyBorder="1" applyAlignment="1" applyProtection="1">
      <alignment horizontal="center" vertical="center"/>
    </xf>
    <xf numFmtId="0" fontId="37" fillId="0" borderId="0" xfId="7" applyFont="1" applyBorder="1" applyAlignment="1" applyProtection="1">
      <alignment horizontal="center" vertical="center" wrapText="1"/>
    </xf>
    <xf numFmtId="168" fontId="15" fillId="0" borderId="6" xfId="7" applyNumberFormat="1" applyFont="1" applyBorder="1" applyAlignment="1" applyProtection="1">
      <alignment horizontal="left" vertical="center"/>
    </xf>
    <xf numFmtId="168" fontId="15" fillId="0" borderId="7" xfId="7" applyNumberFormat="1" applyFont="1" applyBorder="1" applyAlignment="1" applyProtection="1">
      <alignment horizontal="left" vertical="center"/>
    </xf>
    <xf numFmtId="168" fontId="3" fillId="0" borderId="0" xfId="7" applyNumberFormat="1" applyFont="1" applyBorder="1" applyAlignment="1" applyProtection="1">
      <alignment horizontal="left" vertical="center"/>
    </xf>
    <xf numFmtId="0" fontId="11" fillId="4" borderId="4" xfId="7" applyNumberFormat="1" applyFont="1" applyFill="1" applyBorder="1" applyAlignment="1" applyProtection="1">
      <alignment horizontal="left" vertical="center" indent="2"/>
    </xf>
    <xf numFmtId="0" fontId="11" fillId="4" borderId="8" xfId="7" applyNumberFormat="1" applyFont="1" applyFill="1" applyBorder="1" applyAlignment="1" applyProtection="1">
      <alignment horizontal="left" vertical="center" indent="2"/>
    </xf>
    <xf numFmtId="49" fontId="13" fillId="5" borderId="4" xfId="1" applyNumberFormat="1" applyFont="1" applyFill="1" applyBorder="1" applyAlignment="1">
      <alignment horizontal="center" vertical="center" shrinkToFit="1"/>
    </xf>
    <xf numFmtId="49" fontId="13" fillId="5" borderId="8" xfId="1" applyNumberFormat="1" applyFont="1" applyFill="1" applyBorder="1" applyAlignment="1">
      <alignment horizontal="center" vertical="center" shrinkToFit="1"/>
    </xf>
    <xf numFmtId="49" fontId="13" fillId="5" borderId="5" xfId="1" applyNumberFormat="1" applyFont="1" applyFill="1" applyBorder="1" applyAlignment="1">
      <alignment horizontal="center" vertical="center" shrinkToFit="1"/>
    </xf>
    <xf numFmtId="0" fontId="15" fillId="0" borderId="4" xfId="7" applyFont="1" applyBorder="1" applyAlignment="1" applyProtection="1">
      <alignment horizontal="center" wrapText="1"/>
    </xf>
    <xf numFmtId="0" fontId="15" fillId="0" borderId="8" xfId="7" applyFont="1" applyBorder="1" applyAlignment="1" applyProtection="1">
      <alignment horizontal="center" wrapText="1"/>
    </xf>
    <xf numFmtId="40" fontId="29" fillId="0" borderId="0" xfId="0" applyNumberFormat="1" applyFont="1" applyFill="1" applyAlignment="1">
      <alignment horizontal="center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4" fillId="2" borderId="0" xfId="0" applyNumberFormat="1" applyFont="1" applyFill="1" applyAlignment="1">
      <alignment horizontal="left" vertical="top" wrapText="1"/>
    </xf>
    <xf numFmtId="0" fontId="25" fillId="0" borderId="0" xfId="0" applyFont="1" applyAlignment="1">
      <alignment horizontal="left" indent="1"/>
    </xf>
  </cellXfs>
  <cellStyles count="9">
    <cellStyle name="Comma" xfId="5" builtinId="3"/>
    <cellStyle name="Comma 2" xfId="2" xr:uid="{00000000-0005-0000-0000-000001000000}"/>
    <cellStyle name="Currency" xfId="8" builtinId="4"/>
    <cellStyle name="Normal" xfId="0" builtinId="0"/>
    <cellStyle name="Normal 2" xfId="3" xr:uid="{00000000-0005-0000-0000-000003000000}"/>
    <cellStyle name="Normal 3" xfId="1" xr:uid="{00000000-0005-0000-0000-000004000000}"/>
    <cellStyle name="Normal_Revised B-6" xfId="7" xr:uid="{00000000-0005-0000-0000-000005000000}"/>
    <cellStyle name="Percent" xfId="6" builtinId="5"/>
    <cellStyle name="Percent 2" xfId="4" xr:uid="{00000000-0005-0000-0000-000007000000}"/>
  </cellStyles>
  <dxfs count="5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4"/>
      <tableStyleElement type="headerRow" dxfId="5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6789D-3D2D-4782-A75D-27989ABFA7CE}">
  <sheetPr codeName="Sheet6">
    <pageSetUpPr fitToPage="1"/>
  </sheetPr>
  <dimension ref="A1:CP80"/>
  <sheetViews>
    <sheetView showGridLines="0" tabSelected="1" topLeftCell="A49" zoomScaleNormal="100" workbookViewId="0">
      <selection activeCell="O72" sqref="O72"/>
    </sheetView>
  </sheetViews>
  <sheetFormatPr defaultColWidth="9.140625" defaultRowHeight="15.75" x14ac:dyDescent="0.25"/>
  <cols>
    <col min="1" max="1" width="7.85546875" style="124" customWidth="1"/>
    <col min="2" max="2" width="7.7109375" style="125" customWidth="1"/>
    <col min="3" max="3" width="9" style="125" customWidth="1"/>
    <col min="4" max="4" width="39.28515625" style="53" customWidth="1"/>
    <col min="5" max="5" width="13" style="126" customWidth="1"/>
    <col min="6" max="6" width="12.28515625" style="127" customWidth="1"/>
    <col min="7" max="7" width="12.140625" style="127" bestFit="1" customWidth="1"/>
    <col min="8" max="8" width="14.5703125" style="127" customWidth="1"/>
    <col min="9" max="9" width="19.5703125" style="128" bestFit="1" customWidth="1"/>
    <col min="10" max="10" width="13.7109375" style="129" customWidth="1"/>
    <col min="11" max="11" width="13.7109375" style="129" hidden="1" customWidth="1"/>
    <col min="12" max="12" width="18.42578125" style="129" customWidth="1"/>
    <col min="13" max="13" width="16.42578125" style="129" customWidth="1"/>
    <col min="14" max="14" width="16.140625" style="128" customWidth="1"/>
    <col min="15" max="25" width="16.140625" customWidth="1"/>
    <col min="26" max="26" width="16.140625" style="344" customWidth="1"/>
    <col min="27" max="27" width="22.140625" style="334" bestFit="1" customWidth="1"/>
    <col min="28" max="28" width="31.140625" style="334" bestFit="1" customWidth="1"/>
    <col min="29" max="29" width="7.85546875" style="334" bestFit="1" customWidth="1"/>
    <col min="30" max="30" width="9.140625" style="110" customWidth="1"/>
    <col min="31" max="94" width="9.140625" style="17"/>
    <col min="95" max="16384" width="9.140625" style="18"/>
  </cols>
  <sheetData>
    <row r="1" spans="1:94" x14ac:dyDescent="0.25">
      <c r="A1" s="12" t="s">
        <v>13</v>
      </c>
      <c r="B1" s="13"/>
      <c r="C1" s="13"/>
      <c r="D1" s="14" t="s">
        <v>759</v>
      </c>
      <c r="E1" s="15"/>
      <c r="F1" s="15"/>
      <c r="G1" s="15"/>
      <c r="H1" s="15"/>
      <c r="I1" s="15"/>
      <c r="J1" s="15"/>
      <c r="K1" s="15"/>
      <c r="L1" s="16" t="s">
        <v>14</v>
      </c>
      <c r="M1" s="484">
        <v>140</v>
      </c>
      <c r="N1" s="485"/>
      <c r="AA1" s="364"/>
      <c r="AB1" s="333"/>
      <c r="AC1" s="333"/>
      <c r="AD1" s="325"/>
    </row>
    <row r="2" spans="1:94" ht="20.25" x14ac:dyDescent="0.25">
      <c r="A2" s="19" t="s">
        <v>114</v>
      </c>
      <c r="B2" s="20"/>
      <c r="C2" s="20"/>
      <c r="D2" s="14" t="s">
        <v>759</v>
      </c>
      <c r="E2" s="21"/>
      <c r="F2" s="21"/>
      <c r="G2" s="21"/>
      <c r="H2" s="21"/>
      <c r="I2" s="21"/>
      <c r="J2" s="20"/>
      <c r="K2" s="20"/>
      <c r="L2" s="22" t="s">
        <v>111</v>
      </c>
      <c r="M2" s="486" t="s">
        <v>763</v>
      </c>
      <c r="N2" s="487"/>
      <c r="AA2" s="333"/>
      <c r="AB2" s="333"/>
      <c r="AC2" s="333"/>
      <c r="AD2" s="325"/>
    </row>
    <row r="3" spans="1:94" x14ac:dyDescent="0.25">
      <c r="A3" s="19" t="s">
        <v>115</v>
      </c>
      <c r="B3" s="20"/>
      <c r="C3" s="20"/>
      <c r="D3" s="23" t="s">
        <v>760</v>
      </c>
      <c r="E3" s="24"/>
      <c r="F3" s="25"/>
      <c r="G3" s="25"/>
      <c r="H3" s="25"/>
      <c r="I3" s="26"/>
      <c r="J3" s="20"/>
      <c r="K3" s="20"/>
      <c r="L3" s="22" t="s">
        <v>112</v>
      </c>
      <c r="M3" s="484" t="s">
        <v>168</v>
      </c>
      <c r="N3" s="485"/>
      <c r="AA3" s="364"/>
      <c r="AB3" s="333"/>
      <c r="AC3" s="333"/>
      <c r="AD3" s="325"/>
    </row>
    <row r="4" spans="1:94" x14ac:dyDescent="0.25">
      <c r="A4" s="19"/>
      <c r="B4" s="20"/>
      <c r="C4" s="20"/>
      <c r="D4" s="27"/>
      <c r="E4" s="24"/>
      <c r="F4" s="25"/>
      <c r="G4" s="25"/>
      <c r="H4" s="25"/>
      <c r="I4" s="28"/>
      <c r="J4" s="26"/>
      <c r="K4" s="26"/>
      <c r="L4" s="22" t="s">
        <v>15</v>
      </c>
      <c r="M4" s="484">
        <v>2024</v>
      </c>
      <c r="N4" s="485"/>
      <c r="AA4" s="364"/>
      <c r="AB4" s="333"/>
      <c r="AC4" s="333"/>
      <c r="AD4" s="325"/>
    </row>
    <row r="5" spans="1:94" s="34" customFormat="1" ht="18" customHeight="1" x14ac:dyDescent="0.25">
      <c r="A5" s="19" t="s">
        <v>16</v>
      </c>
      <c r="B5" s="20"/>
      <c r="C5" s="20"/>
      <c r="D5" s="350">
        <v>44805</v>
      </c>
      <c r="E5" s="27"/>
      <c r="F5" s="30"/>
      <c r="G5" s="31"/>
      <c r="H5" s="31" t="s">
        <v>17</v>
      </c>
      <c r="I5" s="486" t="s">
        <v>761</v>
      </c>
      <c r="J5" s="488"/>
      <c r="K5" s="488"/>
      <c r="L5" s="487"/>
      <c r="M5" s="351" t="s">
        <v>113</v>
      </c>
      <c r="N5" s="32" t="s">
        <v>762</v>
      </c>
      <c r="O5"/>
      <c r="P5"/>
      <c r="Q5"/>
      <c r="R5"/>
      <c r="S5"/>
      <c r="T5"/>
      <c r="U5"/>
      <c r="V5"/>
      <c r="W5"/>
      <c r="X5"/>
      <c r="Y5"/>
      <c r="Z5" s="344"/>
      <c r="AA5" s="364"/>
      <c r="AB5" s="333"/>
      <c r="AC5" s="333"/>
      <c r="AD5" s="326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</row>
    <row r="6" spans="1:94" ht="23.25" customHeight="1" x14ac:dyDescent="0.25">
      <c r="A6" s="19"/>
      <c r="B6" s="20" t="s">
        <v>18</v>
      </c>
      <c r="C6" s="20"/>
      <c r="D6" s="29"/>
      <c r="E6" s="35" t="s">
        <v>19</v>
      </c>
      <c r="F6" s="36"/>
      <c r="G6" s="25"/>
      <c r="H6" s="25"/>
      <c r="I6" s="37"/>
      <c r="J6" s="31" t="s">
        <v>82</v>
      </c>
      <c r="K6" s="31"/>
      <c r="L6" s="352"/>
      <c r="M6" s="353" t="s">
        <v>83</v>
      </c>
      <c r="N6" s="306"/>
      <c r="AA6" s="364"/>
      <c r="AB6" s="333"/>
      <c r="AC6" s="333"/>
      <c r="AD6" s="325"/>
    </row>
    <row r="7" spans="1:94" x14ac:dyDescent="0.25">
      <c r="A7" s="38"/>
      <c r="B7" s="39"/>
      <c r="C7" s="40"/>
      <c r="D7" s="41"/>
      <c r="E7" s="42"/>
      <c r="F7" s="40"/>
      <c r="G7" s="43"/>
      <c r="H7" s="44"/>
      <c r="I7" s="45"/>
      <c r="J7" s="46"/>
      <c r="K7" s="46"/>
      <c r="L7" s="46"/>
      <c r="M7" s="46"/>
      <c r="N7" s="47"/>
    </row>
    <row r="8" spans="1:94" s="52" customFormat="1" ht="40.5" customHeight="1" x14ac:dyDescent="0.25">
      <c r="A8" s="48" t="s">
        <v>20</v>
      </c>
      <c r="B8" s="370" t="s">
        <v>21</v>
      </c>
      <c r="C8" s="489" t="s">
        <v>22</v>
      </c>
      <c r="D8" s="490"/>
      <c r="E8" s="370" t="s">
        <v>23</v>
      </c>
      <c r="F8" s="49" t="s">
        <v>24</v>
      </c>
      <c r="G8" s="50" t="str">
        <f>"FY "&amp;'SCAA|0001-00'!FiscalYear-1&amp;" SALARY"</f>
        <v>FY 2023 SALARY</v>
      </c>
      <c r="H8" s="50" t="str">
        <f>"FY "&amp;'SCAA|0001-00'!FiscalYear-1&amp;" HEALTH BENEFITS"</f>
        <v>FY 2023 HEALTH BENEFITS</v>
      </c>
      <c r="I8" s="50" t="str">
        <f>"FY "&amp;'SCAA|0001-00'!FiscalYear-1&amp;" VAR BENEFITS"</f>
        <v>FY 2023 VAR BENEFITS</v>
      </c>
      <c r="J8" s="50" t="str">
        <f>"FY "&amp;'SCAA|0001-00'!FiscalYear-1&amp;" TOTAL"</f>
        <v>FY 2023 TOTAL</v>
      </c>
      <c r="K8" s="50" t="str">
        <f>"FY "&amp;'SCAA|0001-00'!FiscalYear&amp;" SALARY CHANGE"</f>
        <v>FY 2024 SALARY CHANGE</v>
      </c>
      <c r="L8" s="50" t="str">
        <f>"FY "&amp;'SCAA|0001-00'!FiscalYear&amp;" CHG HEALTH BENEFITS"</f>
        <v>FY 2024 CHG HEALTH BENEFITS</v>
      </c>
      <c r="M8" s="50" t="str">
        <f>"FY "&amp;'SCAA|0001-00'!FiscalYear&amp;" CHG VAR BENEFITS"</f>
        <v>FY 2024 CHG VAR BENEFITS</v>
      </c>
      <c r="N8" s="50" t="s">
        <v>25</v>
      </c>
      <c r="O8"/>
      <c r="P8"/>
      <c r="Q8"/>
      <c r="R8"/>
      <c r="S8"/>
      <c r="T8"/>
      <c r="U8"/>
      <c r="V8"/>
      <c r="W8"/>
      <c r="X8"/>
      <c r="Y8"/>
      <c r="Z8" s="344"/>
      <c r="AA8" s="480" t="s">
        <v>103</v>
      </c>
      <c r="AB8" s="480"/>
      <c r="AC8" s="480"/>
      <c r="AD8" s="327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</row>
    <row r="9" spans="1:94" s="149" customFormat="1" x14ac:dyDescent="0.25">
      <c r="A9" s="139"/>
      <c r="B9" s="140"/>
      <c r="C9" s="481" t="s">
        <v>26</v>
      </c>
      <c r="D9" s="482"/>
      <c r="E9" s="141"/>
      <c r="F9" s="142"/>
      <c r="G9" s="143"/>
      <c r="H9" s="143"/>
      <c r="I9" s="143"/>
      <c r="J9" s="144"/>
      <c r="K9" s="144"/>
      <c r="L9" s="145"/>
      <c r="M9" s="146"/>
      <c r="N9" s="144"/>
      <c r="O9"/>
      <c r="P9"/>
      <c r="Q9"/>
      <c r="R9"/>
      <c r="S9"/>
      <c r="T9"/>
      <c r="U9"/>
      <c r="V9"/>
      <c r="W9"/>
      <c r="X9"/>
      <c r="Y9"/>
      <c r="Z9" s="344"/>
      <c r="AA9" s="364" t="s">
        <v>92</v>
      </c>
      <c r="AB9" s="333" t="s">
        <v>93</v>
      </c>
      <c r="AC9" s="333" t="s">
        <v>104</v>
      </c>
      <c r="AD9" s="32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</row>
    <row r="10" spans="1:94" s="149" customFormat="1" x14ac:dyDescent="0.25">
      <c r="A10" s="139"/>
      <c r="B10" s="139"/>
      <c r="C10" s="460" t="s">
        <v>27</v>
      </c>
      <c r="D10" s="483"/>
      <c r="E10" s="217">
        <v>1</v>
      </c>
      <c r="F10" s="288">
        <f>[0]!SCAA000100col_INC_FTI</f>
        <v>6.7800000000000011</v>
      </c>
      <c r="G10" s="218">
        <f>[0]!SCAA000100col_FTI_SALARY_PERM</f>
        <v>554693.98</v>
      </c>
      <c r="H10" s="218">
        <f>[0]!SCAA000100col_HEALTH_PERM</f>
        <v>90375</v>
      </c>
      <c r="I10" s="218">
        <f>[0]!SCAA000100col_TOT_VB_PERM</f>
        <v>113662.3434418</v>
      </c>
      <c r="J10" s="219">
        <f>SUM(G10:I10)</f>
        <v>758731.32344179996</v>
      </c>
      <c r="K10" s="219">
        <f>[0]!SCAA000100col_1_27TH_PP</f>
        <v>0</v>
      </c>
      <c r="L10" s="218">
        <f>[0]!SCAA000100col_HEALTH_PERM_CHG</f>
        <v>9037.5</v>
      </c>
      <c r="M10" s="218">
        <f>[0]!SCAA000100col_TOT_VB_PERM_CHG</f>
        <v>-4160.2048500000055</v>
      </c>
      <c r="N10" s="218">
        <f>SUM(L10:M10)</f>
        <v>4877.2951499999945</v>
      </c>
      <c r="O10"/>
      <c r="P10"/>
      <c r="Q10"/>
      <c r="R10"/>
      <c r="S10"/>
      <c r="T10"/>
      <c r="U10"/>
      <c r="V10"/>
      <c r="W10"/>
      <c r="X10"/>
      <c r="Y10"/>
      <c r="Z10" s="344"/>
      <c r="AA10" s="338">
        <f>ROUND(CECPerm*PermSalary,-2)</f>
        <v>5500</v>
      </c>
      <c r="AB10" s="335">
        <f>ROUND(PermVarBen*CECPerm+(CECPerm*PermVarBenChg),-2)</f>
        <v>1100</v>
      </c>
      <c r="AC10" s="335">
        <f>SUM(AA10:AB10)</f>
        <v>6600</v>
      </c>
      <c r="AD10" s="32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</row>
    <row r="11" spans="1:94" s="149" customFormat="1" x14ac:dyDescent="0.25">
      <c r="A11" s="139"/>
      <c r="B11" s="139"/>
      <c r="C11" s="460" t="s">
        <v>28</v>
      </c>
      <c r="D11" s="483"/>
      <c r="E11" s="217">
        <v>2</v>
      </c>
      <c r="F11" s="288"/>
      <c r="G11" s="218">
        <f>[0]!SCAA000100col_Group_Salary</f>
        <v>0</v>
      </c>
      <c r="H11" s="218">
        <v>0</v>
      </c>
      <c r="I11" s="218">
        <f>[0]!SCAA000100col_Group_Ben</f>
        <v>0</v>
      </c>
      <c r="J11" s="219">
        <f>SUM(G11:I11)</f>
        <v>0</v>
      </c>
      <c r="K11" s="268"/>
      <c r="L11" s="218"/>
      <c r="M11" s="218"/>
      <c r="N11" s="218"/>
      <c r="O11"/>
      <c r="P11"/>
      <c r="Q11"/>
      <c r="R11"/>
      <c r="S11"/>
      <c r="T11"/>
      <c r="U11"/>
      <c r="V11"/>
      <c r="W11"/>
      <c r="X11"/>
      <c r="Y11"/>
      <c r="Z11" s="344"/>
      <c r="AA11" s="338">
        <f>ROUND(GroupSalary*CECGroup,-2)</f>
        <v>0</v>
      </c>
      <c r="AB11" s="335">
        <f>ROUND((GroupSalary*GroupVBBY)*CECGroup,-2)</f>
        <v>0</v>
      </c>
      <c r="AC11" s="335">
        <f>SUM(AA12:AB12)</f>
        <v>0</v>
      </c>
      <c r="AD11" s="32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</row>
    <row r="12" spans="1:94" s="149" customFormat="1" x14ac:dyDescent="0.25">
      <c r="A12" s="139"/>
      <c r="B12" s="139"/>
      <c r="C12" s="460" t="s">
        <v>29</v>
      </c>
      <c r="D12" s="461"/>
      <c r="E12" s="217">
        <v>3</v>
      </c>
      <c r="F12" s="288">
        <f>[0]!SCAA000100col_TOTAL_ELECT_PCN_FTI</f>
        <v>1</v>
      </c>
      <c r="G12" s="218">
        <f>[0]!SCAA000100col_FTI_SALARY_ELECT</f>
        <v>117556.7</v>
      </c>
      <c r="H12" s="218">
        <f>[0]!SCAA000100col_HEALTH_ELECT</f>
        <v>12500</v>
      </c>
      <c r="I12" s="218">
        <f>[0]!SCAA000100col_TOT_VB_ELECT</f>
        <v>24088.543397000001</v>
      </c>
      <c r="J12" s="219">
        <f>SUM(G12:I12)</f>
        <v>154145.24339700001</v>
      </c>
      <c r="K12" s="268"/>
      <c r="L12" s="218">
        <f>[0]!SCAA000100col_HEALTH_ELECT_CHG</f>
        <v>1250</v>
      </c>
      <c r="M12" s="218">
        <f>[0]!SCAA000100col_TOT_VB_ELECT_CHG</f>
        <v>-881.67525000000114</v>
      </c>
      <c r="N12" s="219">
        <f>SUM(L12:M12)</f>
        <v>368.32474999999886</v>
      </c>
      <c r="O12"/>
      <c r="P12"/>
      <c r="Q12"/>
      <c r="R12"/>
      <c r="S12"/>
      <c r="T12"/>
      <c r="U12"/>
      <c r="V12"/>
      <c r="W12"/>
      <c r="X12"/>
      <c r="Y12"/>
      <c r="Z12" s="344"/>
      <c r="AA12" s="336"/>
      <c r="AB12" s="336"/>
      <c r="AC12" s="336"/>
      <c r="AD12" s="32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</row>
    <row r="13" spans="1:94" s="153" customFormat="1" x14ac:dyDescent="0.25">
      <c r="A13" s="139"/>
      <c r="B13" s="139"/>
      <c r="C13" s="460" t="s">
        <v>30</v>
      </c>
      <c r="D13" s="483"/>
      <c r="E13" s="217"/>
      <c r="F13" s="220">
        <f>SUM(F10:F12)</f>
        <v>7.7800000000000011</v>
      </c>
      <c r="G13" s="221">
        <f>SUM(G10:G12)</f>
        <v>672250.67999999993</v>
      </c>
      <c r="H13" s="221">
        <f>SUM(H10:H12)</f>
        <v>102875</v>
      </c>
      <c r="I13" s="221">
        <f>SUM(I10:I12)</f>
        <v>137750.88683879998</v>
      </c>
      <c r="J13" s="219">
        <f>SUM(G13:I13)</f>
        <v>912876.56683879998</v>
      </c>
      <c r="K13" s="268"/>
      <c r="L13" s="219">
        <f>SUM(L10:L12)</f>
        <v>10287.5</v>
      </c>
      <c r="M13" s="219">
        <f>SUM(M10:M12)</f>
        <v>-5041.8801000000067</v>
      </c>
      <c r="N13" s="219">
        <f>SUM(N10:N12)</f>
        <v>5245.6198999999933</v>
      </c>
      <c r="O13"/>
      <c r="P13"/>
      <c r="Q13"/>
      <c r="R13"/>
      <c r="S13"/>
      <c r="T13"/>
      <c r="U13"/>
      <c r="V13"/>
      <c r="W13"/>
      <c r="X13"/>
      <c r="Y13"/>
      <c r="Z13" s="344"/>
      <c r="AA13" s="336"/>
      <c r="AB13" s="336"/>
      <c r="AC13" s="336"/>
      <c r="AD13" s="329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</row>
    <row r="14" spans="1:94" s="153" customFormat="1" ht="5.45" customHeight="1" x14ac:dyDescent="0.25">
      <c r="A14" s="139"/>
      <c r="B14" s="139"/>
      <c r="C14" s="365"/>
      <c r="D14" s="371"/>
      <c r="E14" s="217"/>
      <c r="F14" s="220"/>
      <c r="G14" s="219"/>
      <c r="H14" s="219"/>
      <c r="I14" s="219"/>
      <c r="J14" s="219"/>
      <c r="K14" s="268"/>
      <c r="L14" s="219"/>
      <c r="M14" s="222"/>
      <c r="N14" s="222"/>
      <c r="O14"/>
      <c r="P14"/>
      <c r="Q14"/>
      <c r="R14"/>
      <c r="S14"/>
      <c r="T14"/>
      <c r="U14"/>
      <c r="V14"/>
      <c r="W14"/>
      <c r="X14"/>
      <c r="Y14"/>
      <c r="Z14" s="344"/>
      <c r="AA14" s="336"/>
      <c r="AB14" s="336"/>
      <c r="AC14" s="336"/>
      <c r="AD14" s="329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</row>
    <row r="15" spans="1:94" s="153" customFormat="1" ht="15.75" customHeight="1" x14ac:dyDescent="0.25">
      <c r="A15" s="139"/>
      <c r="B15" s="156"/>
      <c r="C15" s="157" t="str">
        <f>"FY "&amp;'SCAA|0001-00'!FiscalYear-1</f>
        <v>FY 2023</v>
      </c>
      <c r="D15" s="158" t="s">
        <v>31</v>
      </c>
      <c r="E15" s="354">
        <v>1318100</v>
      </c>
      <c r="F15" s="55">
        <v>11.3</v>
      </c>
      <c r="G15" s="223">
        <f>IF(OrigApprop=0,0,(G13/$J$13)*OrigApprop)</f>
        <v>970660.93434346037</v>
      </c>
      <c r="H15" s="223">
        <f>IF(OrigApprop=0,0,(H13/$J$13)*OrigApprop)</f>
        <v>148540.93360022112</v>
      </c>
      <c r="I15" s="223">
        <f>IF(G15=0,0,(I13/$J$13)*OrigApprop)</f>
        <v>198898.13205631846</v>
      </c>
      <c r="J15" s="223">
        <f>SUM(G15:I15)</f>
        <v>1318100</v>
      </c>
      <c r="K15" s="268"/>
      <c r="L15" s="224"/>
      <c r="M15" s="224"/>
      <c r="N15" s="224"/>
      <c r="O15"/>
      <c r="P15"/>
      <c r="Q15"/>
      <c r="R15"/>
      <c r="S15"/>
      <c r="T15"/>
      <c r="U15"/>
      <c r="V15"/>
      <c r="W15"/>
      <c r="X15"/>
      <c r="Y15"/>
      <c r="Z15" s="344"/>
      <c r="AA15" s="336"/>
      <c r="AB15" s="336"/>
      <c r="AC15" s="336"/>
      <c r="AD15" s="329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</row>
    <row r="16" spans="1:94" s="153" customFormat="1" ht="15.75" customHeight="1" x14ac:dyDescent="0.25">
      <c r="A16" s="139"/>
      <c r="B16" s="139"/>
      <c r="C16" s="470" t="s">
        <v>32</v>
      </c>
      <c r="D16" s="471"/>
      <c r="E16" s="160" t="s">
        <v>33</v>
      </c>
      <c r="F16" s="161">
        <f>F15-F13</f>
        <v>3.5199999999999996</v>
      </c>
      <c r="G16" s="162">
        <f>G15-G13</f>
        <v>298410.25434346043</v>
      </c>
      <c r="H16" s="162">
        <f>H15-H13</f>
        <v>45665.93360022112</v>
      </c>
      <c r="I16" s="162">
        <f>I15-I13</f>
        <v>61147.245217518474</v>
      </c>
      <c r="J16" s="162">
        <f>J15-J13</f>
        <v>405223.43316120002</v>
      </c>
      <c r="K16" s="269"/>
      <c r="L16" s="56" t="str">
        <f>IF('SCAA|0001-00'!OrigApprop=0,"No Original Appropriation amount in DU 3.00 for this fund","Calculated "&amp;IF('SCAA|0001-00'!AdjustedTotal&gt;0,"overfunding ","underfunding ")&amp;"is "&amp;TEXT('SCAA|0001-00'!AdjustedTotal/'SCAA|0001-00'!AppropTotal,"#.0%;(#.0% );0% ;")&amp;" of Original Appropriation")</f>
        <v>Calculated overfunding is 30.7% of Original Appropriation</v>
      </c>
      <c r="M16" s="163"/>
      <c r="N16" s="164"/>
      <c r="O16"/>
      <c r="P16"/>
      <c r="Q16"/>
      <c r="R16"/>
      <c r="S16"/>
      <c r="T16"/>
      <c r="U16"/>
      <c r="V16"/>
      <c r="W16"/>
      <c r="X16"/>
      <c r="Y16"/>
      <c r="Z16" s="344"/>
      <c r="AA16" s="336"/>
      <c r="AB16" s="336"/>
      <c r="AC16" s="336"/>
      <c r="AD16" s="329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</row>
    <row r="17" spans="1:94" s="153" customFormat="1" x14ac:dyDescent="0.25">
      <c r="A17" s="139"/>
      <c r="B17" s="139"/>
      <c r="C17" s="472" t="s">
        <v>34</v>
      </c>
      <c r="D17" s="473"/>
      <c r="E17" s="147"/>
      <c r="F17" s="258"/>
      <c r="G17" s="147"/>
      <c r="H17" s="166"/>
      <c r="I17" s="167"/>
      <c r="J17" s="166"/>
      <c r="K17" s="166"/>
      <c r="L17" s="166"/>
      <c r="M17" s="166"/>
      <c r="N17" s="166"/>
      <c r="O17"/>
      <c r="P17"/>
      <c r="Q17"/>
      <c r="R17"/>
      <c r="S17"/>
      <c r="T17"/>
      <c r="U17"/>
      <c r="V17"/>
      <c r="W17"/>
      <c r="X17"/>
      <c r="Y17"/>
      <c r="Z17" s="344"/>
      <c r="AA17" s="336"/>
      <c r="AB17" s="336"/>
      <c r="AC17" s="336"/>
      <c r="AD17" s="329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</row>
    <row r="18" spans="1:94" s="153" customFormat="1" ht="26.25" customHeight="1" x14ac:dyDescent="0.25">
      <c r="A18" s="139"/>
      <c r="B18" s="168"/>
      <c r="C18" s="474" t="s">
        <v>35</v>
      </c>
      <c r="D18" s="475"/>
      <c r="E18" s="150"/>
      <c r="F18" s="165"/>
      <c r="G18" s="166"/>
      <c r="H18" s="169"/>
      <c r="I18" s="166"/>
      <c r="J18" s="166"/>
      <c r="K18" s="166"/>
      <c r="L18" s="166"/>
      <c r="M18" s="166"/>
      <c r="N18" s="166"/>
      <c r="O18"/>
      <c r="P18"/>
      <c r="Q18"/>
      <c r="R18"/>
      <c r="S18"/>
      <c r="T18"/>
      <c r="U18"/>
      <c r="V18"/>
      <c r="W18"/>
      <c r="X18"/>
      <c r="Y18"/>
      <c r="Z18" s="344"/>
      <c r="AA18" s="336"/>
      <c r="AB18" s="336"/>
      <c r="AC18" s="336"/>
      <c r="AD18" s="329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</row>
    <row r="19" spans="1:94" s="153" customFormat="1" ht="25.5" x14ac:dyDescent="0.25">
      <c r="A19" s="238"/>
      <c r="B19" s="202"/>
      <c r="C19" s="239" t="s">
        <v>84</v>
      </c>
      <c r="D19" s="240" t="s">
        <v>85</v>
      </c>
      <c r="E19" s="241"/>
      <c r="F19" s="165"/>
      <c r="G19" s="166"/>
      <c r="H19" s="169"/>
      <c r="I19" s="170"/>
      <c r="J19" s="166"/>
      <c r="K19" s="166"/>
      <c r="L19" s="169"/>
      <c r="M19" s="166"/>
      <c r="N19" s="166"/>
      <c r="O19"/>
      <c r="P19"/>
      <c r="Q19"/>
      <c r="R19"/>
      <c r="S19"/>
      <c r="T19"/>
      <c r="U19"/>
      <c r="V19"/>
      <c r="W19"/>
      <c r="X19"/>
      <c r="Y19"/>
      <c r="Z19" s="344"/>
      <c r="AA19" s="364"/>
      <c r="AB19" s="364"/>
      <c r="AC19" s="364"/>
      <c r="AD19" s="329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</row>
    <row r="20" spans="1:94" s="177" customFormat="1" ht="15" x14ac:dyDescent="0.25">
      <c r="A20" s="171"/>
      <c r="B20" s="172"/>
      <c r="C20" s="244"/>
      <c r="D20" s="242"/>
      <c r="E20" s="173"/>
      <c r="F20" s="174">
        <v>0</v>
      </c>
      <c r="G20" s="175">
        <v>0</v>
      </c>
      <c r="H20" s="176">
        <f t="shared" ref="H20:H30" si="0">IF(AND($F20&lt;&gt;0,$G20&lt;&gt;0,OR($E20=1,$E20=3)),$F20*Health,0)</f>
        <v>0</v>
      </c>
      <c r="I20" s="176">
        <f t="shared" ref="I20:I30" si="1">IF(AND($E20=1,$C20=""),$G20*PermVB+$G20*Retire1,IF($E20=1,$G20*PermVB+$G20*VLOOKUP($C20,Retirement_Rates,3,FALSE),IF($E20=2,$G20*GroupVB,IF(AND($E20=3,$C20=""),$G20*ElectVB+$G20*Retire1,IF($E20=3,$G20*ElectVB+$G20*VLOOKUP($C20,Retirement_Rates,3,FALSE),0)))))</f>
        <v>0</v>
      </c>
      <c r="J20" s="159">
        <f>IF($E20&gt;0,SUM($G20:$I20),0)</f>
        <v>0</v>
      </c>
      <c r="K20" s="166"/>
      <c r="L20" s="176">
        <f t="shared" ref="L20:L30" si="2">IF(AND($F20&lt;&gt;0,$G20&lt;&gt;0,OR($E20=1,$E20=3)),$F20*HealthCHG,0)</f>
        <v>0</v>
      </c>
      <c r="M20" s="176">
        <f>IF(AND($E20=1,$C20=""),$G20*PermVBCHG+$G20*Retire1CHG,IF($E20=1,$G20*PermVBCHG+$G20*VLOOKUP($C20,Retirement_Rates,5,FALSE),IF($E20=2,0,IF(AND($E20=3,$C20=""),$G20*ElectVBCHG+$G20*Retire1CHG,IF($E20=3,$G20*ElectVBCHG+$G20*VLOOKUP($C20,Retirement_Rates,5,FALSE),0)))))</f>
        <v>0</v>
      </c>
      <c r="N20" s="176">
        <f>SUM(L20:M20)</f>
        <v>0</v>
      </c>
      <c r="O20"/>
      <c r="P20"/>
      <c r="Q20"/>
      <c r="R20"/>
      <c r="S20"/>
      <c r="T20"/>
      <c r="U20"/>
      <c r="V20"/>
      <c r="W20"/>
      <c r="X20"/>
      <c r="Y20"/>
      <c r="Z20" s="344"/>
      <c r="AA20" s="364"/>
      <c r="AB20" s="364"/>
      <c r="AC20" s="364"/>
      <c r="AD20" s="329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</row>
    <row r="21" spans="1:94" s="177" customFormat="1" ht="15" x14ac:dyDescent="0.25">
      <c r="A21" s="178"/>
      <c r="B21" s="179"/>
      <c r="C21" s="244"/>
      <c r="D21" s="242"/>
      <c r="E21" s="180"/>
      <c r="F21" s="181">
        <v>0</v>
      </c>
      <c r="G21" s="175">
        <v>0</v>
      </c>
      <c r="H21" s="176">
        <f t="shared" si="0"/>
        <v>0</v>
      </c>
      <c r="I21" s="176">
        <f t="shared" si="1"/>
        <v>0</v>
      </c>
      <c r="J21" s="159">
        <f t="shared" ref="J21:J35" si="3">IF($E21&gt;0,SUM($G21:$I21),0)</f>
        <v>0</v>
      </c>
      <c r="K21" s="166"/>
      <c r="L21" s="176">
        <f t="shared" si="2"/>
        <v>0</v>
      </c>
      <c r="M21" s="176">
        <f t="shared" ref="M21:M30" si="4">IF(AND($E21=1,$C21=""),$G21*PermVBCHG+$G21*Retire1CHG,IF($E21=1,$G21*PermVBCHG+$G21*VLOOKUP($C21,Retirement_Rates,5,FALSE),IF($E21=2,0,IF(AND($E21=3,$C21=""),$G21*ElectVBCHG+$G21*Retire1CHG,IF($E21=3,$G21*ElectVBCHG+$G21*VLOOKUP($C21,Retirement_Rates,5,FALSE),0)))))</f>
        <v>0</v>
      </c>
      <c r="N21" s="183">
        <f t="shared" ref="N21:N30" si="5">SUM(L21:M21)</f>
        <v>0</v>
      </c>
      <c r="O21"/>
      <c r="P21"/>
      <c r="Q21"/>
      <c r="R21"/>
      <c r="S21"/>
      <c r="T21"/>
      <c r="U21"/>
      <c r="V21"/>
      <c r="W21"/>
      <c r="X21"/>
      <c r="Y21"/>
      <c r="Z21" s="344"/>
      <c r="AA21" s="364"/>
      <c r="AB21" s="364"/>
      <c r="AC21" s="364"/>
      <c r="AD21" s="329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</row>
    <row r="22" spans="1:94" s="177" customFormat="1" ht="15" x14ac:dyDescent="0.25">
      <c r="A22" s="178"/>
      <c r="B22" s="179"/>
      <c r="C22" s="244"/>
      <c r="D22" s="242"/>
      <c r="E22" s="180"/>
      <c r="F22" s="181">
        <v>0</v>
      </c>
      <c r="G22" s="175">
        <v>0</v>
      </c>
      <c r="H22" s="176">
        <f t="shared" si="0"/>
        <v>0</v>
      </c>
      <c r="I22" s="176">
        <f t="shared" si="1"/>
        <v>0</v>
      </c>
      <c r="J22" s="159">
        <f t="shared" si="3"/>
        <v>0</v>
      </c>
      <c r="K22" s="166"/>
      <c r="L22" s="176">
        <f t="shared" si="2"/>
        <v>0</v>
      </c>
      <c r="M22" s="176">
        <f t="shared" si="4"/>
        <v>0</v>
      </c>
      <c r="N22" s="183">
        <f t="shared" si="5"/>
        <v>0</v>
      </c>
      <c r="O22"/>
      <c r="P22"/>
      <c r="Q22"/>
      <c r="R22"/>
      <c r="S22"/>
      <c r="T22"/>
      <c r="U22"/>
      <c r="V22"/>
      <c r="W22"/>
      <c r="X22"/>
      <c r="Y22"/>
      <c r="Z22" s="344"/>
      <c r="AA22" s="364"/>
      <c r="AB22" s="364"/>
      <c r="AC22" s="364"/>
      <c r="AD22" s="329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</row>
    <row r="23" spans="1:94" s="177" customFormat="1" ht="15" x14ac:dyDescent="0.25">
      <c r="A23" s="178"/>
      <c r="B23" s="179"/>
      <c r="C23" s="244"/>
      <c r="D23" s="242"/>
      <c r="E23" s="180"/>
      <c r="F23" s="181">
        <v>0</v>
      </c>
      <c r="G23" s="175">
        <v>0</v>
      </c>
      <c r="H23" s="176">
        <f t="shared" si="0"/>
        <v>0</v>
      </c>
      <c r="I23" s="176">
        <f t="shared" si="1"/>
        <v>0</v>
      </c>
      <c r="J23" s="159">
        <f t="shared" si="3"/>
        <v>0</v>
      </c>
      <c r="K23" s="166"/>
      <c r="L23" s="176">
        <f t="shared" si="2"/>
        <v>0</v>
      </c>
      <c r="M23" s="176">
        <f t="shared" si="4"/>
        <v>0</v>
      </c>
      <c r="N23" s="183">
        <f t="shared" si="5"/>
        <v>0</v>
      </c>
      <c r="O23"/>
      <c r="P23"/>
      <c r="Q23"/>
      <c r="R23"/>
      <c r="S23"/>
      <c r="T23"/>
      <c r="U23"/>
      <c r="V23"/>
      <c r="W23"/>
      <c r="X23"/>
      <c r="Y23"/>
      <c r="Z23" s="344"/>
      <c r="AA23" s="364"/>
      <c r="AB23" s="364"/>
      <c r="AC23" s="364"/>
      <c r="AD23" s="329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</row>
    <row r="24" spans="1:94" s="177" customFormat="1" ht="15" x14ac:dyDescent="0.25">
      <c r="A24" s="178"/>
      <c r="B24" s="179"/>
      <c r="C24" s="244"/>
      <c r="D24" s="242"/>
      <c r="E24" s="180"/>
      <c r="F24" s="181">
        <v>0</v>
      </c>
      <c r="G24" s="175">
        <v>0</v>
      </c>
      <c r="H24" s="176">
        <f t="shared" si="0"/>
        <v>0</v>
      </c>
      <c r="I24" s="176">
        <f t="shared" si="1"/>
        <v>0</v>
      </c>
      <c r="J24" s="159">
        <f t="shared" si="3"/>
        <v>0</v>
      </c>
      <c r="K24" s="166"/>
      <c r="L24" s="176">
        <f t="shared" si="2"/>
        <v>0</v>
      </c>
      <c r="M24" s="176">
        <f t="shared" si="4"/>
        <v>0</v>
      </c>
      <c r="N24" s="183">
        <f t="shared" si="5"/>
        <v>0</v>
      </c>
      <c r="O24"/>
      <c r="P24"/>
      <c r="Q24"/>
      <c r="R24"/>
      <c r="S24"/>
      <c r="T24"/>
      <c r="U24"/>
      <c r="V24"/>
      <c r="W24"/>
      <c r="X24"/>
      <c r="Y24"/>
      <c r="Z24" s="344"/>
      <c r="AA24" s="345"/>
      <c r="AB24" s="364"/>
      <c r="AC24" s="364"/>
      <c r="AD24" s="329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</row>
    <row r="25" spans="1:94" s="177" customFormat="1" ht="15" x14ac:dyDescent="0.25">
      <c r="A25" s="178"/>
      <c r="B25" s="179"/>
      <c r="C25" s="244"/>
      <c r="D25" s="242"/>
      <c r="E25" s="180"/>
      <c r="F25" s="181">
        <v>0</v>
      </c>
      <c r="G25" s="182">
        <v>0</v>
      </c>
      <c r="H25" s="176">
        <f t="shared" si="0"/>
        <v>0</v>
      </c>
      <c r="I25" s="176">
        <f t="shared" si="1"/>
        <v>0</v>
      </c>
      <c r="J25" s="159">
        <f t="shared" si="3"/>
        <v>0</v>
      </c>
      <c r="K25" s="166"/>
      <c r="L25" s="176">
        <f t="shared" si="2"/>
        <v>0</v>
      </c>
      <c r="M25" s="176">
        <f t="shared" si="4"/>
        <v>0</v>
      </c>
      <c r="N25" s="183">
        <f t="shared" si="5"/>
        <v>0</v>
      </c>
      <c r="O25"/>
      <c r="P25"/>
      <c r="Q25"/>
      <c r="R25"/>
      <c r="S25"/>
      <c r="T25"/>
      <c r="U25"/>
      <c r="V25"/>
      <c r="W25"/>
      <c r="X25"/>
      <c r="Y25"/>
      <c r="Z25" s="344"/>
      <c r="AA25" s="345"/>
      <c r="AB25" s="364"/>
      <c r="AC25" s="364"/>
      <c r="AD25" s="329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</row>
    <row r="26" spans="1:94" s="177" customFormat="1" ht="15" x14ac:dyDescent="0.25">
      <c r="A26" s="178"/>
      <c r="B26" s="179"/>
      <c r="C26" s="244"/>
      <c r="D26" s="242"/>
      <c r="E26" s="180"/>
      <c r="F26" s="181">
        <v>0</v>
      </c>
      <c r="G26" s="182">
        <v>0</v>
      </c>
      <c r="H26" s="176">
        <f t="shared" si="0"/>
        <v>0</v>
      </c>
      <c r="I26" s="176">
        <f t="shared" si="1"/>
        <v>0</v>
      </c>
      <c r="J26" s="159">
        <f t="shared" si="3"/>
        <v>0</v>
      </c>
      <c r="K26" s="166"/>
      <c r="L26" s="176">
        <f t="shared" si="2"/>
        <v>0</v>
      </c>
      <c r="M26" s="176">
        <f t="shared" si="4"/>
        <v>0</v>
      </c>
      <c r="N26" s="183">
        <f t="shared" si="5"/>
        <v>0</v>
      </c>
      <c r="O26"/>
      <c r="P26"/>
      <c r="Q26"/>
      <c r="R26"/>
      <c r="S26"/>
      <c r="T26"/>
      <c r="U26"/>
      <c r="V26"/>
      <c r="W26"/>
      <c r="X26"/>
      <c r="Y26"/>
      <c r="Z26" s="344"/>
      <c r="AA26" s="345"/>
      <c r="AB26" s="364"/>
      <c r="AC26" s="364"/>
      <c r="AD26" s="329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</row>
    <row r="27" spans="1:94" s="177" customFormat="1" ht="15" x14ac:dyDescent="0.25">
      <c r="A27" s="178"/>
      <c r="B27" s="179"/>
      <c r="C27" s="244"/>
      <c r="D27" s="242"/>
      <c r="E27" s="180"/>
      <c r="F27" s="181">
        <v>0</v>
      </c>
      <c r="G27" s="182">
        <v>0</v>
      </c>
      <c r="H27" s="176">
        <f t="shared" si="0"/>
        <v>0</v>
      </c>
      <c r="I27" s="176">
        <f t="shared" si="1"/>
        <v>0</v>
      </c>
      <c r="J27" s="159">
        <f t="shared" si="3"/>
        <v>0</v>
      </c>
      <c r="K27" s="166"/>
      <c r="L27" s="176">
        <f t="shared" si="2"/>
        <v>0</v>
      </c>
      <c r="M27" s="176">
        <f t="shared" si="4"/>
        <v>0</v>
      </c>
      <c r="N27" s="183">
        <f t="shared" si="5"/>
        <v>0</v>
      </c>
      <c r="O27"/>
      <c r="P27"/>
      <c r="Q27"/>
      <c r="R27"/>
      <c r="S27"/>
      <c r="T27"/>
      <c r="U27"/>
      <c r="V27"/>
      <c r="W27"/>
      <c r="X27"/>
      <c r="Y27"/>
      <c r="Z27" s="344"/>
      <c r="AA27" s="364"/>
      <c r="AB27" s="364"/>
      <c r="AC27" s="364"/>
      <c r="AD27" s="329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</row>
    <row r="28" spans="1:94" s="177" customFormat="1" ht="15" x14ac:dyDescent="0.25">
      <c r="A28" s="178"/>
      <c r="B28" s="179"/>
      <c r="C28" s="244"/>
      <c r="D28" s="242"/>
      <c r="E28" s="180"/>
      <c r="F28" s="181">
        <v>0</v>
      </c>
      <c r="G28" s="182">
        <v>0</v>
      </c>
      <c r="H28" s="176">
        <f t="shared" si="0"/>
        <v>0</v>
      </c>
      <c r="I28" s="176">
        <f t="shared" si="1"/>
        <v>0</v>
      </c>
      <c r="J28" s="159">
        <f t="shared" si="3"/>
        <v>0</v>
      </c>
      <c r="K28" s="166"/>
      <c r="L28" s="176">
        <f t="shared" si="2"/>
        <v>0</v>
      </c>
      <c r="M28" s="176">
        <f t="shared" si="4"/>
        <v>0</v>
      </c>
      <c r="N28" s="183">
        <f t="shared" si="5"/>
        <v>0</v>
      </c>
      <c r="O28"/>
      <c r="P28"/>
      <c r="Q28"/>
      <c r="R28"/>
      <c r="S28"/>
      <c r="T28"/>
      <c r="U28"/>
      <c r="V28"/>
      <c r="W28"/>
      <c r="X28"/>
      <c r="Y28"/>
      <c r="Z28" s="344"/>
      <c r="AA28" s="364"/>
      <c r="AB28" s="364"/>
      <c r="AC28" s="364"/>
      <c r="AD28" s="329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</row>
    <row r="29" spans="1:94" s="177" customFormat="1" ht="15" x14ac:dyDescent="0.25">
      <c r="A29" s="179"/>
      <c r="B29" s="179"/>
      <c r="C29" s="171"/>
      <c r="D29" s="243"/>
      <c r="E29" s="180"/>
      <c r="F29" s="181">
        <v>0</v>
      </c>
      <c r="G29" s="182">
        <v>0</v>
      </c>
      <c r="H29" s="176">
        <f t="shared" si="0"/>
        <v>0</v>
      </c>
      <c r="I29" s="176">
        <f t="shared" si="1"/>
        <v>0</v>
      </c>
      <c r="J29" s="159">
        <f t="shared" si="3"/>
        <v>0</v>
      </c>
      <c r="K29" s="166"/>
      <c r="L29" s="176">
        <f t="shared" si="2"/>
        <v>0</v>
      </c>
      <c r="M29" s="176">
        <f t="shared" si="4"/>
        <v>0</v>
      </c>
      <c r="N29" s="183">
        <f t="shared" si="5"/>
        <v>0</v>
      </c>
      <c r="O29"/>
      <c r="P29"/>
      <c r="Q29"/>
      <c r="R29"/>
      <c r="S29"/>
      <c r="T29"/>
      <c r="U29"/>
      <c r="V29"/>
      <c r="W29"/>
      <c r="X29"/>
      <c r="Y29"/>
      <c r="Z29" s="344"/>
      <c r="AA29" s="364"/>
      <c r="AB29" s="364"/>
      <c r="AC29" s="364"/>
      <c r="AD29" s="329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</row>
    <row r="30" spans="1:94" s="177" customFormat="1" ht="15" x14ac:dyDescent="0.25">
      <c r="A30" s="179"/>
      <c r="B30" s="184"/>
      <c r="C30" s="171"/>
      <c r="D30" s="243"/>
      <c r="E30" s="180"/>
      <c r="F30" s="181">
        <v>0</v>
      </c>
      <c r="G30" s="182">
        <v>0</v>
      </c>
      <c r="H30" s="176">
        <f t="shared" si="0"/>
        <v>0</v>
      </c>
      <c r="I30" s="176">
        <f t="shared" si="1"/>
        <v>0</v>
      </c>
      <c r="J30" s="159">
        <f t="shared" si="3"/>
        <v>0</v>
      </c>
      <c r="K30" s="166"/>
      <c r="L30" s="176">
        <f t="shared" si="2"/>
        <v>0</v>
      </c>
      <c r="M30" s="176">
        <f t="shared" si="4"/>
        <v>0</v>
      </c>
      <c r="N30" s="183">
        <f t="shared" si="5"/>
        <v>0</v>
      </c>
      <c r="O30"/>
      <c r="P30"/>
      <c r="Q30"/>
      <c r="R30"/>
      <c r="S30"/>
      <c r="T30"/>
      <c r="U30"/>
      <c r="V30"/>
      <c r="W30"/>
      <c r="X30"/>
      <c r="Y30"/>
      <c r="Z30" s="344"/>
      <c r="AA30" s="364"/>
      <c r="AB30" s="364"/>
      <c r="AC30" s="364"/>
      <c r="AD30" s="329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</row>
    <row r="31" spans="1:94" s="153" customFormat="1" ht="15" x14ac:dyDescent="0.25">
      <c r="A31" s="139"/>
      <c r="B31" s="168"/>
      <c r="C31" s="245"/>
      <c r="D31" s="246" t="s">
        <v>36</v>
      </c>
      <c r="E31" s="150"/>
      <c r="F31" s="165"/>
      <c r="G31" s="166"/>
      <c r="H31" s="166"/>
      <c r="I31" s="166"/>
      <c r="J31" s="166"/>
      <c r="K31" s="166"/>
      <c r="L31" s="166"/>
      <c r="M31" s="166"/>
      <c r="N31" s="166"/>
      <c r="O31"/>
      <c r="P31"/>
      <c r="Q31"/>
      <c r="R31"/>
      <c r="S31"/>
      <c r="T31"/>
      <c r="U31"/>
      <c r="V31"/>
      <c r="W31"/>
      <c r="X31"/>
      <c r="Y31"/>
      <c r="Z31" s="344"/>
      <c r="AA31" s="364"/>
      <c r="AB31" s="364"/>
      <c r="AC31" s="364"/>
      <c r="AD31" s="329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</row>
    <row r="32" spans="1:94" s="177" customFormat="1" ht="15" x14ac:dyDescent="0.25">
      <c r="A32" s="185"/>
      <c r="B32" s="185"/>
      <c r="C32" s="244"/>
      <c r="D32" s="242"/>
      <c r="E32" s="173"/>
      <c r="F32" s="174">
        <v>0</v>
      </c>
      <c r="G32" s="175">
        <v>0</v>
      </c>
      <c r="H32" s="176">
        <f t="shared" ref="H32:H35" si="6">IF(AND($F32&lt;&gt;0,$G32&lt;&gt;0,OR($E32=1,$E32=3)),$F32*Health,0)</f>
        <v>0</v>
      </c>
      <c r="I32" s="176">
        <f t="shared" ref="I32:I34" si="7">IF(AND($E32=1,$C32=""),$G32*PermVB+$G32*Retire1,IF($E32=1,$G32*PermVB+$G32*VLOOKUP($C32,Retirement_Rates,3,FALSE),IF($E32=2,$G32*GroupVB,IF(AND($E32=3,$C32=""),$G32*ElectVB+$G32*Retire1,IF($E32=3,$G32*ElectVB+$G32*VLOOKUP($C32,Retirement_Rates,3,FALSE),0)))))</f>
        <v>0</v>
      </c>
      <c r="J32" s="279">
        <f t="shared" si="3"/>
        <v>0</v>
      </c>
      <c r="K32" s="166"/>
      <c r="L32" s="176">
        <f t="shared" ref="L32:L35" si="8">IF(AND($F32&lt;&gt;0,$G32&lt;&gt;0,OR($E32=1,$E32=3)),$F32*HealthCHG,0)</f>
        <v>0</v>
      </c>
      <c r="M32" s="176">
        <f t="shared" ref="M32:M35" si="9">IF(AND($E32=1,$C32=""),$G32*PermVBCHG+$G32*Retire1CHG,IF($E32=1,$G32*PermVBCHG+$G32*VLOOKUP($C32,Retirement_Rates,5,FALSE),IF($E32=2,0,IF(AND($E32=3,$C32=""),$G32*ElectVBCHG+$G32*Retire1CHG,IF($E32=3,$G32*ElectVBCHG+$G32*VLOOKUP($C32,Retirement_Rates,5,FALSE),0)))))</f>
        <v>0</v>
      </c>
      <c r="N32" s="176">
        <f t="shared" ref="N32:N35" si="10">SUM(L32:M32)</f>
        <v>0</v>
      </c>
      <c r="O32"/>
      <c r="P32"/>
      <c r="Q32"/>
      <c r="R32"/>
      <c r="S32"/>
      <c r="T32"/>
      <c r="U32"/>
      <c r="V32"/>
      <c r="W32"/>
      <c r="X32"/>
      <c r="Y32"/>
      <c r="Z32" s="344"/>
      <c r="AA32" s="364"/>
      <c r="AB32" s="364"/>
      <c r="AC32" s="364"/>
      <c r="AD32" s="329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</row>
    <row r="33" spans="1:94" s="177" customFormat="1" ht="15" x14ac:dyDescent="0.25">
      <c r="A33" s="186"/>
      <c r="B33" s="187"/>
      <c r="C33" s="244"/>
      <c r="D33" s="242"/>
      <c r="E33" s="180"/>
      <c r="F33" s="181">
        <v>0</v>
      </c>
      <c r="G33" s="182">
        <v>0</v>
      </c>
      <c r="H33" s="176">
        <f t="shared" si="6"/>
        <v>0</v>
      </c>
      <c r="I33" s="176">
        <f t="shared" si="7"/>
        <v>0</v>
      </c>
      <c r="J33" s="279">
        <f t="shared" si="3"/>
        <v>0</v>
      </c>
      <c r="K33" s="166"/>
      <c r="L33" s="176">
        <f t="shared" si="8"/>
        <v>0</v>
      </c>
      <c r="M33" s="176">
        <f t="shared" si="9"/>
        <v>0</v>
      </c>
      <c r="N33" s="183">
        <f t="shared" si="10"/>
        <v>0</v>
      </c>
      <c r="O33"/>
      <c r="P33"/>
      <c r="Q33"/>
      <c r="R33"/>
      <c r="S33"/>
      <c r="T33"/>
      <c r="U33"/>
      <c r="V33"/>
      <c r="W33"/>
      <c r="X33"/>
      <c r="Y33"/>
      <c r="Z33" s="344"/>
      <c r="AA33" s="364"/>
      <c r="AB33" s="364"/>
      <c r="AC33" s="364"/>
      <c r="AD33" s="329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</row>
    <row r="34" spans="1:94" s="177" customFormat="1" ht="15" x14ac:dyDescent="0.25">
      <c r="A34" s="186"/>
      <c r="B34" s="187"/>
      <c r="C34" s="244"/>
      <c r="D34" s="242"/>
      <c r="E34" s="180"/>
      <c r="F34" s="181">
        <v>0</v>
      </c>
      <c r="G34" s="182">
        <v>0</v>
      </c>
      <c r="H34" s="176">
        <f t="shared" si="6"/>
        <v>0</v>
      </c>
      <c r="I34" s="176">
        <f t="shared" si="7"/>
        <v>0</v>
      </c>
      <c r="J34" s="279">
        <f t="shared" si="3"/>
        <v>0</v>
      </c>
      <c r="K34" s="280"/>
      <c r="L34" s="176">
        <f t="shared" si="8"/>
        <v>0</v>
      </c>
      <c r="M34" s="176">
        <f t="shared" si="9"/>
        <v>0</v>
      </c>
      <c r="N34" s="183">
        <f t="shared" si="10"/>
        <v>0</v>
      </c>
      <c r="O34"/>
      <c r="P34"/>
      <c r="Q34"/>
      <c r="R34"/>
      <c r="S34"/>
      <c r="T34"/>
      <c r="U34"/>
      <c r="V34"/>
      <c r="W34"/>
      <c r="X34"/>
      <c r="Y34"/>
      <c r="Z34" s="344"/>
      <c r="AA34" s="364"/>
      <c r="AB34" s="364"/>
      <c r="AC34" s="364"/>
      <c r="AD34" s="329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</row>
    <row r="35" spans="1:94" s="177" customFormat="1" ht="15" x14ac:dyDescent="0.25">
      <c r="A35" s="186"/>
      <c r="B35" s="187"/>
      <c r="C35" s="244"/>
      <c r="D35" s="242"/>
      <c r="E35" s="180"/>
      <c r="F35" s="181">
        <v>0</v>
      </c>
      <c r="G35" s="182">
        <v>0</v>
      </c>
      <c r="H35" s="176">
        <f t="shared" si="6"/>
        <v>0</v>
      </c>
      <c r="I35" s="176">
        <f>IF(AND($E35=1,$C35=""),$G35*(PermVB+Retire1),IF($E35=1,$G35*PermVB+$G35*VLOOKUP($C35,Retirement_Rates,3,FALSE),IF($E35=2,$G35*GroupVB,IF(AND($E35=3,$C35=""),$G35*ElectVB+$G35*Retire1,IF($E35=3,$G35*ElectVB+$G35*VLOOKUP($C35,Retirement_Rates,3,FALSE),0)))))</f>
        <v>0</v>
      </c>
      <c r="J35" s="279">
        <f t="shared" si="3"/>
        <v>0</v>
      </c>
      <c r="K35" s="309"/>
      <c r="L35" s="176">
        <f t="shared" si="8"/>
        <v>0</v>
      </c>
      <c r="M35" s="176">
        <f t="shared" si="9"/>
        <v>0</v>
      </c>
      <c r="N35" s="183">
        <f t="shared" si="10"/>
        <v>0</v>
      </c>
      <c r="O35"/>
      <c r="P35"/>
      <c r="Q35"/>
      <c r="R35"/>
      <c r="S35"/>
      <c r="T35"/>
      <c r="U35"/>
      <c r="V35"/>
      <c r="W35"/>
      <c r="X35"/>
      <c r="Y35"/>
      <c r="Z35" s="344"/>
      <c r="AA35" s="364"/>
      <c r="AB35" s="364"/>
      <c r="AC35" s="364"/>
      <c r="AD35" s="329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</row>
    <row r="36" spans="1:94" s="213" customFormat="1" ht="15" x14ac:dyDescent="0.25">
      <c r="A36" s="281"/>
      <c r="B36" s="282"/>
      <c r="C36" s="283"/>
      <c r="D36" s="284"/>
      <c r="E36" s="285"/>
      <c r="F36" s="197"/>
      <c r="G36" s="259"/>
      <c r="H36" s="259"/>
      <c r="I36" s="259"/>
      <c r="J36" s="286"/>
      <c r="K36" s="280"/>
      <c r="L36" s="321"/>
      <c r="M36" s="259"/>
      <c r="N36" s="259"/>
      <c r="O36"/>
      <c r="P36"/>
      <c r="Q36"/>
      <c r="R36"/>
      <c r="S36"/>
      <c r="T36"/>
      <c r="U36"/>
      <c r="V36"/>
      <c r="W36"/>
      <c r="X36"/>
      <c r="Y36"/>
      <c r="Z36" s="344"/>
      <c r="AA36" s="364" t="s">
        <v>92</v>
      </c>
      <c r="AB36" s="333" t="s">
        <v>93</v>
      </c>
      <c r="AC36" s="333" t="s">
        <v>104</v>
      </c>
      <c r="AD36" s="330"/>
    </row>
    <row r="37" spans="1:94" s="153" customFormat="1" ht="17.25" customHeight="1" x14ac:dyDescent="0.25">
      <c r="A37" s="139"/>
      <c r="B37" s="188"/>
      <c r="C37" s="476" t="s">
        <v>37</v>
      </c>
      <c r="D37" s="477"/>
      <c r="E37" s="150"/>
      <c r="F37" s="165"/>
      <c r="G37" s="166"/>
      <c r="H37" s="166"/>
      <c r="I37" s="166"/>
      <c r="J37" s="322"/>
      <c r="K37" s="166"/>
      <c r="L37" s="166"/>
      <c r="M37" s="166"/>
      <c r="N37" s="166"/>
      <c r="O37"/>
      <c r="P37"/>
      <c r="Q37"/>
      <c r="R37"/>
      <c r="S37"/>
      <c r="T37"/>
      <c r="U37"/>
      <c r="V37"/>
      <c r="W37"/>
      <c r="X37"/>
      <c r="Y37"/>
      <c r="Z37" s="344"/>
      <c r="AA37" s="478" t="s">
        <v>105</v>
      </c>
      <c r="AB37" s="479"/>
      <c r="AC37" s="479"/>
      <c r="AD37" s="329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</row>
    <row r="38" spans="1:94" s="153" customFormat="1" ht="15" x14ac:dyDescent="0.25">
      <c r="A38" s="139"/>
      <c r="B38" s="188"/>
      <c r="C38" s="460" t="str">
        <f>perm_name</f>
        <v>Permanent Positions</v>
      </c>
      <c r="D38" s="461"/>
      <c r="E38" s="189">
        <v>1</v>
      </c>
      <c r="F38" s="190">
        <f>SUMIF($E9:$E35,$E38,$F9:$F35)</f>
        <v>6.7800000000000011</v>
      </c>
      <c r="G38" s="191">
        <f>SUMIF($E10:$E35,$E38,$G10:$G35)</f>
        <v>554693.98</v>
      </c>
      <c r="H38" s="192">
        <f>SUMIF($E10:$E35,$E38,$H10:$H35)</f>
        <v>90375</v>
      </c>
      <c r="I38" s="192">
        <f>SUMIF($E10:$E35,$E38,$I10:$I35)</f>
        <v>113662.3434418</v>
      </c>
      <c r="J38" s="192">
        <f>SUM(G38:I38)</f>
        <v>758731.32344179996</v>
      </c>
      <c r="K38" s="166"/>
      <c r="L38" s="191">
        <f>SUMIF($E10:$E35,$E38,$L10:$L35)</f>
        <v>9037.5</v>
      </c>
      <c r="M38" s="192">
        <f>SUMIF($E10:$E35,$E38,$M10:$M35)</f>
        <v>-4160.2048500000055</v>
      </c>
      <c r="N38" s="192">
        <f>SUM(L38:M38)</f>
        <v>4877.2951499999945</v>
      </c>
      <c r="O38"/>
      <c r="P38"/>
      <c r="Q38"/>
      <c r="R38"/>
      <c r="S38"/>
      <c r="T38"/>
      <c r="U38"/>
      <c r="V38"/>
      <c r="W38"/>
      <c r="X38"/>
      <c r="Y38"/>
      <c r="Z38" s="344"/>
      <c r="AA38" s="338">
        <f>ROUND(AdjPermSalary*CECPerm,-2)</f>
        <v>5500</v>
      </c>
      <c r="AB38" s="338">
        <f>ROUND((AdjPermVB*CECPerm+AdjPermVBBY*CECPerm),-2)</f>
        <v>1100</v>
      </c>
      <c r="AC38" s="338">
        <f>SUM(AA38:AB38)</f>
        <v>6600</v>
      </c>
      <c r="AD38" s="329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</row>
    <row r="39" spans="1:94" s="153" customFormat="1" ht="15" x14ac:dyDescent="0.25">
      <c r="A39" s="139"/>
      <c r="B39" s="188"/>
      <c r="C39" s="460" t="str">
        <f>Group_name</f>
        <v>Board &amp; Group Positions</v>
      </c>
      <c r="D39" s="461"/>
      <c r="E39" s="189">
        <v>2</v>
      </c>
      <c r="F39" s="151">
        <f>SUMIF($E9:$E35,$E39,$F9:$F35)</f>
        <v>0</v>
      </c>
      <c r="G39" s="193">
        <f>SUMIF($E10:$E35,$E39,$G10:$G35)</f>
        <v>0</v>
      </c>
      <c r="H39" s="152">
        <f>SUMIF($E10:$E35,$E39,$H10:$H35)</f>
        <v>0</v>
      </c>
      <c r="I39" s="152">
        <f>SUMIF($E10:$E35,$E39,$I10:$I35)</f>
        <v>0</v>
      </c>
      <c r="J39" s="152">
        <f>SUM(G39:I39)</f>
        <v>0</v>
      </c>
      <c r="K39" s="259"/>
      <c r="L39" s="193">
        <f>SUMIF($E10:$E35,$E39,$L10:$L35)</f>
        <v>0</v>
      </c>
      <c r="M39" s="152">
        <f>SUMIF($E11:$E37,$E39,$M11:$M37)</f>
        <v>0</v>
      </c>
      <c r="N39" s="152">
        <f>SUM(L39:M39)</f>
        <v>0</v>
      </c>
      <c r="O39"/>
      <c r="P39"/>
      <c r="Q39"/>
      <c r="R39"/>
      <c r="S39"/>
      <c r="T39"/>
      <c r="U39"/>
      <c r="V39"/>
      <c r="W39"/>
      <c r="X39"/>
      <c r="Y39"/>
      <c r="Z39" s="344"/>
      <c r="AA39" s="338">
        <f>ROUND(AdjGroupSalary*CECGroup,-2)</f>
        <v>0</v>
      </c>
      <c r="AB39" s="338">
        <f>ROUND(AdjGroupVB*CECGroup,-2)</f>
        <v>0</v>
      </c>
      <c r="AC39" s="338">
        <f>SUM(AA39:AB39)</f>
        <v>0</v>
      </c>
      <c r="AD39" s="329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</row>
    <row r="40" spans="1:94" s="153" customFormat="1" ht="15" x14ac:dyDescent="0.25">
      <c r="A40" s="139"/>
      <c r="B40" s="188"/>
      <c r="C40" s="365" t="str">
        <f>Elect_name</f>
        <v>Elected Officials &amp; Full Time Commissioners</v>
      </c>
      <c r="D40" s="366"/>
      <c r="E40" s="189">
        <v>3</v>
      </c>
      <c r="F40" s="151">
        <f>SUMIF($E9:$E35,$E40,$F9:$F35)</f>
        <v>1</v>
      </c>
      <c r="G40" s="193">
        <f>SUMIF($E10:$E35,$E40,$G10:$G35)</f>
        <v>117556.7</v>
      </c>
      <c r="H40" s="152">
        <f>SUMIF($E10:$E35,$E40,$H10:$H35)</f>
        <v>12500</v>
      </c>
      <c r="I40" s="152">
        <f>SUMIF($E10:$E35,$E40,$I10:$I35)</f>
        <v>24088.543397000001</v>
      </c>
      <c r="J40" s="152">
        <f>SUM(G40:I40)</f>
        <v>154145.24339700001</v>
      </c>
      <c r="K40" s="259"/>
      <c r="L40" s="193">
        <f>SUMIF($E10:$E35,$E40,$L10:$L35)</f>
        <v>1250</v>
      </c>
      <c r="M40" s="152">
        <f>SUMIF($E10:$E35,$E40,$M10:$M35)</f>
        <v>-881.67525000000114</v>
      </c>
      <c r="N40" s="152">
        <f>SUM(L40:M40)</f>
        <v>368.32474999999886</v>
      </c>
      <c r="O40"/>
      <c r="P40"/>
      <c r="Q40"/>
      <c r="R40"/>
      <c r="S40"/>
      <c r="T40"/>
      <c r="U40"/>
      <c r="V40"/>
      <c r="W40"/>
      <c r="X40"/>
      <c r="Y40"/>
      <c r="Z40" s="344"/>
      <c r="AA40" s="364"/>
      <c r="AB40" s="364"/>
      <c r="AC40" s="364"/>
      <c r="AD40" s="329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</row>
    <row r="41" spans="1:94" s="153" customFormat="1" ht="15" x14ac:dyDescent="0.25">
      <c r="A41" s="139"/>
      <c r="B41" s="188"/>
      <c r="C41" s="460" t="s">
        <v>38</v>
      </c>
      <c r="D41" s="461"/>
      <c r="E41" s="189"/>
      <c r="F41" s="161">
        <f>SUM(F38:F40)</f>
        <v>7.7800000000000011</v>
      </c>
      <c r="G41" s="195">
        <f>SUM($G$38:$G$40)</f>
        <v>672250.67999999993</v>
      </c>
      <c r="H41" s="162">
        <f>SUM($H$38:$H$40)</f>
        <v>102875</v>
      </c>
      <c r="I41" s="162">
        <f>SUM($I$38:$I$40)</f>
        <v>137750.88683879998</v>
      </c>
      <c r="J41" s="162">
        <f>SUM($J$38:$J$40)</f>
        <v>912876.56683879998</v>
      </c>
      <c r="K41" s="259"/>
      <c r="L41" s="195">
        <f>SUM($L$38:$L$40)</f>
        <v>10287.5</v>
      </c>
      <c r="M41" s="162">
        <f>SUM($M$38:$M$40)</f>
        <v>-5041.8801000000067</v>
      </c>
      <c r="N41" s="162">
        <f>SUM(L41:M41)</f>
        <v>5245.6198999999933</v>
      </c>
      <c r="O41"/>
      <c r="P41"/>
      <c r="Q41"/>
      <c r="R41"/>
      <c r="S41"/>
      <c r="T41"/>
      <c r="U41"/>
      <c r="V41"/>
      <c r="W41"/>
      <c r="X41"/>
      <c r="Y41"/>
      <c r="Z41" s="344"/>
      <c r="AA41" s="364" t="s">
        <v>92</v>
      </c>
      <c r="AB41" s="333" t="s">
        <v>93</v>
      </c>
      <c r="AC41" s="333" t="s">
        <v>104</v>
      </c>
      <c r="AD41" s="329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</row>
    <row r="42" spans="1:94" s="153" customFormat="1" ht="4.5" customHeight="1" x14ac:dyDescent="0.25">
      <c r="A42" s="139"/>
      <c r="B42" s="188"/>
      <c r="C42" s="462"/>
      <c r="D42" s="463"/>
      <c r="E42" s="196"/>
      <c r="F42" s="197"/>
      <c r="G42" s="198"/>
      <c r="H42" s="199"/>
      <c r="I42" s="199"/>
      <c r="J42" s="324"/>
      <c r="K42" s="200"/>
      <c r="L42" s="323"/>
      <c r="M42" s="323"/>
      <c r="N42" s="201"/>
      <c r="O42"/>
      <c r="P42"/>
      <c r="Q42"/>
      <c r="R42"/>
      <c r="S42"/>
      <c r="T42"/>
      <c r="U42"/>
      <c r="V42"/>
      <c r="W42"/>
      <c r="X42"/>
      <c r="Y42"/>
      <c r="Z42" s="344"/>
      <c r="AA42" s="364"/>
      <c r="AB42" s="364"/>
      <c r="AC42" s="364"/>
      <c r="AD42" s="329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</row>
    <row r="43" spans="1:94" s="153" customFormat="1" ht="15.75" customHeight="1" x14ac:dyDescent="0.25">
      <c r="A43" s="139"/>
      <c r="B43" s="202"/>
      <c r="C43" s="464" t="s">
        <v>39</v>
      </c>
      <c r="D43" s="465"/>
      <c r="E43" s="203" t="s">
        <v>40</v>
      </c>
      <c r="F43" s="205">
        <f>ROUND(F51-F41,2)</f>
        <v>3.52</v>
      </c>
      <c r="G43" s="206">
        <f>G51-G41</f>
        <v>298410.25434346043</v>
      </c>
      <c r="H43" s="159">
        <f>H51-H41</f>
        <v>45665.93360022112</v>
      </c>
      <c r="I43" s="159">
        <f>I51-I41</f>
        <v>61147.245217518474</v>
      </c>
      <c r="J43" s="159">
        <f>SUM(G43:I43)</f>
        <v>405223.43316120002</v>
      </c>
      <c r="K43" s="441" t="str">
        <f>IF(E51=0,"No Original Appropriation amount in DU 3.00 for this fund","Calculated "&amp;IF(J43&gt;0,"overfunding ","underfunding ")&amp;"is "&amp;TEXT(J43/J51,"#.0%;(#.0% );0%;")&amp;" of Original Appropriation")</f>
        <v>Calculated overfunding is 30.7% of Original Appropriation</v>
      </c>
      <c r="L43" s="442"/>
      <c r="M43" s="442"/>
      <c r="N43" s="443"/>
      <c r="O43"/>
      <c r="P43"/>
      <c r="Q43"/>
      <c r="R43"/>
      <c r="S43"/>
      <c r="T43"/>
      <c r="U43"/>
      <c r="V43"/>
      <c r="W43"/>
      <c r="X43"/>
      <c r="Y43"/>
      <c r="Z43" s="344"/>
      <c r="AA43" s="468" t="s">
        <v>106</v>
      </c>
      <c r="AB43" s="469"/>
      <c r="AC43" s="469"/>
      <c r="AD43" s="329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</row>
    <row r="44" spans="1:94" s="153" customFormat="1" ht="15.75" customHeight="1" x14ac:dyDescent="0.25">
      <c r="A44" s="139"/>
      <c r="B44" s="202"/>
      <c r="C44" s="466"/>
      <c r="D44" s="467"/>
      <c r="E44" s="204" t="s">
        <v>41</v>
      </c>
      <c r="F44" s="205">
        <f>ROUND(F60-F41,2)</f>
        <v>3.52</v>
      </c>
      <c r="G44" s="206">
        <f>G60-G41</f>
        <v>298449.32000000007</v>
      </c>
      <c r="H44" s="159">
        <f>H60-H41</f>
        <v>45625</v>
      </c>
      <c r="I44" s="159">
        <f>I60-I41</f>
        <v>61149.113161200017</v>
      </c>
      <c r="J44" s="159">
        <f>SUM(G44:I44)</f>
        <v>405223.43316120008</v>
      </c>
      <c r="K44" s="441" t="str">
        <f>IF(J60=0,"This fund has zero estimated expenditures in DU 7.00",IF(J60=0,"ERROR! Verify/enter 6 series adjustments!","Calculated "&amp;IF(J44&gt;0,"overfunding ","underfunding ")&amp;"is "&amp;TEXT(J44/J60,"#.0%;(#.0% );0%;")&amp;" of Est. Expenditures"))</f>
        <v>Calculated overfunding is 30.7% of Est. Expenditures</v>
      </c>
      <c r="L44" s="442"/>
      <c r="M44" s="442"/>
      <c r="N44" s="443"/>
      <c r="O44"/>
      <c r="P44"/>
      <c r="Q44"/>
      <c r="R44"/>
      <c r="S44"/>
      <c r="T44"/>
      <c r="U44"/>
      <c r="V44"/>
      <c r="W44"/>
      <c r="X44"/>
      <c r="Y44"/>
      <c r="Z44" s="344"/>
      <c r="AA44" s="338">
        <f>NEW_AdjPermSalary-NEW_PermSalaryFilled</f>
        <v>0</v>
      </c>
      <c r="AB44" s="338">
        <f>NEW_AdjPermVB-NEW_PermVBFilled</f>
        <v>0</v>
      </c>
      <c r="AC44" s="338">
        <f>SUM(AA44:AB44)</f>
        <v>0</v>
      </c>
      <c r="AD44" s="329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</row>
    <row r="45" spans="1:94" s="153" customFormat="1" ht="15.75" customHeight="1" x14ac:dyDescent="0.25">
      <c r="A45" s="139"/>
      <c r="B45" s="202"/>
      <c r="C45" s="215"/>
      <c r="D45" s="215"/>
      <c r="E45" s="204" t="s">
        <v>97</v>
      </c>
      <c r="F45" s="205">
        <f>ROUND(F67-F41-F63,2)</f>
        <v>3.52</v>
      </c>
      <c r="G45" s="206">
        <f>G67-G41-G63</f>
        <v>298449.32000000007</v>
      </c>
      <c r="H45" s="206">
        <f>H67-H41-H63</f>
        <v>45625</v>
      </c>
      <c r="I45" s="206">
        <f>I67-I41-I63</f>
        <v>61149.113161200017</v>
      </c>
      <c r="J45" s="159">
        <f>SUM(G45:I45)</f>
        <v>405223.43316120008</v>
      </c>
      <c r="K45" s="441" t="str">
        <f>IF(J67=0,"This fund has a $0 Base in DU 9.00",IF(J67=0,"ERROR! Verify/enter 8 series adjustments!","Calculated "&amp;IF(J45&gt;0,"overfunding ","underfunding ")&amp;"is "&amp;TEXT(J45/J67,"#.0%;(#.0% );0%;")&amp;" of the Base"))</f>
        <v>Calculated overfunding is 30.7% of the Base</v>
      </c>
      <c r="L45" s="442"/>
      <c r="M45" s="442"/>
      <c r="N45" s="443"/>
      <c r="O45"/>
      <c r="P45"/>
      <c r="Q45"/>
      <c r="R45"/>
      <c r="S45"/>
      <c r="T45"/>
      <c r="U45"/>
      <c r="V45"/>
      <c r="W45"/>
      <c r="X45"/>
      <c r="Y45"/>
      <c r="Z45" s="344"/>
      <c r="AA45" s="338">
        <f>NEW_AdjGroupSalary-NEW_GroupSalaryFilled</f>
        <v>0</v>
      </c>
      <c r="AB45" s="338">
        <f>NEW_AdjGroupVB-NEW_GroupVBFilled</f>
        <v>0</v>
      </c>
      <c r="AC45" s="338">
        <f>SUM(AA45:AB45)</f>
        <v>0</v>
      </c>
      <c r="AD45" s="329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</row>
    <row r="46" spans="1:94" s="153" customFormat="1" ht="28.5" customHeight="1" x14ac:dyDescent="0.25">
      <c r="A46" s="139"/>
      <c r="B46" s="202"/>
      <c r="C46" s="215"/>
      <c r="D46" s="215"/>
      <c r="E46" s="444" t="s">
        <v>98</v>
      </c>
      <c r="F46" s="445"/>
      <c r="G46" s="445"/>
      <c r="H46" s="445"/>
      <c r="I46" s="445"/>
      <c r="J46" s="446"/>
      <c r="K46" s="450" t="str">
        <f>IF(OR(J45&lt;0,F45&lt;0),"You may not have sufficient funding or authorized FTP, and may need to make additional adjustments to finalize this form.  Please contact both your DFM and LSO analysts.","")</f>
        <v/>
      </c>
      <c r="L46" s="451"/>
      <c r="M46" s="451"/>
      <c r="N46" s="452"/>
      <c r="O46"/>
      <c r="P46"/>
      <c r="Q46"/>
      <c r="R46"/>
      <c r="S46"/>
      <c r="T46"/>
      <c r="U46"/>
      <c r="V46"/>
      <c r="W46"/>
      <c r="X46"/>
      <c r="Y46"/>
      <c r="Z46" s="344"/>
      <c r="AA46" s="364"/>
      <c r="AB46" s="364"/>
      <c r="AC46" s="364"/>
      <c r="AD46" s="329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</row>
    <row r="47" spans="1:94" s="153" customFormat="1" ht="21.75" customHeight="1" x14ac:dyDescent="0.25">
      <c r="A47" s="139"/>
      <c r="B47" s="202"/>
      <c r="C47" s="215"/>
      <c r="D47" s="215"/>
      <c r="E47" s="447"/>
      <c r="F47" s="448"/>
      <c r="G47" s="448"/>
      <c r="H47" s="448"/>
      <c r="I47" s="448"/>
      <c r="J47" s="449"/>
      <c r="K47" s="453"/>
      <c r="L47" s="454"/>
      <c r="M47" s="454"/>
      <c r="N47" s="455"/>
      <c r="O47"/>
      <c r="P47"/>
      <c r="Q47"/>
      <c r="R47"/>
      <c r="S47"/>
      <c r="T47"/>
      <c r="U47"/>
      <c r="V47"/>
      <c r="W47"/>
      <c r="X47"/>
      <c r="Y47"/>
      <c r="Z47" s="344"/>
      <c r="AA47" s="364"/>
      <c r="AB47" s="364"/>
      <c r="AC47" s="364"/>
      <c r="AD47" s="329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</row>
    <row r="48" spans="1:94" s="214" customFormat="1" ht="8.25" customHeight="1" x14ac:dyDescent="0.25">
      <c r="A48" s="207"/>
      <c r="B48" s="208"/>
      <c r="C48" s="136"/>
      <c r="D48" s="136"/>
      <c r="E48" s="209"/>
      <c r="F48" s="210"/>
      <c r="G48" s="211"/>
      <c r="H48" s="211"/>
      <c r="I48" s="211"/>
      <c r="J48" s="211"/>
      <c r="K48" s="211"/>
      <c r="L48" s="137"/>
      <c r="M48" s="138"/>
      <c r="N48" s="212"/>
      <c r="O48"/>
      <c r="P48"/>
      <c r="Q48"/>
      <c r="R48"/>
      <c r="S48"/>
      <c r="T48"/>
      <c r="U48"/>
      <c r="V48"/>
      <c r="W48"/>
      <c r="X48"/>
      <c r="Y48"/>
      <c r="Z48" s="344"/>
      <c r="AA48" s="339"/>
      <c r="AB48" s="339"/>
      <c r="AC48" s="339"/>
      <c r="AD48" s="330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  <c r="CM48" s="213"/>
      <c r="CN48" s="213"/>
      <c r="CO48" s="213"/>
      <c r="CP48" s="213"/>
    </row>
    <row r="49" spans="1:94" s="53" customFormat="1" ht="6" customHeight="1" x14ac:dyDescent="0.25">
      <c r="A49" s="63"/>
      <c r="B49" s="64"/>
      <c r="C49" s="65"/>
      <c r="D49" s="66"/>
      <c r="E49" s="67"/>
      <c r="F49" s="68"/>
      <c r="G49" s="64"/>
      <c r="H49" s="64"/>
      <c r="I49" s="64"/>
      <c r="J49" s="64"/>
      <c r="K49" s="64"/>
      <c r="L49" s="69"/>
      <c r="M49" s="69"/>
      <c r="N49" s="70"/>
      <c r="O49"/>
      <c r="P49"/>
      <c r="Q49"/>
      <c r="R49"/>
      <c r="S49"/>
      <c r="T49"/>
      <c r="U49"/>
      <c r="V49"/>
      <c r="W49"/>
      <c r="X49"/>
      <c r="Y49"/>
      <c r="Z49" s="344"/>
      <c r="AA49" s="364"/>
      <c r="AB49" s="364"/>
      <c r="AC49" s="364"/>
      <c r="AD49" s="110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</row>
    <row r="50" spans="1:94" s="53" customFormat="1" ht="24.75" customHeight="1" x14ac:dyDescent="0.25">
      <c r="A50" s="257" t="s">
        <v>42</v>
      </c>
      <c r="B50" s="71"/>
      <c r="C50" s="456"/>
      <c r="D50" s="457"/>
      <c r="E50" s="72" t="s">
        <v>43</v>
      </c>
      <c r="F50" s="73" t="s">
        <v>24</v>
      </c>
      <c r="G50" s="72" t="str">
        <f>"FY "&amp;M4-2001&amp;" Salary"</f>
        <v>FY 23 Salary</v>
      </c>
      <c r="H50" s="72" t="str">
        <f>"FY "&amp;M4-2001&amp;" Health Ben"</f>
        <v>FY 23 Health Ben</v>
      </c>
      <c r="I50" s="72" t="str">
        <f>"FY "&amp;M4-2001&amp;" Var Ben"</f>
        <v>FY 23 Var Ben</v>
      </c>
      <c r="J50" s="72" t="str">
        <f>"FY "&amp;M4-1&amp;" Total"</f>
        <v>FY 2023 Total</v>
      </c>
      <c r="K50" s="307" t="str">
        <f>"FY "&amp;FiscalYear&amp;" SALARY CHG"</f>
        <v>FY 2024 SALARY CHG</v>
      </c>
      <c r="L50" s="74" t="str">
        <f>"FY "&amp;M4-2000&amp;" Chg Health Bens"</f>
        <v>FY 24 Chg Health Bens</v>
      </c>
      <c r="M50" s="74" t="str">
        <f>"FY "&amp;M4-2000&amp;" Chg Var Bens"</f>
        <v>FY 24 Chg Var Bens</v>
      </c>
      <c r="N50" s="74" t="s">
        <v>44</v>
      </c>
      <c r="O50"/>
      <c r="P50"/>
      <c r="Q50"/>
      <c r="R50"/>
      <c r="S50"/>
      <c r="T50"/>
      <c r="U50"/>
      <c r="V50"/>
      <c r="W50"/>
      <c r="X50"/>
      <c r="Y50"/>
      <c r="Z50" s="344"/>
      <c r="AA50" s="364"/>
      <c r="AB50" s="364"/>
      <c r="AC50" s="364"/>
      <c r="AD50" s="110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</row>
    <row r="51" spans="1:94" s="53" customFormat="1" ht="15.75" customHeight="1" x14ac:dyDescent="0.25">
      <c r="A51" s="75">
        <v>3</v>
      </c>
      <c r="B51" s="76" t="s">
        <v>45</v>
      </c>
      <c r="C51" s="54" t="str">
        <f>"FY "&amp;M4-1</f>
        <v>FY 2023</v>
      </c>
      <c r="D51" s="77" t="s">
        <v>31</v>
      </c>
      <c r="E51" s="78">
        <f>OrigApprop</f>
        <v>1318100</v>
      </c>
      <c r="F51" s="272">
        <f>AppropFTP</f>
        <v>11.3</v>
      </c>
      <c r="G51" s="274">
        <f>IF(E51=0,0,(G41/$J$41)*$E$51)</f>
        <v>970660.93434346037</v>
      </c>
      <c r="H51" s="274">
        <f>IF(E51=0,0,(H41/$J$41)*$E$51)</f>
        <v>148540.93360022112</v>
      </c>
      <c r="I51" s="275">
        <f>IF(E51=0,0,(I41/$J$41)*$E$51)</f>
        <v>198898.13205631846</v>
      </c>
      <c r="J51" s="90">
        <f>SUM(G51:I51)</f>
        <v>1318100</v>
      </c>
      <c r="K51" s="263"/>
      <c r="L51" s="61"/>
      <c r="M51" s="81"/>
      <c r="N51" s="81"/>
      <c r="O51"/>
      <c r="P51"/>
      <c r="Q51"/>
      <c r="R51"/>
      <c r="S51"/>
      <c r="T51"/>
      <c r="U51"/>
      <c r="V51"/>
      <c r="W51"/>
      <c r="X51"/>
      <c r="Y51"/>
      <c r="Z51" s="344"/>
      <c r="AA51" s="346"/>
      <c r="AB51" s="364"/>
      <c r="AC51" s="364"/>
      <c r="AD51" s="110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</row>
    <row r="52" spans="1:94" s="53" customFormat="1" ht="15.75" customHeight="1" x14ac:dyDescent="0.25">
      <c r="A52" s="82"/>
      <c r="B52" s="83"/>
      <c r="C52" s="84"/>
      <c r="D52" s="132" t="s">
        <v>46</v>
      </c>
      <c r="E52" s="133"/>
      <c r="F52" s="55">
        <f>F51</f>
        <v>11.3</v>
      </c>
      <c r="G52" s="79">
        <f>ROUND(G51,-2)</f>
        <v>970700</v>
      </c>
      <c r="H52" s="79">
        <f>ROUND(H51,-2)</f>
        <v>148500</v>
      </c>
      <c r="I52" s="266">
        <f>ROUND(I51,-2)</f>
        <v>198900</v>
      </c>
      <c r="J52" s="80">
        <f>ROUND(J51,-2)</f>
        <v>1318100</v>
      </c>
      <c r="K52" s="263"/>
      <c r="L52" s="61"/>
      <c r="M52" s="81"/>
      <c r="N52" s="81"/>
      <c r="O52"/>
      <c r="P52"/>
      <c r="Q52"/>
      <c r="R52"/>
      <c r="S52"/>
      <c r="T52"/>
      <c r="U52"/>
      <c r="V52"/>
      <c r="W52"/>
      <c r="X52"/>
      <c r="Y52"/>
      <c r="Z52" s="344"/>
      <c r="AA52" s="347"/>
      <c r="AB52" s="364"/>
      <c r="AC52" s="364"/>
      <c r="AD52" s="110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</row>
    <row r="53" spans="1:94" s="53" customFormat="1" ht="15" x14ac:dyDescent="0.25">
      <c r="A53" s="85"/>
      <c r="B53" s="83"/>
      <c r="C53" s="458" t="s">
        <v>47</v>
      </c>
      <c r="D53" s="459"/>
      <c r="E53" s="271"/>
      <c r="F53" s="273"/>
      <c r="G53" s="62"/>
      <c r="H53" s="62"/>
      <c r="I53" s="62"/>
      <c r="J53" s="62"/>
      <c r="K53" s="62"/>
      <c r="L53" s="61"/>
      <c r="M53" s="86"/>
      <c r="N53" s="86"/>
      <c r="O53"/>
      <c r="P53"/>
      <c r="Q53"/>
      <c r="R53"/>
      <c r="S53"/>
      <c r="T53"/>
      <c r="U53"/>
      <c r="V53"/>
      <c r="W53"/>
      <c r="X53"/>
      <c r="Y53"/>
      <c r="Z53" s="344"/>
      <c r="AA53" s="364"/>
      <c r="AB53" s="364"/>
      <c r="AC53" s="364"/>
      <c r="AD53" s="110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</row>
    <row r="54" spans="1:94" s="53" customFormat="1" ht="15.75" customHeight="1" x14ac:dyDescent="0.25">
      <c r="A54" s="85">
        <v>4.1100000000000003</v>
      </c>
      <c r="B54" s="83"/>
      <c r="C54" s="423" t="s">
        <v>48</v>
      </c>
      <c r="D54" s="424"/>
      <c r="E54" s="59"/>
      <c r="F54" s="58">
        <v>0</v>
      </c>
      <c r="G54" s="88">
        <v>0</v>
      </c>
      <c r="H54" s="88">
        <v>0</v>
      </c>
      <c r="I54" s="265">
        <v>0</v>
      </c>
      <c r="J54" s="89">
        <f>SUM(G54:I54)</f>
        <v>0</v>
      </c>
      <c r="K54" s="62"/>
      <c r="L54" s="61"/>
      <c r="M54" s="86"/>
      <c r="N54" s="86"/>
      <c r="O54"/>
      <c r="P54"/>
      <c r="Q54"/>
      <c r="R54"/>
      <c r="S54"/>
      <c r="T54"/>
      <c r="U54"/>
      <c r="V54"/>
      <c r="W54"/>
      <c r="X54"/>
      <c r="Y54"/>
      <c r="Z54" s="344"/>
      <c r="AA54" s="364"/>
      <c r="AB54" s="364"/>
      <c r="AC54" s="364"/>
      <c r="AD54" s="110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</row>
    <row r="55" spans="1:94" s="53" customFormat="1" ht="15.75" customHeight="1" x14ac:dyDescent="0.25">
      <c r="A55" s="85">
        <v>4.3099999999999996</v>
      </c>
      <c r="B55" s="83"/>
      <c r="C55" s="430" t="s">
        <v>49</v>
      </c>
      <c r="D55" s="431"/>
      <c r="E55" s="59"/>
      <c r="F55" s="277">
        <v>0</v>
      </c>
      <c r="G55" s="92">
        <v>0</v>
      </c>
      <c r="H55" s="92">
        <v>0</v>
      </c>
      <c r="I55" s="264">
        <v>0</v>
      </c>
      <c r="J55" s="287">
        <f>SUM(G55:I55)</f>
        <v>0</v>
      </c>
      <c r="K55" s="62"/>
      <c r="L55" s="88"/>
      <c r="M55" s="261"/>
      <c r="N55" s="89">
        <f>SUM(L55:M55)</f>
        <v>0</v>
      </c>
      <c r="O55"/>
      <c r="P55"/>
      <c r="Q55"/>
      <c r="R55"/>
      <c r="S55"/>
      <c r="T55"/>
      <c r="U55"/>
      <c r="V55"/>
      <c r="W55"/>
      <c r="X55"/>
      <c r="Y55"/>
      <c r="Z55" s="344"/>
      <c r="AA55" s="364"/>
      <c r="AB55" s="364"/>
      <c r="AC55" s="364"/>
      <c r="AD55" s="110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</row>
    <row r="56" spans="1:94" s="53" customFormat="1" ht="15.75" customHeight="1" x14ac:dyDescent="0.25">
      <c r="A56" s="75">
        <v>5</v>
      </c>
      <c r="B56" s="76"/>
      <c r="C56" s="54" t="str">
        <f>"FY "&amp;M4-1</f>
        <v>FY 2023</v>
      </c>
      <c r="D56" s="131" t="s">
        <v>50</v>
      </c>
      <c r="E56" s="135"/>
      <c r="F56" s="55">
        <f>SUM(F52:F55)</f>
        <v>11.3</v>
      </c>
      <c r="G56" s="80">
        <f>SUM(G52:G55)</f>
        <v>970700</v>
      </c>
      <c r="H56" s="80">
        <f>SUM(H52:H55)</f>
        <v>148500</v>
      </c>
      <c r="I56" s="260">
        <f>SUM(I52:I55)</f>
        <v>198900</v>
      </c>
      <c r="J56" s="80">
        <f>SUM(J52:J55)</f>
        <v>1318100</v>
      </c>
      <c r="K56" s="263"/>
      <c r="L56" s="61"/>
      <c r="M56" s="61"/>
      <c r="N56" s="61"/>
      <c r="O56"/>
      <c r="P56"/>
      <c r="Q56"/>
      <c r="R56"/>
      <c r="S56"/>
      <c r="T56"/>
      <c r="U56"/>
      <c r="V56"/>
      <c r="W56"/>
      <c r="X56"/>
      <c r="Y56"/>
      <c r="Z56" s="344"/>
      <c r="AA56" s="364"/>
      <c r="AB56" s="364"/>
      <c r="AC56" s="364"/>
      <c r="AD56" s="110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</row>
    <row r="57" spans="1:94" s="53" customFormat="1" ht="15.75" customHeight="1" x14ac:dyDescent="0.25">
      <c r="A57" s="85"/>
      <c r="B57" s="83"/>
      <c r="C57" s="428" t="s">
        <v>51</v>
      </c>
      <c r="D57" s="432"/>
      <c r="E57" s="368"/>
      <c r="F57" s="273"/>
      <c r="G57" s="62"/>
      <c r="H57" s="62"/>
      <c r="I57" s="62"/>
      <c r="J57" s="62"/>
      <c r="K57" s="62"/>
      <c r="L57" s="61"/>
      <c r="M57" s="61"/>
      <c r="N57" s="61"/>
      <c r="O57"/>
      <c r="P57"/>
      <c r="Q57"/>
      <c r="R57"/>
      <c r="S57"/>
      <c r="T57"/>
      <c r="U57"/>
      <c r="V57"/>
      <c r="W57"/>
      <c r="X57"/>
      <c r="Y57"/>
      <c r="Z57" s="344"/>
      <c r="AA57" s="364"/>
      <c r="AB57" s="364"/>
      <c r="AC57" s="364"/>
      <c r="AD57" s="110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</row>
    <row r="58" spans="1:94" s="53" customFormat="1" ht="15.75" customHeight="1" x14ac:dyDescent="0.25">
      <c r="A58" s="85">
        <v>6.31</v>
      </c>
      <c r="B58" s="83"/>
      <c r="C58" s="433" t="s">
        <v>116</v>
      </c>
      <c r="D58" s="434"/>
      <c r="E58" s="102"/>
      <c r="F58" s="58">
        <v>0</v>
      </c>
      <c r="G58" s="88">
        <v>0</v>
      </c>
      <c r="H58" s="88">
        <v>0</v>
      </c>
      <c r="I58" s="265"/>
      <c r="J58" s="89">
        <f>SUM(G58:I58)</f>
        <v>0</v>
      </c>
      <c r="K58" s="62"/>
      <c r="L58" s="88"/>
      <c r="M58" s="262"/>
      <c r="N58" s="89">
        <f>SUM(L58:M58)</f>
        <v>0</v>
      </c>
      <c r="O58"/>
      <c r="P58"/>
      <c r="Q58"/>
      <c r="R58"/>
      <c r="S58"/>
      <c r="T58"/>
      <c r="U58"/>
      <c r="V58"/>
      <c r="W58"/>
      <c r="X58"/>
      <c r="Y58"/>
      <c r="Z58" s="344"/>
      <c r="AA58" s="364"/>
      <c r="AB58" s="364"/>
      <c r="AC58" s="364"/>
      <c r="AD58" s="110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</row>
    <row r="59" spans="1:94" s="53" customFormat="1" ht="15.75" customHeight="1" x14ac:dyDescent="0.25">
      <c r="A59" s="85">
        <v>6.41</v>
      </c>
      <c r="B59" s="83"/>
      <c r="C59" s="433" t="s">
        <v>52</v>
      </c>
      <c r="D59" s="434"/>
      <c r="E59" s="102"/>
      <c r="F59" s="58">
        <v>0</v>
      </c>
      <c r="G59" s="88">
        <v>0</v>
      </c>
      <c r="H59" s="92">
        <v>0</v>
      </c>
      <c r="I59" s="264">
        <v>0</v>
      </c>
      <c r="J59" s="267">
        <f>SUM(G59:I59)</f>
        <v>0</v>
      </c>
      <c r="K59" s="62"/>
      <c r="L59" s="88"/>
      <c r="M59" s="261"/>
      <c r="N59" s="89">
        <f>SUM(L59:M59)</f>
        <v>0</v>
      </c>
      <c r="O59"/>
      <c r="P59"/>
      <c r="Q59"/>
      <c r="R59"/>
      <c r="S59"/>
      <c r="T59"/>
      <c r="U59"/>
      <c r="V59"/>
      <c r="W59"/>
      <c r="X59"/>
      <c r="Y59"/>
      <c r="Z59" s="344"/>
      <c r="AA59" s="364"/>
      <c r="AB59" s="364"/>
      <c r="AC59" s="364"/>
      <c r="AD59" s="110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</row>
    <row r="60" spans="1:94" s="53" customFormat="1" ht="15.75" customHeight="1" x14ac:dyDescent="0.25">
      <c r="A60" s="75">
        <v>7</v>
      </c>
      <c r="B60" s="76"/>
      <c r="C60" s="54" t="str">
        <f>"FY "&amp;M4-1</f>
        <v>FY 2023</v>
      </c>
      <c r="D60" s="131" t="s">
        <v>53</v>
      </c>
      <c r="E60" s="135"/>
      <c r="F60" s="55">
        <f>SUM(F56:F59)</f>
        <v>11.3</v>
      </c>
      <c r="G60" s="80">
        <f>SUM(G56:G59)</f>
        <v>970700</v>
      </c>
      <c r="H60" s="80">
        <f>SUM(H56:H59)</f>
        <v>148500</v>
      </c>
      <c r="I60" s="260">
        <f>SUM(I56:I59)</f>
        <v>198900</v>
      </c>
      <c r="J60" s="80">
        <f>SUM(J56:J59)</f>
        <v>1318100</v>
      </c>
      <c r="K60" s="263"/>
      <c r="L60" s="61"/>
      <c r="M60" s="61"/>
      <c r="N60" s="60"/>
      <c r="O60"/>
      <c r="P60"/>
      <c r="Q60"/>
      <c r="R60"/>
      <c r="S60"/>
      <c r="T60"/>
      <c r="U60"/>
      <c r="V60"/>
      <c r="W60"/>
      <c r="X60"/>
      <c r="Y60"/>
      <c r="Z60" s="344"/>
      <c r="AA60" s="364"/>
      <c r="AB60" s="364"/>
      <c r="AC60" s="364"/>
      <c r="AD60" s="110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</row>
    <row r="61" spans="1:94" s="53" customFormat="1" ht="15.75" customHeight="1" x14ac:dyDescent="0.25">
      <c r="A61" s="85"/>
      <c r="B61" s="83"/>
      <c r="C61" s="428" t="s">
        <v>54</v>
      </c>
      <c r="D61" s="432"/>
      <c r="E61" s="368"/>
      <c r="F61" s="273"/>
      <c r="G61" s="62"/>
      <c r="H61" s="62"/>
      <c r="I61" s="62"/>
      <c r="J61" s="62"/>
      <c r="K61" s="62"/>
      <c r="L61" s="61"/>
      <c r="M61" s="61"/>
      <c r="N61" s="60"/>
      <c r="O61"/>
      <c r="P61"/>
      <c r="Q61"/>
      <c r="R61"/>
      <c r="S61"/>
      <c r="T61"/>
      <c r="U61"/>
      <c r="V61"/>
      <c r="W61"/>
      <c r="X61"/>
      <c r="Y61"/>
      <c r="Z61" s="344"/>
      <c r="AA61" s="364"/>
      <c r="AB61" s="364"/>
      <c r="AC61" s="364"/>
      <c r="AD61" s="110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</row>
    <row r="62" spans="1:94" s="53" customFormat="1" ht="15.75" customHeight="1" x14ac:dyDescent="0.25">
      <c r="A62" s="85">
        <v>8.31</v>
      </c>
      <c r="B62" s="83"/>
      <c r="C62" s="423" t="s">
        <v>65</v>
      </c>
      <c r="D62" s="424"/>
      <c r="E62" s="102"/>
      <c r="F62" s="58">
        <v>0</v>
      </c>
      <c r="G62" s="88">
        <v>0</v>
      </c>
      <c r="H62" s="91">
        <v>0</v>
      </c>
      <c r="I62" s="276">
        <v>0</v>
      </c>
      <c r="J62" s="89">
        <f>SUM(G62:I62)</f>
        <v>0</v>
      </c>
      <c r="K62" s="62"/>
      <c r="L62" s="88"/>
      <c r="M62" s="261"/>
      <c r="N62" s="89">
        <f>SUM(L62:M62)</f>
        <v>0</v>
      </c>
      <c r="O62"/>
      <c r="P62"/>
      <c r="Q62"/>
      <c r="R62"/>
      <c r="S62"/>
      <c r="T62"/>
      <c r="U62"/>
      <c r="V62"/>
      <c r="W62"/>
      <c r="X62"/>
      <c r="Y62"/>
      <c r="Z62" s="344"/>
      <c r="AA62" s="364"/>
      <c r="AB62" s="364"/>
      <c r="AC62" s="364"/>
      <c r="AD62" s="110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</row>
    <row r="63" spans="1:94" s="53" customFormat="1" ht="15.75" customHeight="1" x14ac:dyDescent="0.25">
      <c r="A63" s="85">
        <v>8.41</v>
      </c>
      <c r="B63" s="83"/>
      <c r="C63" s="423" t="s">
        <v>55</v>
      </c>
      <c r="D63" s="424"/>
      <c r="E63" s="102"/>
      <c r="F63" s="58">
        <v>0</v>
      </c>
      <c r="G63" s="89">
        <f>ROUND((OneTimePC_Total-H63)/(1+(PermVB+Retire1)),-2)</f>
        <v>0</v>
      </c>
      <c r="H63" s="89">
        <f>ROUND(IF(AND(F63&lt;0,OneTimePC_Total&lt;0),F63*Health,0),-2)</f>
        <v>0</v>
      </c>
      <c r="I63" s="310">
        <f>OneTimePC_Total-G63-H63</f>
        <v>0</v>
      </c>
      <c r="J63" s="89">
        <v>0</v>
      </c>
      <c r="K63" s="308"/>
      <c r="L63" s="88"/>
      <c r="M63" s="261"/>
      <c r="N63" s="89">
        <f>SUM(L63:M63)</f>
        <v>0</v>
      </c>
      <c r="O63"/>
      <c r="P63"/>
      <c r="Q63"/>
      <c r="R63"/>
      <c r="S63"/>
      <c r="T63"/>
      <c r="U63"/>
      <c r="V63"/>
      <c r="W63"/>
      <c r="X63"/>
      <c r="Y63"/>
      <c r="Z63" s="344"/>
      <c r="AA63" s="364"/>
      <c r="AB63" s="364"/>
      <c r="AC63" s="364"/>
      <c r="AD63" s="110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</row>
    <row r="64" spans="1:94" s="53" customFormat="1" ht="15.75" customHeight="1" thickBot="1" x14ac:dyDescent="0.3">
      <c r="A64" s="93">
        <v>8.51</v>
      </c>
      <c r="B64" s="93"/>
      <c r="C64" s="435" t="s">
        <v>56</v>
      </c>
      <c r="D64" s="436"/>
      <c r="E64" s="134"/>
      <c r="F64" s="58">
        <v>0</v>
      </c>
      <c r="G64" s="88">
        <v>0</v>
      </c>
      <c r="H64" s="88">
        <v>0</v>
      </c>
      <c r="I64" s="265">
        <v>0</v>
      </c>
      <c r="J64" s="89">
        <f>SUM(G64:I64)</f>
        <v>0</v>
      </c>
      <c r="K64" s="62"/>
      <c r="L64" s="88"/>
      <c r="M64" s="261"/>
      <c r="N64" s="89">
        <f>SUM(L64:M64)</f>
        <v>0</v>
      </c>
      <c r="O64"/>
      <c r="P64"/>
      <c r="Q64"/>
      <c r="R64"/>
      <c r="S64"/>
      <c r="T64"/>
      <c r="U64"/>
      <c r="V64"/>
      <c r="W64"/>
      <c r="X64"/>
      <c r="Y64"/>
      <c r="Z64" s="344"/>
      <c r="AA64" s="364"/>
      <c r="AB64" s="364"/>
      <c r="AC64" s="364"/>
      <c r="AD64" s="110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</row>
    <row r="65" spans="1:94" s="53" customFormat="1" ht="6" customHeight="1" thickTop="1" x14ac:dyDescent="0.25">
      <c r="A65" s="94"/>
      <c r="B65" s="95"/>
      <c r="C65" s="437"/>
      <c r="D65" s="438"/>
      <c r="E65" s="96"/>
      <c r="F65" s="97"/>
      <c r="G65" s="98"/>
      <c r="H65" s="98"/>
      <c r="I65" s="98"/>
      <c r="J65" s="98"/>
      <c r="K65" s="98"/>
      <c r="L65" s="98"/>
      <c r="M65" s="99"/>
      <c r="N65" s="95"/>
      <c r="O65"/>
      <c r="P65"/>
      <c r="Q65"/>
      <c r="R65"/>
      <c r="S65"/>
      <c r="T65"/>
      <c r="U65"/>
      <c r="V65"/>
      <c r="W65"/>
      <c r="X65"/>
      <c r="Y65"/>
      <c r="Z65" s="344"/>
      <c r="AA65" s="364"/>
      <c r="AB65" s="364"/>
      <c r="AC65" s="364"/>
      <c r="AD65" s="110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</row>
    <row r="66" spans="1:94" s="107" customFormat="1" ht="15" x14ac:dyDescent="0.25">
      <c r="A66" s="100"/>
      <c r="B66" s="101"/>
      <c r="C66" s="439"/>
      <c r="D66" s="440"/>
      <c r="E66" s="102"/>
      <c r="F66" s="103" t="s">
        <v>24</v>
      </c>
      <c r="G66" s="104" t="str">
        <f>"FY "&amp;M4-2000&amp;" Salary"</f>
        <v>FY 24 Salary</v>
      </c>
      <c r="H66" s="104" t="str">
        <f>"FY"&amp;M4-2000&amp;" Health Ben"</f>
        <v>FY24 Health Ben</v>
      </c>
      <c r="I66" s="104" t="str">
        <f>"FY "&amp;M4-2000&amp;" Var Ben"</f>
        <v>FY 24 Var Ben</v>
      </c>
      <c r="J66" s="104" t="str">
        <f>"FY "&amp;M4&amp;" Total"</f>
        <v>FY 2024 Total</v>
      </c>
      <c r="K66" s="104"/>
      <c r="L66" s="105"/>
      <c r="M66" s="105"/>
      <c r="N66" s="101"/>
      <c r="O66"/>
      <c r="P66"/>
      <c r="Q66"/>
      <c r="R66"/>
      <c r="S66"/>
      <c r="T66"/>
      <c r="U66"/>
      <c r="V66"/>
      <c r="W66"/>
      <c r="X66"/>
      <c r="Y66"/>
      <c r="Z66" s="344"/>
      <c r="AA66" s="339"/>
      <c r="AB66" s="339"/>
      <c r="AC66" s="339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</row>
    <row r="67" spans="1:94" s="53" customFormat="1" ht="15" x14ac:dyDescent="0.25">
      <c r="A67" s="82">
        <v>9</v>
      </c>
      <c r="B67" s="83"/>
      <c r="C67" s="84" t="str">
        <f>"FY "&amp;M4</f>
        <v>FY 2024</v>
      </c>
      <c r="D67" s="108" t="s">
        <v>57</v>
      </c>
      <c r="E67" s="109"/>
      <c r="F67" s="55">
        <f>SUM(F60:F64)</f>
        <v>11.3</v>
      </c>
      <c r="G67" s="80">
        <f>SUM(G60:G64)</f>
        <v>970700</v>
      </c>
      <c r="H67" s="80">
        <f>SUM(H60:H64)</f>
        <v>148500</v>
      </c>
      <c r="I67" s="80">
        <f>SUM(I60:I64)</f>
        <v>198900</v>
      </c>
      <c r="J67" s="80">
        <f>SUM(J60:J64)</f>
        <v>1318100</v>
      </c>
      <c r="K67" s="263"/>
      <c r="L67" s="110"/>
      <c r="M67" s="110"/>
      <c r="N67" s="111"/>
      <c r="O67"/>
      <c r="P67"/>
      <c r="Q67"/>
      <c r="R67"/>
      <c r="S67"/>
      <c r="T67"/>
      <c r="U67"/>
      <c r="V67"/>
      <c r="W67"/>
      <c r="X67"/>
      <c r="Y67"/>
      <c r="Z67" s="344"/>
      <c r="AA67" s="364"/>
      <c r="AB67" s="364"/>
      <c r="AC67" s="364"/>
      <c r="AD67" s="110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</row>
    <row r="68" spans="1:94" s="53" customFormat="1" ht="15.75" customHeight="1" x14ac:dyDescent="0.25">
      <c r="A68" s="85">
        <v>10.11</v>
      </c>
      <c r="B68" s="83"/>
      <c r="C68" s="428" t="s">
        <v>58</v>
      </c>
      <c r="D68" s="429"/>
      <c r="E68" s="112"/>
      <c r="F68" s="288"/>
      <c r="G68" s="287"/>
      <c r="H68" s="113">
        <f>IF(DUNine=0,0,ROUND(SUM(L41:L65),-2))</f>
        <v>10300</v>
      </c>
      <c r="I68" s="113"/>
      <c r="J68" s="287">
        <f>SUM(G68:I68)</f>
        <v>10300</v>
      </c>
      <c r="K68" s="291"/>
      <c r="L68" s="292"/>
      <c r="M68" s="292"/>
      <c r="N68" s="293"/>
      <c r="O68"/>
      <c r="P68"/>
      <c r="Q68"/>
      <c r="R68"/>
      <c r="S68"/>
      <c r="T68"/>
      <c r="U68"/>
      <c r="V68"/>
      <c r="W68"/>
      <c r="X68"/>
      <c r="Y68"/>
      <c r="Z68" s="344"/>
      <c r="AA68" s="364"/>
      <c r="AB68" s="364"/>
      <c r="AC68" s="364"/>
      <c r="AD68" s="110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</row>
    <row r="69" spans="1:94" s="53" customFormat="1" ht="15" x14ac:dyDescent="0.25">
      <c r="A69" s="85">
        <v>10.119999999999999</v>
      </c>
      <c r="B69" s="83"/>
      <c r="C69" s="428" t="s">
        <v>59</v>
      </c>
      <c r="D69" s="429"/>
      <c r="E69" s="112"/>
      <c r="F69" s="288"/>
      <c r="G69" s="113"/>
      <c r="H69" s="113"/>
      <c r="I69" s="113">
        <f>IF(DUNine=0,0,ROUND(SUM(M41:M64),-2))</f>
        <v>-5000</v>
      </c>
      <c r="J69" s="287">
        <f>SUM(G69:I69)</f>
        <v>-5000</v>
      </c>
      <c r="K69" s="291"/>
      <c r="L69" s="292"/>
      <c r="M69" s="292"/>
      <c r="N69" s="293"/>
      <c r="O69"/>
      <c r="P69"/>
      <c r="Q69"/>
      <c r="R69"/>
      <c r="S69"/>
      <c r="T69"/>
      <c r="U69"/>
      <c r="V69"/>
      <c r="W69"/>
      <c r="X69"/>
      <c r="Y69"/>
      <c r="Z69" s="344"/>
      <c r="AA69" s="364"/>
      <c r="AB69" s="364"/>
      <c r="AC69" s="364"/>
      <c r="AD69" s="110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</row>
    <row r="70" spans="1:94" s="53" customFormat="1" ht="15" x14ac:dyDescent="0.25">
      <c r="A70" s="85"/>
      <c r="B70" s="83"/>
      <c r="C70" s="421"/>
      <c r="D70" s="422"/>
      <c r="E70" s="236" t="s">
        <v>23</v>
      </c>
      <c r="F70" s="288"/>
      <c r="G70" s="113"/>
      <c r="H70" s="113"/>
      <c r="I70" s="113"/>
      <c r="J70" s="287">
        <f>SUM(G70:I70)</f>
        <v>0</v>
      </c>
      <c r="K70" s="291"/>
      <c r="L70" s="292"/>
      <c r="M70" s="294"/>
      <c r="N70" s="295"/>
      <c r="O70"/>
      <c r="P70"/>
      <c r="Q70"/>
      <c r="R70"/>
      <c r="S70"/>
      <c r="T70"/>
      <c r="U70"/>
      <c r="V70"/>
      <c r="W70"/>
      <c r="X70"/>
      <c r="Y70"/>
      <c r="Z70" s="344"/>
      <c r="AA70" s="364"/>
      <c r="AB70" s="364"/>
      <c r="AC70" s="364"/>
      <c r="AD70" s="110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</row>
    <row r="71" spans="1:94" s="53" customFormat="1" ht="15.75" customHeight="1" x14ac:dyDescent="0.25">
      <c r="A71" s="85">
        <v>10.51</v>
      </c>
      <c r="B71" s="83"/>
      <c r="C71" s="423" t="s">
        <v>60</v>
      </c>
      <c r="D71" s="424"/>
      <c r="E71" s="237">
        <v>3</v>
      </c>
      <c r="F71" s="288"/>
      <c r="G71" s="92">
        <v>5600</v>
      </c>
      <c r="H71" s="92">
        <v>0</v>
      </c>
      <c r="I71" s="287">
        <f>ROUND(IF(AND($G71&lt;&gt;0,$E71=1),$G71*PermVBBY+$G71*Retire1BY,IF(AND($G71&lt;&gt;0,$E71=2),$G71*GroupVBBY,IF(AND($G71&lt;&gt;0,$E71=3),$G71*ElectVBBY+$G71*Retire1BY,0))),-2)</f>
        <v>1100</v>
      </c>
      <c r="J71" s="113">
        <f t="shared" ref="J71:J74" si="11">SUM(G71:I71)</f>
        <v>6700</v>
      </c>
      <c r="K71" s="296"/>
      <c r="L71" s="297"/>
      <c r="M71" s="348" t="s">
        <v>110</v>
      </c>
      <c r="N71" s="356"/>
      <c r="O71" s="357"/>
      <c r="P71" s="357"/>
      <c r="Q71"/>
      <c r="R71"/>
      <c r="S71"/>
      <c r="T71"/>
      <c r="U71"/>
      <c r="V71"/>
      <c r="W71"/>
      <c r="X71"/>
      <c r="Y71"/>
      <c r="Z71" s="344"/>
      <c r="AA71" s="364"/>
      <c r="AB71" s="364"/>
      <c r="AC71" s="364"/>
      <c r="AD71" s="110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</row>
    <row r="72" spans="1:94" s="53" customFormat="1" ht="15.75" customHeight="1" x14ac:dyDescent="0.25">
      <c r="A72" s="85">
        <v>10.61</v>
      </c>
      <c r="B72" s="83"/>
      <c r="C72" s="423" t="s">
        <v>99</v>
      </c>
      <c r="D72" s="425"/>
      <c r="E72" s="290">
        <f>CECPerm</f>
        <v>0.01</v>
      </c>
      <c r="F72" s="288"/>
      <c r="G72" s="355">
        <f>IF(DUNine=0,0,IF(DUNine&lt;0,0,ROUND(AdjPermSalary*CECPerm,-2)))</f>
        <v>5500</v>
      </c>
      <c r="H72" s="287"/>
      <c r="I72" s="287">
        <f>ROUND(($G72*PermVBBY+$G72*Retire1BY),-2)</f>
        <v>1100</v>
      </c>
      <c r="J72" s="113">
        <f>SUM(G72:I72)</f>
        <v>6600</v>
      </c>
      <c r="K72" s="296"/>
      <c r="L72" s="298"/>
      <c r="M72" s="349" t="e">
        <f>IF(DUNine=0,0,IF(((#REF!-G39-G40)*E72)&lt;0,0,ROUND(((#REF!-G39-G40)*E72),-2)))</f>
        <v>#REF!</v>
      </c>
      <c r="N72" s="358"/>
      <c r="O72" s="357" t="e">
        <f>IF(DUNine=0,0,IF(DUNine&lt;0,0,IF(SubCECBase&lt;RoundedAppropSalary,ROUND(AdjPermSalary*CECpermCalc,-2)+((SubCECBase-RoundedAppropSalary)*CECpermCalc),IF(SubCECBase&gt;RoundedAppropSalary,ROUND(AdjPermSalary*CECpermCalc,-2)+((SubCECBase-RoundedAppropSalary)*CECpermCalc),ROUND(AdjPermSalary*CECpermCalc,-2)))))</f>
        <v>#REF!</v>
      </c>
      <c r="P72" s="357"/>
      <c r="Q72"/>
      <c r="R72"/>
      <c r="S72"/>
      <c r="T72"/>
      <c r="U72"/>
      <c r="V72"/>
      <c r="W72"/>
      <c r="X72"/>
      <c r="Y72"/>
      <c r="Z72" s="344"/>
      <c r="AA72" s="364"/>
      <c r="AB72" s="364"/>
      <c r="AC72" s="364"/>
      <c r="AD72" s="110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</row>
    <row r="73" spans="1:94" s="53" customFormat="1" ht="15.6" customHeight="1" x14ac:dyDescent="0.25">
      <c r="A73" s="85">
        <v>10.62</v>
      </c>
      <c r="B73" s="83"/>
      <c r="C73" s="423" t="s">
        <v>117</v>
      </c>
      <c r="D73" s="425"/>
      <c r="E73" s="289">
        <f>CECGroup</f>
        <v>0.01</v>
      </c>
      <c r="F73" s="288"/>
      <c r="G73" s="355">
        <f>IF(DUNine=0,0,IF(DUNine&lt;0,0,ROUND(AdjGroupSalary*CECGroup,-2)))</f>
        <v>0</v>
      </c>
      <c r="H73" s="287"/>
      <c r="I73" s="287">
        <f>ROUND(($G73*GroupVBBY),-2)</f>
        <v>0</v>
      </c>
      <c r="J73" s="113">
        <f t="shared" si="11"/>
        <v>0</v>
      </c>
      <c r="K73" s="301"/>
      <c r="L73" s="302"/>
      <c r="M73" s="359"/>
      <c r="N73" s="360"/>
      <c r="O73" s="357"/>
      <c r="P73" s="357"/>
      <c r="Q73"/>
      <c r="R73"/>
      <c r="S73"/>
      <c r="T73"/>
      <c r="U73"/>
      <c r="V73"/>
      <c r="W73"/>
      <c r="X73"/>
      <c r="Y73"/>
      <c r="Z73" s="344"/>
      <c r="AA73" s="364"/>
      <c r="AB73" s="364"/>
      <c r="AC73" s="364"/>
      <c r="AD73" s="110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</row>
    <row r="74" spans="1:94" s="53" customFormat="1" ht="15.6" customHeight="1" x14ac:dyDescent="0.25">
      <c r="A74" s="85">
        <v>10.63</v>
      </c>
      <c r="B74" s="83"/>
      <c r="C74" s="367" t="s">
        <v>61</v>
      </c>
      <c r="D74" s="369"/>
      <c r="E74" s="112"/>
      <c r="F74" s="288"/>
      <c r="G74" s="92">
        <v>0</v>
      </c>
      <c r="H74" s="287"/>
      <c r="I74" s="287">
        <f>ROUND(($G74*ElectVBBY+$G74*Retire1BY),-2)</f>
        <v>0</v>
      </c>
      <c r="J74" s="113">
        <f t="shared" si="11"/>
        <v>0</v>
      </c>
      <c r="K74" s="301"/>
      <c r="L74" s="302"/>
      <c r="M74" s="303"/>
      <c r="N74" s="304"/>
      <c r="O74"/>
      <c r="P74"/>
      <c r="Q74"/>
      <c r="R74"/>
      <c r="S74"/>
      <c r="T74"/>
      <c r="U74"/>
      <c r="V74"/>
      <c r="W74"/>
      <c r="X74"/>
      <c r="Y74"/>
      <c r="Z74" s="344"/>
      <c r="AA74" s="364"/>
      <c r="AB74" s="364"/>
      <c r="AC74" s="364"/>
      <c r="AD74" s="110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</row>
    <row r="75" spans="1:94" s="53" customFormat="1" ht="15.75" customHeight="1" x14ac:dyDescent="0.25">
      <c r="A75" s="75">
        <v>11</v>
      </c>
      <c r="B75" s="76"/>
      <c r="C75" s="54" t="str">
        <f>"FY "&amp;M4</f>
        <v>FY 2024</v>
      </c>
      <c r="D75" s="77" t="s">
        <v>62</v>
      </c>
      <c r="E75" s="112"/>
      <c r="F75" s="55">
        <f>SUM(F67:F74)</f>
        <v>11.3</v>
      </c>
      <c r="G75" s="80">
        <f>SUM(G67:G74)</f>
        <v>981800</v>
      </c>
      <c r="H75" s="80">
        <f>SUM(H67:H74)</f>
        <v>158800</v>
      </c>
      <c r="I75" s="80">
        <f>SUM(I67:I74)</f>
        <v>196100</v>
      </c>
      <c r="J75" s="80">
        <f>SUM(J67:K74)</f>
        <v>1336700</v>
      </c>
      <c r="K75" s="296"/>
      <c r="L75" s="299"/>
      <c r="M75" s="299"/>
      <c r="N75" s="300"/>
      <c r="O75"/>
      <c r="P75"/>
      <c r="Q75"/>
      <c r="R75"/>
      <c r="S75"/>
      <c r="T75"/>
      <c r="U75"/>
      <c r="V75"/>
      <c r="W75"/>
      <c r="X75"/>
      <c r="Y75"/>
      <c r="Z75" s="344"/>
      <c r="AA75" s="364"/>
      <c r="AB75" s="364"/>
      <c r="AC75" s="364"/>
      <c r="AD75" s="110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</row>
    <row r="76" spans="1:94" s="53" customFormat="1" ht="28.5" customHeight="1" x14ac:dyDescent="0.25">
      <c r="A76" s="85"/>
      <c r="B76" s="83"/>
      <c r="C76" s="426" t="s">
        <v>63</v>
      </c>
      <c r="D76" s="427"/>
      <c r="E76" s="59"/>
      <c r="F76" s="59"/>
      <c r="G76" s="61"/>
      <c r="H76" s="61"/>
      <c r="I76" s="61"/>
      <c r="J76" s="61"/>
      <c r="K76" s="291"/>
      <c r="L76" s="292"/>
      <c r="M76" s="305"/>
      <c r="N76" s="293"/>
      <c r="O76"/>
      <c r="P76"/>
      <c r="Q76"/>
      <c r="R76"/>
      <c r="S76"/>
      <c r="T76"/>
      <c r="U76"/>
      <c r="V76"/>
      <c r="W76"/>
      <c r="X76"/>
      <c r="Y76"/>
      <c r="Z76" s="344"/>
      <c r="AA76" s="364"/>
      <c r="AB76" s="364"/>
      <c r="AC76" s="364"/>
      <c r="AD76" s="110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</row>
    <row r="77" spans="1:94" s="53" customFormat="1" ht="15" x14ac:dyDescent="0.25">
      <c r="A77" s="116">
        <v>12.01</v>
      </c>
      <c r="B77" s="57"/>
      <c r="C77" s="419"/>
      <c r="D77" s="420"/>
      <c r="E77" s="87"/>
      <c r="F77" s="58"/>
      <c r="G77" s="88"/>
      <c r="H77" s="88"/>
      <c r="I77" s="88"/>
      <c r="J77" s="80">
        <f>ROUND(SUM(G77:I77),-2)</f>
        <v>0</v>
      </c>
      <c r="K77" s="296"/>
      <c r="L77" s="292"/>
      <c r="M77" s="292"/>
      <c r="N77" s="293"/>
      <c r="O77"/>
      <c r="P77"/>
      <c r="Q77"/>
      <c r="R77"/>
      <c r="S77"/>
      <c r="T77"/>
      <c r="U77"/>
      <c r="V77"/>
      <c r="W77"/>
      <c r="X77"/>
      <c r="Y77"/>
      <c r="Z77" s="344"/>
      <c r="AA77" s="364"/>
      <c r="AB77" s="364"/>
      <c r="AC77" s="364"/>
      <c r="AD77" s="110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</row>
    <row r="78" spans="1:94" s="53" customFormat="1" ht="15" x14ac:dyDescent="0.25">
      <c r="A78" s="116">
        <v>12.02</v>
      </c>
      <c r="B78" s="57"/>
      <c r="C78" s="419"/>
      <c r="D78" s="420"/>
      <c r="E78" s="87"/>
      <c r="F78" s="58"/>
      <c r="G78" s="88"/>
      <c r="H78" s="88"/>
      <c r="I78" s="88"/>
      <c r="J78" s="80">
        <f>ROUND(SUM(G78:I78),-2)</f>
        <v>0</v>
      </c>
      <c r="K78" s="296"/>
      <c r="L78" s="292"/>
      <c r="M78" s="292"/>
      <c r="N78" s="293"/>
      <c r="O78"/>
      <c r="P78"/>
      <c r="Q78"/>
      <c r="R78"/>
      <c r="S78"/>
      <c r="T78"/>
      <c r="U78"/>
      <c r="V78"/>
      <c r="W78"/>
      <c r="X78"/>
      <c r="Y78"/>
      <c r="Z78" s="344"/>
      <c r="AA78" s="364"/>
      <c r="AB78" s="364"/>
      <c r="AC78" s="364"/>
      <c r="AD78" s="110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</row>
    <row r="79" spans="1:94" s="53" customFormat="1" ht="15" x14ac:dyDescent="0.25">
      <c r="A79" s="116">
        <v>12.03</v>
      </c>
      <c r="B79" s="57" t="s">
        <v>45</v>
      </c>
      <c r="C79" s="419"/>
      <c r="D79" s="420"/>
      <c r="E79" s="87"/>
      <c r="F79" s="58"/>
      <c r="G79" s="88"/>
      <c r="H79" s="88"/>
      <c r="I79" s="88"/>
      <c r="J79" s="80">
        <f>ROUND(SUM(G79:I79),-2)</f>
        <v>0</v>
      </c>
      <c r="K79" s="296"/>
      <c r="L79" s="292"/>
      <c r="M79" s="292"/>
      <c r="N79" s="293"/>
      <c r="O79"/>
      <c r="P79"/>
      <c r="Q79"/>
      <c r="R79"/>
      <c r="S79"/>
      <c r="T79"/>
      <c r="U79"/>
      <c r="V79"/>
      <c r="W79"/>
      <c r="X79"/>
      <c r="Y79"/>
      <c r="Z79" s="344"/>
      <c r="AA79" s="364"/>
      <c r="AB79" s="364"/>
      <c r="AC79" s="364"/>
      <c r="AD79" s="110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</row>
    <row r="80" spans="1:94" s="53" customFormat="1" ht="15.75" customHeight="1" x14ac:dyDescent="0.25">
      <c r="A80" s="117">
        <v>13</v>
      </c>
      <c r="B80" s="118"/>
      <c r="C80" s="119" t="str">
        <f>"FY "&amp;M4</f>
        <v>FY 2024</v>
      </c>
      <c r="D80" s="120" t="s">
        <v>64</v>
      </c>
      <c r="E80" s="121"/>
      <c r="F80" s="55">
        <f>SUM(F75:F79)</f>
        <v>11.3</v>
      </c>
      <c r="G80" s="80">
        <f>SUM(G75:G79)</f>
        <v>981800</v>
      </c>
      <c r="H80" s="80">
        <f>SUM(H75:H79)</f>
        <v>158800</v>
      </c>
      <c r="I80" s="80">
        <f>SUM(I75:I79)</f>
        <v>196100</v>
      </c>
      <c r="J80" s="80">
        <f>SUM(J75:J79)</f>
        <v>1336700</v>
      </c>
      <c r="K80" s="270"/>
      <c r="L80" s="122"/>
      <c r="M80" s="122"/>
      <c r="N80" s="123"/>
      <c r="O80"/>
      <c r="P80"/>
      <c r="Q80"/>
      <c r="R80"/>
      <c r="S80"/>
      <c r="T80"/>
      <c r="U80"/>
      <c r="V80"/>
      <c r="W80"/>
      <c r="X80"/>
      <c r="Y80"/>
      <c r="Z80" s="344"/>
      <c r="AA80" s="364"/>
      <c r="AB80" s="364"/>
      <c r="AC80" s="364"/>
      <c r="AD80" s="110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</row>
  </sheetData>
  <mergeCells count="51">
    <mergeCell ref="C13:D13"/>
    <mergeCell ref="M1:N1"/>
    <mergeCell ref="M2:N2"/>
    <mergeCell ref="M3:N3"/>
    <mergeCell ref="M4:N4"/>
    <mergeCell ref="I5:L5"/>
    <mergeCell ref="C8:D8"/>
    <mergeCell ref="AA8:AC8"/>
    <mergeCell ref="C9:D9"/>
    <mergeCell ref="C10:D10"/>
    <mergeCell ref="C11:D11"/>
    <mergeCell ref="C12:D12"/>
    <mergeCell ref="K43:N43"/>
    <mergeCell ref="AA43:AC43"/>
    <mergeCell ref="K44:N44"/>
    <mergeCell ref="C16:D16"/>
    <mergeCell ref="C17:D17"/>
    <mergeCell ref="C18:D18"/>
    <mergeCell ref="C37:D37"/>
    <mergeCell ref="AA37:AC37"/>
    <mergeCell ref="C38:D38"/>
    <mergeCell ref="C54:D54"/>
    <mergeCell ref="C39:D39"/>
    <mergeCell ref="C41:D41"/>
    <mergeCell ref="C42:D42"/>
    <mergeCell ref="C43:D44"/>
    <mergeCell ref="K45:N45"/>
    <mergeCell ref="E46:J47"/>
    <mergeCell ref="K46:N47"/>
    <mergeCell ref="C50:D50"/>
    <mergeCell ref="C53:D53"/>
    <mergeCell ref="C69:D69"/>
    <mergeCell ref="C55:D55"/>
    <mergeCell ref="C57:D57"/>
    <mergeCell ref="C58:D58"/>
    <mergeCell ref="C59:D59"/>
    <mergeCell ref="C61:D61"/>
    <mergeCell ref="C62:D62"/>
    <mergeCell ref="C63:D63"/>
    <mergeCell ref="C64:D64"/>
    <mergeCell ref="C65:D65"/>
    <mergeCell ref="C66:D66"/>
    <mergeCell ref="C68:D68"/>
    <mergeCell ref="C78:D78"/>
    <mergeCell ref="C79:D79"/>
    <mergeCell ref="C70:D70"/>
    <mergeCell ref="C71:D71"/>
    <mergeCell ref="C72:D72"/>
    <mergeCell ref="C73:D73"/>
    <mergeCell ref="C76:D76"/>
    <mergeCell ref="C77:D77"/>
  </mergeCells>
  <conditionalFormatting sqref="K44">
    <cfRule type="expression" dxfId="52" priority="8">
      <formula>$J$44&lt;0</formula>
    </cfRule>
  </conditionalFormatting>
  <conditionalFormatting sqref="K43">
    <cfRule type="expression" dxfId="51" priority="7">
      <formula>$J$43&lt;0</formula>
    </cfRule>
  </conditionalFormatting>
  <conditionalFormatting sqref="L16">
    <cfRule type="expression" dxfId="50" priority="6">
      <formula>$J$16&lt;0</formula>
    </cfRule>
  </conditionalFormatting>
  <conditionalFormatting sqref="K45">
    <cfRule type="expression" dxfId="49" priority="5">
      <formula>$J$44&lt;0</formula>
    </cfRule>
  </conditionalFormatting>
  <conditionalFormatting sqref="K43:N45">
    <cfRule type="containsText" dxfId="48" priority="4" operator="containsText" text="underfunding">
      <formula>NOT(ISERROR(SEARCH("underfunding",K43)))</formula>
    </cfRule>
  </conditionalFormatting>
  <conditionalFormatting sqref="K44">
    <cfRule type="expression" dxfId="47" priority="3">
      <formula>$J$44&lt;0</formula>
    </cfRule>
  </conditionalFormatting>
  <conditionalFormatting sqref="K45">
    <cfRule type="expression" dxfId="46" priority="2">
      <formula>$J$44&lt;0</formula>
    </cfRule>
  </conditionalFormatting>
  <conditionalFormatting sqref="K45">
    <cfRule type="expression" dxfId="45" priority="1">
      <formula>$J$44&lt;0</formula>
    </cfRule>
  </conditionalFormatting>
  <printOptions horizontalCentered="1"/>
  <pageMargins left="0.5" right="0.5" top="0.65" bottom="0.65" header="0.26" footer="0.31"/>
  <pageSetup scale="63" fitToHeight="2" orientation="landscape" r:id="rId1"/>
  <headerFooter>
    <oddHeader>&amp;L&amp;"Helv,Bold"FORM B6:  WAGE &amp;&amp; SALARY RECONCILIATION</oddHeader>
    <oddFooter>&amp;LPrinted: &amp;D, &amp;T&amp;RPage &amp;P of &amp;N</oddFooter>
  </headerFooter>
  <rowBreaks count="1" manualBreakCount="1">
    <brk id="64" max="1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B601E6-269C-448D-8286-0FB48E7B2D3B}">
          <x14:formula1>
            <xm:f>Benefits!$A$20:$A$26</xm:f>
          </x14:formula1>
          <xm:sqref>C20:C30 C32:C36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0FCC3-CFB4-485C-B7D5-7F90B6FAB94B}">
  <sheetPr codeName="Sheet7">
    <pageSetUpPr fitToPage="1"/>
  </sheetPr>
  <dimension ref="A1:CP80"/>
  <sheetViews>
    <sheetView showGridLines="0" topLeftCell="A49" zoomScaleNormal="100" workbookViewId="0">
      <selection activeCell="C8" sqref="C8:N16"/>
    </sheetView>
  </sheetViews>
  <sheetFormatPr defaultColWidth="9.140625" defaultRowHeight="15.75" x14ac:dyDescent="0.25"/>
  <cols>
    <col min="1" max="1" width="7.85546875" style="124" customWidth="1"/>
    <col min="2" max="2" width="7.7109375" style="125" customWidth="1"/>
    <col min="3" max="3" width="9" style="125" customWidth="1"/>
    <col min="4" max="4" width="39.28515625" style="53" customWidth="1"/>
    <col min="5" max="5" width="13" style="126" customWidth="1"/>
    <col min="6" max="6" width="12.28515625" style="127" customWidth="1"/>
    <col min="7" max="7" width="12.140625" style="127" bestFit="1" customWidth="1"/>
    <col min="8" max="8" width="14.5703125" style="127" customWidth="1"/>
    <col min="9" max="9" width="19.5703125" style="128" bestFit="1" customWidth="1"/>
    <col min="10" max="10" width="13.7109375" style="129" customWidth="1"/>
    <col min="11" max="11" width="13.7109375" style="129" hidden="1" customWidth="1"/>
    <col min="12" max="12" width="18.42578125" style="129" customWidth="1"/>
    <col min="13" max="13" width="16.42578125" style="129" customWidth="1"/>
    <col min="14" max="14" width="16.140625" style="128" customWidth="1"/>
    <col min="15" max="25" width="16.140625" customWidth="1"/>
    <col min="26" max="26" width="16.140625" style="344" customWidth="1"/>
    <col min="27" max="27" width="22.140625" style="334" bestFit="1" customWidth="1"/>
    <col min="28" max="28" width="31.140625" style="334" bestFit="1" customWidth="1"/>
    <col min="29" max="29" width="7.85546875" style="334" bestFit="1" customWidth="1"/>
    <col min="30" max="30" width="9.140625" style="110" customWidth="1"/>
    <col min="31" max="94" width="9.140625" style="17"/>
    <col min="95" max="16384" width="9.140625" style="18"/>
  </cols>
  <sheetData>
    <row r="1" spans="1:94" x14ac:dyDescent="0.25">
      <c r="A1" s="12" t="s">
        <v>13</v>
      </c>
      <c r="B1" s="13"/>
      <c r="C1" s="13"/>
      <c r="D1" s="14" t="s">
        <v>759</v>
      </c>
      <c r="E1" s="15"/>
      <c r="F1" s="15"/>
      <c r="G1" s="15"/>
      <c r="H1" s="15"/>
      <c r="I1" s="15"/>
      <c r="J1" s="15"/>
      <c r="K1" s="15"/>
      <c r="L1" s="16" t="s">
        <v>14</v>
      </c>
      <c r="M1" s="484">
        <v>140</v>
      </c>
      <c r="N1" s="485"/>
      <c r="AA1" s="364"/>
      <c r="AB1" s="333"/>
      <c r="AC1" s="333"/>
      <c r="AD1" s="325"/>
    </row>
    <row r="2" spans="1:94" ht="20.25" x14ac:dyDescent="0.25">
      <c r="A2" s="19" t="s">
        <v>114</v>
      </c>
      <c r="B2" s="20"/>
      <c r="C2" s="20"/>
      <c r="D2" s="14" t="s">
        <v>759</v>
      </c>
      <c r="E2" s="21"/>
      <c r="F2" s="21"/>
      <c r="G2" s="21"/>
      <c r="H2" s="21"/>
      <c r="I2" s="21"/>
      <c r="J2" s="20"/>
      <c r="K2" s="20"/>
      <c r="L2" s="22" t="s">
        <v>111</v>
      </c>
      <c r="M2" s="486" t="s">
        <v>763</v>
      </c>
      <c r="N2" s="487"/>
      <c r="AA2" s="333"/>
      <c r="AB2" s="333"/>
      <c r="AC2" s="333"/>
      <c r="AD2" s="325"/>
    </row>
    <row r="3" spans="1:94" x14ac:dyDescent="0.25">
      <c r="A3" s="19" t="s">
        <v>115</v>
      </c>
      <c r="B3" s="20"/>
      <c r="C3" s="20"/>
      <c r="D3" s="23" t="s">
        <v>767</v>
      </c>
      <c r="E3" s="24"/>
      <c r="F3" s="25"/>
      <c r="G3" s="25"/>
      <c r="H3" s="25"/>
      <c r="I3" s="26"/>
      <c r="J3" s="20"/>
      <c r="K3" s="20"/>
      <c r="L3" s="22" t="s">
        <v>112</v>
      </c>
      <c r="M3" s="484" t="s">
        <v>373</v>
      </c>
      <c r="N3" s="485"/>
      <c r="AA3" s="364"/>
      <c r="AB3" s="333"/>
      <c r="AC3" s="333"/>
      <c r="AD3" s="325"/>
    </row>
    <row r="4" spans="1:94" x14ac:dyDescent="0.25">
      <c r="A4" s="19"/>
      <c r="B4" s="20"/>
      <c r="C4" s="20"/>
      <c r="D4" s="27"/>
      <c r="E4" s="24"/>
      <c r="F4" s="25"/>
      <c r="G4" s="25"/>
      <c r="H4" s="25"/>
      <c r="I4" s="28"/>
      <c r="J4" s="26"/>
      <c r="K4" s="26"/>
      <c r="L4" s="22" t="s">
        <v>15</v>
      </c>
      <c r="M4" s="484">
        <v>2024</v>
      </c>
      <c r="N4" s="485"/>
      <c r="AA4" s="364"/>
      <c r="AB4" s="333"/>
      <c r="AC4" s="333"/>
      <c r="AD4" s="325"/>
    </row>
    <row r="5" spans="1:94" s="34" customFormat="1" ht="18" customHeight="1" x14ac:dyDescent="0.25">
      <c r="A5" s="19" t="s">
        <v>16</v>
      </c>
      <c r="B5" s="20"/>
      <c r="C5" s="20"/>
      <c r="D5" s="350">
        <v>44805</v>
      </c>
      <c r="E5" s="27"/>
      <c r="F5" s="30"/>
      <c r="G5" s="31"/>
      <c r="H5" s="31" t="s">
        <v>17</v>
      </c>
      <c r="I5" s="486" t="s">
        <v>761</v>
      </c>
      <c r="J5" s="488"/>
      <c r="K5" s="488"/>
      <c r="L5" s="487"/>
      <c r="M5" s="351" t="s">
        <v>113</v>
      </c>
      <c r="N5" s="32" t="s">
        <v>762</v>
      </c>
      <c r="O5"/>
      <c r="P5"/>
      <c r="Q5"/>
      <c r="R5"/>
      <c r="S5"/>
      <c r="T5"/>
      <c r="U5"/>
      <c r="V5"/>
      <c r="W5"/>
      <c r="X5"/>
      <c r="Y5"/>
      <c r="Z5" s="344"/>
      <c r="AA5" s="364"/>
      <c r="AB5" s="333"/>
      <c r="AC5" s="333"/>
      <c r="AD5" s="326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</row>
    <row r="6" spans="1:94" ht="23.25" customHeight="1" x14ac:dyDescent="0.25">
      <c r="A6" s="19"/>
      <c r="B6" s="20" t="s">
        <v>18</v>
      </c>
      <c r="C6" s="20"/>
      <c r="D6" s="29"/>
      <c r="E6" s="35" t="s">
        <v>19</v>
      </c>
      <c r="F6" s="36"/>
      <c r="G6" s="25"/>
      <c r="H6" s="25"/>
      <c r="I6" s="37"/>
      <c r="J6" s="31" t="s">
        <v>82</v>
      </c>
      <c r="K6" s="31"/>
      <c r="L6" s="352"/>
      <c r="M6" s="353" t="s">
        <v>83</v>
      </c>
      <c r="N6" s="306"/>
      <c r="AA6" s="364"/>
      <c r="AB6" s="333"/>
      <c r="AC6" s="333"/>
      <c r="AD6" s="325"/>
    </row>
    <row r="7" spans="1:94" x14ac:dyDescent="0.25">
      <c r="A7" s="38"/>
      <c r="B7" s="39"/>
      <c r="C7" s="40"/>
      <c r="D7" s="41"/>
      <c r="E7" s="42"/>
      <c r="F7" s="40"/>
      <c r="G7" s="43"/>
      <c r="H7" s="44"/>
      <c r="I7" s="45"/>
      <c r="J7" s="46"/>
      <c r="K7" s="46"/>
      <c r="L7" s="46"/>
      <c r="M7" s="46"/>
      <c r="N7" s="47"/>
    </row>
    <row r="8" spans="1:94" s="52" customFormat="1" ht="40.5" customHeight="1" x14ac:dyDescent="0.25">
      <c r="A8" s="48" t="s">
        <v>20</v>
      </c>
      <c r="B8" s="370" t="s">
        <v>21</v>
      </c>
      <c r="C8" s="489" t="s">
        <v>22</v>
      </c>
      <c r="D8" s="490"/>
      <c r="E8" s="370" t="s">
        <v>23</v>
      </c>
      <c r="F8" s="49" t="s">
        <v>24</v>
      </c>
      <c r="G8" s="50" t="str">
        <f>"FY "&amp;'SCBA|0001-00'!FiscalYear-1&amp;" SALARY"</f>
        <v>FY 2023 SALARY</v>
      </c>
      <c r="H8" s="50" t="str">
        <f>"FY "&amp;'SCBA|0001-00'!FiscalYear-1&amp;" HEALTH BENEFITS"</f>
        <v>FY 2023 HEALTH BENEFITS</v>
      </c>
      <c r="I8" s="50" t="str">
        <f>"FY "&amp;'SCBA|0001-00'!FiscalYear-1&amp;" VAR BENEFITS"</f>
        <v>FY 2023 VAR BENEFITS</v>
      </c>
      <c r="J8" s="50" t="str">
        <f>"FY "&amp;'SCBA|0001-00'!FiscalYear-1&amp;" TOTAL"</f>
        <v>FY 2023 TOTAL</v>
      </c>
      <c r="K8" s="50" t="str">
        <f>"FY "&amp;'SCBA|0001-00'!FiscalYear&amp;" SALARY CHANGE"</f>
        <v>FY 2024 SALARY CHANGE</v>
      </c>
      <c r="L8" s="50" t="str">
        <f>"FY "&amp;'SCBA|0001-00'!FiscalYear&amp;" CHG HEALTH BENEFITS"</f>
        <v>FY 2024 CHG HEALTH BENEFITS</v>
      </c>
      <c r="M8" s="50" t="str">
        <f>"FY "&amp;'SCBA|0001-00'!FiscalYear&amp;" CHG VAR BENEFITS"</f>
        <v>FY 2024 CHG VAR BENEFITS</v>
      </c>
      <c r="N8" s="50" t="s">
        <v>25</v>
      </c>
      <c r="O8"/>
      <c r="P8"/>
      <c r="Q8"/>
      <c r="R8"/>
      <c r="S8"/>
      <c r="T8"/>
      <c r="U8"/>
      <c r="V8"/>
      <c r="W8"/>
      <c r="X8"/>
      <c r="Y8"/>
      <c r="Z8" s="344"/>
      <c r="AA8" s="480" t="s">
        <v>103</v>
      </c>
      <c r="AB8" s="480"/>
      <c r="AC8" s="480"/>
      <c r="AD8" s="327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</row>
    <row r="9" spans="1:94" s="149" customFormat="1" x14ac:dyDescent="0.25">
      <c r="A9" s="139"/>
      <c r="B9" s="140"/>
      <c r="C9" s="481" t="s">
        <v>26</v>
      </c>
      <c r="D9" s="482"/>
      <c r="E9" s="141"/>
      <c r="F9" s="142"/>
      <c r="G9" s="143"/>
      <c r="H9" s="143"/>
      <c r="I9" s="143"/>
      <c r="J9" s="144"/>
      <c r="K9" s="144"/>
      <c r="L9" s="145"/>
      <c r="M9" s="146"/>
      <c r="N9" s="144"/>
      <c r="O9"/>
      <c r="P9"/>
      <c r="Q9"/>
      <c r="R9"/>
      <c r="S9"/>
      <c r="T9"/>
      <c r="U9"/>
      <c r="V9"/>
      <c r="W9"/>
      <c r="X9"/>
      <c r="Y9"/>
      <c r="Z9" s="344"/>
      <c r="AA9" s="364" t="s">
        <v>92</v>
      </c>
      <c r="AB9" s="333" t="s">
        <v>93</v>
      </c>
      <c r="AC9" s="333" t="s">
        <v>104</v>
      </c>
      <c r="AD9" s="32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</row>
    <row r="10" spans="1:94" s="149" customFormat="1" x14ac:dyDescent="0.25">
      <c r="A10" s="139"/>
      <c r="B10" s="139"/>
      <c r="C10" s="460" t="s">
        <v>27</v>
      </c>
      <c r="D10" s="483"/>
      <c r="E10" s="217">
        <v>1</v>
      </c>
      <c r="F10" s="288">
        <f>[0]!SCBA000100col_INC_FTI</f>
        <v>19.600000000000001</v>
      </c>
      <c r="G10" s="218">
        <f>[0]!SCBA000100col_FTI_SALARY_PERM</f>
        <v>1406692.7599999998</v>
      </c>
      <c r="H10" s="218">
        <f>[0]!SCBA000100col_HEALTH_PERM</f>
        <v>245000</v>
      </c>
      <c r="I10" s="218">
        <f>[0]!SCBA000100col_TOT_VB_PERM</f>
        <v>288245.4134516</v>
      </c>
      <c r="J10" s="219">
        <f>SUM(G10:I10)</f>
        <v>1939938.1734515997</v>
      </c>
      <c r="K10" s="219">
        <f>[0]!SCBA000100col_1_27TH_PP</f>
        <v>0</v>
      </c>
      <c r="L10" s="218">
        <f>[0]!SCBA000100col_HEALTH_PERM_CHG</f>
        <v>24500</v>
      </c>
      <c r="M10" s="218">
        <f>[0]!SCBA000100col_TOT_VB_PERM_CHG</f>
        <v>-10550.195700000015</v>
      </c>
      <c r="N10" s="218">
        <f>SUM(L10:M10)</f>
        <v>13949.804299999985</v>
      </c>
      <c r="O10"/>
      <c r="P10"/>
      <c r="Q10"/>
      <c r="R10"/>
      <c r="S10"/>
      <c r="T10"/>
      <c r="U10"/>
      <c r="V10"/>
      <c r="W10"/>
      <c r="X10"/>
      <c r="Y10"/>
      <c r="Z10" s="344"/>
      <c r="AA10" s="338">
        <f>ROUND(CECPerm*PermSalary,-2)</f>
        <v>14100</v>
      </c>
      <c r="AB10" s="335">
        <f>ROUND(PermVarBen*CECPerm+(CECPerm*PermVarBenChg),-2)</f>
        <v>2800</v>
      </c>
      <c r="AC10" s="335">
        <f>SUM(AA10:AB10)</f>
        <v>16900</v>
      </c>
      <c r="AD10" s="32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</row>
    <row r="11" spans="1:94" s="149" customFormat="1" x14ac:dyDescent="0.25">
      <c r="A11" s="139"/>
      <c r="B11" s="139"/>
      <c r="C11" s="460" t="s">
        <v>28</v>
      </c>
      <c r="D11" s="483"/>
      <c r="E11" s="217">
        <v>2</v>
      </c>
      <c r="F11" s="288"/>
      <c r="G11" s="218">
        <f>[0]!SCBA000100col_Group_Salary</f>
        <v>0</v>
      </c>
      <c r="H11" s="218">
        <v>0</v>
      </c>
      <c r="I11" s="218">
        <f>[0]!SCBA000100col_Group_Ben</f>
        <v>0</v>
      </c>
      <c r="J11" s="219">
        <f>SUM(G11:I11)</f>
        <v>0</v>
      </c>
      <c r="K11" s="268"/>
      <c r="L11" s="218"/>
      <c r="M11" s="218"/>
      <c r="N11" s="218"/>
      <c r="O11"/>
      <c r="P11"/>
      <c r="Q11"/>
      <c r="R11"/>
      <c r="S11"/>
      <c r="T11"/>
      <c r="U11"/>
      <c r="V11"/>
      <c r="W11"/>
      <c r="X11"/>
      <c r="Y11"/>
      <c r="Z11" s="344"/>
      <c r="AA11" s="338">
        <f>ROUND(GroupSalary*CECGroup,-2)</f>
        <v>0</v>
      </c>
      <c r="AB11" s="335">
        <f>ROUND((GroupSalary*GroupVBBY)*CECGroup,-2)</f>
        <v>0</v>
      </c>
      <c r="AC11" s="335">
        <f>SUM(AA12:AB12)</f>
        <v>0</v>
      </c>
      <c r="AD11" s="32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</row>
    <row r="12" spans="1:94" s="149" customFormat="1" x14ac:dyDescent="0.25">
      <c r="A12" s="139"/>
      <c r="B12" s="139"/>
      <c r="C12" s="460" t="s">
        <v>29</v>
      </c>
      <c r="D12" s="461"/>
      <c r="E12" s="217">
        <v>3</v>
      </c>
      <c r="F12" s="288">
        <f>[0]!SCBA000100col_TOTAL_ELECT_PCN_FTI</f>
        <v>0</v>
      </c>
      <c r="G12" s="218">
        <f>[0]!SCBA000100col_FTI_SALARY_ELECT</f>
        <v>0</v>
      </c>
      <c r="H12" s="218">
        <f>[0]!SCBA000100col_HEALTH_ELECT</f>
        <v>0</v>
      </c>
      <c r="I12" s="218">
        <f>[0]!SCBA000100col_TOT_VB_ELECT</f>
        <v>0</v>
      </c>
      <c r="J12" s="219">
        <f>SUM(G12:I12)</f>
        <v>0</v>
      </c>
      <c r="K12" s="268"/>
      <c r="L12" s="218">
        <f>[0]!SCBA000100col_HEALTH_ELECT_CHG</f>
        <v>0</v>
      </c>
      <c r="M12" s="218">
        <f>[0]!SCBA000100col_TOT_VB_ELECT_CHG</f>
        <v>0</v>
      </c>
      <c r="N12" s="219">
        <f>SUM(L12:M12)</f>
        <v>0</v>
      </c>
      <c r="O12"/>
      <c r="P12"/>
      <c r="Q12"/>
      <c r="R12"/>
      <c r="S12"/>
      <c r="T12"/>
      <c r="U12"/>
      <c r="V12"/>
      <c r="W12"/>
      <c r="X12"/>
      <c r="Y12"/>
      <c r="Z12" s="344"/>
      <c r="AA12" s="336"/>
      <c r="AB12" s="336"/>
      <c r="AC12" s="336"/>
      <c r="AD12" s="32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</row>
    <row r="13" spans="1:94" s="153" customFormat="1" x14ac:dyDescent="0.25">
      <c r="A13" s="139"/>
      <c r="B13" s="139"/>
      <c r="C13" s="460" t="s">
        <v>30</v>
      </c>
      <c r="D13" s="483"/>
      <c r="E13" s="217"/>
      <c r="F13" s="220">
        <f>SUM(F10:F12)</f>
        <v>19.600000000000001</v>
      </c>
      <c r="G13" s="221">
        <f>SUM(G10:G12)</f>
        <v>1406692.7599999998</v>
      </c>
      <c r="H13" s="221">
        <f>SUM(H10:H12)</f>
        <v>245000</v>
      </c>
      <c r="I13" s="221">
        <f>SUM(I10:I12)</f>
        <v>288245.4134516</v>
      </c>
      <c r="J13" s="219">
        <f>SUM(G13:I13)</f>
        <v>1939938.1734515997</v>
      </c>
      <c r="K13" s="268"/>
      <c r="L13" s="219">
        <f>SUM(L10:L12)</f>
        <v>24500</v>
      </c>
      <c r="M13" s="219">
        <f>SUM(M10:M12)</f>
        <v>-10550.195700000015</v>
      </c>
      <c r="N13" s="219">
        <f>SUM(N10:N12)</f>
        <v>13949.804299999985</v>
      </c>
      <c r="O13"/>
      <c r="P13"/>
      <c r="Q13"/>
      <c r="R13"/>
      <c r="S13"/>
      <c r="T13"/>
      <c r="U13"/>
      <c r="V13"/>
      <c r="W13"/>
      <c r="X13"/>
      <c r="Y13"/>
      <c r="Z13" s="344"/>
      <c r="AA13" s="336"/>
      <c r="AB13" s="336"/>
      <c r="AC13" s="336"/>
      <c r="AD13" s="329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</row>
    <row r="14" spans="1:94" s="153" customFormat="1" ht="5.45" customHeight="1" x14ac:dyDescent="0.25">
      <c r="A14" s="139"/>
      <c r="B14" s="139"/>
      <c r="C14" s="365"/>
      <c r="D14" s="371"/>
      <c r="E14" s="217"/>
      <c r="F14" s="220"/>
      <c r="G14" s="219"/>
      <c r="H14" s="219"/>
      <c r="I14" s="219"/>
      <c r="J14" s="219"/>
      <c r="K14" s="268"/>
      <c r="L14" s="219"/>
      <c r="M14" s="222"/>
      <c r="N14" s="222"/>
      <c r="O14"/>
      <c r="P14"/>
      <c r="Q14"/>
      <c r="R14"/>
      <c r="S14"/>
      <c r="T14"/>
      <c r="U14"/>
      <c r="V14"/>
      <c r="W14"/>
      <c r="X14"/>
      <c r="Y14"/>
      <c r="Z14" s="344"/>
      <c r="AA14" s="336"/>
      <c r="AB14" s="336"/>
      <c r="AC14" s="336"/>
      <c r="AD14" s="329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</row>
    <row r="15" spans="1:94" s="153" customFormat="1" ht="15.75" customHeight="1" x14ac:dyDescent="0.25">
      <c r="A15" s="139"/>
      <c r="B15" s="156"/>
      <c r="C15" s="157" t="str">
        <f>"FY "&amp;'SCBA|0001-00'!FiscalYear-1</f>
        <v>FY 2023</v>
      </c>
      <c r="D15" s="158" t="s">
        <v>31</v>
      </c>
      <c r="E15" s="354">
        <v>2012100</v>
      </c>
      <c r="F15" s="55">
        <v>23.7</v>
      </c>
      <c r="G15" s="223">
        <f>IF(OrigApprop=0,0,(G13/$J$13)*OrigApprop)</f>
        <v>1459018.9219072124</v>
      </c>
      <c r="H15" s="223">
        <f>IF(OrigApprop=0,0,(H13/$J$13)*OrigApprop)</f>
        <v>254113.51080478093</v>
      </c>
      <c r="I15" s="223">
        <f>IF(G15=0,0,(I13/$J$13)*OrigApprop)</f>
        <v>298967.56728800695</v>
      </c>
      <c r="J15" s="223">
        <f>SUM(G15:I15)</f>
        <v>2012100.0000000002</v>
      </c>
      <c r="K15" s="268"/>
      <c r="L15" s="224"/>
      <c r="M15" s="224"/>
      <c r="N15" s="224"/>
      <c r="O15"/>
      <c r="P15"/>
      <c r="Q15"/>
      <c r="R15"/>
      <c r="S15"/>
      <c r="T15"/>
      <c r="U15"/>
      <c r="V15"/>
      <c r="W15"/>
      <c r="X15"/>
      <c r="Y15"/>
      <c r="Z15" s="344"/>
      <c r="AA15" s="336"/>
      <c r="AB15" s="336"/>
      <c r="AC15" s="336"/>
      <c r="AD15" s="329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</row>
    <row r="16" spans="1:94" s="153" customFormat="1" ht="15.75" customHeight="1" x14ac:dyDescent="0.25">
      <c r="A16" s="139"/>
      <c r="B16" s="139"/>
      <c r="C16" s="470" t="s">
        <v>32</v>
      </c>
      <c r="D16" s="471"/>
      <c r="E16" s="160" t="s">
        <v>33</v>
      </c>
      <c r="F16" s="161">
        <f>F15-F13</f>
        <v>4.0999999999999979</v>
      </c>
      <c r="G16" s="162">
        <f>G15-G13</f>
        <v>52326.161907212576</v>
      </c>
      <c r="H16" s="162">
        <f>H15-H13</f>
        <v>9113.5108047809335</v>
      </c>
      <c r="I16" s="162">
        <f>I15-I13</f>
        <v>10722.153836406942</v>
      </c>
      <c r="J16" s="162">
        <f>J15-J13</f>
        <v>72161.826548400568</v>
      </c>
      <c r="K16" s="269"/>
      <c r="L16" s="56" t="str">
        <f>IF('SCBA|0001-00'!OrigApprop=0,"No Original Appropriation amount in DU 3.00 for this fund","Calculated "&amp;IF('SCBA|0001-00'!AdjustedTotal&gt;0,"overfunding ","underfunding ")&amp;"is "&amp;TEXT('SCBA|0001-00'!AdjustedTotal/'SCBA|0001-00'!AppropTotal,"#.0%;(#.0% );0% ;")&amp;" of Original Appropriation")</f>
        <v>Calculated overfunding is 3.6% of Original Appropriation</v>
      </c>
      <c r="M16" s="163"/>
      <c r="N16" s="164"/>
      <c r="O16"/>
      <c r="P16"/>
      <c r="Q16"/>
      <c r="R16"/>
      <c r="S16"/>
      <c r="T16"/>
      <c r="U16"/>
      <c r="V16"/>
      <c r="W16"/>
      <c r="X16"/>
      <c r="Y16"/>
      <c r="Z16" s="344"/>
      <c r="AA16" s="336"/>
      <c r="AB16" s="336"/>
      <c r="AC16" s="336"/>
      <c r="AD16" s="329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</row>
    <row r="17" spans="1:94" s="153" customFormat="1" x14ac:dyDescent="0.25">
      <c r="A17" s="139"/>
      <c r="B17" s="139"/>
      <c r="C17" s="472" t="s">
        <v>34</v>
      </c>
      <c r="D17" s="473"/>
      <c r="E17" s="147"/>
      <c r="F17" s="258"/>
      <c r="G17" s="147"/>
      <c r="H17" s="166"/>
      <c r="I17" s="167"/>
      <c r="J17" s="166"/>
      <c r="K17" s="166"/>
      <c r="L17" s="166"/>
      <c r="M17" s="166"/>
      <c r="N17" s="166"/>
      <c r="O17"/>
      <c r="P17"/>
      <c r="Q17"/>
      <c r="R17"/>
      <c r="S17"/>
      <c r="T17"/>
      <c r="U17"/>
      <c r="V17"/>
      <c r="W17"/>
      <c r="X17"/>
      <c r="Y17"/>
      <c r="Z17" s="344"/>
      <c r="AA17" s="336"/>
      <c r="AB17" s="336"/>
      <c r="AC17" s="336"/>
      <c r="AD17" s="329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</row>
    <row r="18" spans="1:94" s="153" customFormat="1" ht="26.25" customHeight="1" x14ac:dyDescent="0.25">
      <c r="A18" s="139"/>
      <c r="B18" s="168"/>
      <c r="C18" s="474" t="s">
        <v>35</v>
      </c>
      <c r="D18" s="475"/>
      <c r="E18" s="150"/>
      <c r="F18" s="165"/>
      <c r="G18" s="166"/>
      <c r="H18" s="169"/>
      <c r="I18" s="166"/>
      <c r="J18" s="166"/>
      <c r="K18" s="166"/>
      <c r="L18" s="166"/>
      <c r="M18" s="166"/>
      <c r="N18" s="166"/>
      <c r="O18"/>
      <c r="P18"/>
      <c r="Q18"/>
      <c r="R18"/>
      <c r="S18"/>
      <c r="T18"/>
      <c r="U18"/>
      <c r="V18"/>
      <c r="W18"/>
      <c r="X18"/>
      <c r="Y18"/>
      <c r="Z18" s="344"/>
      <c r="AA18" s="336"/>
      <c r="AB18" s="336"/>
      <c r="AC18" s="336"/>
      <c r="AD18" s="329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</row>
    <row r="19" spans="1:94" s="153" customFormat="1" ht="25.5" x14ac:dyDescent="0.25">
      <c r="A19" s="238"/>
      <c r="B19" s="202"/>
      <c r="C19" s="239" t="s">
        <v>84</v>
      </c>
      <c r="D19" s="240" t="s">
        <v>85</v>
      </c>
      <c r="E19" s="241"/>
      <c r="F19" s="165"/>
      <c r="G19" s="166"/>
      <c r="H19" s="169"/>
      <c r="I19" s="170"/>
      <c r="J19" s="166"/>
      <c r="K19" s="166"/>
      <c r="L19" s="169"/>
      <c r="M19" s="166"/>
      <c r="N19" s="166"/>
      <c r="O19"/>
      <c r="P19"/>
      <c r="Q19"/>
      <c r="R19"/>
      <c r="S19"/>
      <c r="T19"/>
      <c r="U19"/>
      <c r="V19"/>
      <c r="W19"/>
      <c r="X19"/>
      <c r="Y19"/>
      <c r="Z19" s="344"/>
      <c r="AA19" s="364"/>
      <c r="AB19" s="364"/>
      <c r="AC19" s="364"/>
      <c r="AD19" s="329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</row>
    <row r="20" spans="1:94" s="177" customFormat="1" ht="15" x14ac:dyDescent="0.25">
      <c r="A20" s="171"/>
      <c r="B20" s="172"/>
      <c r="C20" s="244"/>
      <c r="D20" s="242"/>
      <c r="E20" s="173"/>
      <c r="F20" s="174">
        <v>0</v>
      </c>
      <c r="G20" s="175">
        <v>0</v>
      </c>
      <c r="H20" s="176">
        <f t="shared" ref="H20:H30" si="0">IF(AND($F20&lt;&gt;0,$G20&lt;&gt;0,OR($E20=1,$E20=3)),$F20*Health,0)</f>
        <v>0</v>
      </c>
      <c r="I20" s="176">
        <f t="shared" ref="I20:I30" si="1">IF(AND($E20=1,$C20=""),$G20*PermVB+$G20*Retire1,IF($E20=1,$G20*PermVB+$G20*VLOOKUP($C20,Retirement_Rates,3,FALSE),IF($E20=2,$G20*GroupVB,IF(AND($E20=3,$C20=""),$G20*ElectVB+$G20*Retire1,IF($E20=3,$G20*ElectVB+$G20*VLOOKUP($C20,Retirement_Rates,3,FALSE),0)))))</f>
        <v>0</v>
      </c>
      <c r="J20" s="159">
        <f>IF($E20&gt;0,SUM($G20:$I20),0)</f>
        <v>0</v>
      </c>
      <c r="K20" s="166"/>
      <c r="L20" s="176">
        <f t="shared" ref="L20:L30" si="2">IF(AND($F20&lt;&gt;0,$G20&lt;&gt;0,OR($E20=1,$E20=3)),$F20*HealthCHG,0)</f>
        <v>0</v>
      </c>
      <c r="M20" s="176">
        <f>IF(AND($E20=1,$C20=""),$G20*PermVBCHG+$G20*Retire1CHG,IF($E20=1,$G20*PermVBCHG+$G20*VLOOKUP($C20,Retirement_Rates,5,FALSE),IF($E20=2,0,IF(AND($E20=3,$C20=""),$G20*ElectVBCHG+$G20*Retire1CHG,IF($E20=3,$G20*ElectVBCHG+$G20*VLOOKUP($C20,Retirement_Rates,5,FALSE),0)))))</f>
        <v>0</v>
      </c>
      <c r="N20" s="176">
        <f>SUM(L20:M20)</f>
        <v>0</v>
      </c>
      <c r="O20"/>
      <c r="P20"/>
      <c r="Q20"/>
      <c r="R20"/>
      <c r="S20"/>
      <c r="T20"/>
      <c r="U20"/>
      <c r="V20"/>
      <c r="W20"/>
      <c r="X20"/>
      <c r="Y20"/>
      <c r="Z20" s="344"/>
      <c r="AA20" s="364"/>
      <c r="AB20" s="364"/>
      <c r="AC20" s="364"/>
      <c r="AD20" s="329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</row>
    <row r="21" spans="1:94" s="177" customFormat="1" ht="15" x14ac:dyDescent="0.25">
      <c r="A21" s="178"/>
      <c r="B21" s="179"/>
      <c r="C21" s="244"/>
      <c r="D21" s="242"/>
      <c r="E21" s="180"/>
      <c r="F21" s="181">
        <v>0</v>
      </c>
      <c r="G21" s="175">
        <v>0</v>
      </c>
      <c r="H21" s="176">
        <f t="shared" si="0"/>
        <v>0</v>
      </c>
      <c r="I21" s="176">
        <f t="shared" si="1"/>
        <v>0</v>
      </c>
      <c r="J21" s="159">
        <f t="shared" ref="J21:J35" si="3">IF($E21&gt;0,SUM($G21:$I21),0)</f>
        <v>0</v>
      </c>
      <c r="K21" s="166"/>
      <c r="L21" s="176">
        <f t="shared" si="2"/>
        <v>0</v>
      </c>
      <c r="M21" s="176">
        <f t="shared" ref="M21:M30" si="4">IF(AND($E21=1,$C21=""),$G21*PermVBCHG+$G21*Retire1CHG,IF($E21=1,$G21*PermVBCHG+$G21*VLOOKUP($C21,Retirement_Rates,5,FALSE),IF($E21=2,0,IF(AND($E21=3,$C21=""),$G21*ElectVBCHG+$G21*Retire1CHG,IF($E21=3,$G21*ElectVBCHG+$G21*VLOOKUP($C21,Retirement_Rates,5,FALSE),0)))))</f>
        <v>0</v>
      </c>
      <c r="N21" s="183">
        <f t="shared" ref="N21:N30" si="5">SUM(L21:M21)</f>
        <v>0</v>
      </c>
      <c r="O21"/>
      <c r="P21"/>
      <c r="Q21"/>
      <c r="R21"/>
      <c r="S21"/>
      <c r="T21"/>
      <c r="U21"/>
      <c r="V21"/>
      <c r="W21"/>
      <c r="X21"/>
      <c r="Y21"/>
      <c r="Z21" s="344"/>
      <c r="AA21" s="364"/>
      <c r="AB21" s="364"/>
      <c r="AC21" s="364"/>
      <c r="AD21" s="329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</row>
    <row r="22" spans="1:94" s="177" customFormat="1" ht="15" x14ac:dyDescent="0.25">
      <c r="A22" s="178"/>
      <c r="B22" s="179"/>
      <c r="C22" s="244"/>
      <c r="D22" s="242"/>
      <c r="E22" s="180"/>
      <c r="F22" s="181">
        <v>0</v>
      </c>
      <c r="G22" s="175">
        <v>0</v>
      </c>
      <c r="H22" s="176">
        <f t="shared" si="0"/>
        <v>0</v>
      </c>
      <c r="I22" s="176">
        <f t="shared" si="1"/>
        <v>0</v>
      </c>
      <c r="J22" s="159">
        <f t="shared" si="3"/>
        <v>0</v>
      </c>
      <c r="K22" s="166"/>
      <c r="L22" s="176">
        <f t="shared" si="2"/>
        <v>0</v>
      </c>
      <c r="M22" s="176">
        <f t="shared" si="4"/>
        <v>0</v>
      </c>
      <c r="N22" s="183">
        <f t="shared" si="5"/>
        <v>0</v>
      </c>
      <c r="O22"/>
      <c r="P22"/>
      <c r="Q22"/>
      <c r="R22"/>
      <c r="S22"/>
      <c r="T22"/>
      <c r="U22"/>
      <c r="V22"/>
      <c r="W22"/>
      <c r="X22"/>
      <c r="Y22"/>
      <c r="Z22" s="344"/>
      <c r="AA22" s="364"/>
      <c r="AB22" s="364"/>
      <c r="AC22" s="364"/>
      <c r="AD22" s="329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</row>
    <row r="23" spans="1:94" s="177" customFormat="1" ht="15" x14ac:dyDescent="0.25">
      <c r="A23" s="178"/>
      <c r="B23" s="179"/>
      <c r="C23" s="244"/>
      <c r="D23" s="242"/>
      <c r="E23" s="180"/>
      <c r="F23" s="181">
        <v>0</v>
      </c>
      <c r="G23" s="175">
        <v>0</v>
      </c>
      <c r="H23" s="176">
        <f t="shared" si="0"/>
        <v>0</v>
      </c>
      <c r="I23" s="176">
        <f t="shared" si="1"/>
        <v>0</v>
      </c>
      <c r="J23" s="159">
        <f t="shared" si="3"/>
        <v>0</v>
      </c>
      <c r="K23" s="166"/>
      <c r="L23" s="176">
        <f t="shared" si="2"/>
        <v>0</v>
      </c>
      <c r="M23" s="176">
        <f t="shared" si="4"/>
        <v>0</v>
      </c>
      <c r="N23" s="183">
        <f t="shared" si="5"/>
        <v>0</v>
      </c>
      <c r="O23"/>
      <c r="P23"/>
      <c r="Q23"/>
      <c r="R23"/>
      <c r="S23"/>
      <c r="T23"/>
      <c r="U23"/>
      <c r="V23"/>
      <c r="W23"/>
      <c r="X23"/>
      <c r="Y23"/>
      <c r="Z23" s="344"/>
      <c r="AA23" s="364"/>
      <c r="AB23" s="364"/>
      <c r="AC23" s="364"/>
      <c r="AD23" s="329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</row>
    <row r="24" spans="1:94" s="177" customFormat="1" ht="15" x14ac:dyDescent="0.25">
      <c r="A24" s="178"/>
      <c r="B24" s="179"/>
      <c r="C24" s="244"/>
      <c r="D24" s="242"/>
      <c r="E24" s="180"/>
      <c r="F24" s="181">
        <v>0</v>
      </c>
      <c r="G24" s="175">
        <v>0</v>
      </c>
      <c r="H24" s="176">
        <f t="shared" si="0"/>
        <v>0</v>
      </c>
      <c r="I24" s="176">
        <f t="shared" si="1"/>
        <v>0</v>
      </c>
      <c r="J24" s="159">
        <f t="shared" si="3"/>
        <v>0</v>
      </c>
      <c r="K24" s="166"/>
      <c r="L24" s="176">
        <f t="shared" si="2"/>
        <v>0</v>
      </c>
      <c r="M24" s="176">
        <f t="shared" si="4"/>
        <v>0</v>
      </c>
      <c r="N24" s="183">
        <f t="shared" si="5"/>
        <v>0</v>
      </c>
      <c r="O24"/>
      <c r="P24"/>
      <c r="Q24"/>
      <c r="R24"/>
      <c r="S24"/>
      <c r="T24"/>
      <c r="U24"/>
      <c r="V24"/>
      <c r="W24"/>
      <c r="X24"/>
      <c r="Y24"/>
      <c r="Z24" s="344"/>
      <c r="AA24" s="345"/>
      <c r="AB24" s="364"/>
      <c r="AC24" s="364"/>
      <c r="AD24" s="329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</row>
    <row r="25" spans="1:94" s="177" customFormat="1" ht="15" x14ac:dyDescent="0.25">
      <c r="A25" s="178"/>
      <c r="B25" s="179"/>
      <c r="C25" s="244"/>
      <c r="D25" s="242"/>
      <c r="E25" s="180"/>
      <c r="F25" s="181">
        <v>0</v>
      </c>
      <c r="G25" s="182">
        <v>0</v>
      </c>
      <c r="H25" s="176">
        <f t="shared" si="0"/>
        <v>0</v>
      </c>
      <c r="I25" s="176">
        <f t="shared" si="1"/>
        <v>0</v>
      </c>
      <c r="J25" s="159">
        <f t="shared" si="3"/>
        <v>0</v>
      </c>
      <c r="K25" s="166"/>
      <c r="L25" s="176">
        <f t="shared" si="2"/>
        <v>0</v>
      </c>
      <c r="M25" s="176">
        <f t="shared" si="4"/>
        <v>0</v>
      </c>
      <c r="N25" s="183">
        <f t="shared" si="5"/>
        <v>0</v>
      </c>
      <c r="O25"/>
      <c r="P25"/>
      <c r="Q25"/>
      <c r="R25"/>
      <c r="S25"/>
      <c r="T25"/>
      <c r="U25"/>
      <c r="V25"/>
      <c r="W25"/>
      <c r="X25"/>
      <c r="Y25"/>
      <c r="Z25" s="344"/>
      <c r="AA25" s="345"/>
      <c r="AB25" s="364"/>
      <c r="AC25" s="364"/>
      <c r="AD25" s="329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</row>
    <row r="26" spans="1:94" s="177" customFormat="1" ht="15" x14ac:dyDescent="0.25">
      <c r="A26" s="178"/>
      <c r="B26" s="179"/>
      <c r="C26" s="244"/>
      <c r="D26" s="242"/>
      <c r="E26" s="180"/>
      <c r="F26" s="181">
        <v>0</v>
      </c>
      <c r="G26" s="182">
        <v>0</v>
      </c>
      <c r="H26" s="176">
        <f t="shared" si="0"/>
        <v>0</v>
      </c>
      <c r="I26" s="176">
        <f t="shared" si="1"/>
        <v>0</v>
      </c>
      <c r="J26" s="159">
        <f t="shared" si="3"/>
        <v>0</v>
      </c>
      <c r="K26" s="166"/>
      <c r="L26" s="176">
        <f t="shared" si="2"/>
        <v>0</v>
      </c>
      <c r="M26" s="176">
        <f t="shared" si="4"/>
        <v>0</v>
      </c>
      <c r="N26" s="183">
        <f t="shared" si="5"/>
        <v>0</v>
      </c>
      <c r="O26"/>
      <c r="P26"/>
      <c r="Q26"/>
      <c r="R26"/>
      <c r="S26"/>
      <c r="T26"/>
      <c r="U26"/>
      <c r="V26"/>
      <c r="W26"/>
      <c r="X26"/>
      <c r="Y26"/>
      <c r="Z26" s="344"/>
      <c r="AA26" s="345"/>
      <c r="AB26" s="364"/>
      <c r="AC26" s="364"/>
      <c r="AD26" s="329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</row>
    <row r="27" spans="1:94" s="177" customFormat="1" ht="15" x14ac:dyDescent="0.25">
      <c r="A27" s="178"/>
      <c r="B27" s="179"/>
      <c r="C27" s="244"/>
      <c r="D27" s="242"/>
      <c r="E27" s="180"/>
      <c r="F27" s="181">
        <v>0</v>
      </c>
      <c r="G27" s="182">
        <v>0</v>
      </c>
      <c r="H27" s="176">
        <f t="shared" si="0"/>
        <v>0</v>
      </c>
      <c r="I27" s="176">
        <f t="shared" si="1"/>
        <v>0</v>
      </c>
      <c r="J27" s="159">
        <f t="shared" si="3"/>
        <v>0</v>
      </c>
      <c r="K27" s="166"/>
      <c r="L27" s="176">
        <f t="shared" si="2"/>
        <v>0</v>
      </c>
      <c r="M27" s="176">
        <f t="shared" si="4"/>
        <v>0</v>
      </c>
      <c r="N27" s="183">
        <f t="shared" si="5"/>
        <v>0</v>
      </c>
      <c r="O27"/>
      <c r="P27"/>
      <c r="Q27"/>
      <c r="R27"/>
      <c r="S27"/>
      <c r="T27"/>
      <c r="U27"/>
      <c r="V27"/>
      <c r="W27"/>
      <c r="X27"/>
      <c r="Y27"/>
      <c r="Z27" s="344"/>
      <c r="AA27" s="364"/>
      <c r="AB27" s="364"/>
      <c r="AC27" s="364"/>
      <c r="AD27" s="329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</row>
    <row r="28" spans="1:94" s="177" customFormat="1" ht="15" x14ac:dyDescent="0.25">
      <c r="A28" s="178"/>
      <c r="B28" s="179"/>
      <c r="C28" s="244"/>
      <c r="D28" s="242"/>
      <c r="E28" s="180"/>
      <c r="F28" s="181">
        <v>0</v>
      </c>
      <c r="G28" s="182">
        <v>0</v>
      </c>
      <c r="H28" s="176">
        <f t="shared" si="0"/>
        <v>0</v>
      </c>
      <c r="I28" s="176">
        <f t="shared" si="1"/>
        <v>0</v>
      </c>
      <c r="J28" s="159">
        <f t="shared" si="3"/>
        <v>0</v>
      </c>
      <c r="K28" s="166"/>
      <c r="L28" s="176">
        <f t="shared" si="2"/>
        <v>0</v>
      </c>
      <c r="M28" s="176">
        <f t="shared" si="4"/>
        <v>0</v>
      </c>
      <c r="N28" s="183">
        <f t="shared" si="5"/>
        <v>0</v>
      </c>
      <c r="O28"/>
      <c r="P28"/>
      <c r="Q28"/>
      <c r="R28"/>
      <c r="S28"/>
      <c r="T28"/>
      <c r="U28"/>
      <c r="V28"/>
      <c r="W28"/>
      <c r="X28"/>
      <c r="Y28"/>
      <c r="Z28" s="344"/>
      <c r="AA28" s="364"/>
      <c r="AB28" s="364"/>
      <c r="AC28" s="364"/>
      <c r="AD28" s="329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</row>
    <row r="29" spans="1:94" s="177" customFormat="1" ht="15" x14ac:dyDescent="0.25">
      <c r="A29" s="179"/>
      <c r="B29" s="179"/>
      <c r="C29" s="171"/>
      <c r="D29" s="243"/>
      <c r="E29" s="180"/>
      <c r="F29" s="181">
        <v>0</v>
      </c>
      <c r="G29" s="182">
        <v>0</v>
      </c>
      <c r="H29" s="176">
        <f t="shared" si="0"/>
        <v>0</v>
      </c>
      <c r="I29" s="176">
        <f t="shared" si="1"/>
        <v>0</v>
      </c>
      <c r="J29" s="159">
        <f t="shared" si="3"/>
        <v>0</v>
      </c>
      <c r="K29" s="166"/>
      <c r="L29" s="176">
        <f t="shared" si="2"/>
        <v>0</v>
      </c>
      <c r="M29" s="176">
        <f t="shared" si="4"/>
        <v>0</v>
      </c>
      <c r="N29" s="183">
        <f t="shared" si="5"/>
        <v>0</v>
      </c>
      <c r="O29"/>
      <c r="P29"/>
      <c r="Q29"/>
      <c r="R29"/>
      <c r="S29"/>
      <c r="T29"/>
      <c r="U29"/>
      <c r="V29"/>
      <c r="W29"/>
      <c r="X29"/>
      <c r="Y29"/>
      <c r="Z29" s="344"/>
      <c r="AA29" s="364"/>
      <c r="AB29" s="364"/>
      <c r="AC29" s="364"/>
      <c r="AD29" s="329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</row>
    <row r="30" spans="1:94" s="177" customFormat="1" ht="15" x14ac:dyDescent="0.25">
      <c r="A30" s="179"/>
      <c r="B30" s="184"/>
      <c r="C30" s="171"/>
      <c r="D30" s="243"/>
      <c r="E30" s="180"/>
      <c r="F30" s="181">
        <v>0</v>
      </c>
      <c r="G30" s="182">
        <v>0</v>
      </c>
      <c r="H30" s="176">
        <f t="shared" si="0"/>
        <v>0</v>
      </c>
      <c r="I30" s="176">
        <f t="shared" si="1"/>
        <v>0</v>
      </c>
      <c r="J30" s="159">
        <f t="shared" si="3"/>
        <v>0</v>
      </c>
      <c r="K30" s="166"/>
      <c r="L30" s="176">
        <f t="shared" si="2"/>
        <v>0</v>
      </c>
      <c r="M30" s="176">
        <f t="shared" si="4"/>
        <v>0</v>
      </c>
      <c r="N30" s="183">
        <f t="shared" si="5"/>
        <v>0</v>
      </c>
      <c r="O30"/>
      <c r="P30"/>
      <c r="Q30"/>
      <c r="R30"/>
      <c r="S30"/>
      <c r="T30"/>
      <c r="U30"/>
      <c r="V30"/>
      <c r="W30"/>
      <c r="X30"/>
      <c r="Y30"/>
      <c r="Z30" s="344"/>
      <c r="AA30" s="364"/>
      <c r="AB30" s="364"/>
      <c r="AC30" s="364"/>
      <c r="AD30" s="329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</row>
    <row r="31" spans="1:94" s="153" customFormat="1" ht="15" x14ac:dyDescent="0.25">
      <c r="A31" s="139"/>
      <c r="B31" s="168"/>
      <c r="C31" s="245"/>
      <c r="D31" s="246" t="s">
        <v>36</v>
      </c>
      <c r="E31" s="150"/>
      <c r="F31" s="165"/>
      <c r="G31" s="166"/>
      <c r="H31" s="166"/>
      <c r="I31" s="166"/>
      <c r="J31" s="166"/>
      <c r="K31" s="166"/>
      <c r="L31" s="166"/>
      <c r="M31" s="166"/>
      <c r="N31" s="166"/>
      <c r="O31"/>
      <c r="P31"/>
      <c r="Q31"/>
      <c r="R31"/>
      <c r="S31"/>
      <c r="T31"/>
      <c r="U31"/>
      <c r="V31"/>
      <c r="W31"/>
      <c r="X31"/>
      <c r="Y31"/>
      <c r="Z31" s="344"/>
      <c r="AA31" s="364"/>
      <c r="AB31" s="364"/>
      <c r="AC31" s="364"/>
      <c r="AD31" s="329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</row>
    <row r="32" spans="1:94" s="177" customFormat="1" ht="15" x14ac:dyDescent="0.25">
      <c r="A32" s="185"/>
      <c r="B32" s="185"/>
      <c r="C32" s="244"/>
      <c r="D32" s="242"/>
      <c r="E32" s="173"/>
      <c r="F32" s="174">
        <v>0</v>
      </c>
      <c r="G32" s="175">
        <v>0</v>
      </c>
      <c r="H32" s="176">
        <f t="shared" ref="H32:H35" si="6">IF(AND($F32&lt;&gt;0,$G32&lt;&gt;0,OR($E32=1,$E32=3)),$F32*Health,0)</f>
        <v>0</v>
      </c>
      <c r="I32" s="176">
        <f t="shared" ref="I32:I34" si="7">IF(AND($E32=1,$C32=""),$G32*PermVB+$G32*Retire1,IF($E32=1,$G32*PermVB+$G32*VLOOKUP($C32,Retirement_Rates,3,FALSE),IF($E32=2,$G32*GroupVB,IF(AND($E32=3,$C32=""),$G32*ElectVB+$G32*Retire1,IF($E32=3,$G32*ElectVB+$G32*VLOOKUP($C32,Retirement_Rates,3,FALSE),0)))))</f>
        <v>0</v>
      </c>
      <c r="J32" s="279">
        <f t="shared" si="3"/>
        <v>0</v>
      </c>
      <c r="K32" s="166"/>
      <c r="L32" s="176">
        <f t="shared" ref="L32:L35" si="8">IF(AND($F32&lt;&gt;0,$G32&lt;&gt;0,OR($E32=1,$E32=3)),$F32*HealthCHG,0)</f>
        <v>0</v>
      </c>
      <c r="M32" s="176">
        <f t="shared" ref="M32:M35" si="9">IF(AND($E32=1,$C32=""),$G32*PermVBCHG+$G32*Retire1CHG,IF($E32=1,$G32*PermVBCHG+$G32*VLOOKUP($C32,Retirement_Rates,5,FALSE),IF($E32=2,0,IF(AND($E32=3,$C32=""),$G32*ElectVBCHG+$G32*Retire1CHG,IF($E32=3,$G32*ElectVBCHG+$G32*VLOOKUP($C32,Retirement_Rates,5,FALSE),0)))))</f>
        <v>0</v>
      </c>
      <c r="N32" s="176">
        <f t="shared" ref="N32:N35" si="10">SUM(L32:M32)</f>
        <v>0</v>
      </c>
      <c r="O32"/>
      <c r="P32"/>
      <c r="Q32"/>
      <c r="R32"/>
      <c r="S32"/>
      <c r="T32"/>
      <c r="U32"/>
      <c r="V32"/>
      <c r="W32"/>
      <c r="X32"/>
      <c r="Y32"/>
      <c r="Z32" s="344"/>
      <c r="AA32" s="364"/>
      <c r="AB32" s="364"/>
      <c r="AC32" s="364"/>
      <c r="AD32" s="329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</row>
    <row r="33" spans="1:94" s="177" customFormat="1" ht="15" x14ac:dyDescent="0.25">
      <c r="A33" s="186"/>
      <c r="B33" s="187"/>
      <c r="C33" s="244"/>
      <c r="D33" s="242"/>
      <c r="E33" s="180"/>
      <c r="F33" s="181">
        <v>0</v>
      </c>
      <c r="G33" s="182">
        <v>0</v>
      </c>
      <c r="H33" s="176">
        <f t="shared" si="6"/>
        <v>0</v>
      </c>
      <c r="I33" s="176">
        <f t="shared" si="7"/>
        <v>0</v>
      </c>
      <c r="J33" s="279">
        <f t="shared" si="3"/>
        <v>0</v>
      </c>
      <c r="K33" s="166"/>
      <c r="L33" s="176">
        <f t="shared" si="8"/>
        <v>0</v>
      </c>
      <c r="M33" s="176">
        <f t="shared" si="9"/>
        <v>0</v>
      </c>
      <c r="N33" s="183">
        <f t="shared" si="10"/>
        <v>0</v>
      </c>
      <c r="O33"/>
      <c r="P33"/>
      <c r="Q33"/>
      <c r="R33"/>
      <c r="S33"/>
      <c r="T33"/>
      <c r="U33"/>
      <c r="V33"/>
      <c r="W33"/>
      <c r="X33"/>
      <c r="Y33"/>
      <c r="Z33" s="344"/>
      <c r="AA33" s="364"/>
      <c r="AB33" s="364"/>
      <c r="AC33" s="364"/>
      <c r="AD33" s="329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</row>
    <row r="34" spans="1:94" s="177" customFormat="1" ht="15" x14ac:dyDescent="0.25">
      <c r="A34" s="186"/>
      <c r="B34" s="187"/>
      <c r="C34" s="244"/>
      <c r="D34" s="242"/>
      <c r="E34" s="180"/>
      <c r="F34" s="181">
        <v>0</v>
      </c>
      <c r="G34" s="182">
        <v>0</v>
      </c>
      <c r="H34" s="176">
        <f t="shared" si="6"/>
        <v>0</v>
      </c>
      <c r="I34" s="176">
        <f t="shared" si="7"/>
        <v>0</v>
      </c>
      <c r="J34" s="279">
        <f t="shared" si="3"/>
        <v>0</v>
      </c>
      <c r="K34" s="280"/>
      <c r="L34" s="176">
        <f t="shared" si="8"/>
        <v>0</v>
      </c>
      <c r="M34" s="176">
        <f t="shared" si="9"/>
        <v>0</v>
      </c>
      <c r="N34" s="183">
        <f t="shared" si="10"/>
        <v>0</v>
      </c>
      <c r="O34"/>
      <c r="P34"/>
      <c r="Q34"/>
      <c r="R34"/>
      <c r="S34"/>
      <c r="T34"/>
      <c r="U34"/>
      <c r="V34"/>
      <c r="W34"/>
      <c r="X34"/>
      <c r="Y34"/>
      <c r="Z34" s="344"/>
      <c r="AA34" s="364"/>
      <c r="AB34" s="364"/>
      <c r="AC34" s="364"/>
      <c r="AD34" s="329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</row>
    <row r="35" spans="1:94" s="177" customFormat="1" ht="15" x14ac:dyDescent="0.25">
      <c r="A35" s="186"/>
      <c r="B35" s="187"/>
      <c r="C35" s="244"/>
      <c r="D35" s="242"/>
      <c r="E35" s="180"/>
      <c r="F35" s="181">
        <v>0</v>
      </c>
      <c r="G35" s="182">
        <v>0</v>
      </c>
      <c r="H35" s="176">
        <f t="shared" si="6"/>
        <v>0</v>
      </c>
      <c r="I35" s="176">
        <f>IF(AND($E35=1,$C35=""),$G35*(PermVB+Retire1),IF($E35=1,$G35*PermVB+$G35*VLOOKUP($C35,Retirement_Rates,3,FALSE),IF($E35=2,$G35*GroupVB,IF(AND($E35=3,$C35=""),$G35*ElectVB+$G35*Retire1,IF($E35=3,$G35*ElectVB+$G35*VLOOKUP($C35,Retirement_Rates,3,FALSE),0)))))</f>
        <v>0</v>
      </c>
      <c r="J35" s="279">
        <f t="shared" si="3"/>
        <v>0</v>
      </c>
      <c r="K35" s="309"/>
      <c r="L35" s="176">
        <f t="shared" si="8"/>
        <v>0</v>
      </c>
      <c r="M35" s="176">
        <f t="shared" si="9"/>
        <v>0</v>
      </c>
      <c r="N35" s="183">
        <f t="shared" si="10"/>
        <v>0</v>
      </c>
      <c r="O35"/>
      <c r="P35"/>
      <c r="Q35"/>
      <c r="R35"/>
      <c r="S35"/>
      <c r="T35"/>
      <c r="U35"/>
      <c r="V35"/>
      <c r="W35"/>
      <c r="X35"/>
      <c r="Y35"/>
      <c r="Z35" s="344"/>
      <c r="AA35" s="364"/>
      <c r="AB35" s="364"/>
      <c r="AC35" s="364"/>
      <c r="AD35" s="329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</row>
    <row r="36" spans="1:94" s="213" customFormat="1" ht="15" x14ac:dyDescent="0.25">
      <c r="A36" s="281"/>
      <c r="B36" s="282"/>
      <c r="C36" s="283"/>
      <c r="D36" s="284"/>
      <c r="E36" s="285"/>
      <c r="F36" s="197"/>
      <c r="G36" s="259"/>
      <c r="H36" s="259"/>
      <c r="I36" s="259"/>
      <c r="J36" s="286"/>
      <c r="K36" s="280"/>
      <c r="L36" s="321"/>
      <c r="M36" s="259"/>
      <c r="N36" s="259"/>
      <c r="O36"/>
      <c r="P36"/>
      <c r="Q36"/>
      <c r="R36"/>
      <c r="S36"/>
      <c r="T36"/>
      <c r="U36"/>
      <c r="V36"/>
      <c r="W36"/>
      <c r="X36"/>
      <c r="Y36"/>
      <c r="Z36" s="344"/>
      <c r="AA36" s="364" t="s">
        <v>92</v>
      </c>
      <c r="AB36" s="333" t="s">
        <v>93</v>
      </c>
      <c r="AC36" s="333" t="s">
        <v>104</v>
      </c>
      <c r="AD36" s="330"/>
    </row>
    <row r="37" spans="1:94" s="153" customFormat="1" ht="17.25" customHeight="1" x14ac:dyDescent="0.25">
      <c r="A37" s="139"/>
      <c r="B37" s="188"/>
      <c r="C37" s="476" t="s">
        <v>37</v>
      </c>
      <c r="D37" s="477"/>
      <c r="E37" s="150"/>
      <c r="F37" s="165"/>
      <c r="G37" s="166"/>
      <c r="H37" s="166"/>
      <c r="I37" s="166"/>
      <c r="J37" s="322"/>
      <c r="K37" s="166"/>
      <c r="L37" s="166"/>
      <c r="M37" s="166"/>
      <c r="N37" s="166"/>
      <c r="O37"/>
      <c r="P37"/>
      <c r="Q37"/>
      <c r="R37"/>
      <c r="S37"/>
      <c r="T37"/>
      <c r="U37"/>
      <c r="V37"/>
      <c r="W37"/>
      <c r="X37"/>
      <c r="Y37"/>
      <c r="Z37" s="344"/>
      <c r="AA37" s="478" t="s">
        <v>105</v>
      </c>
      <c r="AB37" s="479"/>
      <c r="AC37" s="479"/>
      <c r="AD37" s="329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</row>
    <row r="38" spans="1:94" s="153" customFormat="1" ht="15" x14ac:dyDescent="0.25">
      <c r="A38" s="139"/>
      <c r="B38" s="188"/>
      <c r="C38" s="460" t="str">
        <f>perm_name</f>
        <v>Permanent Positions</v>
      </c>
      <c r="D38" s="461"/>
      <c r="E38" s="189">
        <v>1</v>
      </c>
      <c r="F38" s="190">
        <f>SUMIF($E9:$E35,$E38,$F9:$F35)</f>
        <v>19.600000000000001</v>
      </c>
      <c r="G38" s="191">
        <f>SUMIF($E10:$E35,$E38,$G10:$G35)</f>
        <v>1406692.7599999998</v>
      </c>
      <c r="H38" s="192">
        <f>SUMIF($E10:$E35,$E38,$H10:$H35)</f>
        <v>245000</v>
      </c>
      <c r="I38" s="192">
        <f>SUMIF($E10:$E35,$E38,$I10:$I35)</f>
        <v>288245.4134516</v>
      </c>
      <c r="J38" s="192">
        <f>SUM(G38:I38)</f>
        <v>1939938.1734515997</v>
      </c>
      <c r="K38" s="166"/>
      <c r="L38" s="191">
        <f>SUMIF($E10:$E35,$E38,$L10:$L35)</f>
        <v>24500</v>
      </c>
      <c r="M38" s="192">
        <f>SUMIF($E10:$E35,$E38,$M10:$M35)</f>
        <v>-10550.195700000015</v>
      </c>
      <c r="N38" s="192">
        <f>SUM(L38:M38)</f>
        <v>13949.804299999985</v>
      </c>
      <c r="O38"/>
      <c r="P38"/>
      <c r="Q38"/>
      <c r="R38"/>
      <c r="S38"/>
      <c r="T38"/>
      <c r="U38"/>
      <c r="V38"/>
      <c r="W38"/>
      <c r="X38"/>
      <c r="Y38"/>
      <c r="Z38" s="344"/>
      <c r="AA38" s="338">
        <f>ROUND(AdjPermSalary*CECPerm,-2)</f>
        <v>14100</v>
      </c>
      <c r="AB38" s="338">
        <f>ROUND((AdjPermVB*CECPerm+AdjPermVBBY*CECPerm),-2)</f>
        <v>2800</v>
      </c>
      <c r="AC38" s="338">
        <f>SUM(AA38:AB38)</f>
        <v>16900</v>
      </c>
      <c r="AD38" s="329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</row>
    <row r="39" spans="1:94" s="153" customFormat="1" ht="15" x14ac:dyDescent="0.25">
      <c r="A39" s="139"/>
      <c r="B39" s="188"/>
      <c r="C39" s="460" t="str">
        <f>Group_name</f>
        <v>Board &amp; Group Positions</v>
      </c>
      <c r="D39" s="461"/>
      <c r="E39" s="189">
        <v>2</v>
      </c>
      <c r="F39" s="151">
        <f>SUMIF($E9:$E35,$E39,$F9:$F35)</f>
        <v>0</v>
      </c>
      <c r="G39" s="193">
        <f>SUMIF($E10:$E35,$E39,$G10:$G35)</f>
        <v>0</v>
      </c>
      <c r="H39" s="152">
        <f>SUMIF($E10:$E35,$E39,$H10:$H35)</f>
        <v>0</v>
      </c>
      <c r="I39" s="152">
        <f>SUMIF($E10:$E35,$E39,$I10:$I35)</f>
        <v>0</v>
      </c>
      <c r="J39" s="152">
        <f>SUM(G39:I39)</f>
        <v>0</v>
      </c>
      <c r="K39" s="259"/>
      <c r="L39" s="193">
        <f>SUMIF($E10:$E35,$E39,$L10:$L35)</f>
        <v>0</v>
      </c>
      <c r="M39" s="152">
        <f>SUMIF($E11:$E37,$E39,$M11:$M37)</f>
        <v>0</v>
      </c>
      <c r="N39" s="152">
        <f>SUM(L39:M39)</f>
        <v>0</v>
      </c>
      <c r="O39"/>
      <c r="P39"/>
      <c r="Q39"/>
      <c r="R39"/>
      <c r="S39"/>
      <c r="T39"/>
      <c r="U39"/>
      <c r="V39"/>
      <c r="W39"/>
      <c r="X39"/>
      <c r="Y39"/>
      <c r="Z39" s="344"/>
      <c r="AA39" s="338">
        <f>ROUND(AdjGroupSalary*CECGroup,-2)</f>
        <v>0</v>
      </c>
      <c r="AB39" s="338">
        <f>ROUND(AdjGroupVB*CECGroup,-2)</f>
        <v>0</v>
      </c>
      <c r="AC39" s="338">
        <f>SUM(AA39:AB39)</f>
        <v>0</v>
      </c>
      <c r="AD39" s="329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</row>
    <row r="40" spans="1:94" s="153" customFormat="1" ht="15" x14ac:dyDescent="0.25">
      <c r="A40" s="139"/>
      <c r="B40" s="188"/>
      <c r="C40" s="365" t="str">
        <f>Elect_name</f>
        <v>Elected Officials &amp; Full Time Commissioners</v>
      </c>
      <c r="D40" s="366"/>
      <c r="E40" s="189">
        <v>3</v>
      </c>
      <c r="F40" s="151">
        <f>SUMIF($E9:$E35,$E40,$F9:$F35)</f>
        <v>0</v>
      </c>
      <c r="G40" s="193">
        <f>SUMIF($E10:$E35,$E40,$G10:$G35)</f>
        <v>0</v>
      </c>
      <c r="H40" s="152">
        <f>SUMIF($E10:$E35,$E40,$H10:$H35)</f>
        <v>0</v>
      </c>
      <c r="I40" s="152">
        <f>SUMIF($E10:$E35,$E40,$I10:$I35)</f>
        <v>0</v>
      </c>
      <c r="J40" s="152">
        <f>SUM(G40:I40)</f>
        <v>0</v>
      </c>
      <c r="K40" s="259"/>
      <c r="L40" s="193">
        <f>SUMIF($E10:$E35,$E40,$L10:$L35)</f>
        <v>0</v>
      </c>
      <c r="M40" s="152">
        <f>SUMIF($E10:$E35,$E40,$M10:$M35)</f>
        <v>0</v>
      </c>
      <c r="N40" s="152">
        <f>SUM(L40:M40)</f>
        <v>0</v>
      </c>
      <c r="O40"/>
      <c r="P40"/>
      <c r="Q40"/>
      <c r="R40"/>
      <c r="S40"/>
      <c r="T40"/>
      <c r="U40"/>
      <c r="V40"/>
      <c r="W40"/>
      <c r="X40"/>
      <c r="Y40"/>
      <c r="Z40" s="344"/>
      <c r="AA40" s="364"/>
      <c r="AB40" s="364"/>
      <c r="AC40" s="364"/>
      <c r="AD40" s="329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</row>
    <row r="41" spans="1:94" s="153" customFormat="1" ht="15" x14ac:dyDescent="0.25">
      <c r="A41" s="139"/>
      <c r="B41" s="188"/>
      <c r="C41" s="460" t="s">
        <v>38</v>
      </c>
      <c r="D41" s="461"/>
      <c r="E41" s="189"/>
      <c r="F41" s="161">
        <f>SUM(F38:F40)</f>
        <v>19.600000000000001</v>
      </c>
      <c r="G41" s="195">
        <f>SUM($G$38:$G$40)</f>
        <v>1406692.7599999998</v>
      </c>
      <c r="H41" s="162">
        <f>SUM($H$38:$H$40)</f>
        <v>245000</v>
      </c>
      <c r="I41" s="162">
        <f>SUM($I$38:$I$40)</f>
        <v>288245.4134516</v>
      </c>
      <c r="J41" s="162">
        <f>SUM($J$38:$J$40)</f>
        <v>1939938.1734515997</v>
      </c>
      <c r="K41" s="259"/>
      <c r="L41" s="195">
        <f>SUM($L$38:$L$40)</f>
        <v>24500</v>
      </c>
      <c r="M41" s="162">
        <f>SUM($M$38:$M$40)</f>
        <v>-10550.195700000015</v>
      </c>
      <c r="N41" s="162">
        <f>SUM(L41:M41)</f>
        <v>13949.804299999985</v>
      </c>
      <c r="O41"/>
      <c r="P41"/>
      <c r="Q41"/>
      <c r="R41"/>
      <c r="S41"/>
      <c r="T41"/>
      <c r="U41"/>
      <c r="V41"/>
      <c r="W41"/>
      <c r="X41"/>
      <c r="Y41"/>
      <c r="Z41" s="344"/>
      <c r="AA41" s="364" t="s">
        <v>92</v>
      </c>
      <c r="AB41" s="333" t="s">
        <v>93</v>
      </c>
      <c r="AC41" s="333" t="s">
        <v>104</v>
      </c>
      <c r="AD41" s="329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</row>
    <row r="42" spans="1:94" s="153" customFormat="1" ht="4.5" customHeight="1" x14ac:dyDescent="0.25">
      <c r="A42" s="139"/>
      <c r="B42" s="188"/>
      <c r="C42" s="462"/>
      <c r="D42" s="463"/>
      <c r="E42" s="196"/>
      <c r="F42" s="197"/>
      <c r="G42" s="198"/>
      <c r="H42" s="199"/>
      <c r="I42" s="199"/>
      <c r="J42" s="324"/>
      <c r="K42" s="200"/>
      <c r="L42" s="323"/>
      <c r="M42" s="323"/>
      <c r="N42" s="201"/>
      <c r="O42"/>
      <c r="P42"/>
      <c r="Q42"/>
      <c r="R42"/>
      <c r="S42"/>
      <c r="T42"/>
      <c r="U42"/>
      <c r="V42"/>
      <c r="W42"/>
      <c r="X42"/>
      <c r="Y42"/>
      <c r="Z42" s="344"/>
      <c r="AA42" s="364"/>
      <c r="AB42" s="364"/>
      <c r="AC42" s="364"/>
      <c r="AD42" s="329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</row>
    <row r="43" spans="1:94" s="153" customFormat="1" ht="15.75" customHeight="1" x14ac:dyDescent="0.25">
      <c r="A43" s="139"/>
      <c r="B43" s="202"/>
      <c r="C43" s="464" t="s">
        <v>39</v>
      </c>
      <c r="D43" s="465"/>
      <c r="E43" s="203" t="s">
        <v>40</v>
      </c>
      <c r="F43" s="205">
        <f>ROUND(F51-F41,2)</f>
        <v>4.0999999999999996</v>
      </c>
      <c r="G43" s="206">
        <f>G51-G41</f>
        <v>52326.161907212576</v>
      </c>
      <c r="H43" s="159">
        <f>H51-H41</f>
        <v>9113.5108047809335</v>
      </c>
      <c r="I43" s="159">
        <f>I51-I41</f>
        <v>10722.153836406942</v>
      </c>
      <c r="J43" s="159">
        <f>SUM(G43:I43)</f>
        <v>72161.826548400451</v>
      </c>
      <c r="K43" s="441" t="str">
        <f>IF(E51=0,"No Original Appropriation amount in DU 3.00 for this fund","Calculated "&amp;IF(J43&gt;0,"overfunding ","underfunding ")&amp;"is "&amp;TEXT(J43/J51,"#.0%;(#.0% );0%;")&amp;" of Original Appropriation")</f>
        <v>Calculated overfunding is 3.6% of Original Appropriation</v>
      </c>
      <c r="L43" s="442"/>
      <c r="M43" s="442"/>
      <c r="N43" s="443"/>
      <c r="O43"/>
      <c r="P43"/>
      <c r="Q43"/>
      <c r="R43"/>
      <c r="S43"/>
      <c r="T43"/>
      <c r="U43"/>
      <c r="V43"/>
      <c r="W43"/>
      <c r="X43"/>
      <c r="Y43"/>
      <c r="Z43" s="344"/>
      <c r="AA43" s="468" t="s">
        <v>106</v>
      </c>
      <c r="AB43" s="469"/>
      <c r="AC43" s="469"/>
      <c r="AD43" s="329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</row>
    <row r="44" spans="1:94" s="153" customFormat="1" ht="15.75" customHeight="1" x14ac:dyDescent="0.25">
      <c r="A44" s="139"/>
      <c r="B44" s="202"/>
      <c r="C44" s="466"/>
      <c r="D44" s="467"/>
      <c r="E44" s="204" t="s">
        <v>41</v>
      </c>
      <c r="F44" s="205">
        <f>ROUND(F60-F41,2)</f>
        <v>4.0999999999999996</v>
      </c>
      <c r="G44" s="206">
        <f>G60-G41</f>
        <v>52307.240000000224</v>
      </c>
      <c r="H44" s="159">
        <f>H60-H41</f>
        <v>9100</v>
      </c>
      <c r="I44" s="159">
        <f>I60-I41</f>
        <v>10754.586548399995</v>
      </c>
      <c r="J44" s="159">
        <f>SUM(G44:I44)</f>
        <v>72161.826548400219</v>
      </c>
      <c r="K44" s="441" t="str">
        <f>IF(J60=0,"This fund has zero estimated expenditures in DU 7.00",IF(J60=0,"ERROR! Verify/enter 6 series adjustments!","Calculated "&amp;IF(J44&gt;0,"overfunding ","underfunding ")&amp;"is "&amp;TEXT(J44/J60,"#.0%;(#.0% );0%;")&amp;" of Est. Expenditures"))</f>
        <v>Calculated overfunding is 3.6% of Est. Expenditures</v>
      </c>
      <c r="L44" s="442"/>
      <c r="M44" s="442"/>
      <c r="N44" s="443"/>
      <c r="O44"/>
      <c r="P44"/>
      <c r="Q44"/>
      <c r="R44"/>
      <c r="S44"/>
      <c r="T44"/>
      <c r="U44"/>
      <c r="V44"/>
      <c r="W44"/>
      <c r="X44"/>
      <c r="Y44"/>
      <c r="Z44" s="344"/>
      <c r="AA44" s="338">
        <f>NEW_AdjPermSalary-NEW_PermSalaryFilled</f>
        <v>0</v>
      </c>
      <c r="AB44" s="338">
        <f>NEW_AdjPermVB-NEW_PermVBFilled</f>
        <v>0</v>
      </c>
      <c r="AC44" s="338">
        <f>SUM(AA44:AB44)</f>
        <v>0</v>
      </c>
      <c r="AD44" s="329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</row>
    <row r="45" spans="1:94" s="153" customFormat="1" ht="15.75" customHeight="1" x14ac:dyDescent="0.25">
      <c r="A45" s="139"/>
      <c r="B45" s="202"/>
      <c r="C45" s="215"/>
      <c r="D45" s="215"/>
      <c r="E45" s="204" t="s">
        <v>97</v>
      </c>
      <c r="F45" s="205">
        <f>ROUND(F67-F41-F63,2)</f>
        <v>4.0999999999999996</v>
      </c>
      <c r="G45" s="206">
        <f>G67-G41-G63</f>
        <v>52307.240000000224</v>
      </c>
      <c r="H45" s="206">
        <f>H67-H41-H63</f>
        <v>9100</v>
      </c>
      <c r="I45" s="206">
        <f>I67-I41-I63</f>
        <v>10754.586548399995</v>
      </c>
      <c r="J45" s="159">
        <f>SUM(G45:I45)</f>
        <v>72161.826548400219</v>
      </c>
      <c r="K45" s="441" t="str">
        <f>IF(J67=0,"This fund has a $0 Base in DU 9.00",IF(J67=0,"ERROR! Verify/enter 8 series adjustments!","Calculated "&amp;IF(J45&gt;0,"overfunding ","underfunding ")&amp;"is "&amp;TEXT(J45/J67,"#.0%;(#.0% );0%;")&amp;" of the Base"))</f>
        <v>Calculated overfunding is 3.6% of the Base</v>
      </c>
      <c r="L45" s="442"/>
      <c r="M45" s="442"/>
      <c r="N45" s="443"/>
      <c r="O45"/>
      <c r="P45"/>
      <c r="Q45"/>
      <c r="R45"/>
      <c r="S45"/>
      <c r="T45"/>
      <c r="U45"/>
      <c r="V45"/>
      <c r="W45"/>
      <c r="X45"/>
      <c r="Y45"/>
      <c r="Z45" s="344"/>
      <c r="AA45" s="338">
        <f>NEW_AdjGroupSalary-NEW_GroupSalaryFilled</f>
        <v>0</v>
      </c>
      <c r="AB45" s="338">
        <f>NEW_AdjGroupVB-NEW_GroupVBFilled</f>
        <v>0</v>
      </c>
      <c r="AC45" s="338">
        <f>SUM(AA45:AB45)</f>
        <v>0</v>
      </c>
      <c r="AD45" s="329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</row>
    <row r="46" spans="1:94" s="153" customFormat="1" ht="28.5" customHeight="1" x14ac:dyDescent="0.25">
      <c r="A46" s="139"/>
      <c r="B46" s="202"/>
      <c r="C46" s="215"/>
      <c r="D46" s="215"/>
      <c r="E46" s="444" t="s">
        <v>98</v>
      </c>
      <c r="F46" s="445"/>
      <c r="G46" s="445"/>
      <c r="H46" s="445"/>
      <c r="I46" s="445"/>
      <c r="J46" s="446"/>
      <c r="K46" s="450" t="str">
        <f>IF(OR(J45&lt;0,F45&lt;0),"You may not have sufficient funding or authorized FTP, and may need to make additional adjustments to finalize this form.  Please contact both your DFM and LSO analysts.","")</f>
        <v/>
      </c>
      <c r="L46" s="451"/>
      <c r="M46" s="451"/>
      <c r="N46" s="452"/>
      <c r="O46"/>
      <c r="P46"/>
      <c r="Q46"/>
      <c r="R46"/>
      <c r="S46"/>
      <c r="T46"/>
      <c r="U46"/>
      <c r="V46"/>
      <c r="W46"/>
      <c r="X46"/>
      <c r="Y46"/>
      <c r="Z46" s="344"/>
      <c r="AA46" s="364"/>
      <c r="AB46" s="364"/>
      <c r="AC46" s="364"/>
      <c r="AD46" s="329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</row>
    <row r="47" spans="1:94" s="153" customFormat="1" ht="21.75" customHeight="1" x14ac:dyDescent="0.25">
      <c r="A47" s="139"/>
      <c r="B47" s="202"/>
      <c r="C47" s="215"/>
      <c r="D47" s="215"/>
      <c r="E47" s="447"/>
      <c r="F47" s="448"/>
      <c r="G47" s="448"/>
      <c r="H47" s="448"/>
      <c r="I47" s="448"/>
      <c r="J47" s="449"/>
      <c r="K47" s="453"/>
      <c r="L47" s="454"/>
      <c r="M47" s="454"/>
      <c r="N47" s="455"/>
      <c r="O47"/>
      <c r="P47"/>
      <c r="Q47"/>
      <c r="R47"/>
      <c r="S47"/>
      <c r="T47"/>
      <c r="U47"/>
      <c r="V47"/>
      <c r="W47"/>
      <c r="X47"/>
      <c r="Y47"/>
      <c r="Z47" s="344"/>
      <c r="AA47" s="364"/>
      <c r="AB47" s="364"/>
      <c r="AC47" s="364"/>
      <c r="AD47" s="329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</row>
    <row r="48" spans="1:94" s="214" customFormat="1" ht="8.25" customHeight="1" x14ac:dyDescent="0.25">
      <c r="A48" s="207"/>
      <c r="B48" s="208"/>
      <c r="C48" s="136"/>
      <c r="D48" s="136"/>
      <c r="E48" s="209"/>
      <c r="F48" s="210"/>
      <c r="G48" s="211"/>
      <c r="H48" s="211"/>
      <c r="I48" s="211"/>
      <c r="J48" s="211"/>
      <c r="K48" s="211"/>
      <c r="L48" s="137"/>
      <c r="M48" s="138"/>
      <c r="N48" s="212"/>
      <c r="O48"/>
      <c r="P48"/>
      <c r="Q48"/>
      <c r="R48"/>
      <c r="S48"/>
      <c r="T48"/>
      <c r="U48"/>
      <c r="V48"/>
      <c r="W48"/>
      <c r="X48"/>
      <c r="Y48"/>
      <c r="Z48" s="344"/>
      <c r="AA48" s="339"/>
      <c r="AB48" s="339"/>
      <c r="AC48" s="339"/>
      <c r="AD48" s="330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  <c r="CM48" s="213"/>
      <c r="CN48" s="213"/>
      <c r="CO48" s="213"/>
      <c r="CP48" s="213"/>
    </row>
    <row r="49" spans="1:94" s="53" customFormat="1" ht="6" customHeight="1" x14ac:dyDescent="0.25">
      <c r="A49" s="63"/>
      <c r="B49" s="64"/>
      <c r="C49" s="65"/>
      <c r="D49" s="66"/>
      <c r="E49" s="67"/>
      <c r="F49" s="68"/>
      <c r="G49" s="64"/>
      <c r="H49" s="64"/>
      <c r="I49" s="64"/>
      <c r="J49" s="64"/>
      <c r="K49" s="64"/>
      <c r="L49" s="69"/>
      <c r="M49" s="69"/>
      <c r="N49" s="70"/>
      <c r="O49"/>
      <c r="P49"/>
      <c r="Q49"/>
      <c r="R49"/>
      <c r="S49"/>
      <c r="T49"/>
      <c r="U49"/>
      <c r="V49"/>
      <c r="W49"/>
      <c r="X49"/>
      <c r="Y49"/>
      <c r="Z49" s="344"/>
      <c r="AA49" s="364"/>
      <c r="AB49" s="364"/>
      <c r="AC49" s="364"/>
      <c r="AD49" s="110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</row>
    <row r="50" spans="1:94" s="53" customFormat="1" ht="24.75" customHeight="1" x14ac:dyDescent="0.25">
      <c r="A50" s="257" t="s">
        <v>42</v>
      </c>
      <c r="B50" s="71"/>
      <c r="C50" s="456"/>
      <c r="D50" s="457"/>
      <c r="E50" s="72" t="s">
        <v>43</v>
      </c>
      <c r="F50" s="73" t="s">
        <v>24</v>
      </c>
      <c r="G50" s="72" t="str">
        <f>"FY "&amp;M4-2001&amp;" Salary"</f>
        <v>FY 23 Salary</v>
      </c>
      <c r="H50" s="72" t="str">
        <f>"FY "&amp;M4-2001&amp;" Health Ben"</f>
        <v>FY 23 Health Ben</v>
      </c>
      <c r="I50" s="72" t="str">
        <f>"FY "&amp;M4-2001&amp;" Var Ben"</f>
        <v>FY 23 Var Ben</v>
      </c>
      <c r="J50" s="72" t="str">
        <f>"FY "&amp;M4-1&amp;" Total"</f>
        <v>FY 2023 Total</v>
      </c>
      <c r="K50" s="307" t="str">
        <f>"FY "&amp;FiscalYear&amp;" SALARY CHG"</f>
        <v>FY 2024 SALARY CHG</v>
      </c>
      <c r="L50" s="74" t="str">
        <f>"FY "&amp;M4-2000&amp;" Chg Health Bens"</f>
        <v>FY 24 Chg Health Bens</v>
      </c>
      <c r="M50" s="74" t="str">
        <f>"FY "&amp;M4-2000&amp;" Chg Var Bens"</f>
        <v>FY 24 Chg Var Bens</v>
      </c>
      <c r="N50" s="74" t="s">
        <v>44</v>
      </c>
      <c r="O50"/>
      <c r="P50"/>
      <c r="Q50"/>
      <c r="R50"/>
      <c r="S50"/>
      <c r="T50"/>
      <c r="U50"/>
      <c r="V50"/>
      <c r="W50"/>
      <c r="X50"/>
      <c r="Y50"/>
      <c r="Z50" s="344"/>
      <c r="AA50" s="364"/>
      <c r="AB50" s="364"/>
      <c r="AC50" s="364"/>
      <c r="AD50" s="110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</row>
    <row r="51" spans="1:94" s="53" customFormat="1" ht="15.75" customHeight="1" x14ac:dyDescent="0.25">
      <c r="A51" s="75">
        <v>3</v>
      </c>
      <c r="B51" s="76" t="s">
        <v>45</v>
      </c>
      <c r="C51" s="54" t="str">
        <f>"FY "&amp;M4-1</f>
        <v>FY 2023</v>
      </c>
      <c r="D51" s="77" t="s">
        <v>31</v>
      </c>
      <c r="E51" s="78">
        <f>OrigApprop</f>
        <v>2012100</v>
      </c>
      <c r="F51" s="272">
        <f>AppropFTP</f>
        <v>23.7</v>
      </c>
      <c r="G51" s="274">
        <f>IF(E51=0,0,(G41/$J$41)*$E$51)</f>
        <v>1459018.9219072124</v>
      </c>
      <c r="H51" s="274">
        <f>IF(E51=0,0,(H41/$J$41)*$E$51)</f>
        <v>254113.51080478093</v>
      </c>
      <c r="I51" s="275">
        <f>IF(E51=0,0,(I41/$J$41)*$E$51)</f>
        <v>298967.56728800695</v>
      </c>
      <c r="J51" s="90">
        <f>SUM(G51:I51)</f>
        <v>2012100.0000000002</v>
      </c>
      <c r="K51" s="263"/>
      <c r="L51" s="61"/>
      <c r="M51" s="81"/>
      <c r="N51" s="81"/>
      <c r="O51"/>
      <c r="P51"/>
      <c r="Q51"/>
      <c r="R51"/>
      <c r="S51"/>
      <c r="T51"/>
      <c r="U51"/>
      <c r="V51"/>
      <c r="W51"/>
      <c r="X51"/>
      <c r="Y51"/>
      <c r="Z51" s="344"/>
      <c r="AA51" s="346"/>
      <c r="AB51" s="364"/>
      <c r="AC51" s="364"/>
      <c r="AD51" s="110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</row>
    <row r="52" spans="1:94" s="53" customFormat="1" ht="15.75" customHeight="1" x14ac:dyDescent="0.25">
      <c r="A52" s="82"/>
      <c r="B52" s="83"/>
      <c r="C52" s="84"/>
      <c r="D52" s="132" t="s">
        <v>46</v>
      </c>
      <c r="E52" s="133"/>
      <c r="F52" s="55">
        <f>F51</f>
        <v>23.7</v>
      </c>
      <c r="G52" s="79">
        <f>ROUND(G51,-2)</f>
        <v>1459000</v>
      </c>
      <c r="H52" s="79">
        <f>ROUND(H51,-2)</f>
        <v>254100</v>
      </c>
      <c r="I52" s="266">
        <f>ROUND(I51,-2)</f>
        <v>299000</v>
      </c>
      <c r="J52" s="80">
        <f>ROUND(J51,-2)</f>
        <v>2012100</v>
      </c>
      <c r="K52" s="263"/>
      <c r="L52" s="61"/>
      <c r="M52" s="81"/>
      <c r="N52" s="81"/>
      <c r="O52"/>
      <c r="P52"/>
      <c r="Q52"/>
      <c r="R52"/>
      <c r="S52"/>
      <c r="T52"/>
      <c r="U52"/>
      <c r="V52"/>
      <c r="W52"/>
      <c r="X52"/>
      <c r="Y52"/>
      <c r="Z52" s="344"/>
      <c r="AA52" s="347"/>
      <c r="AB52" s="364"/>
      <c r="AC52" s="364"/>
      <c r="AD52" s="110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</row>
    <row r="53" spans="1:94" s="53" customFormat="1" ht="15" x14ac:dyDescent="0.25">
      <c r="A53" s="85"/>
      <c r="B53" s="83"/>
      <c r="C53" s="458" t="s">
        <v>47</v>
      </c>
      <c r="D53" s="459"/>
      <c r="E53" s="271"/>
      <c r="F53" s="273"/>
      <c r="G53" s="62"/>
      <c r="H53" s="62"/>
      <c r="I53" s="62"/>
      <c r="J53" s="62"/>
      <c r="K53" s="62"/>
      <c r="L53" s="61"/>
      <c r="M53" s="86"/>
      <c r="N53" s="86"/>
      <c r="O53"/>
      <c r="P53"/>
      <c r="Q53"/>
      <c r="R53"/>
      <c r="S53"/>
      <c r="T53"/>
      <c r="U53"/>
      <c r="V53"/>
      <c r="W53"/>
      <c r="X53"/>
      <c r="Y53"/>
      <c r="Z53" s="344"/>
      <c r="AA53" s="364"/>
      <c r="AB53" s="364"/>
      <c r="AC53" s="364"/>
      <c r="AD53" s="110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</row>
    <row r="54" spans="1:94" s="53" customFormat="1" ht="15.75" customHeight="1" x14ac:dyDescent="0.25">
      <c r="A54" s="85">
        <v>4.1100000000000003</v>
      </c>
      <c r="B54" s="83"/>
      <c r="C54" s="423" t="s">
        <v>48</v>
      </c>
      <c r="D54" s="424"/>
      <c r="E54" s="59"/>
      <c r="F54" s="58">
        <v>0</v>
      </c>
      <c r="G54" s="88">
        <v>0</v>
      </c>
      <c r="H54" s="88">
        <v>0</v>
      </c>
      <c r="I54" s="265">
        <v>0</v>
      </c>
      <c r="J54" s="89">
        <f>SUM(G54:I54)</f>
        <v>0</v>
      </c>
      <c r="K54" s="62"/>
      <c r="L54" s="61"/>
      <c r="M54" s="86"/>
      <c r="N54" s="86"/>
      <c r="O54"/>
      <c r="P54"/>
      <c r="Q54"/>
      <c r="R54"/>
      <c r="S54"/>
      <c r="T54"/>
      <c r="U54"/>
      <c r="V54"/>
      <c r="W54"/>
      <c r="X54"/>
      <c r="Y54"/>
      <c r="Z54" s="344"/>
      <c r="AA54" s="364"/>
      <c r="AB54" s="364"/>
      <c r="AC54" s="364"/>
      <c r="AD54" s="110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</row>
    <row r="55" spans="1:94" s="53" customFormat="1" ht="15.75" customHeight="1" x14ac:dyDescent="0.25">
      <c r="A55" s="85">
        <v>4.3099999999999996</v>
      </c>
      <c r="B55" s="83"/>
      <c r="C55" s="430" t="s">
        <v>49</v>
      </c>
      <c r="D55" s="431"/>
      <c r="E55" s="59"/>
      <c r="F55" s="277">
        <v>0</v>
      </c>
      <c r="G55" s="92">
        <v>0</v>
      </c>
      <c r="H55" s="92">
        <v>0</v>
      </c>
      <c r="I55" s="264">
        <v>0</v>
      </c>
      <c r="J55" s="287">
        <f>SUM(G55:I55)</f>
        <v>0</v>
      </c>
      <c r="K55" s="62"/>
      <c r="L55" s="88"/>
      <c r="M55" s="261"/>
      <c r="N55" s="89">
        <f>SUM(L55:M55)</f>
        <v>0</v>
      </c>
      <c r="O55"/>
      <c r="P55"/>
      <c r="Q55"/>
      <c r="R55"/>
      <c r="S55"/>
      <c r="T55"/>
      <c r="U55"/>
      <c r="V55"/>
      <c r="W55"/>
      <c r="X55"/>
      <c r="Y55"/>
      <c r="Z55" s="344"/>
      <c r="AA55" s="364"/>
      <c r="AB55" s="364"/>
      <c r="AC55" s="364"/>
      <c r="AD55" s="110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</row>
    <row r="56" spans="1:94" s="53" customFormat="1" ht="15.75" customHeight="1" x14ac:dyDescent="0.25">
      <c r="A56" s="75">
        <v>5</v>
      </c>
      <c r="B56" s="76"/>
      <c r="C56" s="54" t="str">
        <f>"FY "&amp;M4-1</f>
        <v>FY 2023</v>
      </c>
      <c r="D56" s="131" t="s">
        <v>50</v>
      </c>
      <c r="E56" s="135"/>
      <c r="F56" s="55">
        <f>SUM(F52:F55)</f>
        <v>23.7</v>
      </c>
      <c r="G56" s="80">
        <f>SUM(G52:G55)</f>
        <v>1459000</v>
      </c>
      <c r="H56" s="80">
        <f>SUM(H52:H55)</f>
        <v>254100</v>
      </c>
      <c r="I56" s="260">
        <f>SUM(I52:I55)</f>
        <v>299000</v>
      </c>
      <c r="J56" s="80">
        <f>SUM(J52:J55)</f>
        <v>2012100</v>
      </c>
      <c r="K56" s="263"/>
      <c r="L56" s="61"/>
      <c r="M56" s="61"/>
      <c r="N56" s="61"/>
      <c r="O56"/>
      <c r="P56"/>
      <c r="Q56"/>
      <c r="R56"/>
      <c r="S56"/>
      <c r="T56"/>
      <c r="U56"/>
      <c r="V56"/>
      <c r="W56"/>
      <c r="X56"/>
      <c r="Y56"/>
      <c r="Z56" s="344"/>
      <c r="AA56" s="364"/>
      <c r="AB56" s="364"/>
      <c r="AC56" s="364"/>
      <c r="AD56" s="110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</row>
    <row r="57" spans="1:94" s="53" customFormat="1" ht="15.75" customHeight="1" x14ac:dyDescent="0.25">
      <c r="A57" s="85"/>
      <c r="B57" s="83"/>
      <c r="C57" s="428" t="s">
        <v>51</v>
      </c>
      <c r="D57" s="432"/>
      <c r="E57" s="368"/>
      <c r="F57" s="273"/>
      <c r="G57" s="62"/>
      <c r="H57" s="62"/>
      <c r="I57" s="62"/>
      <c r="J57" s="62"/>
      <c r="K57" s="62"/>
      <c r="L57" s="61"/>
      <c r="M57" s="61"/>
      <c r="N57" s="61"/>
      <c r="O57"/>
      <c r="P57"/>
      <c r="Q57"/>
      <c r="R57"/>
      <c r="S57"/>
      <c r="T57"/>
      <c r="U57"/>
      <c r="V57"/>
      <c r="W57"/>
      <c r="X57"/>
      <c r="Y57"/>
      <c r="Z57" s="344"/>
      <c r="AA57" s="364"/>
      <c r="AB57" s="364"/>
      <c r="AC57" s="364"/>
      <c r="AD57" s="110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</row>
    <row r="58" spans="1:94" s="53" customFormat="1" ht="15.75" customHeight="1" x14ac:dyDescent="0.25">
      <c r="A58" s="85">
        <v>6.31</v>
      </c>
      <c r="B58" s="83"/>
      <c r="C58" s="433" t="s">
        <v>116</v>
      </c>
      <c r="D58" s="434"/>
      <c r="E58" s="102"/>
      <c r="F58" s="58">
        <v>0</v>
      </c>
      <c r="G58" s="88">
        <v>0</v>
      </c>
      <c r="H58" s="88">
        <v>0</v>
      </c>
      <c r="I58" s="265"/>
      <c r="J58" s="89">
        <f>SUM(G58:I58)</f>
        <v>0</v>
      </c>
      <c r="K58" s="62"/>
      <c r="L58" s="88"/>
      <c r="M58" s="262"/>
      <c r="N58" s="89">
        <f>SUM(L58:M58)</f>
        <v>0</v>
      </c>
      <c r="O58"/>
      <c r="P58"/>
      <c r="Q58"/>
      <c r="R58"/>
      <c r="S58"/>
      <c r="T58"/>
      <c r="U58"/>
      <c r="V58"/>
      <c r="W58"/>
      <c r="X58"/>
      <c r="Y58"/>
      <c r="Z58" s="344"/>
      <c r="AA58" s="364"/>
      <c r="AB58" s="364"/>
      <c r="AC58" s="364"/>
      <c r="AD58" s="110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</row>
    <row r="59" spans="1:94" s="53" customFormat="1" ht="15.75" customHeight="1" x14ac:dyDescent="0.25">
      <c r="A59" s="85">
        <v>6.41</v>
      </c>
      <c r="B59" s="83"/>
      <c r="C59" s="433" t="s">
        <v>52</v>
      </c>
      <c r="D59" s="434"/>
      <c r="E59" s="102"/>
      <c r="F59" s="58">
        <v>0</v>
      </c>
      <c r="G59" s="88">
        <v>0</v>
      </c>
      <c r="H59" s="92">
        <v>0</v>
      </c>
      <c r="I59" s="264">
        <v>0</v>
      </c>
      <c r="J59" s="267">
        <f>SUM(G59:I59)</f>
        <v>0</v>
      </c>
      <c r="K59" s="62"/>
      <c r="L59" s="88"/>
      <c r="M59" s="261"/>
      <c r="N59" s="89">
        <f>SUM(L59:M59)</f>
        <v>0</v>
      </c>
      <c r="O59"/>
      <c r="P59"/>
      <c r="Q59"/>
      <c r="R59"/>
      <c r="S59"/>
      <c r="T59"/>
      <c r="U59"/>
      <c r="V59"/>
      <c r="W59"/>
      <c r="X59"/>
      <c r="Y59"/>
      <c r="Z59" s="344"/>
      <c r="AA59" s="364"/>
      <c r="AB59" s="364"/>
      <c r="AC59" s="364"/>
      <c r="AD59" s="110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</row>
    <row r="60" spans="1:94" s="53" customFormat="1" ht="15.75" customHeight="1" x14ac:dyDescent="0.25">
      <c r="A60" s="75">
        <v>7</v>
      </c>
      <c r="B60" s="76"/>
      <c r="C60" s="54" t="str">
        <f>"FY "&amp;M4-1</f>
        <v>FY 2023</v>
      </c>
      <c r="D60" s="131" t="s">
        <v>53</v>
      </c>
      <c r="E60" s="135"/>
      <c r="F60" s="55">
        <f>SUM(F56:F59)</f>
        <v>23.7</v>
      </c>
      <c r="G60" s="80">
        <f>SUM(G56:G59)</f>
        <v>1459000</v>
      </c>
      <c r="H60" s="80">
        <f>SUM(H56:H59)</f>
        <v>254100</v>
      </c>
      <c r="I60" s="260">
        <f>SUM(I56:I59)</f>
        <v>299000</v>
      </c>
      <c r="J60" s="80">
        <f>SUM(J56:J59)</f>
        <v>2012100</v>
      </c>
      <c r="K60" s="263"/>
      <c r="L60" s="61"/>
      <c r="M60" s="61"/>
      <c r="N60" s="60"/>
      <c r="O60"/>
      <c r="P60"/>
      <c r="Q60"/>
      <c r="R60"/>
      <c r="S60"/>
      <c r="T60"/>
      <c r="U60"/>
      <c r="V60"/>
      <c r="W60"/>
      <c r="X60"/>
      <c r="Y60"/>
      <c r="Z60" s="344"/>
      <c r="AA60" s="364"/>
      <c r="AB60" s="364"/>
      <c r="AC60" s="364"/>
      <c r="AD60" s="110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</row>
    <row r="61" spans="1:94" s="53" customFormat="1" ht="15.75" customHeight="1" x14ac:dyDescent="0.25">
      <c r="A61" s="85"/>
      <c r="B61" s="83"/>
      <c r="C61" s="428" t="s">
        <v>54</v>
      </c>
      <c r="D61" s="432"/>
      <c r="E61" s="368"/>
      <c r="F61" s="273"/>
      <c r="G61" s="62"/>
      <c r="H61" s="62"/>
      <c r="I61" s="62"/>
      <c r="J61" s="62"/>
      <c r="K61" s="62"/>
      <c r="L61" s="61"/>
      <c r="M61" s="61"/>
      <c r="N61" s="60"/>
      <c r="O61"/>
      <c r="P61"/>
      <c r="Q61"/>
      <c r="R61"/>
      <c r="S61"/>
      <c r="T61"/>
      <c r="U61"/>
      <c r="V61"/>
      <c r="W61"/>
      <c r="X61"/>
      <c r="Y61"/>
      <c r="Z61" s="344"/>
      <c r="AA61" s="364"/>
      <c r="AB61" s="364"/>
      <c r="AC61" s="364"/>
      <c r="AD61" s="110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</row>
    <row r="62" spans="1:94" s="53" customFormat="1" ht="15.75" customHeight="1" x14ac:dyDescent="0.25">
      <c r="A62" s="85">
        <v>8.31</v>
      </c>
      <c r="B62" s="83"/>
      <c r="C62" s="423" t="s">
        <v>65</v>
      </c>
      <c r="D62" s="424"/>
      <c r="E62" s="102"/>
      <c r="F62" s="58">
        <v>0</v>
      </c>
      <c r="G62" s="88">
        <v>0</v>
      </c>
      <c r="H62" s="91">
        <v>0</v>
      </c>
      <c r="I62" s="276">
        <v>0</v>
      </c>
      <c r="J62" s="89">
        <f>SUM(G62:I62)</f>
        <v>0</v>
      </c>
      <c r="K62" s="62"/>
      <c r="L62" s="88"/>
      <c r="M62" s="261"/>
      <c r="N62" s="89">
        <f>SUM(L62:M62)</f>
        <v>0</v>
      </c>
      <c r="O62"/>
      <c r="P62"/>
      <c r="Q62"/>
      <c r="R62"/>
      <c r="S62"/>
      <c r="T62"/>
      <c r="U62"/>
      <c r="V62"/>
      <c r="W62"/>
      <c r="X62"/>
      <c r="Y62"/>
      <c r="Z62" s="344"/>
      <c r="AA62" s="364"/>
      <c r="AB62" s="364"/>
      <c r="AC62" s="364"/>
      <c r="AD62" s="110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</row>
    <row r="63" spans="1:94" s="53" customFormat="1" ht="15.75" customHeight="1" x14ac:dyDescent="0.25">
      <c r="A63" s="85">
        <v>8.41</v>
      </c>
      <c r="B63" s="83"/>
      <c r="C63" s="423" t="s">
        <v>55</v>
      </c>
      <c r="D63" s="424"/>
      <c r="E63" s="102"/>
      <c r="F63" s="58">
        <v>0</v>
      </c>
      <c r="G63" s="89">
        <f>ROUND((OneTimePC_Total-H63)/(1+(PermVB+Retire1)),-2)</f>
        <v>0</v>
      </c>
      <c r="H63" s="89">
        <f>ROUND(IF(AND(F63&lt;0,OneTimePC_Total&lt;0),F63*Health,0),-2)</f>
        <v>0</v>
      </c>
      <c r="I63" s="310">
        <f>OneTimePC_Total-G63-H63</f>
        <v>0</v>
      </c>
      <c r="J63" s="89">
        <v>0</v>
      </c>
      <c r="K63" s="308"/>
      <c r="L63" s="88"/>
      <c r="M63" s="261"/>
      <c r="N63" s="89">
        <f>SUM(L63:M63)</f>
        <v>0</v>
      </c>
      <c r="O63"/>
      <c r="P63"/>
      <c r="Q63"/>
      <c r="R63"/>
      <c r="S63"/>
      <c r="T63"/>
      <c r="U63"/>
      <c r="V63"/>
      <c r="W63"/>
      <c r="X63"/>
      <c r="Y63"/>
      <c r="Z63" s="344"/>
      <c r="AA63" s="364"/>
      <c r="AB63" s="364"/>
      <c r="AC63" s="364"/>
      <c r="AD63" s="110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</row>
    <row r="64" spans="1:94" s="53" customFormat="1" ht="15.75" customHeight="1" thickBot="1" x14ac:dyDescent="0.3">
      <c r="A64" s="93">
        <v>8.51</v>
      </c>
      <c r="B64" s="93"/>
      <c r="C64" s="435" t="s">
        <v>56</v>
      </c>
      <c r="D64" s="436"/>
      <c r="E64" s="134"/>
      <c r="F64" s="58">
        <v>0</v>
      </c>
      <c r="G64" s="88">
        <v>0</v>
      </c>
      <c r="H64" s="88">
        <v>0</v>
      </c>
      <c r="I64" s="265">
        <v>0</v>
      </c>
      <c r="J64" s="89">
        <f>SUM(G64:I64)</f>
        <v>0</v>
      </c>
      <c r="K64" s="62"/>
      <c r="L64" s="88"/>
      <c r="M64" s="261"/>
      <c r="N64" s="89">
        <f>SUM(L64:M64)</f>
        <v>0</v>
      </c>
      <c r="O64"/>
      <c r="P64"/>
      <c r="Q64"/>
      <c r="R64"/>
      <c r="S64"/>
      <c r="T64"/>
      <c r="U64"/>
      <c r="V64"/>
      <c r="W64"/>
      <c r="X64"/>
      <c r="Y64"/>
      <c r="Z64" s="344"/>
      <c r="AA64" s="364"/>
      <c r="AB64" s="364"/>
      <c r="AC64" s="364"/>
      <c r="AD64" s="110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</row>
    <row r="65" spans="1:94" s="53" customFormat="1" ht="6" customHeight="1" thickTop="1" x14ac:dyDescent="0.25">
      <c r="A65" s="94"/>
      <c r="B65" s="95"/>
      <c r="C65" s="437"/>
      <c r="D65" s="438"/>
      <c r="E65" s="96"/>
      <c r="F65" s="97"/>
      <c r="G65" s="98"/>
      <c r="H65" s="98"/>
      <c r="I65" s="98"/>
      <c r="J65" s="98"/>
      <c r="K65" s="98"/>
      <c r="L65" s="98"/>
      <c r="M65" s="99"/>
      <c r="N65" s="95"/>
      <c r="O65"/>
      <c r="P65"/>
      <c r="Q65"/>
      <c r="R65"/>
      <c r="S65"/>
      <c r="T65"/>
      <c r="U65"/>
      <c r="V65"/>
      <c r="W65"/>
      <c r="X65"/>
      <c r="Y65"/>
      <c r="Z65" s="344"/>
      <c r="AA65" s="364"/>
      <c r="AB65" s="364"/>
      <c r="AC65" s="364"/>
      <c r="AD65" s="110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</row>
    <row r="66" spans="1:94" s="107" customFormat="1" ht="15" x14ac:dyDescent="0.25">
      <c r="A66" s="100"/>
      <c r="B66" s="101"/>
      <c r="C66" s="439"/>
      <c r="D66" s="440"/>
      <c r="E66" s="102"/>
      <c r="F66" s="103" t="s">
        <v>24</v>
      </c>
      <c r="G66" s="104" t="str">
        <f>"FY "&amp;M4-2000&amp;" Salary"</f>
        <v>FY 24 Salary</v>
      </c>
      <c r="H66" s="104" t="str">
        <f>"FY"&amp;M4-2000&amp;" Health Ben"</f>
        <v>FY24 Health Ben</v>
      </c>
      <c r="I66" s="104" t="str">
        <f>"FY "&amp;M4-2000&amp;" Var Ben"</f>
        <v>FY 24 Var Ben</v>
      </c>
      <c r="J66" s="104" t="str">
        <f>"FY "&amp;M4&amp;" Total"</f>
        <v>FY 2024 Total</v>
      </c>
      <c r="K66" s="104"/>
      <c r="L66" s="105"/>
      <c r="M66" s="105"/>
      <c r="N66" s="101"/>
      <c r="O66"/>
      <c r="P66"/>
      <c r="Q66"/>
      <c r="R66"/>
      <c r="S66"/>
      <c r="T66"/>
      <c r="U66"/>
      <c r="V66"/>
      <c r="W66"/>
      <c r="X66"/>
      <c r="Y66"/>
      <c r="Z66" s="344"/>
      <c r="AA66" s="339"/>
      <c r="AB66" s="339"/>
      <c r="AC66" s="339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</row>
    <row r="67" spans="1:94" s="53" customFormat="1" ht="15" x14ac:dyDescent="0.25">
      <c r="A67" s="82">
        <v>9</v>
      </c>
      <c r="B67" s="83"/>
      <c r="C67" s="84" t="str">
        <f>"FY "&amp;M4</f>
        <v>FY 2024</v>
      </c>
      <c r="D67" s="108" t="s">
        <v>57</v>
      </c>
      <c r="E67" s="109"/>
      <c r="F67" s="55">
        <f>SUM(F60:F64)</f>
        <v>23.7</v>
      </c>
      <c r="G67" s="80">
        <f>SUM(G60:G64)</f>
        <v>1459000</v>
      </c>
      <c r="H67" s="80">
        <f>SUM(H60:H64)</f>
        <v>254100</v>
      </c>
      <c r="I67" s="80">
        <f>SUM(I60:I64)</f>
        <v>299000</v>
      </c>
      <c r="J67" s="80">
        <f>SUM(J60:J64)</f>
        <v>2012100</v>
      </c>
      <c r="K67" s="263"/>
      <c r="L67" s="110"/>
      <c r="M67" s="110"/>
      <c r="N67" s="111"/>
      <c r="O67"/>
      <c r="P67"/>
      <c r="Q67"/>
      <c r="R67"/>
      <c r="S67"/>
      <c r="T67"/>
      <c r="U67"/>
      <c r="V67"/>
      <c r="W67"/>
      <c r="X67"/>
      <c r="Y67"/>
      <c r="Z67" s="344"/>
      <c r="AA67" s="364"/>
      <c r="AB67" s="364"/>
      <c r="AC67" s="364"/>
      <c r="AD67" s="110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</row>
    <row r="68" spans="1:94" s="53" customFormat="1" ht="15.75" customHeight="1" x14ac:dyDescent="0.25">
      <c r="A68" s="85">
        <v>10.11</v>
      </c>
      <c r="B68" s="83"/>
      <c r="C68" s="428" t="s">
        <v>58</v>
      </c>
      <c r="D68" s="429"/>
      <c r="E68" s="112"/>
      <c r="F68" s="288"/>
      <c r="G68" s="287"/>
      <c r="H68" s="113">
        <f>IF(DUNine=0,0,ROUND(SUM(L41:L65),-2))</f>
        <v>24500</v>
      </c>
      <c r="I68" s="113"/>
      <c r="J68" s="287">
        <f>SUM(G68:I68)</f>
        <v>24500</v>
      </c>
      <c r="K68" s="291"/>
      <c r="L68" s="292"/>
      <c r="M68" s="292"/>
      <c r="N68" s="293"/>
      <c r="O68"/>
      <c r="P68"/>
      <c r="Q68"/>
      <c r="R68"/>
      <c r="S68"/>
      <c r="T68"/>
      <c r="U68"/>
      <c r="V68"/>
      <c r="W68"/>
      <c r="X68"/>
      <c r="Y68"/>
      <c r="Z68" s="344"/>
      <c r="AA68" s="364"/>
      <c r="AB68" s="364"/>
      <c r="AC68" s="364"/>
      <c r="AD68" s="110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</row>
    <row r="69" spans="1:94" s="53" customFormat="1" ht="15" x14ac:dyDescent="0.25">
      <c r="A69" s="85">
        <v>10.119999999999999</v>
      </c>
      <c r="B69" s="83"/>
      <c r="C69" s="428" t="s">
        <v>59</v>
      </c>
      <c r="D69" s="429"/>
      <c r="E69" s="112"/>
      <c r="F69" s="288"/>
      <c r="G69" s="113"/>
      <c r="H69" s="113"/>
      <c r="I69" s="113">
        <f>IF(DUNine=0,0,ROUND(SUM(M41:M64),-2))</f>
        <v>-10600</v>
      </c>
      <c r="J69" s="287">
        <f>SUM(G69:I69)</f>
        <v>-10600</v>
      </c>
      <c r="K69" s="291"/>
      <c r="L69" s="292"/>
      <c r="M69" s="292"/>
      <c r="N69" s="293"/>
      <c r="O69"/>
      <c r="P69"/>
      <c r="Q69"/>
      <c r="R69"/>
      <c r="S69"/>
      <c r="T69"/>
      <c r="U69"/>
      <c r="V69"/>
      <c r="W69"/>
      <c r="X69"/>
      <c r="Y69"/>
      <c r="Z69" s="344"/>
      <c r="AA69" s="364"/>
      <c r="AB69" s="364"/>
      <c r="AC69" s="364"/>
      <c r="AD69" s="110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</row>
    <row r="70" spans="1:94" s="53" customFormat="1" ht="15" x14ac:dyDescent="0.25">
      <c r="A70" s="85"/>
      <c r="B70" s="83"/>
      <c r="C70" s="421"/>
      <c r="D70" s="422"/>
      <c r="E70" s="236" t="s">
        <v>23</v>
      </c>
      <c r="F70" s="288"/>
      <c r="G70" s="113"/>
      <c r="H70" s="113"/>
      <c r="I70" s="113"/>
      <c r="J70" s="287">
        <f>SUM(G70:I70)</f>
        <v>0</v>
      </c>
      <c r="K70" s="291"/>
      <c r="L70" s="292"/>
      <c r="M70" s="294"/>
      <c r="N70" s="295"/>
      <c r="O70"/>
      <c r="P70"/>
      <c r="Q70"/>
      <c r="R70"/>
      <c r="S70"/>
      <c r="T70"/>
      <c r="U70"/>
      <c r="V70"/>
      <c r="W70"/>
      <c r="X70"/>
      <c r="Y70"/>
      <c r="Z70" s="344"/>
      <c r="AA70" s="364"/>
      <c r="AB70" s="364"/>
      <c r="AC70" s="364"/>
      <c r="AD70" s="110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</row>
    <row r="71" spans="1:94" s="53" customFormat="1" ht="15.75" customHeight="1" x14ac:dyDescent="0.25">
      <c r="A71" s="85">
        <v>10.51</v>
      </c>
      <c r="B71" s="83"/>
      <c r="C71" s="423" t="s">
        <v>60</v>
      </c>
      <c r="D71" s="424"/>
      <c r="E71" s="237"/>
      <c r="F71" s="288"/>
      <c r="G71" s="92">
        <v>0</v>
      </c>
      <c r="H71" s="92">
        <v>0</v>
      </c>
      <c r="I71" s="287">
        <f>ROUND(IF(AND($G71&lt;&gt;0,$E71=1),$G71*PermVBBY+$G71*Retire1BY,IF(AND($G71&lt;&gt;0,$E71=2),$G71*GroupVBBY,IF(AND($G71&lt;&gt;0,$E71=3),$G71*ElectVBBY+$G71*Retire1BY,0))),-2)</f>
        <v>0</v>
      </c>
      <c r="J71" s="113">
        <f t="shared" ref="J71:J74" si="11">SUM(G71:I71)</f>
        <v>0</v>
      </c>
      <c r="K71" s="296"/>
      <c r="L71" s="297"/>
      <c r="M71" s="348" t="s">
        <v>110</v>
      </c>
      <c r="N71" s="356"/>
      <c r="O71" s="357"/>
      <c r="P71" s="357"/>
      <c r="Q71"/>
      <c r="R71"/>
      <c r="S71"/>
      <c r="T71"/>
      <c r="U71"/>
      <c r="V71"/>
      <c r="W71"/>
      <c r="X71"/>
      <c r="Y71"/>
      <c r="Z71" s="344"/>
      <c r="AA71" s="364"/>
      <c r="AB71" s="364"/>
      <c r="AC71" s="364"/>
      <c r="AD71" s="110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</row>
    <row r="72" spans="1:94" s="53" customFormat="1" ht="15.75" customHeight="1" x14ac:dyDescent="0.25">
      <c r="A72" s="85">
        <v>10.61</v>
      </c>
      <c r="B72" s="83"/>
      <c r="C72" s="423" t="s">
        <v>99</v>
      </c>
      <c r="D72" s="425"/>
      <c r="E72" s="290">
        <f>CECPerm</f>
        <v>0.01</v>
      </c>
      <c r="F72" s="288"/>
      <c r="G72" s="355">
        <f>IF(DUNine=0,0,IF(DUNine&lt;0,0,ROUND(AdjPermSalary*CECPerm,-2)))</f>
        <v>14100</v>
      </c>
      <c r="H72" s="287"/>
      <c r="I72" s="287">
        <f>ROUND(($G72*PermVBBY+$G72*Retire1BY),-2)</f>
        <v>2800</v>
      </c>
      <c r="J72" s="113">
        <f>SUM(G72:I72)</f>
        <v>16900</v>
      </c>
      <c r="K72" s="296"/>
      <c r="L72" s="298"/>
      <c r="M72" s="349" t="e">
        <f>IF(DUNine=0,0,IF(((#REF!-G39-G40)*E72)&lt;0,0,ROUND(((#REF!-G39-G40)*E72),-2)))</f>
        <v>#REF!</v>
      </c>
      <c r="N72" s="358"/>
      <c r="O72" s="357" t="e">
        <f>IF(DUNine=0,0,IF(DUNine&lt;0,0,IF(SubCECBase&lt;RoundedAppropSalary,ROUND(AdjPermSalary*CECpermCalc,-2)+((SubCECBase-RoundedAppropSalary)*CECpermCalc),IF(SubCECBase&gt;RoundedAppropSalary,ROUND(AdjPermSalary*CECpermCalc,-2)+((SubCECBase-RoundedAppropSalary)*CECpermCalc),ROUND(AdjPermSalary*CECpermCalc,-2)))))</f>
        <v>#REF!</v>
      </c>
      <c r="P72" s="357"/>
      <c r="Q72"/>
      <c r="R72"/>
      <c r="S72"/>
      <c r="T72"/>
      <c r="U72"/>
      <c r="V72"/>
      <c r="W72"/>
      <c r="X72"/>
      <c r="Y72"/>
      <c r="Z72" s="344"/>
      <c r="AA72" s="364"/>
      <c r="AB72" s="364"/>
      <c r="AC72" s="364"/>
      <c r="AD72" s="110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</row>
    <row r="73" spans="1:94" s="53" customFormat="1" ht="15.6" customHeight="1" x14ac:dyDescent="0.25">
      <c r="A73" s="85">
        <v>10.62</v>
      </c>
      <c r="B73" s="83"/>
      <c r="C73" s="423" t="s">
        <v>117</v>
      </c>
      <c r="D73" s="425"/>
      <c r="E73" s="289">
        <f>CECGroup</f>
        <v>0.01</v>
      </c>
      <c r="F73" s="288"/>
      <c r="G73" s="355">
        <f>IF(DUNine=0,0,IF(DUNine&lt;0,0,ROUND(AdjGroupSalary*CECGroup,-2)))</f>
        <v>0</v>
      </c>
      <c r="H73" s="287"/>
      <c r="I73" s="287">
        <f>ROUND(($G73*GroupVBBY),-2)</f>
        <v>0</v>
      </c>
      <c r="J73" s="113">
        <f t="shared" si="11"/>
        <v>0</v>
      </c>
      <c r="K73" s="301"/>
      <c r="L73" s="302"/>
      <c r="M73" s="359"/>
      <c r="N73" s="360"/>
      <c r="O73" s="357"/>
      <c r="P73" s="357"/>
      <c r="Q73"/>
      <c r="R73"/>
      <c r="S73"/>
      <c r="T73"/>
      <c r="U73"/>
      <c r="V73"/>
      <c r="W73"/>
      <c r="X73"/>
      <c r="Y73"/>
      <c r="Z73" s="344"/>
      <c r="AA73" s="364"/>
      <c r="AB73" s="364"/>
      <c r="AC73" s="364"/>
      <c r="AD73" s="110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</row>
    <row r="74" spans="1:94" s="53" customFormat="1" ht="15.6" customHeight="1" x14ac:dyDescent="0.25">
      <c r="A74" s="85">
        <v>10.63</v>
      </c>
      <c r="B74" s="83"/>
      <c r="C74" s="367" t="s">
        <v>61</v>
      </c>
      <c r="D74" s="369"/>
      <c r="E74" s="112"/>
      <c r="F74" s="288"/>
      <c r="G74" s="92">
        <v>0</v>
      </c>
      <c r="H74" s="287"/>
      <c r="I74" s="287">
        <f>ROUND(($G74*ElectVBBY+$G74*Retire1BY),-2)</f>
        <v>0</v>
      </c>
      <c r="J74" s="113">
        <f t="shared" si="11"/>
        <v>0</v>
      </c>
      <c r="K74" s="301"/>
      <c r="L74" s="302"/>
      <c r="M74" s="303"/>
      <c r="N74" s="304"/>
      <c r="O74"/>
      <c r="P74"/>
      <c r="Q74"/>
      <c r="R74"/>
      <c r="S74"/>
      <c r="T74"/>
      <c r="U74"/>
      <c r="V74"/>
      <c r="W74"/>
      <c r="X74"/>
      <c r="Y74"/>
      <c r="Z74" s="344"/>
      <c r="AA74" s="364"/>
      <c r="AB74" s="364"/>
      <c r="AC74" s="364"/>
      <c r="AD74" s="110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</row>
    <row r="75" spans="1:94" s="53" customFormat="1" ht="15.75" customHeight="1" x14ac:dyDescent="0.25">
      <c r="A75" s="75">
        <v>11</v>
      </c>
      <c r="B75" s="76"/>
      <c r="C75" s="54" t="str">
        <f>"FY "&amp;M4</f>
        <v>FY 2024</v>
      </c>
      <c r="D75" s="77" t="s">
        <v>62</v>
      </c>
      <c r="E75" s="112"/>
      <c r="F75" s="55">
        <f>SUM(F67:F74)</f>
        <v>23.7</v>
      </c>
      <c r="G75" s="80">
        <f>SUM(G67:G74)</f>
        <v>1473100</v>
      </c>
      <c r="H75" s="80">
        <f>SUM(H67:H74)</f>
        <v>278600</v>
      </c>
      <c r="I75" s="80">
        <f>SUM(I67:I74)</f>
        <v>291200</v>
      </c>
      <c r="J75" s="80">
        <f>SUM(J67:K74)</f>
        <v>2042900</v>
      </c>
      <c r="K75" s="296"/>
      <c r="L75" s="299"/>
      <c r="M75" s="299"/>
      <c r="N75" s="300"/>
      <c r="O75"/>
      <c r="P75"/>
      <c r="Q75"/>
      <c r="R75"/>
      <c r="S75"/>
      <c r="T75"/>
      <c r="U75"/>
      <c r="V75"/>
      <c r="W75"/>
      <c r="X75"/>
      <c r="Y75"/>
      <c r="Z75" s="344"/>
      <c r="AA75" s="364"/>
      <c r="AB75" s="364"/>
      <c r="AC75" s="364"/>
      <c r="AD75" s="110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</row>
    <row r="76" spans="1:94" s="53" customFormat="1" ht="28.5" customHeight="1" x14ac:dyDescent="0.25">
      <c r="A76" s="85"/>
      <c r="B76" s="83"/>
      <c r="C76" s="426" t="s">
        <v>63</v>
      </c>
      <c r="D76" s="427"/>
      <c r="E76" s="59"/>
      <c r="F76" s="59"/>
      <c r="G76" s="61"/>
      <c r="H76" s="61"/>
      <c r="I76" s="61"/>
      <c r="J76" s="61"/>
      <c r="K76" s="291"/>
      <c r="L76" s="292"/>
      <c r="M76" s="305"/>
      <c r="N76" s="293"/>
      <c r="O76"/>
      <c r="P76"/>
      <c r="Q76"/>
      <c r="R76"/>
      <c r="S76"/>
      <c r="T76"/>
      <c r="U76"/>
      <c r="V76"/>
      <c r="W76"/>
      <c r="X76"/>
      <c r="Y76"/>
      <c r="Z76" s="344"/>
      <c r="AA76" s="364"/>
      <c r="AB76" s="364"/>
      <c r="AC76" s="364"/>
      <c r="AD76" s="110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</row>
    <row r="77" spans="1:94" s="53" customFormat="1" ht="15" x14ac:dyDescent="0.25">
      <c r="A77" s="116">
        <v>12.01</v>
      </c>
      <c r="B77" s="57"/>
      <c r="C77" s="419"/>
      <c r="D77" s="420"/>
      <c r="E77" s="87"/>
      <c r="F77" s="58"/>
      <c r="G77" s="88"/>
      <c r="H77" s="88"/>
      <c r="I77" s="88"/>
      <c r="J77" s="80">
        <f>ROUND(SUM(G77:I77),-2)</f>
        <v>0</v>
      </c>
      <c r="K77" s="296"/>
      <c r="L77" s="292"/>
      <c r="M77" s="292"/>
      <c r="N77" s="293"/>
      <c r="O77"/>
      <c r="P77"/>
      <c r="Q77"/>
      <c r="R77"/>
      <c r="S77"/>
      <c r="T77"/>
      <c r="U77"/>
      <c r="V77"/>
      <c r="W77"/>
      <c r="X77"/>
      <c r="Y77"/>
      <c r="Z77" s="344"/>
      <c r="AA77" s="364"/>
      <c r="AB77" s="364"/>
      <c r="AC77" s="364"/>
      <c r="AD77" s="110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</row>
    <row r="78" spans="1:94" s="53" customFormat="1" ht="15" x14ac:dyDescent="0.25">
      <c r="A78" s="116">
        <v>12.02</v>
      </c>
      <c r="B78" s="57"/>
      <c r="C78" s="419"/>
      <c r="D78" s="420"/>
      <c r="E78" s="87"/>
      <c r="F78" s="58"/>
      <c r="G78" s="88"/>
      <c r="H78" s="88"/>
      <c r="I78" s="88"/>
      <c r="J78" s="80">
        <f>ROUND(SUM(G78:I78),-2)</f>
        <v>0</v>
      </c>
      <c r="K78" s="296"/>
      <c r="L78" s="292"/>
      <c r="M78" s="292"/>
      <c r="N78" s="293"/>
      <c r="O78"/>
      <c r="P78"/>
      <c r="Q78"/>
      <c r="R78"/>
      <c r="S78"/>
      <c r="T78"/>
      <c r="U78"/>
      <c r="V78"/>
      <c r="W78"/>
      <c r="X78"/>
      <c r="Y78"/>
      <c r="Z78" s="344"/>
      <c r="AA78" s="364"/>
      <c r="AB78" s="364"/>
      <c r="AC78" s="364"/>
      <c r="AD78" s="110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</row>
    <row r="79" spans="1:94" s="53" customFormat="1" ht="15" x14ac:dyDescent="0.25">
      <c r="A79" s="116">
        <v>12.03</v>
      </c>
      <c r="B79" s="57" t="s">
        <v>45</v>
      </c>
      <c r="C79" s="419"/>
      <c r="D79" s="420"/>
      <c r="E79" s="87"/>
      <c r="F79" s="58"/>
      <c r="G79" s="88"/>
      <c r="H79" s="88"/>
      <c r="I79" s="88"/>
      <c r="J79" s="80">
        <f>ROUND(SUM(G79:I79),-2)</f>
        <v>0</v>
      </c>
      <c r="K79" s="296"/>
      <c r="L79" s="292"/>
      <c r="M79" s="292"/>
      <c r="N79" s="293"/>
      <c r="O79"/>
      <c r="P79"/>
      <c r="Q79"/>
      <c r="R79"/>
      <c r="S79"/>
      <c r="T79"/>
      <c r="U79"/>
      <c r="V79"/>
      <c r="W79"/>
      <c r="X79"/>
      <c r="Y79"/>
      <c r="Z79" s="344"/>
      <c r="AA79" s="364"/>
      <c r="AB79" s="364"/>
      <c r="AC79" s="364"/>
      <c r="AD79" s="110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</row>
    <row r="80" spans="1:94" s="53" customFormat="1" ht="15.75" customHeight="1" x14ac:dyDescent="0.25">
      <c r="A80" s="117">
        <v>13</v>
      </c>
      <c r="B80" s="118"/>
      <c r="C80" s="119" t="str">
        <f>"FY "&amp;M4</f>
        <v>FY 2024</v>
      </c>
      <c r="D80" s="120" t="s">
        <v>64</v>
      </c>
      <c r="E80" s="121"/>
      <c r="F80" s="55">
        <f>SUM(F75:F79)</f>
        <v>23.7</v>
      </c>
      <c r="G80" s="80">
        <f>SUM(G75:G79)</f>
        <v>1473100</v>
      </c>
      <c r="H80" s="80">
        <f>SUM(H75:H79)</f>
        <v>278600</v>
      </c>
      <c r="I80" s="80">
        <f>SUM(I75:I79)</f>
        <v>291200</v>
      </c>
      <c r="J80" s="80">
        <f>SUM(J75:J79)</f>
        <v>2042900</v>
      </c>
      <c r="K80" s="270"/>
      <c r="L80" s="122"/>
      <c r="M80" s="122"/>
      <c r="N80" s="123"/>
      <c r="O80"/>
      <c r="P80"/>
      <c r="Q80"/>
      <c r="R80"/>
      <c r="S80"/>
      <c r="T80"/>
      <c r="U80"/>
      <c r="V80"/>
      <c r="W80"/>
      <c r="X80"/>
      <c r="Y80"/>
      <c r="Z80" s="344"/>
      <c r="AA80" s="364"/>
      <c r="AB80" s="364"/>
      <c r="AC80" s="364"/>
      <c r="AD80" s="110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</row>
  </sheetData>
  <mergeCells count="51">
    <mergeCell ref="C13:D13"/>
    <mergeCell ref="M1:N1"/>
    <mergeCell ref="M2:N2"/>
    <mergeCell ref="M3:N3"/>
    <mergeCell ref="M4:N4"/>
    <mergeCell ref="I5:L5"/>
    <mergeCell ref="C8:D8"/>
    <mergeCell ref="AA8:AC8"/>
    <mergeCell ref="C9:D9"/>
    <mergeCell ref="C10:D10"/>
    <mergeCell ref="C11:D11"/>
    <mergeCell ref="C12:D12"/>
    <mergeCell ref="K43:N43"/>
    <mergeCell ref="AA43:AC43"/>
    <mergeCell ref="K44:N44"/>
    <mergeCell ref="C16:D16"/>
    <mergeCell ref="C17:D17"/>
    <mergeCell ref="C18:D18"/>
    <mergeCell ref="C37:D37"/>
    <mergeCell ref="AA37:AC37"/>
    <mergeCell ref="C38:D38"/>
    <mergeCell ref="C54:D54"/>
    <mergeCell ref="C39:D39"/>
    <mergeCell ref="C41:D41"/>
    <mergeCell ref="C42:D42"/>
    <mergeCell ref="C43:D44"/>
    <mergeCell ref="K45:N45"/>
    <mergeCell ref="E46:J47"/>
    <mergeCell ref="K46:N47"/>
    <mergeCell ref="C50:D50"/>
    <mergeCell ref="C53:D53"/>
    <mergeCell ref="C69:D69"/>
    <mergeCell ref="C55:D55"/>
    <mergeCell ref="C57:D57"/>
    <mergeCell ref="C58:D58"/>
    <mergeCell ref="C59:D59"/>
    <mergeCell ref="C61:D61"/>
    <mergeCell ref="C62:D62"/>
    <mergeCell ref="C63:D63"/>
    <mergeCell ref="C64:D64"/>
    <mergeCell ref="C65:D65"/>
    <mergeCell ref="C66:D66"/>
    <mergeCell ref="C68:D68"/>
    <mergeCell ref="C78:D78"/>
    <mergeCell ref="C79:D79"/>
    <mergeCell ref="C70:D70"/>
    <mergeCell ref="C71:D71"/>
    <mergeCell ref="C72:D72"/>
    <mergeCell ref="C73:D73"/>
    <mergeCell ref="C76:D76"/>
    <mergeCell ref="C77:D77"/>
  </mergeCells>
  <conditionalFormatting sqref="K44">
    <cfRule type="expression" dxfId="44" priority="8">
      <formula>$J$44&lt;0</formula>
    </cfRule>
  </conditionalFormatting>
  <conditionalFormatting sqref="K43">
    <cfRule type="expression" dxfId="43" priority="7">
      <formula>$J$43&lt;0</formula>
    </cfRule>
  </conditionalFormatting>
  <conditionalFormatting sqref="L16">
    <cfRule type="expression" dxfId="42" priority="6">
      <formula>$J$16&lt;0</formula>
    </cfRule>
  </conditionalFormatting>
  <conditionalFormatting sqref="K45">
    <cfRule type="expression" dxfId="41" priority="5">
      <formula>$J$44&lt;0</formula>
    </cfRule>
  </conditionalFormatting>
  <conditionalFormatting sqref="K43:N45">
    <cfRule type="containsText" dxfId="40" priority="4" operator="containsText" text="underfunding">
      <formula>NOT(ISERROR(SEARCH("underfunding",K43)))</formula>
    </cfRule>
  </conditionalFormatting>
  <conditionalFormatting sqref="K44">
    <cfRule type="expression" dxfId="39" priority="3">
      <formula>$J$44&lt;0</formula>
    </cfRule>
  </conditionalFormatting>
  <conditionalFormatting sqref="K45">
    <cfRule type="expression" dxfId="38" priority="2">
      <formula>$J$44&lt;0</formula>
    </cfRule>
  </conditionalFormatting>
  <conditionalFormatting sqref="K45">
    <cfRule type="expression" dxfId="37" priority="1">
      <formula>$J$44&lt;0</formula>
    </cfRule>
  </conditionalFormatting>
  <printOptions horizontalCentered="1"/>
  <pageMargins left="0.5" right="0.5" top="0.65" bottom="0.65" header="0.26" footer="0.31"/>
  <pageSetup scale="63" fitToHeight="2" orientation="landscape" r:id="rId1"/>
  <headerFooter>
    <oddHeader>&amp;L&amp;"Helv,Bold"FORM B6:  WAGE &amp;&amp; SALARY RECONCILIATION</oddHeader>
    <oddFooter>&amp;LPrinted: &amp;D, &amp;T&amp;RPage &amp;P of &amp;N</oddFooter>
  </headerFooter>
  <rowBreaks count="1" manualBreakCount="1">
    <brk id="64" max="1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9A2E2F-82C0-4276-B802-89D4C93CEA1D}">
          <x14:formula1>
            <xm:f>Benefits!$A$20:$A$26</xm:f>
          </x14:formula1>
          <xm:sqref>C20:C30 C32:C36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BEB47-9313-49FC-8DC1-4F002C45AF25}">
  <sheetPr codeName="Sheet8">
    <pageSetUpPr fitToPage="1"/>
  </sheetPr>
  <dimension ref="A1:CP80"/>
  <sheetViews>
    <sheetView showGridLines="0" topLeftCell="A22" zoomScaleNormal="100" workbookViewId="0">
      <selection activeCell="C8" sqref="C8:N16"/>
    </sheetView>
  </sheetViews>
  <sheetFormatPr defaultColWidth="9.140625" defaultRowHeight="15.75" x14ac:dyDescent="0.25"/>
  <cols>
    <col min="1" max="1" width="7.85546875" style="124" customWidth="1"/>
    <col min="2" max="2" width="7.7109375" style="125" customWidth="1"/>
    <col min="3" max="3" width="9" style="125" customWidth="1"/>
    <col min="4" max="4" width="39.28515625" style="53" customWidth="1"/>
    <col min="5" max="5" width="13" style="126" customWidth="1"/>
    <col min="6" max="6" width="12.28515625" style="127" customWidth="1"/>
    <col min="7" max="7" width="12.140625" style="127" bestFit="1" customWidth="1"/>
    <col min="8" max="8" width="14.5703125" style="127" customWidth="1"/>
    <col min="9" max="9" width="19.5703125" style="128" bestFit="1" customWidth="1"/>
    <col min="10" max="10" width="13.7109375" style="129" customWidth="1"/>
    <col min="11" max="11" width="13.7109375" style="129" hidden="1" customWidth="1"/>
    <col min="12" max="12" width="18.42578125" style="129" customWidth="1"/>
    <col min="13" max="13" width="16.42578125" style="129" customWidth="1"/>
    <col min="14" max="14" width="16.140625" style="128" customWidth="1"/>
    <col min="15" max="25" width="16.140625" customWidth="1"/>
    <col min="26" max="26" width="16.140625" style="344" customWidth="1"/>
    <col min="27" max="27" width="22.140625" style="334" bestFit="1" customWidth="1"/>
    <col min="28" max="28" width="31.140625" style="334" bestFit="1" customWidth="1"/>
    <col min="29" max="29" width="7.85546875" style="334" bestFit="1" customWidth="1"/>
    <col min="30" max="30" width="9.140625" style="110" customWidth="1"/>
    <col min="31" max="94" width="9.140625" style="17"/>
    <col min="95" max="16384" width="9.140625" style="18"/>
  </cols>
  <sheetData>
    <row r="1" spans="1:94" x14ac:dyDescent="0.25">
      <c r="A1" s="12" t="s">
        <v>13</v>
      </c>
      <c r="B1" s="13"/>
      <c r="C1" s="13"/>
      <c r="D1" s="14" t="s">
        <v>759</v>
      </c>
      <c r="E1" s="15"/>
      <c r="F1" s="15"/>
      <c r="G1" s="15"/>
      <c r="H1" s="15"/>
      <c r="I1" s="15"/>
      <c r="J1" s="15"/>
      <c r="K1" s="15"/>
      <c r="L1" s="16" t="s">
        <v>14</v>
      </c>
      <c r="M1" s="484">
        <v>140</v>
      </c>
      <c r="N1" s="485"/>
      <c r="AA1" s="364"/>
      <c r="AB1" s="333"/>
      <c r="AC1" s="333"/>
      <c r="AD1" s="325"/>
    </row>
    <row r="2" spans="1:94" ht="20.25" x14ac:dyDescent="0.25">
      <c r="A2" s="19" t="s">
        <v>114</v>
      </c>
      <c r="B2" s="20"/>
      <c r="C2" s="20"/>
      <c r="D2" s="14" t="s">
        <v>759</v>
      </c>
      <c r="E2" s="21"/>
      <c r="F2" s="21"/>
      <c r="G2" s="21"/>
      <c r="H2" s="21"/>
      <c r="I2" s="21"/>
      <c r="J2" s="20"/>
      <c r="K2" s="20"/>
      <c r="L2" s="22" t="s">
        <v>111</v>
      </c>
      <c r="M2" s="486" t="s">
        <v>773</v>
      </c>
      <c r="N2" s="487"/>
      <c r="AA2" s="333"/>
      <c r="AB2" s="333"/>
      <c r="AC2" s="333"/>
      <c r="AD2" s="325"/>
    </row>
    <row r="3" spans="1:94" x14ac:dyDescent="0.25">
      <c r="A3" s="19" t="s">
        <v>115</v>
      </c>
      <c r="B3" s="20"/>
      <c r="C3" s="20"/>
      <c r="D3" s="23" t="s">
        <v>767</v>
      </c>
      <c r="E3" s="24"/>
      <c r="F3" s="25"/>
      <c r="G3" s="25"/>
      <c r="H3" s="25"/>
      <c r="I3" s="26"/>
      <c r="J3" s="20"/>
      <c r="K3" s="20"/>
      <c r="L3" s="22" t="s">
        <v>112</v>
      </c>
      <c r="M3" s="484" t="s">
        <v>373</v>
      </c>
      <c r="N3" s="485"/>
      <c r="AA3" s="364"/>
      <c r="AB3" s="333"/>
      <c r="AC3" s="333"/>
      <c r="AD3" s="325"/>
    </row>
    <row r="4" spans="1:94" x14ac:dyDescent="0.25">
      <c r="A4" s="19"/>
      <c r="B4" s="20"/>
      <c r="C4" s="20"/>
      <c r="D4" s="27"/>
      <c r="E4" s="24"/>
      <c r="F4" s="25"/>
      <c r="G4" s="25"/>
      <c r="H4" s="25"/>
      <c r="I4" s="28"/>
      <c r="J4" s="26"/>
      <c r="K4" s="26"/>
      <c r="L4" s="22" t="s">
        <v>15</v>
      </c>
      <c r="M4" s="484">
        <v>2024</v>
      </c>
      <c r="N4" s="485"/>
      <c r="AA4" s="364"/>
      <c r="AB4" s="333"/>
      <c r="AC4" s="333"/>
      <c r="AD4" s="325"/>
    </row>
    <row r="5" spans="1:94" s="34" customFormat="1" ht="18" customHeight="1" x14ac:dyDescent="0.25">
      <c r="A5" s="19" t="s">
        <v>16</v>
      </c>
      <c r="B5" s="20"/>
      <c r="C5" s="20"/>
      <c r="D5" s="350">
        <v>44805</v>
      </c>
      <c r="E5" s="27"/>
      <c r="F5" s="30"/>
      <c r="G5" s="31"/>
      <c r="H5" s="31" t="s">
        <v>17</v>
      </c>
      <c r="I5" s="486" t="s">
        <v>771</v>
      </c>
      <c r="J5" s="488"/>
      <c r="K5" s="488"/>
      <c r="L5" s="487"/>
      <c r="M5" s="351" t="s">
        <v>113</v>
      </c>
      <c r="N5" s="32" t="s">
        <v>772</v>
      </c>
      <c r="O5"/>
      <c r="P5"/>
      <c r="Q5"/>
      <c r="R5"/>
      <c r="S5"/>
      <c r="T5"/>
      <c r="U5"/>
      <c r="V5"/>
      <c r="W5"/>
      <c r="X5"/>
      <c r="Y5"/>
      <c r="Z5" s="344"/>
      <c r="AA5" s="364"/>
      <c r="AB5" s="333"/>
      <c r="AC5" s="333"/>
      <c r="AD5" s="326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</row>
    <row r="6" spans="1:94" ht="23.25" customHeight="1" x14ac:dyDescent="0.25">
      <c r="A6" s="19"/>
      <c r="B6" s="20" t="s">
        <v>18</v>
      </c>
      <c r="C6" s="20"/>
      <c r="D6" s="29"/>
      <c r="E6" s="35" t="s">
        <v>19</v>
      </c>
      <c r="F6" s="36"/>
      <c r="G6" s="25"/>
      <c r="H6" s="25"/>
      <c r="I6" s="37"/>
      <c r="J6" s="31" t="s">
        <v>82</v>
      </c>
      <c r="K6" s="31"/>
      <c r="L6" s="352"/>
      <c r="M6" s="353" t="s">
        <v>83</v>
      </c>
      <c r="N6" s="306"/>
      <c r="AA6" s="364"/>
      <c r="AB6" s="333"/>
      <c r="AC6" s="333"/>
      <c r="AD6" s="325"/>
    </row>
    <row r="7" spans="1:94" x14ac:dyDescent="0.25">
      <c r="A7" s="38"/>
      <c r="B7" s="39"/>
      <c r="C7" s="40"/>
      <c r="D7" s="41"/>
      <c r="E7" s="42"/>
      <c r="F7" s="40"/>
      <c r="G7" s="43"/>
      <c r="H7" s="44"/>
      <c r="I7" s="45"/>
      <c r="J7" s="46"/>
      <c r="K7" s="46"/>
      <c r="L7" s="46"/>
      <c r="M7" s="46"/>
      <c r="N7" s="47"/>
    </row>
    <row r="8" spans="1:94" s="52" customFormat="1" ht="40.5" customHeight="1" x14ac:dyDescent="0.25">
      <c r="A8" s="48" t="s">
        <v>20</v>
      </c>
      <c r="B8" s="370" t="s">
        <v>21</v>
      </c>
      <c r="C8" s="489" t="s">
        <v>22</v>
      </c>
      <c r="D8" s="490"/>
      <c r="E8" s="370" t="s">
        <v>23</v>
      </c>
      <c r="F8" s="49" t="s">
        <v>24</v>
      </c>
      <c r="G8" s="50" t="str">
        <f>"FY "&amp;'SCBA|0126-00'!FiscalYear-1&amp;" SALARY"</f>
        <v>FY 2023 SALARY</v>
      </c>
      <c r="H8" s="50" t="str">
        <f>"FY "&amp;'SCBA|0126-00'!FiscalYear-1&amp;" HEALTH BENEFITS"</f>
        <v>FY 2023 HEALTH BENEFITS</v>
      </c>
      <c r="I8" s="50" t="str">
        <f>"FY "&amp;'SCBA|0126-00'!FiscalYear-1&amp;" VAR BENEFITS"</f>
        <v>FY 2023 VAR BENEFITS</v>
      </c>
      <c r="J8" s="50" t="str">
        <f>"FY "&amp;'SCBA|0126-00'!FiscalYear-1&amp;" TOTAL"</f>
        <v>FY 2023 TOTAL</v>
      </c>
      <c r="K8" s="50" t="str">
        <f>"FY "&amp;'SCBA|0126-00'!FiscalYear&amp;" SALARY CHANGE"</f>
        <v>FY 2024 SALARY CHANGE</v>
      </c>
      <c r="L8" s="50" t="str">
        <f>"FY "&amp;'SCBA|0126-00'!FiscalYear&amp;" CHG HEALTH BENEFITS"</f>
        <v>FY 2024 CHG HEALTH BENEFITS</v>
      </c>
      <c r="M8" s="50" t="str">
        <f>"FY "&amp;'SCBA|0126-00'!FiscalYear&amp;" CHG VAR BENEFITS"</f>
        <v>FY 2024 CHG VAR BENEFITS</v>
      </c>
      <c r="N8" s="50" t="s">
        <v>25</v>
      </c>
      <c r="O8"/>
      <c r="P8"/>
      <c r="Q8"/>
      <c r="R8"/>
      <c r="S8"/>
      <c r="T8"/>
      <c r="U8"/>
      <c r="V8"/>
      <c r="W8"/>
      <c r="X8"/>
      <c r="Y8"/>
      <c r="Z8" s="344"/>
      <c r="AA8" s="480" t="s">
        <v>103</v>
      </c>
      <c r="AB8" s="480"/>
      <c r="AC8" s="480"/>
      <c r="AD8" s="327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</row>
    <row r="9" spans="1:94" s="149" customFormat="1" x14ac:dyDescent="0.25">
      <c r="A9" s="139"/>
      <c r="B9" s="140"/>
      <c r="C9" s="481" t="s">
        <v>26</v>
      </c>
      <c r="D9" s="482"/>
      <c r="E9" s="141"/>
      <c r="F9" s="142"/>
      <c r="G9" s="143"/>
      <c r="H9" s="143"/>
      <c r="I9" s="143"/>
      <c r="J9" s="144"/>
      <c r="K9" s="144"/>
      <c r="L9" s="145"/>
      <c r="M9" s="146"/>
      <c r="N9" s="144"/>
      <c r="O9"/>
      <c r="P9"/>
      <c r="Q9"/>
      <c r="R9"/>
      <c r="S9"/>
      <c r="T9"/>
      <c r="U9"/>
      <c r="V9"/>
      <c r="W9"/>
      <c r="X9"/>
      <c r="Y9"/>
      <c r="Z9" s="344"/>
      <c r="AA9" s="364" t="s">
        <v>92</v>
      </c>
      <c r="AB9" s="333" t="s">
        <v>93</v>
      </c>
      <c r="AC9" s="333" t="s">
        <v>104</v>
      </c>
      <c r="AD9" s="32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</row>
    <row r="10" spans="1:94" s="149" customFormat="1" x14ac:dyDescent="0.25">
      <c r="A10" s="139"/>
      <c r="B10" s="139"/>
      <c r="C10" s="460" t="s">
        <v>27</v>
      </c>
      <c r="D10" s="483"/>
      <c r="E10" s="217">
        <v>1</v>
      </c>
      <c r="F10" s="288">
        <f>[0]!SCBA012600col_INC_FTI</f>
        <v>0</v>
      </c>
      <c r="G10" s="218">
        <f>[0]!SCBA012600col_FTI_SALARY_PERM</f>
        <v>0</v>
      </c>
      <c r="H10" s="218">
        <f>[0]!SCBA012600col_HEALTH_PERM</f>
        <v>0</v>
      </c>
      <c r="I10" s="218">
        <f>[0]!SCBA012600col_TOT_VB_PERM</f>
        <v>0</v>
      </c>
      <c r="J10" s="219">
        <f>SUM(G10:I10)</f>
        <v>0</v>
      </c>
      <c r="K10" s="219">
        <f>[0]!SCBA012600col_1_27TH_PP</f>
        <v>0</v>
      </c>
      <c r="L10" s="218">
        <f>[0]!SCBA012600col_HEALTH_PERM_CHG</f>
        <v>0</v>
      </c>
      <c r="M10" s="218">
        <f>[0]!SCBA012600col_TOT_VB_PERM_CHG</f>
        <v>0</v>
      </c>
      <c r="N10" s="218">
        <f>SUM(L10:M10)</f>
        <v>0</v>
      </c>
      <c r="O10"/>
      <c r="P10"/>
      <c r="Q10"/>
      <c r="R10"/>
      <c r="S10"/>
      <c r="T10"/>
      <c r="U10"/>
      <c r="V10"/>
      <c r="W10"/>
      <c r="X10"/>
      <c r="Y10"/>
      <c r="Z10" s="344"/>
      <c r="AA10" s="338">
        <f>ROUND(CECPerm*PermSalary,-2)</f>
        <v>0</v>
      </c>
      <c r="AB10" s="335">
        <f>ROUND(PermVarBen*CECPerm+(CECPerm*PermVarBenChg),-2)</f>
        <v>0</v>
      </c>
      <c r="AC10" s="335">
        <f>SUM(AA10:AB10)</f>
        <v>0</v>
      </c>
      <c r="AD10" s="32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</row>
    <row r="11" spans="1:94" s="149" customFormat="1" x14ac:dyDescent="0.25">
      <c r="A11" s="139"/>
      <c r="B11" s="139"/>
      <c r="C11" s="460" t="s">
        <v>28</v>
      </c>
      <c r="D11" s="483"/>
      <c r="E11" s="217">
        <v>2</v>
      </c>
      <c r="F11" s="288"/>
      <c r="G11" s="218">
        <f>[0]!SCBA012600col_Group_Salary</f>
        <v>0</v>
      </c>
      <c r="H11" s="218">
        <v>0</v>
      </c>
      <c r="I11" s="218">
        <f>[0]!SCBA012600col_Group_Ben</f>
        <v>0</v>
      </c>
      <c r="J11" s="219">
        <f>SUM(G11:I11)</f>
        <v>0</v>
      </c>
      <c r="K11" s="268"/>
      <c r="L11" s="218"/>
      <c r="M11" s="218"/>
      <c r="N11" s="218"/>
      <c r="O11"/>
      <c r="P11"/>
      <c r="Q11"/>
      <c r="R11"/>
      <c r="S11"/>
      <c r="T11"/>
      <c r="U11"/>
      <c r="V11"/>
      <c r="W11"/>
      <c r="X11"/>
      <c r="Y11"/>
      <c r="Z11" s="344"/>
      <c r="AA11" s="338">
        <f>ROUND(GroupSalary*CECGroup,-2)</f>
        <v>0</v>
      </c>
      <c r="AB11" s="335">
        <f>ROUND((GroupSalary*GroupVBBY)*CECGroup,-2)</f>
        <v>0</v>
      </c>
      <c r="AC11" s="335">
        <f>SUM(AA12:AB12)</f>
        <v>0</v>
      </c>
      <c r="AD11" s="32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</row>
    <row r="12" spans="1:94" s="149" customFormat="1" x14ac:dyDescent="0.25">
      <c r="A12" s="139"/>
      <c r="B12" s="139"/>
      <c r="C12" s="460" t="s">
        <v>29</v>
      </c>
      <c r="D12" s="461"/>
      <c r="E12" s="217">
        <v>3</v>
      </c>
      <c r="F12" s="288">
        <f>[0]!SCBA012600col_TOTAL_ELECT_PCN_FTI</f>
        <v>0</v>
      </c>
      <c r="G12" s="218">
        <f>[0]!SCBA012600col_FTI_SALARY_ELECT</f>
        <v>0</v>
      </c>
      <c r="H12" s="218">
        <f>[0]!SCBA012600col_HEALTH_ELECT</f>
        <v>0</v>
      </c>
      <c r="I12" s="218">
        <f>[0]!SCBA012600col_TOT_VB_ELECT</f>
        <v>0</v>
      </c>
      <c r="J12" s="219">
        <f>SUM(G12:I12)</f>
        <v>0</v>
      </c>
      <c r="K12" s="268"/>
      <c r="L12" s="218">
        <f>[0]!SCBA012600col_HEALTH_ELECT_CHG</f>
        <v>0</v>
      </c>
      <c r="M12" s="218">
        <f>[0]!SCBA012600col_TOT_VB_ELECT_CHG</f>
        <v>0</v>
      </c>
      <c r="N12" s="219">
        <f>SUM(L12:M12)</f>
        <v>0</v>
      </c>
      <c r="O12"/>
      <c r="P12"/>
      <c r="Q12"/>
      <c r="R12"/>
      <c r="S12"/>
      <c r="T12"/>
      <c r="U12"/>
      <c r="V12"/>
      <c r="W12"/>
      <c r="X12"/>
      <c r="Y12"/>
      <c r="Z12" s="344"/>
      <c r="AA12" s="336"/>
      <c r="AB12" s="336"/>
      <c r="AC12" s="336"/>
      <c r="AD12" s="32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</row>
    <row r="13" spans="1:94" s="153" customFormat="1" x14ac:dyDescent="0.25">
      <c r="A13" s="139"/>
      <c r="B13" s="139"/>
      <c r="C13" s="460" t="s">
        <v>30</v>
      </c>
      <c r="D13" s="483"/>
      <c r="E13" s="217"/>
      <c r="F13" s="220">
        <f>SUM(F10:F12)</f>
        <v>0</v>
      </c>
      <c r="G13" s="221">
        <f>SUM(G10:G12)</f>
        <v>0</v>
      </c>
      <c r="H13" s="221">
        <f>SUM(H10:H12)</f>
        <v>0</v>
      </c>
      <c r="I13" s="221">
        <f>SUM(I10:I12)</f>
        <v>0</v>
      </c>
      <c r="J13" s="219">
        <f>SUM(G13:I13)</f>
        <v>0</v>
      </c>
      <c r="K13" s="268"/>
      <c r="L13" s="219">
        <f>SUM(L10:L12)</f>
        <v>0</v>
      </c>
      <c r="M13" s="219">
        <f>SUM(M10:M12)</f>
        <v>0</v>
      </c>
      <c r="N13" s="219">
        <f>SUM(N10:N12)</f>
        <v>0</v>
      </c>
      <c r="O13"/>
      <c r="P13"/>
      <c r="Q13"/>
      <c r="R13"/>
      <c r="S13"/>
      <c r="T13"/>
      <c r="U13"/>
      <c r="V13"/>
      <c r="W13"/>
      <c r="X13"/>
      <c r="Y13"/>
      <c r="Z13" s="344"/>
      <c r="AA13" s="336"/>
      <c r="AB13" s="336"/>
      <c r="AC13" s="336"/>
      <c r="AD13" s="329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</row>
    <row r="14" spans="1:94" s="153" customFormat="1" ht="5.45" customHeight="1" x14ac:dyDescent="0.25">
      <c r="A14" s="139"/>
      <c r="B14" s="139"/>
      <c r="C14" s="365"/>
      <c r="D14" s="371"/>
      <c r="E14" s="217"/>
      <c r="F14" s="220"/>
      <c r="G14" s="219"/>
      <c r="H14" s="219"/>
      <c r="I14" s="219"/>
      <c r="J14" s="219"/>
      <c r="K14" s="268"/>
      <c r="L14" s="219"/>
      <c r="M14" s="222"/>
      <c r="N14" s="222"/>
      <c r="O14"/>
      <c r="P14"/>
      <c r="Q14"/>
      <c r="R14"/>
      <c r="S14"/>
      <c r="T14"/>
      <c r="U14"/>
      <c r="V14"/>
      <c r="W14"/>
      <c r="X14"/>
      <c r="Y14"/>
      <c r="Z14" s="344"/>
      <c r="AA14" s="336"/>
      <c r="AB14" s="336"/>
      <c r="AC14" s="336"/>
      <c r="AD14" s="329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</row>
    <row r="15" spans="1:94" s="153" customFormat="1" ht="15.75" customHeight="1" x14ac:dyDescent="0.25">
      <c r="A15" s="139"/>
      <c r="B15" s="156"/>
      <c r="C15" s="157" t="str">
        <f>"FY "&amp;'SCBA|0126-00'!FiscalYear-1</f>
        <v>FY 2023</v>
      </c>
      <c r="D15" s="158" t="s">
        <v>31</v>
      </c>
      <c r="E15" s="354">
        <v>0</v>
      </c>
      <c r="F15" s="55">
        <v>9</v>
      </c>
      <c r="G15" s="223">
        <f>IF(OrigApprop=0,0,(G13/$J$13)*OrigApprop)</f>
        <v>0</v>
      </c>
      <c r="H15" s="223">
        <f>IF(OrigApprop=0,0,(H13/$J$13)*OrigApprop)</f>
        <v>0</v>
      </c>
      <c r="I15" s="223">
        <f>IF(G15=0,0,(I13/$J$13)*OrigApprop)</f>
        <v>0</v>
      </c>
      <c r="J15" s="223">
        <f>SUM(G15:I15)</f>
        <v>0</v>
      </c>
      <c r="K15" s="268"/>
      <c r="L15" s="224"/>
      <c r="M15" s="224"/>
      <c r="N15" s="224"/>
      <c r="O15"/>
      <c r="P15"/>
      <c r="Q15"/>
      <c r="R15"/>
      <c r="S15"/>
      <c r="T15"/>
      <c r="U15"/>
      <c r="V15"/>
      <c r="W15"/>
      <c r="X15"/>
      <c r="Y15"/>
      <c r="Z15" s="344"/>
      <c r="AA15" s="336"/>
      <c r="AB15" s="336"/>
      <c r="AC15" s="336"/>
      <c r="AD15" s="329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</row>
    <row r="16" spans="1:94" s="153" customFormat="1" ht="15.75" customHeight="1" x14ac:dyDescent="0.25">
      <c r="A16" s="139"/>
      <c r="B16" s="139"/>
      <c r="C16" s="470" t="s">
        <v>32</v>
      </c>
      <c r="D16" s="471"/>
      <c r="E16" s="160" t="s">
        <v>33</v>
      </c>
      <c r="F16" s="161">
        <f>F15-F13</f>
        <v>9</v>
      </c>
      <c r="G16" s="162">
        <f>G15-G13</f>
        <v>0</v>
      </c>
      <c r="H16" s="162">
        <f>H15-H13</f>
        <v>0</v>
      </c>
      <c r="I16" s="162">
        <f>I15-I13</f>
        <v>0</v>
      </c>
      <c r="J16" s="162">
        <f>J15-J13</f>
        <v>0</v>
      </c>
      <c r="K16" s="269"/>
      <c r="L16" s="56" t="str">
        <f>IF('SCBA|0126-00'!OrigApprop=0,"No Original Appropriation amount in DU 3.00 for this fund","Calculated "&amp;IF('SCBA|0126-00'!AdjustedTotal&gt;0,"overfunding ","underfunding ")&amp;"is "&amp;TEXT('SCBA|0126-00'!AdjustedTotal/'SCBA|0126-00'!AppropTotal,"#.0%;(#.0% );0% ;")&amp;" of Original Appropriation")</f>
        <v>No Original Appropriation amount in DU 3.00 for this fund</v>
      </c>
      <c r="M16" s="163"/>
      <c r="N16" s="164"/>
      <c r="O16"/>
      <c r="P16"/>
      <c r="Q16"/>
      <c r="R16"/>
      <c r="S16"/>
      <c r="T16"/>
      <c r="U16"/>
      <c r="V16"/>
      <c r="W16"/>
      <c r="X16"/>
      <c r="Y16"/>
      <c r="Z16" s="344"/>
      <c r="AA16" s="336"/>
      <c r="AB16" s="336"/>
      <c r="AC16" s="336"/>
      <c r="AD16" s="329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</row>
    <row r="17" spans="1:94" s="153" customFormat="1" x14ac:dyDescent="0.25">
      <c r="A17" s="139"/>
      <c r="B17" s="139"/>
      <c r="C17" s="472" t="s">
        <v>34</v>
      </c>
      <c r="D17" s="473"/>
      <c r="E17" s="147"/>
      <c r="F17" s="258"/>
      <c r="G17" s="147"/>
      <c r="H17" s="166"/>
      <c r="I17" s="167"/>
      <c r="J17" s="166"/>
      <c r="K17" s="166"/>
      <c r="L17" s="166"/>
      <c r="M17" s="166"/>
      <c r="N17" s="166"/>
      <c r="O17"/>
      <c r="P17"/>
      <c r="Q17"/>
      <c r="R17"/>
      <c r="S17"/>
      <c r="T17"/>
      <c r="U17"/>
      <c r="V17"/>
      <c r="W17"/>
      <c r="X17"/>
      <c r="Y17"/>
      <c r="Z17" s="344"/>
      <c r="AA17" s="336"/>
      <c r="AB17" s="336"/>
      <c r="AC17" s="336"/>
      <c r="AD17" s="329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</row>
    <row r="18" spans="1:94" s="153" customFormat="1" ht="26.25" customHeight="1" x14ac:dyDescent="0.25">
      <c r="A18" s="139"/>
      <c r="B18" s="168"/>
      <c r="C18" s="474" t="s">
        <v>35</v>
      </c>
      <c r="D18" s="475"/>
      <c r="E18" s="150"/>
      <c r="F18" s="165"/>
      <c r="G18" s="166"/>
      <c r="H18" s="169"/>
      <c r="I18" s="166"/>
      <c r="J18" s="166"/>
      <c r="K18" s="166"/>
      <c r="L18" s="166"/>
      <c r="M18" s="166"/>
      <c r="N18" s="166"/>
      <c r="O18"/>
      <c r="P18"/>
      <c r="Q18"/>
      <c r="R18"/>
      <c r="S18"/>
      <c r="T18"/>
      <c r="U18"/>
      <c r="V18"/>
      <c r="W18"/>
      <c r="X18"/>
      <c r="Y18"/>
      <c r="Z18" s="344"/>
      <c r="AA18" s="336"/>
      <c r="AB18" s="336"/>
      <c r="AC18" s="336"/>
      <c r="AD18" s="329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</row>
    <row r="19" spans="1:94" s="153" customFormat="1" ht="25.5" x14ac:dyDescent="0.25">
      <c r="A19" s="238"/>
      <c r="B19" s="202"/>
      <c r="C19" s="239" t="s">
        <v>84</v>
      </c>
      <c r="D19" s="240" t="s">
        <v>85</v>
      </c>
      <c r="E19" s="241"/>
      <c r="F19" s="165"/>
      <c r="G19" s="166"/>
      <c r="H19" s="169"/>
      <c r="I19" s="170"/>
      <c r="J19" s="166"/>
      <c r="K19" s="166"/>
      <c r="L19" s="169"/>
      <c r="M19" s="166"/>
      <c r="N19" s="166"/>
      <c r="O19"/>
      <c r="P19"/>
      <c r="Q19"/>
      <c r="R19"/>
      <c r="S19"/>
      <c r="T19"/>
      <c r="U19"/>
      <c r="V19"/>
      <c r="W19"/>
      <c r="X19"/>
      <c r="Y19"/>
      <c r="Z19" s="344"/>
      <c r="AA19" s="364"/>
      <c r="AB19" s="364"/>
      <c r="AC19" s="364"/>
      <c r="AD19" s="329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</row>
    <row r="20" spans="1:94" s="177" customFormat="1" ht="15" x14ac:dyDescent="0.25">
      <c r="A20" s="171"/>
      <c r="B20" s="172"/>
      <c r="C20" s="244"/>
      <c r="D20" s="242"/>
      <c r="E20" s="173"/>
      <c r="F20" s="174">
        <v>0</v>
      </c>
      <c r="G20" s="175">
        <v>0</v>
      </c>
      <c r="H20" s="176">
        <f t="shared" ref="H20:H30" si="0">IF(AND($F20&lt;&gt;0,$G20&lt;&gt;0,OR($E20=1,$E20=3)),$F20*Health,0)</f>
        <v>0</v>
      </c>
      <c r="I20" s="176">
        <f t="shared" ref="I20:I30" si="1">IF(AND($E20=1,$C20=""),$G20*PermVB+$G20*Retire1,IF($E20=1,$G20*PermVB+$G20*VLOOKUP($C20,Retirement_Rates,3,FALSE),IF($E20=2,$G20*GroupVB,IF(AND($E20=3,$C20=""),$G20*ElectVB+$G20*Retire1,IF($E20=3,$G20*ElectVB+$G20*VLOOKUP($C20,Retirement_Rates,3,FALSE),0)))))</f>
        <v>0</v>
      </c>
      <c r="J20" s="159">
        <f>IF($E20&gt;0,SUM($G20:$I20),0)</f>
        <v>0</v>
      </c>
      <c r="K20" s="166"/>
      <c r="L20" s="176">
        <f t="shared" ref="L20:L30" si="2">IF(AND($F20&lt;&gt;0,$G20&lt;&gt;0,OR($E20=1,$E20=3)),$F20*HealthCHG,0)</f>
        <v>0</v>
      </c>
      <c r="M20" s="176">
        <f>IF(AND($E20=1,$C20=""),$G20*PermVBCHG+$G20*Retire1CHG,IF($E20=1,$G20*PermVBCHG+$G20*VLOOKUP($C20,Retirement_Rates,5,FALSE),IF($E20=2,0,IF(AND($E20=3,$C20=""),$G20*ElectVBCHG+$G20*Retire1CHG,IF($E20=3,$G20*ElectVBCHG+$G20*VLOOKUP($C20,Retirement_Rates,5,FALSE),0)))))</f>
        <v>0</v>
      </c>
      <c r="N20" s="176">
        <f>SUM(L20:M20)</f>
        <v>0</v>
      </c>
      <c r="O20"/>
      <c r="P20"/>
      <c r="Q20"/>
      <c r="R20"/>
      <c r="S20"/>
      <c r="T20"/>
      <c r="U20"/>
      <c r="V20"/>
      <c r="W20"/>
      <c r="X20"/>
      <c r="Y20"/>
      <c r="Z20" s="344"/>
      <c r="AA20" s="364"/>
      <c r="AB20" s="364"/>
      <c r="AC20" s="364"/>
      <c r="AD20" s="329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</row>
    <row r="21" spans="1:94" s="177" customFormat="1" ht="15" x14ac:dyDescent="0.25">
      <c r="A21" s="178"/>
      <c r="B21" s="179"/>
      <c r="C21" s="244"/>
      <c r="D21" s="242"/>
      <c r="E21" s="180"/>
      <c r="F21" s="181">
        <v>0</v>
      </c>
      <c r="G21" s="175">
        <v>0</v>
      </c>
      <c r="H21" s="176">
        <f t="shared" si="0"/>
        <v>0</v>
      </c>
      <c r="I21" s="176">
        <f t="shared" si="1"/>
        <v>0</v>
      </c>
      <c r="J21" s="159">
        <f t="shared" ref="J21:J35" si="3">IF($E21&gt;0,SUM($G21:$I21),0)</f>
        <v>0</v>
      </c>
      <c r="K21" s="166"/>
      <c r="L21" s="176">
        <f t="shared" si="2"/>
        <v>0</v>
      </c>
      <c r="M21" s="176">
        <f t="shared" ref="M21:M30" si="4">IF(AND($E21=1,$C21=""),$G21*PermVBCHG+$G21*Retire1CHG,IF($E21=1,$G21*PermVBCHG+$G21*VLOOKUP($C21,Retirement_Rates,5,FALSE),IF($E21=2,0,IF(AND($E21=3,$C21=""),$G21*ElectVBCHG+$G21*Retire1CHG,IF($E21=3,$G21*ElectVBCHG+$G21*VLOOKUP($C21,Retirement_Rates,5,FALSE),0)))))</f>
        <v>0</v>
      </c>
      <c r="N21" s="183">
        <f t="shared" ref="N21:N30" si="5">SUM(L21:M21)</f>
        <v>0</v>
      </c>
      <c r="O21"/>
      <c r="P21"/>
      <c r="Q21"/>
      <c r="R21"/>
      <c r="S21"/>
      <c r="T21"/>
      <c r="U21"/>
      <c r="V21"/>
      <c r="W21"/>
      <c r="X21"/>
      <c r="Y21"/>
      <c r="Z21" s="344"/>
      <c r="AA21" s="364"/>
      <c r="AB21" s="364"/>
      <c r="AC21" s="364"/>
      <c r="AD21" s="329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</row>
    <row r="22" spans="1:94" s="177" customFormat="1" ht="15" x14ac:dyDescent="0.25">
      <c r="A22" s="178"/>
      <c r="B22" s="179"/>
      <c r="C22" s="244"/>
      <c r="D22" s="242"/>
      <c r="E22" s="180"/>
      <c r="F22" s="181">
        <v>0</v>
      </c>
      <c r="G22" s="175">
        <v>0</v>
      </c>
      <c r="H22" s="176">
        <f t="shared" si="0"/>
        <v>0</v>
      </c>
      <c r="I22" s="176">
        <f t="shared" si="1"/>
        <v>0</v>
      </c>
      <c r="J22" s="159">
        <f t="shared" si="3"/>
        <v>0</v>
      </c>
      <c r="K22" s="166"/>
      <c r="L22" s="176">
        <f t="shared" si="2"/>
        <v>0</v>
      </c>
      <c r="M22" s="176">
        <f t="shared" si="4"/>
        <v>0</v>
      </c>
      <c r="N22" s="183">
        <f t="shared" si="5"/>
        <v>0</v>
      </c>
      <c r="O22"/>
      <c r="P22"/>
      <c r="Q22"/>
      <c r="R22"/>
      <c r="S22"/>
      <c r="T22"/>
      <c r="U22"/>
      <c r="V22"/>
      <c r="W22"/>
      <c r="X22"/>
      <c r="Y22"/>
      <c r="Z22" s="344"/>
      <c r="AA22" s="364"/>
      <c r="AB22" s="364"/>
      <c r="AC22" s="364"/>
      <c r="AD22" s="329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</row>
    <row r="23" spans="1:94" s="177" customFormat="1" ht="15" x14ac:dyDescent="0.25">
      <c r="A23" s="178"/>
      <c r="B23" s="179"/>
      <c r="C23" s="244"/>
      <c r="D23" s="242"/>
      <c r="E23" s="180"/>
      <c r="F23" s="181">
        <v>0</v>
      </c>
      <c r="G23" s="175">
        <v>0</v>
      </c>
      <c r="H23" s="176">
        <f t="shared" si="0"/>
        <v>0</v>
      </c>
      <c r="I23" s="176">
        <f t="shared" si="1"/>
        <v>0</v>
      </c>
      <c r="J23" s="159">
        <f t="shared" si="3"/>
        <v>0</v>
      </c>
      <c r="K23" s="166"/>
      <c r="L23" s="176">
        <f t="shared" si="2"/>
        <v>0</v>
      </c>
      <c r="M23" s="176">
        <f t="shared" si="4"/>
        <v>0</v>
      </c>
      <c r="N23" s="183">
        <f t="shared" si="5"/>
        <v>0</v>
      </c>
      <c r="O23"/>
      <c r="P23"/>
      <c r="Q23"/>
      <c r="R23"/>
      <c r="S23"/>
      <c r="T23"/>
      <c r="U23"/>
      <c r="V23"/>
      <c r="W23"/>
      <c r="X23"/>
      <c r="Y23"/>
      <c r="Z23" s="344"/>
      <c r="AA23" s="364"/>
      <c r="AB23" s="364"/>
      <c r="AC23" s="364"/>
      <c r="AD23" s="329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</row>
    <row r="24" spans="1:94" s="177" customFormat="1" ht="15" x14ac:dyDescent="0.25">
      <c r="A24" s="178"/>
      <c r="B24" s="179"/>
      <c r="C24" s="244"/>
      <c r="D24" s="242"/>
      <c r="E24" s="180"/>
      <c r="F24" s="181">
        <v>0</v>
      </c>
      <c r="G24" s="175">
        <v>0</v>
      </c>
      <c r="H24" s="176">
        <f t="shared" si="0"/>
        <v>0</v>
      </c>
      <c r="I24" s="176">
        <f t="shared" si="1"/>
        <v>0</v>
      </c>
      <c r="J24" s="159">
        <f t="shared" si="3"/>
        <v>0</v>
      </c>
      <c r="K24" s="166"/>
      <c r="L24" s="176">
        <f t="shared" si="2"/>
        <v>0</v>
      </c>
      <c r="M24" s="176">
        <f t="shared" si="4"/>
        <v>0</v>
      </c>
      <c r="N24" s="183">
        <f t="shared" si="5"/>
        <v>0</v>
      </c>
      <c r="O24"/>
      <c r="P24"/>
      <c r="Q24"/>
      <c r="R24"/>
      <c r="S24"/>
      <c r="T24"/>
      <c r="U24"/>
      <c r="V24"/>
      <c r="W24"/>
      <c r="X24"/>
      <c r="Y24"/>
      <c r="Z24" s="344"/>
      <c r="AA24" s="345"/>
      <c r="AB24" s="364"/>
      <c r="AC24" s="364"/>
      <c r="AD24" s="329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</row>
    <row r="25" spans="1:94" s="177" customFormat="1" ht="15" x14ac:dyDescent="0.25">
      <c r="A25" s="178"/>
      <c r="B25" s="179"/>
      <c r="C25" s="244"/>
      <c r="D25" s="242"/>
      <c r="E25" s="180"/>
      <c r="F25" s="181">
        <v>0</v>
      </c>
      <c r="G25" s="182">
        <v>0</v>
      </c>
      <c r="H25" s="176">
        <f t="shared" si="0"/>
        <v>0</v>
      </c>
      <c r="I25" s="176">
        <f t="shared" si="1"/>
        <v>0</v>
      </c>
      <c r="J25" s="159">
        <f t="shared" si="3"/>
        <v>0</v>
      </c>
      <c r="K25" s="166"/>
      <c r="L25" s="176">
        <f t="shared" si="2"/>
        <v>0</v>
      </c>
      <c r="M25" s="176">
        <f t="shared" si="4"/>
        <v>0</v>
      </c>
      <c r="N25" s="183">
        <f t="shared" si="5"/>
        <v>0</v>
      </c>
      <c r="O25"/>
      <c r="P25"/>
      <c r="Q25"/>
      <c r="R25"/>
      <c r="S25"/>
      <c r="T25"/>
      <c r="U25"/>
      <c r="V25"/>
      <c r="W25"/>
      <c r="X25"/>
      <c r="Y25"/>
      <c r="Z25" s="344"/>
      <c r="AA25" s="345"/>
      <c r="AB25" s="364"/>
      <c r="AC25" s="364"/>
      <c r="AD25" s="329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</row>
    <row r="26" spans="1:94" s="177" customFormat="1" ht="15" x14ac:dyDescent="0.25">
      <c r="A26" s="178"/>
      <c r="B26" s="179"/>
      <c r="C26" s="244"/>
      <c r="D26" s="242"/>
      <c r="E26" s="180"/>
      <c r="F26" s="181">
        <v>0</v>
      </c>
      <c r="G26" s="182">
        <v>0</v>
      </c>
      <c r="H26" s="176">
        <f t="shared" si="0"/>
        <v>0</v>
      </c>
      <c r="I26" s="176">
        <f t="shared" si="1"/>
        <v>0</v>
      </c>
      <c r="J26" s="159">
        <f t="shared" si="3"/>
        <v>0</v>
      </c>
      <c r="K26" s="166"/>
      <c r="L26" s="176">
        <f t="shared" si="2"/>
        <v>0</v>
      </c>
      <c r="M26" s="176">
        <f t="shared" si="4"/>
        <v>0</v>
      </c>
      <c r="N26" s="183">
        <f t="shared" si="5"/>
        <v>0</v>
      </c>
      <c r="O26"/>
      <c r="P26"/>
      <c r="Q26"/>
      <c r="R26"/>
      <c r="S26"/>
      <c r="T26"/>
      <c r="U26"/>
      <c r="V26"/>
      <c r="W26"/>
      <c r="X26"/>
      <c r="Y26"/>
      <c r="Z26" s="344"/>
      <c r="AA26" s="345"/>
      <c r="AB26" s="364"/>
      <c r="AC26" s="364"/>
      <c r="AD26" s="329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</row>
    <row r="27" spans="1:94" s="177" customFormat="1" ht="15" x14ac:dyDescent="0.25">
      <c r="A27" s="178"/>
      <c r="B27" s="179"/>
      <c r="C27" s="244"/>
      <c r="D27" s="242"/>
      <c r="E27" s="180"/>
      <c r="F27" s="181">
        <v>0</v>
      </c>
      <c r="G27" s="182">
        <v>0</v>
      </c>
      <c r="H27" s="176">
        <f t="shared" si="0"/>
        <v>0</v>
      </c>
      <c r="I27" s="176">
        <f t="shared" si="1"/>
        <v>0</v>
      </c>
      <c r="J27" s="159">
        <f t="shared" si="3"/>
        <v>0</v>
      </c>
      <c r="K27" s="166"/>
      <c r="L27" s="176">
        <f t="shared" si="2"/>
        <v>0</v>
      </c>
      <c r="M27" s="176">
        <f t="shared" si="4"/>
        <v>0</v>
      </c>
      <c r="N27" s="183">
        <f t="shared" si="5"/>
        <v>0</v>
      </c>
      <c r="O27"/>
      <c r="P27"/>
      <c r="Q27"/>
      <c r="R27"/>
      <c r="S27"/>
      <c r="T27"/>
      <c r="U27"/>
      <c r="V27"/>
      <c r="W27"/>
      <c r="X27"/>
      <c r="Y27"/>
      <c r="Z27" s="344"/>
      <c r="AA27" s="364"/>
      <c r="AB27" s="364"/>
      <c r="AC27" s="364"/>
      <c r="AD27" s="329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</row>
    <row r="28" spans="1:94" s="177" customFormat="1" ht="15" x14ac:dyDescent="0.25">
      <c r="A28" s="178"/>
      <c r="B28" s="179"/>
      <c r="C28" s="244"/>
      <c r="D28" s="242"/>
      <c r="E28" s="180"/>
      <c r="F28" s="181">
        <v>0</v>
      </c>
      <c r="G28" s="182">
        <v>0</v>
      </c>
      <c r="H28" s="176">
        <f t="shared" si="0"/>
        <v>0</v>
      </c>
      <c r="I28" s="176">
        <f t="shared" si="1"/>
        <v>0</v>
      </c>
      <c r="J28" s="159">
        <f t="shared" si="3"/>
        <v>0</v>
      </c>
      <c r="K28" s="166"/>
      <c r="L28" s="176">
        <f t="shared" si="2"/>
        <v>0</v>
      </c>
      <c r="M28" s="176">
        <f t="shared" si="4"/>
        <v>0</v>
      </c>
      <c r="N28" s="183">
        <f t="shared" si="5"/>
        <v>0</v>
      </c>
      <c r="O28"/>
      <c r="P28"/>
      <c r="Q28"/>
      <c r="R28"/>
      <c r="S28"/>
      <c r="T28"/>
      <c r="U28"/>
      <c r="V28"/>
      <c r="W28"/>
      <c r="X28"/>
      <c r="Y28"/>
      <c r="Z28" s="344"/>
      <c r="AA28" s="364"/>
      <c r="AB28" s="364"/>
      <c r="AC28" s="364"/>
      <c r="AD28" s="329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</row>
    <row r="29" spans="1:94" s="177" customFormat="1" ht="15" x14ac:dyDescent="0.25">
      <c r="A29" s="179"/>
      <c r="B29" s="179"/>
      <c r="C29" s="171"/>
      <c r="D29" s="243"/>
      <c r="E29" s="180"/>
      <c r="F29" s="181">
        <v>0</v>
      </c>
      <c r="G29" s="182">
        <v>0</v>
      </c>
      <c r="H29" s="176">
        <f t="shared" si="0"/>
        <v>0</v>
      </c>
      <c r="I29" s="176">
        <f t="shared" si="1"/>
        <v>0</v>
      </c>
      <c r="J29" s="159">
        <f t="shared" si="3"/>
        <v>0</v>
      </c>
      <c r="K29" s="166"/>
      <c r="L29" s="176">
        <f t="shared" si="2"/>
        <v>0</v>
      </c>
      <c r="M29" s="176">
        <f t="shared" si="4"/>
        <v>0</v>
      </c>
      <c r="N29" s="183">
        <f t="shared" si="5"/>
        <v>0</v>
      </c>
      <c r="O29"/>
      <c r="P29"/>
      <c r="Q29"/>
      <c r="R29"/>
      <c r="S29"/>
      <c r="T29"/>
      <c r="U29"/>
      <c r="V29"/>
      <c r="W29"/>
      <c r="X29"/>
      <c r="Y29"/>
      <c r="Z29" s="344"/>
      <c r="AA29" s="364"/>
      <c r="AB29" s="364"/>
      <c r="AC29" s="364"/>
      <c r="AD29" s="329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</row>
    <row r="30" spans="1:94" s="177" customFormat="1" ht="15" x14ac:dyDescent="0.25">
      <c r="A30" s="179"/>
      <c r="B30" s="184"/>
      <c r="C30" s="171"/>
      <c r="D30" s="243"/>
      <c r="E30" s="180"/>
      <c r="F30" s="181">
        <v>0</v>
      </c>
      <c r="G30" s="182">
        <v>0</v>
      </c>
      <c r="H30" s="176">
        <f t="shared" si="0"/>
        <v>0</v>
      </c>
      <c r="I30" s="176">
        <f t="shared" si="1"/>
        <v>0</v>
      </c>
      <c r="J30" s="159">
        <f t="shared" si="3"/>
        <v>0</v>
      </c>
      <c r="K30" s="166"/>
      <c r="L30" s="176">
        <f t="shared" si="2"/>
        <v>0</v>
      </c>
      <c r="M30" s="176">
        <f t="shared" si="4"/>
        <v>0</v>
      </c>
      <c r="N30" s="183">
        <f t="shared" si="5"/>
        <v>0</v>
      </c>
      <c r="O30"/>
      <c r="P30"/>
      <c r="Q30"/>
      <c r="R30"/>
      <c r="S30"/>
      <c r="T30"/>
      <c r="U30"/>
      <c r="V30"/>
      <c r="W30"/>
      <c r="X30"/>
      <c r="Y30"/>
      <c r="Z30" s="344"/>
      <c r="AA30" s="364"/>
      <c r="AB30" s="364"/>
      <c r="AC30" s="364"/>
      <c r="AD30" s="329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</row>
    <row r="31" spans="1:94" s="153" customFormat="1" ht="15" x14ac:dyDescent="0.25">
      <c r="A31" s="139"/>
      <c r="B31" s="168"/>
      <c r="C31" s="245"/>
      <c r="D31" s="246" t="s">
        <v>36</v>
      </c>
      <c r="E31" s="150"/>
      <c r="F31" s="165"/>
      <c r="G31" s="166"/>
      <c r="H31" s="166"/>
      <c r="I31" s="166"/>
      <c r="J31" s="166"/>
      <c r="K31" s="166"/>
      <c r="L31" s="166"/>
      <c r="M31" s="166"/>
      <c r="N31" s="166"/>
      <c r="O31"/>
      <c r="P31"/>
      <c r="Q31"/>
      <c r="R31"/>
      <c r="S31"/>
      <c r="T31"/>
      <c r="U31"/>
      <c r="V31"/>
      <c r="W31"/>
      <c r="X31"/>
      <c r="Y31"/>
      <c r="Z31" s="344"/>
      <c r="AA31" s="364"/>
      <c r="AB31" s="364"/>
      <c r="AC31" s="364"/>
      <c r="AD31" s="329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</row>
    <row r="32" spans="1:94" s="177" customFormat="1" ht="15" x14ac:dyDescent="0.25">
      <c r="A32" s="185"/>
      <c r="B32" s="185"/>
      <c r="C32" s="244"/>
      <c r="D32" s="242"/>
      <c r="E32" s="173"/>
      <c r="F32" s="174">
        <v>0</v>
      </c>
      <c r="G32" s="175">
        <v>0</v>
      </c>
      <c r="H32" s="176">
        <f t="shared" ref="H32:H35" si="6">IF(AND($F32&lt;&gt;0,$G32&lt;&gt;0,OR($E32=1,$E32=3)),$F32*Health,0)</f>
        <v>0</v>
      </c>
      <c r="I32" s="176">
        <f t="shared" ref="I32:I34" si="7">IF(AND($E32=1,$C32=""),$G32*PermVB+$G32*Retire1,IF($E32=1,$G32*PermVB+$G32*VLOOKUP($C32,Retirement_Rates,3,FALSE),IF($E32=2,$G32*GroupVB,IF(AND($E32=3,$C32=""),$G32*ElectVB+$G32*Retire1,IF($E32=3,$G32*ElectVB+$G32*VLOOKUP($C32,Retirement_Rates,3,FALSE),0)))))</f>
        <v>0</v>
      </c>
      <c r="J32" s="279">
        <f t="shared" si="3"/>
        <v>0</v>
      </c>
      <c r="K32" s="166"/>
      <c r="L32" s="176">
        <f t="shared" ref="L32:L35" si="8">IF(AND($F32&lt;&gt;0,$G32&lt;&gt;0,OR($E32=1,$E32=3)),$F32*HealthCHG,0)</f>
        <v>0</v>
      </c>
      <c r="M32" s="176">
        <f t="shared" ref="M32:M35" si="9">IF(AND($E32=1,$C32=""),$G32*PermVBCHG+$G32*Retire1CHG,IF($E32=1,$G32*PermVBCHG+$G32*VLOOKUP($C32,Retirement_Rates,5,FALSE),IF($E32=2,0,IF(AND($E32=3,$C32=""),$G32*ElectVBCHG+$G32*Retire1CHG,IF($E32=3,$G32*ElectVBCHG+$G32*VLOOKUP($C32,Retirement_Rates,5,FALSE),0)))))</f>
        <v>0</v>
      </c>
      <c r="N32" s="176">
        <f t="shared" ref="N32:N35" si="10">SUM(L32:M32)</f>
        <v>0</v>
      </c>
      <c r="O32"/>
      <c r="P32"/>
      <c r="Q32"/>
      <c r="R32"/>
      <c r="S32"/>
      <c r="T32"/>
      <c r="U32"/>
      <c r="V32"/>
      <c r="W32"/>
      <c r="X32"/>
      <c r="Y32"/>
      <c r="Z32" s="344"/>
      <c r="AA32" s="364"/>
      <c r="AB32" s="364"/>
      <c r="AC32" s="364"/>
      <c r="AD32" s="329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</row>
    <row r="33" spans="1:94" s="177" customFormat="1" ht="15" x14ac:dyDescent="0.25">
      <c r="A33" s="186"/>
      <c r="B33" s="187"/>
      <c r="C33" s="244"/>
      <c r="D33" s="242"/>
      <c r="E33" s="180"/>
      <c r="F33" s="181">
        <v>0</v>
      </c>
      <c r="G33" s="182">
        <v>0</v>
      </c>
      <c r="H33" s="176">
        <f t="shared" si="6"/>
        <v>0</v>
      </c>
      <c r="I33" s="176">
        <f t="shared" si="7"/>
        <v>0</v>
      </c>
      <c r="J33" s="279">
        <f t="shared" si="3"/>
        <v>0</v>
      </c>
      <c r="K33" s="166"/>
      <c r="L33" s="176">
        <f t="shared" si="8"/>
        <v>0</v>
      </c>
      <c r="M33" s="176">
        <f t="shared" si="9"/>
        <v>0</v>
      </c>
      <c r="N33" s="183">
        <f t="shared" si="10"/>
        <v>0</v>
      </c>
      <c r="O33"/>
      <c r="P33"/>
      <c r="Q33"/>
      <c r="R33"/>
      <c r="S33"/>
      <c r="T33"/>
      <c r="U33"/>
      <c r="V33"/>
      <c r="W33"/>
      <c r="X33"/>
      <c r="Y33"/>
      <c r="Z33" s="344"/>
      <c r="AA33" s="364"/>
      <c r="AB33" s="364"/>
      <c r="AC33" s="364"/>
      <c r="AD33" s="329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</row>
    <row r="34" spans="1:94" s="177" customFormat="1" ht="15" x14ac:dyDescent="0.25">
      <c r="A34" s="186"/>
      <c r="B34" s="187"/>
      <c r="C34" s="244"/>
      <c r="D34" s="242"/>
      <c r="E34" s="180"/>
      <c r="F34" s="181">
        <v>0</v>
      </c>
      <c r="G34" s="182">
        <v>0</v>
      </c>
      <c r="H34" s="176">
        <f t="shared" si="6"/>
        <v>0</v>
      </c>
      <c r="I34" s="176">
        <f t="shared" si="7"/>
        <v>0</v>
      </c>
      <c r="J34" s="279">
        <f t="shared" si="3"/>
        <v>0</v>
      </c>
      <c r="K34" s="280"/>
      <c r="L34" s="176">
        <f t="shared" si="8"/>
        <v>0</v>
      </c>
      <c r="M34" s="176">
        <f t="shared" si="9"/>
        <v>0</v>
      </c>
      <c r="N34" s="183">
        <f t="shared" si="10"/>
        <v>0</v>
      </c>
      <c r="O34"/>
      <c r="P34"/>
      <c r="Q34"/>
      <c r="R34"/>
      <c r="S34"/>
      <c r="T34"/>
      <c r="U34"/>
      <c r="V34"/>
      <c r="W34"/>
      <c r="X34"/>
      <c r="Y34"/>
      <c r="Z34" s="344"/>
      <c r="AA34" s="364"/>
      <c r="AB34" s="364"/>
      <c r="AC34" s="364"/>
      <c r="AD34" s="329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</row>
    <row r="35" spans="1:94" s="177" customFormat="1" ht="15" x14ac:dyDescent="0.25">
      <c r="A35" s="186"/>
      <c r="B35" s="187"/>
      <c r="C35" s="244"/>
      <c r="D35" s="242"/>
      <c r="E35" s="180"/>
      <c r="F35" s="181">
        <v>0</v>
      </c>
      <c r="G35" s="182">
        <v>0</v>
      </c>
      <c r="H35" s="176">
        <f t="shared" si="6"/>
        <v>0</v>
      </c>
      <c r="I35" s="176">
        <f>IF(AND($E35=1,$C35=""),$G35*(PermVB+Retire1),IF($E35=1,$G35*PermVB+$G35*VLOOKUP($C35,Retirement_Rates,3,FALSE),IF($E35=2,$G35*GroupVB,IF(AND($E35=3,$C35=""),$G35*ElectVB+$G35*Retire1,IF($E35=3,$G35*ElectVB+$G35*VLOOKUP($C35,Retirement_Rates,3,FALSE),0)))))</f>
        <v>0</v>
      </c>
      <c r="J35" s="279">
        <f t="shared" si="3"/>
        <v>0</v>
      </c>
      <c r="K35" s="309"/>
      <c r="L35" s="176">
        <f t="shared" si="8"/>
        <v>0</v>
      </c>
      <c r="M35" s="176">
        <f t="shared" si="9"/>
        <v>0</v>
      </c>
      <c r="N35" s="183">
        <f t="shared" si="10"/>
        <v>0</v>
      </c>
      <c r="O35"/>
      <c r="P35"/>
      <c r="Q35"/>
      <c r="R35"/>
      <c r="S35"/>
      <c r="T35"/>
      <c r="U35"/>
      <c r="V35"/>
      <c r="W35"/>
      <c r="X35"/>
      <c r="Y35"/>
      <c r="Z35" s="344"/>
      <c r="AA35" s="364"/>
      <c r="AB35" s="364"/>
      <c r="AC35" s="364"/>
      <c r="AD35" s="329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</row>
    <row r="36" spans="1:94" s="213" customFormat="1" ht="15" x14ac:dyDescent="0.25">
      <c r="A36" s="281"/>
      <c r="B36" s="282"/>
      <c r="C36" s="283"/>
      <c r="D36" s="284"/>
      <c r="E36" s="285"/>
      <c r="F36" s="197"/>
      <c r="G36" s="259"/>
      <c r="H36" s="259"/>
      <c r="I36" s="259"/>
      <c r="J36" s="286"/>
      <c r="K36" s="280"/>
      <c r="L36" s="321"/>
      <c r="M36" s="259"/>
      <c r="N36" s="259"/>
      <c r="O36"/>
      <c r="P36"/>
      <c r="Q36"/>
      <c r="R36"/>
      <c r="S36"/>
      <c r="T36"/>
      <c r="U36"/>
      <c r="V36"/>
      <c r="W36"/>
      <c r="X36"/>
      <c r="Y36"/>
      <c r="Z36" s="344"/>
      <c r="AA36" s="364" t="s">
        <v>92</v>
      </c>
      <c r="AB36" s="333" t="s">
        <v>93</v>
      </c>
      <c r="AC36" s="333" t="s">
        <v>104</v>
      </c>
      <c r="AD36" s="330"/>
    </row>
    <row r="37" spans="1:94" s="153" customFormat="1" ht="17.25" customHeight="1" x14ac:dyDescent="0.25">
      <c r="A37" s="139"/>
      <c r="B37" s="188"/>
      <c r="C37" s="476" t="s">
        <v>37</v>
      </c>
      <c r="D37" s="477"/>
      <c r="E37" s="150"/>
      <c r="F37" s="165"/>
      <c r="G37" s="166"/>
      <c r="H37" s="166"/>
      <c r="I37" s="166"/>
      <c r="J37" s="322"/>
      <c r="K37" s="166"/>
      <c r="L37" s="166"/>
      <c r="M37" s="166"/>
      <c r="N37" s="166"/>
      <c r="O37"/>
      <c r="P37"/>
      <c r="Q37"/>
      <c r="R37"/>
      <c r="S37"/>
      <c r="T37"/>
      <c r="U37"/>
      <c r="V37"/>
      <c r="W37"/>
      <c r="X37"/>
      <c r="Y37"/>
      <c r="Z37" s="344"/>
      <c r="AA37" s="478" t="s">
        <v>105</v>
      </c>
      <c r="AB37" s="479"/>
      <c r="AC37" s="479"/>
      <c r="AD37" s="329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</row>
    <row r="38" spans="1:94" s="153" customFormat="1" ht="15" x14ac:dyDescent="0.25">
      <c r="A38" s="139"/>
      <c r="B38" s="188"/>
      <c r="C38" s="460" t="str">
        <f>perm_name</f>
        <v>Permanent Positions</v>
      </c>
      <c r="D38" s="461"/>
      <c r="E38" s="189">
        <v>1</v>
      </c>
      <c r="F38" s="190">
        <f>SUMIF($E9:$E35,$E38,$F9:$F35)</f>
        <v>0</v>
      </c>
      <c r="G38" s="191">
        <f>SUMIF($E10:$E35,$E38,$G10:$G35)</f>
        <v>0</v>
      </c>
      <c r="H38" s="192">
        <f>SUMIF($E10:$E35,$E38,$H10:$H35)</f>
        <v>0</v>
      </c>
      <c r="I38" s="192">
        <f>SUMIF($E10:$E35,$E38,$I10:$I35)</f>
        <v>0</v>
      </c>
      <c r="J38" s="192">
        <f>SUM(G38:I38)</f>
        <v>0</v>
      </c>
      <c r="K38" s="166"/>
      <c r="L38" s="191">
        <f>SUMIF($E10:$E35,$E38,$L10:$L35)</f>
        <v>0</v>
      </c>
      <c r="M38" s="192">
        <f>SUMIF($E10:$E35,$E38,$M10:$M35)</f>
        <v>0</v>
      </c>
      <c r="N38" s="192">
        <f>SUM(L38:M38)</f>
        <v>0</v>
      </c>
      <c r="O38"/>
      <c r="P38"/>
      <c r="Q38"/>
      <c r="R38"/>
      <c r="S38"/>
      <c r="T38"/>
      <c r="U38"/>
      <c r="V38"/>
      <c r="W38"/>
      <c r="X38"/>
      <c r="Y38"/>
      <c r="Z38" s="344"/>
      <c r="AA38" s="338">
        <f>ROUND(AdjPermSalary*CECPerm,-2)</f>
        <v>0</v>
      </c>
      <c r="AB38" s="338">
        <f>ROUND((AdjPermVB*CECPerm+AdjPermVBBY*CECPerm),-2)</f>
        <v>0</v>
      </c>
      <c r="AC38" s="338">
        <f>SUM(AA38:AB38)</f>
        <v>0</v>
      </c>
      <c r="AD38" s="329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</row>
    <row r="39" spans="1:94" s="153" customFormat="1" ht="15" x14ac:dyDescent="0.25">
      <c r="A39" s="139"/>
      <c r="B39" s="188"/>
      <c r="C39" s="460" t="str">
        <f>Group_name</f>
        <v>Board &amp; Group Positions</v>
      </c>
      <c r="D39" s="461"/>
      <c r="E39" s="189">
        <v>2</v>
      </c>
      <c r="F39" s="151">
        <f>SUMIF($E9:$E35,$E39,$F9:$F35)</f>
        <v>0</v>
      </c>
      <c r="G39" s="193">
        <f>SUMIF($E10:$E35,$E39,$G10:$G35)</f>
        <v>0</v>
      </c>
      <c r="H39" s="152">
        <f>SUMIF($E10:$E35,$E39,$H10:$H35)</f>
        <v>0</v>
      </c>
      <c r="I39" s="152">
        <f>SUMIF($E10:$E35,$E39,$I10:$I35)</f>
        <v>0</v>
      </c>
      <c r="J39" s="152">
        <f>SUM(G39:I39)</f>
        <v>0</v>
      </c>
      <c r="K39" s="259"/>
      <c r="L39" s="193">
        <f>SUMIF($E10:$E35,$E39,$L10:$L35)</f>
        <v>0</v>
      </c>
      <c r="M39" s="152">
        <f>SUMIF($E11:$E37,$E39,$M11:$M37)</f>
        <v>0</v>
      </c>
      <c r="N39" s="152">
        <f>SUM(L39:M39)</f>
        <v>0</v>
      </c>
      <c r="O39"/>
      <c r="P39"/>
      <c r="Q39"/>
      <c r="R39"/>
      <c r="S39"/>
      <c r="T39"/>
      <c r="U39"/>
      <c r="V39"/>
      <c r="W39"/>
      <c r="X39"/>
      <c r="Y39"/>
      <c r="Z39" s="344"/>
      <c r="AA39" s="338">
        <f>ROUND(AdjGroupSalary*CECGroup,-2)</f>
        <v>0</v>
      </c>
      <c r="AB39" s="338">
        <f>ROUND(AdjGroupVB*CECGroup,-2)</f>
        <v>0</v>
      </c>
      <c r="AC39" s="338">
        <f>SUM(AA39:AB39)</f>
        <v>0</v>
      </c>
      <c r="AD39" s="329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</row>
    <row r="40" spans="1:94" s="153" customFormat="1" ht="15" x14ac:dyDescent="0.25">
      <c r="A40" s="139"/>
      <c r="B40" s="188"/>
      <c r="C40" s="365" t="str">
        <f>Elect_name</f>
        <v>Elected Officials &amp; Full Time Commissioners</v>
      </c>
      <c r="D40" s="366"/>
      <c r="E40" s="189">
        <v>3</v>
      </c>
      <c r="F40" s="151">
        <f>SUMIF($E9:$E35,$E40,$F9:$F35)</f>
        <v>0</v>
      </c>
      <c r="G40" s="193">
        <f>SUMIF($E10:$E35,$E40,$G10:$G35)</f>
        <v>0</v>
      </c>
      <c r="H40" s="152">
        <f>SUMIF($E10:$E35,$E40,$H10:$H35)</f>
        <v>0</v>
      </c>
      <c r="I40" s="152">
        <f>SUMIF($E10:$E35,$E40,$I10:$I35)</f>
        <v>0</v>
      </c>
      <c r="J40" s="152">
        <f>SUM(G40:I40)</f>
        <v>0</v>
      </c>
      <c r="K40" s="259"/>
      <c r="L40" s="193">
        <f>SUMIF($E10:$E35,$E40,$L10:$L35)</f>
        <v>0</v>
      </c>
      <c r="M40" s="152">
        <f>SUMIF($E10:$E35,$E40,$M10:$M35)</f>
        <v>0</v>
      </c>
      <c r="N40" s="152">
        <f>SUM(L40:M40)</f>
        <v>0</v>
      </c>
      <c r="O40"/>
      <c r="P40"/>
      <c r="Q40"/>
      <c r="R40"/>
      <c r="S40"/>
      <c r="T40"/>
      <c r="U40"/>
      <c r="V40"/>
      <c r="W40"/>
      <c r="X40"/>
      <c r="Y40"/>
      <c r="Z40" s="344"/>
      <c r="AA40" s="364"/>
      <c r="AB40" s="364"/>
      <c r="AC40" s="364"/>
      <c r="AD40" s="329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</row>
    <row r="41" spans="1:94" s="153" customFormat="1" ht="15" x14ac:dyDescent="0.25">
      <c r="A41" s="139"/>
      <c r="B41" s="188"/>
      <c r="C41" s="460" t="s">
        <v>38</v>
      </c>
      <c r="D41" s="461"/>
      <c r="E41" s="189"/>
      <c r="F41" s="161">
        <f>SUM(F38:F40)</f>
        <v>0</v>
      </c>
      <c r="G41" s="195">
        <f>SUM($G$38:$G$40)</f>
        <v>0</v>
      </c>
      <c r="H41" s="162">
        <f>SUM($H$38:$H$40)</f>
        <v>0</v>
      </c>
      <c r="I41" s="162">
        <f>SUM($I$38:$I$40)</f>
        <v>0</v>
      </c>
      <c r="J41" s="162">
        <f>SUM($J$38:$J$40)</f>
        <v>0</v>
      </c>
      <c r="K41" s="259"/>
      <c r="L41" s="195">
        <f>SUM($L$38:$L$40)</f>
        <v>0</v>
      </c>
      <c r="M41" s="162">
        <f>SUM($M$38:$M$40)</f>
        <v>0</v>
      </c>
      <c r="N41" s="162">
        <f>SUM(L41:M41)</f>
        <v>0</v>
      </c>
      <c r="O41"/>
      <c r="P41"/>
      <c r="Q41"/>
      <c r="R41"/>
      <c r="S41"/>
      <c r="T41"/>
      <c r="U41"/>
      <c r="V41"/>
      <c r="W41"/>
      <c r="X41"/>
      <c r="Y41"/>
      <c r="Z41" s="344"/>
      <c r="AA41" s="364" t="s">
        <v>92</v>
      </c>
      <c r="AB41" s="333" t="s">
        <v>93</v>
      </c>
      <c r="AC41" s="333" t="s">
        <v>104</v>
      </c>
      <c r="AD41" s="329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</row>
    <row r="42" spans="1:94" s="153" customFormat="1" ht="4.5" customHeight="1" x14ac:dyDescent="0.25">
      <c r="A42" s="139"/>
      <c r="B42" s="188"/>
      <c r="C42" s="462"/>
      <c r="D42" s="463"/>
      <c r="E42" s="196"/>
      <c r="F42" s="197"/>
      <c r="G42" s="198"/>
      <c r="H42" s="199"/>
      <c r="I42" s="199"/>
      <c r="J42" s="324"/>
      <c r="K42" s="200"/>
      <c r="L42" s="323"/>
      <c r="M42" s="323"/>
      <c r="N42" s="201"/>
      <c r="O42"/>
      <c r="P42"/>
      <c r="Q42"/>
      <c r="R42"/>
      <c r="S42"/>
      <c r="T42"/>
      <c r="U42"/>
      <c r="V42"/>
      <c r="W42"/>
      <c r="X42"/>
      <c r="Y42"/>
      <c r="Z42" s="344"/>
      <c r="AA42" s="364"/>
      <c r="AB42" s="364"/>
      <c r="AC42" s="364"/>
      <c r="AD42" s="329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</row>
    <row r="43" spans="1:94" s="153" customFormat="1" ht="15.75" customHeight="1" x14ac:dyDescent="0.25">
      <c r="A43" s="139"/>
      <c r="B43" s="202"/>
      <c r="C43" s="464" t="s">
        <v>39</v>
      </c>
      <c r="D43" s="465"/>
      <c r="E43" s="203" t="s">
        <v>40</v>
      </c>
      <c r="F43" s="205">
        <f>ROUND(F51-F41,2)</f>
        <v>9</v>
      </c>
      <c r="G43" s="206">
        <f>G51-G41</f>
        <v>0</v>
      </c>
      <c r="H43" s="159">
        <f>H51-H41</f>
        <v>0</v>
      </c>
      <c r="I43" s="159">
        <f>I51-I41</f>
        <v>0</v>
      </c>
      <c r="J43" s="159">
        <f>SUM(G43:I43)</f>
        <v>0</v>
      </c>
      <c r="K43" s="441" t="str">
        <f>IF(E51=0,"No Original Appropriation amount in DU 3.00 for this fund","Calculated "&amp;IF(J43&gt;0,"overfunding ","underfunding ")&amp;"is "&amp;TEXT(J43/J51,"#.0%;(#.0% );0%;")&amp;" of Original Appropriation")</f>
        <v>No Original Appropriation amount in DU 3.00 for this fund</v>
      </c>
      <c r="L43" s="442"/>
      <c r="M43" s="442"/>
      <c r="N43" s="443"/>
      <c r="O43"/>
      <c r="P43"/>
      <c r="Q43"/>
      <c r="R43"/>
      <c r="S43"/>
      <c r="T43"/>
      <c r="U43"/>
      <c r="V43"/>
      <c r="W43"/>
      <c r="X43"/>
      <c r="Y43"/>
      <c r="Z43" s="344"/>
      <c r="AA43" s="468" t="s">
        <v>106</v>
      </c>
      <c r="AB43" s="469"/>
      <c r="AC43" s="469"/>
      <c r="AD43" s="329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</row>
    <row r="44" spans="1:94" s="153" customFormat="1" ht="15.75" customHeight="1" x14ac:dyDescent="0.25">
      <c r="A44" s="139"/>
      <c r="B44" s="202"/>
      <c r="C44" s="466"/>
      <c r="D44" s="467"/>
      <c r="E44" s="204" t="s">
        <v>41</v>
      </c>
      <c r="F44" s="205">
        <f>ROUND(F60-F41,2)</f>
        <v>9</v>
      </c>
      <c r="G44" s="206">
        <f>G60-G41</f>
        <v>0</v>
      </c>
      <c r="H44" s="159">
        <f>H60-H41</f>
        <v>0</v>
      </c>
      <c r="I44" s="159">
        <f>I60-I41</f>
        <v>0</v>
      </c>
      <c r="J44" s="159">
        <f>SUM(G44:I44)</f>
        <v>0</v>
      </c>
      <c r="K44" s="441" t="str">
        <f>IF(J60=0,"This fund has zero estimated expenditures in DU 7.00",IF(J60=0,"ERROR! Verify/enter 6 series adjustments!","Calculated "&amp;IF(J44&gt;0,"overfunding ","underfunding ")&amp;"is "&amp;TEXT(J44/J60,"#.0%;(#.0% );0%;")&amp;" of Est. Expenditures"))</f>
        <v>This fund has zero estimated expenditures in DU 7.00</v>
      </c>
      <c r="L44" s="442"/>
      <c r="M44" s="442"/>
      <c r="N44" s="443"/>
      <c r="O44"/>
      <c r="P44"/>
      <c r="Q44"/>
      <c r="R44"/>
      <c r="S44"/>
      <c r="T44"/>
      <c r="U44"/>
      <c r="V44"/>
      <c r="W44"/>
      <c r="X44"/>
      <c r="Y44"/>
      <c r="Z44" s="344"/>
      <c r="AA44" s="338">
        <f>NEW_AdjPermSalary-NEW_PermSalaryFilled</f>
        <v>0</v>
      </c>
      <c r="AB44" s="338">
        <f>NEW_AdjPermVB-NEW_PermVBFilled</f>
        <v>0</v>
      </c>
      <c r="AC44" s="338">
        <f>SUM(AA44:AB44)</f>
        <v>0</v>
      </c>
      <c r="AD44" s="329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</row>
    <row r="45" spans="1:94" s="153" customFormat="1" ht="15.75" customHeight="1" x14ac:dyDescent="0.25">
      <c r="A45" s="139"/>
      <c r="B45" s="202"/>
      <c r="C45" s="215"/>
      <c r="D45" s="215"/>
      <c r="E45" s="204" t="s">
        <v>97</v>
      </c>
      <c r="F45" s="205">
        <f>ROUND(F67-F41-F63,2)</f>
        <v>9</v>
      </c>
      <c r="G45" s="206">
        <f>G67-G41-G63</f>
        <v>0</v>
      </c>
      <c r="H45" s="206">
        <f>H67-H41-H63</f>
        <v>0</v>
      </c>
      <c r="I45" s="206">
        <f>I67-I41-I63</f>
        <v>0</v>
      </c>
      <c r="J45" s="159">
        <f>SUM(G45:I45)</f>
        <v>0</v>
      </c>
      <c r="K45" s="441" t="str">
        <f>IF(J67=0,"This fund has a $0 Base in DU 9.00",IF(J67=0,"ERROR! Verify/enter 8 series adjustments!","Calculated "&amp;IF(J45&gt;0,"overfunding ","underfunding ")&amp;"is "&amp;TEXT(J45/J67,"#.0%;(#.0% );0%;")&amp;" of the Base"))</f>
        <v>This fund has a $0 Base in DU 9.00</v>
      </c>
      <c r="L45" s="442"/>
      <c r="M45" s="442"/>
      <c r="N45" s="443"/>
      <c r="O45"/>
      <c r="P45"/>
      <c r="Q45"/>
      <c r="R45"/>
      <c r="S45"/>
      <c r="T45"/>
      <c r="U45"/>
      <c r="V45"/>
      <c r="W45"/>
      <c r="X45"/>
      <c r="Y45"/>
      <c r="Z45" s="344"/>
      <c r="AA45" s="338">
        <f>NEW_AdjGroupSalary-NEW_GroupSalaryFilled</f>
        <v>0</v>
      </c>
      <c r="AB45" s="338">
        <f>NEW_AdjGroupVB-NEW_GroupVBFilled</f>
        <v>0</v>
      </c>
      <c r="AC45" s="338">
        <f>SUM(AA45:AB45)</f>
        <v>0</v>
      </c>
      <c r="AD45" s="329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</row>
    <row r="46" spans="1:94" s="153" customFormat="1" ht="28.5" customHeight="1" x14ac:dyDescent="0.25">
      <c r="A46" s="139"/>
      <c r="B46" s="202"/>
      <c r="C46" s="215"/>
      <c r="D46" s="215"/>
      <c r="E46" s="444" t="s">
        <v>98</v>
      </c>
      <c r="F46" s="445"/>
      <c r="G46" s="445"/>
      <c r="H46" s="445"/>
      <c r="I46" s="445"/>
      <c r="J46" s="446"/>
      <c r="K46" s="450" t="str">
        <f>IF(OR(J45&lt;0,F45&lt;0),"You may not have sufficient funding or authorized FTP, and may need to make additional adjustments to finalize this form.  Please contact both your DFM and LSO analysts.","")</f>
        <v/>
      </c>
      <c r="L46" s="451"/>
      <c r="M46" s="451"/>
      <c r="N46" s="452"/>
      <c r="O46"/>
      <c r="P46"/>
      <c r="Q46"/>
      <c r="R46"/>
      <c r="S46"/>
      <c r="T46"/>
      <c r="U46"/>
      <c r="V46"/>
      <c r="W46"/>
      <c r="X46"/>
      <c r="Y46"/>
      <c r="Z46" s="344"/>
      <c r="AA46" s="364"/>
      <c r="AB46" s="364"/>
      <c r="AC46" s="364"/>
      <c r="AD46" s="329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</row>
    <row r="47" spans="1:94" s="153" customFormat="1" ht="21.75" customHeight="1" x14ac:dyDescent="0.25">
      <c r="A47" s="139"/>
      <c r="B47" s="202"/>
      <c r="C47" s="215"/>
      <c r="D47" s="215"/>
      <c r="E47" s="447"/>
      <c r="F47" s="448"/>
      <c r="G47" s="448"/>
      <c r="H47" s="448"/>
      <c r="I47" s="448"/>
      <c r="J47" s="449"/>
      <c r="K47" s="453"/>
      <c r="L47" s="454"/>
      <c r="M47" s="454"/>
      <c r="N47" s="455"/>
      <c r="O47"/>
      <c r="P47"/>
      <c r="Q47"/>
      <c r="R47"/>
      <c r="S47"/>
      <c r="T47"/>
      <c r="U47"/>
      <c r="V47"/>
      <c r="W47"/>
      <c r="X47"/>
      <c r="Y47"/>
      <c r="Z47" s="344"/>
      <c r="AA47" s="364"/>
      <c r="AB47" s="364"/>
      <c r="AC47" s="364"/>
      <c r="AD47" s="329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</row>
    <row r="48" spans="1:94" s="214" customFormat="1" ht="8.25" customHeight="1" x14ac:dyDescent="0.25">
      <c r="A48" s="207"/>
      <c r="B48" s="208"/>
      <c r="C48" s="136"/>
      <c r="D48" s="136"/>
      <c r="E48" s="209"/>
      <c r="F48" s="210"/>
      <c r="G48" s="211"/>
      <c r="H48" s="211"/>
      <c r="I48" s="211"/>
      <c r="J48" s="211"/>
      <c r="K48" s="211"/>
      <c r="L48" s="137"/>
      <c r="M48" s="138"/>
      <c r="N48" s="212"/>
      <c r="O48"/>
      <c r="P48"/>
      <c r="Q48"/>
      <c r="R48"/>
      <c r="S48"/>
      <c r="T48"/>
      <c r="U48"/>
      <c r="V48"/>
      <c r="W48"/>
      <c r="X48"/>
      <c r="Y48"/>
      <c r="Z48" s="344"/>
      <c r="AA48" s="339"/>
      <c r="AB48" s="339"/>
      <c r="AC48" s="339"/>
      <c r="AD48" s="330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  <c r="CM48" s="213"/>
      <c r="CN48" s="213"/>
      <c r="CO48" s="213"/>
      <c r="CP48" s="213"/>
    </row>
    <row r="49" spans="1:94" s="53" customFormat="1" ht="6" customHeight="1" x14ac:dyDescent="0.25">
      <c r="A49" s="63"/>
      <c r="B49" s="64"/>
      <c r="C49" s="65"/>
      <c r="D49" s="66"/>
      <c r="E49" s="67"/>
      <c r="F49" s="68"/>
      <c r="G49" s="64"/>
      <c r="H49" s="64"/>
      <c r="I49" s="64"/>
      <c r="J49" s="64"/>
      <c r="K49" s="64"/>
      <c r="L49" s="69"/>
      <c r="M49" s="69"/>
      <c r="N49" s="70"/>
      <c r="O49"/>
      <c r="P49"/>
      <c r="Q49"/>
      <c r="R49"/>
      <c r="S49"/>
      <c r="T49"/>
      <c r="U49"/>
      <c r="V49"/>
      <c r="W49"/>
      <c r="X49"/>
      <c r="Y49"/>
      <c r="Z49" s="344"/>
      <c r="AA49" s="364"/>
      <c r="AB49" s="364"/>
      <c r="AC49" s="364"/>
      <c r="AD49" s="110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</row>
    <row r="50" spans="1:94" s="53" customFormat="1" ht="24.75" customHeight="1" x14ac:dyDescent="0.25">
      <c r="A50" s="257" t="s">
        <v>42</v>
      </c>
      <c r="B50" s="71"/>
      <c r="C50" s="456"/>
      <c r="D50" s="457"/>
      <c r="E50" s="72" t="s">
        <v>43</v>
      </c>
      <c r="F50" s="73" t="s">
        <v>24</v>
      </c>
      <c r="G50" s="72" t="str">
        <f>"FY "&amp;M4-2001&amp;" Salary"</f>
        <v>FY 23 Salary</v>
      </c>
      <c r="H50" s="72" t="str">
        <f>"FY "&amp;M4-2001&amp;" Health Ben"</f>
        <v>FY 23 Health Ben</v>
      </c>
      <c r="I50" s="72" t="str">
        <f>"FY "&amp;M4-2001&amp;" Var Ben"</f>
        <v>FY 23 Var Ben</v>
      </c>
      <c r="J50" s="72" t="str">
        <f>"FY "&amp;M4-1&amp;" Total"</f>
        <v>FY 2023 Total</v>
      </c>
      <c r="K50" s="307" t="str">
        <f>"FY "&amp;FiscalYear&amp;" SALARY CHG"</f>
        <v>FY 2024 SALARY CHG</v>
      </c>
      <c r="L50" s="74" t="str">
        <f>"FY "&amp;M4-2000&amp;" Chg Health Bens"</f>
        <v>FY 24 Chg Health Bens</v>
      </c>
      <c r="M50" s="74" t="str">
        <f>"FY "&amp;M4-2000&amp;" Chg Var Bens"</f>
        <v>FY 24 Chg Var Bens</v>
      </c>
      <c r="N50" s="74" t="s">
        <v>44</v>
      </c>
      <c r="O50"/>
      <c r="P50"/>
      <c r="Q50"/>
      <c r="R50"/>
      <c r="S50"/>
      <c r="T50"/>
      <c r="U50"/>
      <c r="V50"/>
      <c r="W50"/>
      <c r="X50"/>
      <c r="Y50"/>
      <c r="Z50" s="344"/>
      <c r="AA50" s="364"/>
      <c r="AB50" s="364"/>
      <c r="AC50" s="364"/>
      <c r="AD50" s="110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</row>
    <row r="51" spans="1:94" s="53" customFormat="1" ht="15.75" customHeight="1" x14ac:dyDescent="0.25">
      <c r="A51" s="75">
        <v>3</v>
      </c>
      <c r="B51" s="76" t="s">
        <v>45</v>
      </c>
      <c r="C51" s="54" t="str">
        <f>"FY "&amp;M4-1</f>
        <v>FY 2023</v>
      </c>
      <c r="D51" s="77" t="s">
        <v>31</v>
      </c>
      <c r="E51" s="78">
        <f>OrigApprop</f>
        <v>0</v>
      </c>
      <c r="F51" s="272">
        <f>AppropFTP</f>
        <v>9</v>
      </c>
      <c r="G51" s="274">
        <f>IF(E51=0,0,(G41/$J$41)*$E$51)</f>
        <v>0</v>
      </c>
      <c r="H51" s="274">
        <f>IF(E51=0,0,(H41/$J$41)*$E$51)</f>
        <v>0</v>
      </c>
      <c r="I51" s="275">
        <f>IF(E51=0,0,(I41/$J$41)*$E$51)</f>
        <v>0</v>
      </c>
      <c r="J51" s="90">
        <f>SUM(G51:I51)</f>
        <v>0</v>
      </c>
      <c r="K51" s="263"/>
      <c r="L51" s="61"/>
      <c r="M51" s="81"/>
      <c r="N51" s="81"/>
      <c r="O51"/>
      <c r="P51"/>
      <c r="Q51"/>
      <c r="R51"/>
      <c r="S51"/>
      <c r="T51"/>
      <c r="U51"/>
      <c r="V51"/>
      <c r="W51"/>
      <c r="X51"/>
      <c r="Y51"/>
      <c r="Z51" s="344"/>
      <c r="AA51" s="346"/>
      <c r="AB51" s="364"/>
      <c r="AC51" s="364"/>
      <c r="AD51" s="110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</row>
    <row r="52" spans="1:94" s="53" customFormat="1" ht="15.75" customHeight="1" x14ac:dyDescent="0.25">
      <c r="A52" s="82"/>
      <c r="B52" s="83"/>
      <c r="C52" s="84"/>
      <c r="D52" s="132" t="s">
        <v>46</v>
      </c>
      <c r="E52" s="133"/>
      <c r="F52" s="55">
        <f>F51</f>
        <v>9</v>
      </c>
      <c r="G52" s="79">
        <f>ROUND(G51,-2)</f>
        <v>0</v>
      </c>
      <c r="H52" s="79">
        <f>ROUND(H51,-2)</f>
        <v>0</v>
      </c>
      <c r="I52" s="266">
        <f>ROUND(I51,-2)</f>
        <v>0</v>
      </c>
      <c r="J52" s="80">
        <f>ROUND(J51,-2)</f>
        <v>0</v>
      </c>
      <c r="K52" s="263"/>
      <c r="L52" s="61"/>
      <c r="M52" s="81"/>
      <c r="N52" s="81"/>
      <c r="O52"/>
      <c r="P52"/>
      <c r="Q52"/>
      <c r="R52"/>
      <c r="S52"/>
      <c r="T52"/>
      <c r="U52"/>
      <c r="V52"/>
      <c r="W52"/>
      <c r="X52"/>
      <c r="Y52"/>
      <c r="Z52" s="344"/>
      <c r="AA52" s="347"/>
      <c r="AB52" s="364"/>
      <c r="AC52" s="364"/>
      <c r="AD52" s="110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</row>
    <row r="53" spans="1:94" s="53" customFormat="1" ht="15" x14ac:dyDescent="0.25">
      <c r="A53" s="85"/>
      <c r="B53" s="83"/>
      <c r="C53" s="458" t="s">
        <v>47</v>
      </c>
      <c r="D53" s="459"/>
      <c r="E53" s="271"/>
      <c r="F53" s="273"/>
      <c r="G53" s="62"/>
      <c r="H53" s="62"/>
      <c r="I53" s="62"/>
      <c r="J53" s="62"/>
      <c r="K53" s="62"/>
      <c r="L53" s="61"/>
      <c r="M53" s="86"/>
      <c r="N53" s="86"/>
      <c r="O53"/>
      <c r="P53"/>
      <c r="Q53"/>
      <c r="R53"/>
      <c r="S53"/>
      <c r="T53"/>
      <c r="U53"/>
      <c r="V53"/>
      <c r="W53"/>
      <c r="X53"/>
      <c r="Y53"/>
      <c r="Z53" s="344"/>
      <c r="AA53" s="364"/>
      <c r="AB53" s="364"/>
      <c r="AC53" s="364"/>
      <c r="AD53" s="110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</row>
    <row r="54" spans="1:94" s="53" customFormat="1" ht="15.75" customHeight="1" x14ac:dyDescent="0.25">
      <c r="A54" s="85">
        <v>4.1100000000000003</v>
      </c>
      <c r="B54" s="83"/>
      <c r="C54" s="423" t="s">
        <v>48</v>
      </c>
      <c r="D54" s="424"/>
      <c r="E54" s="59"/>
      <c r="F54" s="58">
        <v>0</v>
      </c>
      <c r="G54" s="88">
        <v>0</v>
      </c>
      <c r="H54" s="88">
        <v>0</v>
      </c>
      <c r="I54" s="265">
        <v>0</v>
      </c>
      <c r="J54" s="89">
        <f>SUM(G54:I54)</f>
        <v>0</v>
      </c>
      <c r="K54" s="62"/>
      <c r="L54" s="61"/>
      <c r="M54" s="86"/>
      <c r="N54" s="86"/>
      <c r="O54"/>
      <c r="P54"/>
      <c r="Q54"/>
      <c r="R54"/>
      <c r="S54"/>
      <c r="T54"/>
      <c r="U54"/>
      <c r="V54"/>
      <c r="W54"/>
      <c r="X54"/>
      <c r="Y54"/>
      <c r="Z54" s="344"/>
      <c r="AA54" s="364"/>
      <c r="AB54" s="364"/>
      <c r="AC54" s="364"/>
      <c r="AD54" s="110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</row>
    <row r="55" spans="1:94" s="53" customFormat="1" ht="15.75" customHeight="1" x14ac:dyDescent="0.25">
      <c r="A55" s="85">
        <v>4.3099999999999996</v>
      </c>
      <c r="B55" s="83"/>
      <c r="C55" s="430" t="s">
        <v>49</v>
      </c>
      <c r="D55" s="431"/>
      <c r="E55" s="59"/>
      <c r="F55" s="277">
        <v>0</v>
      </c>
      <c r="G55" s="92">
        <v>0</v>
      </c>
      <c r="H55" s="92">
        <v>0</v>
      </c>
      <c r="I55" s="264">
        <v>0</v>
      </c>
      <c r="J55" s="287">
        <f>SUM(G55:I55)</f>
        <v>0</v>
      </c>
      <c r="K55" s="62"/>
      <c r="L55" s="88"/>
      <c r="M55" s="261"/>
      <c r="N55" s="89">
        <f>SUM(L55:M55)</f>
        <v>0</v>
      </c>
      <c r="O55"/>
      <c r="P55"/>
      <c r="Q55"/>
      <c r="R55"/>
      <c r="S55"/>
      <c r="T55"/>
      <c r="U55"/>
      <c r="V55"/>
      <c r="W55"/>
      <c r="X55"/>
      <c r="Y55"/>
      <c r="Z55" s="344"/>
      <c r="AA55" s="364"/>
      <c r="AB55" s="364"/>
      <c r="AC55" s="364"/>
      <c r="AD55" s="110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</row>
    <row r="56" spans="1:94" s="53" customFormat="1" ht="15.75" customHeight="1" x14ac:dyDescent="0.25">
      <c r="A56" s="75">
        <v>5</v>
      </c>
      <c r="B56" s="76"/>
      <c r="C56" s="54" t="str">
        <f>"FY "&amp;M4-1</f>
        <v>FY 2023</v>
      </c>
      <c r="D56" s="131" t="s">
        <v>50</v>
      </c>
      <c r="E56" s="135"/>
      <c r="F56" s="55">
        <f>SUM(F52:F55)</f>
        <v>9</v>
      </c>
      <c r="G56" s="80">
        <f>SUM(G52:G55)</f>
        <v>0</v>
      </c>
      <c r="H56" s="80">
        <f>SUM(H52:H55)</f>
        <v>0</v>
      </c>
      <c r="I56" s="260">
        <f>SUM(I52:I55)</f>
        <v>0</v>
      </c>
      <c r="J56" s="80">
        <f>SUM(J52:J55)</f>
        <v>0</v>
      </c>
      <c r="K56" s="263"/>
      <c r="L56" s="61"/>
      <c r="M56" s="61"/>
      <c r="N56" s="61"/>
      <c r="O56"/>
      <c r="P56"/>
      <c r="Q56"/>
      <c r="R56"/>
      <c r="S56"/>
      <c r="T56"/>
      <c r="U56"/>
      <c r="V56"/>
      <c r="W56"/>
      <c r="X56"/>
      <c r="Y56"/>
      <c r="Z56" s="344"/>
      <c r="AA56" s="364"/>
      <c r="AB56" s="364"/>
      <c r="AC56" s="364"/>
      <c r="AD56" s="110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</row>
    <row r="57" spans="1:94" s="53" customFormat="1" ht="15.75" customHeight="1" x14ac:dyDescent="0.25">
      <c r="A57" s="85"/>
      <c r="B57" s="83"/>
      <c r="C57" s="428" t="s">
        <v>51</v>
      </c>
      <c r="D57" s="432"/>
      <c r="E57" s="368"/>
      <c r="F57" s="273"/>
      <c r="G57" s="62"/>
      <c r="H57" s="62"/>
      <c r="I57" s="62"/>
      <c r="J57" s="62"/>
      <c r="K57" s="62"/>
      <c r="L57" s="61"/>
      <c r="M57" s="61"/>
      <c r="N57" s="61"/>
      <c r="O57"/>
      <c r="P57"/>
      <c r="Q57"/>
      <c r="R57"/>
      <c r="S57"/>
      <c r="T57"/>
      <c r="U57"/>
      <c r="V57"/>
      <c r="W57"/>
      <c r="X57"/>
      <c r="Y57"/>
      <c r="Z57" s="344"/>
      <c r="AA57" s="364"/>
      <c r="AB57" s="364"/>
      <c r="AC57" s="364"/>
      <c r="AD57" s="110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</row>
    <row r="58" spans="1:94" s="53" customFormat="1" ht="15.75" customHeight="1" x14ac:dyDescent="0.25">
      <c r="A58" s="85">
        <v>6.31</v>
      </c>
      <c r="B58" s="83"/>
      <c r="C58" s="433" t="s">
        <v>116</v>
      </c>
      <c r="D58" s="434"/>
      <c r="E58" s="102"/>
      <c r="F58" s="58">
        <v>0</v>
      </c>
      <c r="G58" s="88">
        <v>0</v>
      </c>
      <c r="H58" s="88">
        <v>0</v>
      </c>
      <c r="I58" s="265"/>
      <c r="J58" s="89">
        <f>SUM(G58:I58)</f>
        <v>0</v>
      </c>
      <c r="K58" s="62"/>
      <c r="L58" s="88"/>
      <c r="M58" s="262"/>
      <c r="N58" s="89">
        <f>SUM(L58:M58)</f>
        <v>0</v>
      </c>
      <c r="O58"/>
      <c r="P58"/>
      <c r="Q58"/>
      <c r="R58"/>
      <c r="S58"/>
      <c r="T58"/>
      <c r="U58"/>
      <c r="V58"/>
      <c r="W58"/>
      <c r="X58"/>
      <c r="Y58"/>
      <c r="Z58" s="344"/>
      <c r="AA58" s="364"/>
      <c r="AB58" s="364"/>
      <c r="AC58" s="364"/>
      <c r="AD58" s="110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</row>
    <row r="59" spans="1:94" s="53" customFormat="1" ht="15.75" customHeight="1" x14ac:dyDescent="0.25">
      <c r="A59" s="85">
        <v>6.41</v>
      </c>
      <c r="B59" s="83"/>
      <c r="C59" s="433" t="s">
        <v>52</v>
      </c>
      <c r="D59" s="434"/>
      <c r="E59" s="102"/>
      <c r="F59" s="58">
        <v>0</v>
      </c>
      <c r="G59" s="88">
        <v>0</v>
      </c>
      <c r="H59" s="92">
        <v>0</v>
      </c>
      <c r="I59" s="264">
        <v>0</v>
      </c>
      <c r="J59" s="267">
        <f>SUM(G59:I59)</f>
        <v>0</v>
      </c>
      <c r="K59" s="62"/>
      <c r="L59" s="88"/>
      <c r="M59" s="261"/>
      <c r="N59" s="89">
        <f>SUM(L59:M59)</f>
        <v>0</v>
      </c>
      <c r="O59"/>
      <c r="P59"/>
      <c r="Q59"/>
      <c r="R59"/>
      <c r="S59"/>
      <c r="T59"/>
      <c r="U59"/>
      <c r="V59"/>
      <c r="W59"/>
      <c r="X59"/>
      <c r="Y59"/>
      <c r="Z59" s="344"/>
      <c r="AA59" s="364"/>
      <c r="AB59" s="364"/>
      <c r="AC59" s="364"/>
      <c r="AD59" s="110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</row>
    <row r="60" spans="1:94" s="53" customFormat="1" ht="15.75" customHeight="1" x14ac:dyDescent="0.25">
      <c r="A60" s="75">
        <v>7</v>
      </c>
      <c r="B60" s="76"/>
      <c r="C60" s="54" t="str">
        <f>"FY "&amp;M4-1</f>
        <v>FY 2023</v>
      </c>
      <c r="D60" s="131" t="s">
        <v>53</v>
      </c>
      <c r="E60" s="135"/>
      <c r="F60" s="55">
        <f>SUM(F56:F59)</f>
        <v>9</v>
      </c>
      <c r="G60" s="80">
        <f>SUM(G56:G59)</f>
        <v>0</v>
      </c>
      <c r="H60" s="80">
        <f>SUM(H56:H59)</f>
        <v>0</v>
      </c>
      <c r="I60" s="260">
        <f>SUM(I56:I59)</f>
        <v>0</v>
      </c>
      <c r="J60" s="80">
        <f>SUM(J56:J59)</f>
        <v>0</v>
      </c>
      <c r="K60" s="263"/>
      <c r="L60" s="61"/>
      <c r="M60" s="61"/>
      <c r="N60" s="60"/>
      <c r="O60"/>
      <c r="P60"/>
      <c r="Q60"/>
      <c r="R60"/>
      <c r="S60"/>
      <c r="T60"/>
      <c r="U60"/>
      <c r="V60"/>
      <c r="W60"/>
      <c r="X60"/>
      <c r="Y60"/>
      <c r="Z60" s="344"/>
      <c r="AA60" s="364"/>
      <c r="AB60" s="364"/>
      <c r="AC60" s="364"/>
      <c r="AD60" s="110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</row>
    <row r="61" spans="1:94" s="53" customFormat="1" ht="15.75" customHeight="1" x14ac:dyDescent="0.25">
      <c r="A61" s="85"/>
      <c r="B61" s="83"/>
      <c r="C61" s="428" t="s">
        <v>54</v>
      </c>
      <c r="D61" s="432"/>
      <c r="E61" s="368"/>
      <c r="F61" s="273"/>
      <c r="G61" s="62"/>
      <c r="H61" s="62"/>
      <c r="I61" s="62"/>
      <c r="J61" s="62"/>
      <c r="K61" s="62"/>
      <c r="L61" s="61"/>
      <c r="M61" s="61"/>
      <c r="N61" s="60"/>
      <c r="O61"/>
      <c r="P61"/>
      <c r="Q61"/>
      <c r="R61"/>
      <c r="S61"/>
      <c r="T61"/>
      <c r="U61"/>
      <c r="V61"/>
      <c r="W61"/>
      <c r="X61"/>
      <c r="Y61"/>
      <c r="Z61" s="344"/>
      <c r="AA61" s="364"/>
      <c r="AB61" s="364"/>
      <c r="AC61" s="364"/>
      <c r="AD61" s="110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</row>
    <row r="62" spans="1:94" s="53" customFormat="1" ht="15.75" customHeight="1" x14ac:dyDescent="0.25">
      <c r="A62" s="85">
        <v>8.31</v>
      </c>
      <c r="B62" s="83"/>
      <c r="C62" s="423" t="s">
        <v>65</v>
      </c>
      <c r="D62" s="424"/>
      <c r="E62" s="102"/>
      <c r="F62" s="58">
        <v>0</v>
      </c>
      <c r="G62" s="88">
        <v>0</v>
      </c>
      <c r="H62" s="91">
        <v>0</v>
      </c>
      <c r="I62" s="276">
        <v>0</v>
      </c>
      <c r="J62" s="89">
        <f>SUM(G62:I62)</f>
        <v>0</v>
      </c>
      <c r="K62" s="62"/>
      <c r="L62" s="88"/>
      <c r="M62" s="261"/>
      <c r="N62" s="89">
        <f>SUM(L62:M62)</f>
        <v>0</v>
      </c>
      <c r="O62"/>
      <c r="P62"/>
      <c r="Q62"/>
      <c r="R62"/>
      <c r="S62"/>
      <c r="T62"/>
      <c r="U62"/>
      <c r="V62"/>
      <c r="W62"/>
      <c r="X62"/>
      <c r="Y62"/>
      <c r="Z62" s="344"/>
      <c r="AA62" s="364"/>
      <c r="AB62" s="364"/>
      <c r="AC62" s="364"/>
      <c r="AD62" s="110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</row>
    <row r="63" spans="1:94" s="53" customFormat="1" ht="15.75" customHeight="1" x14ac:dyDescent="0.25">
      <c r="A63" s="85">
        <v>8.41</v>
      </c>
      <c r="B63" s="83"/>
      <c r="C63" s="423" t="s">
        <v>55</v>
      </c>
      <c r="D63" s="424"/>
      <c r="E63" s="102"/>
      <c r="F63" s="58">
        <v>0</v>
      </c>
      <c r="G63" s="89">
        <f>ROUND((OneTimePC_Total-H63)/(1+(PermVB+Retire1)),-2)</f>
        <v>0</v>
      </c>
      <c r="H63" s="89">
        <f>ROUND(IF(AND(F63&lt;0,OneTimePC_Total&lt;0),F63*Health,0),-2)</f>
        <v>0</v>
      </c>
      <c r="I63" s="310">
        <f>OneTimePC_Total-G63-H63</f>
        <v>0</v>
      </c>
      <c r="J63" s="89">
        <v>0</v>
      </c>
      <c r="K63" s="308"/>
      <c r="L63" s="88"/>
      <c r="M63" s="261"/>
      <c r="N63" s="89">
        <f>SUM(L63:M63)</f>
        <v>0</v>
      </c>
      <c r="O63"/>
      <c r="P63"/>
      <c r="Q63"/>
      <c r="R63"/>
      <c r="S63"/>
      <c r="T63"/>
      <c r="U63"/>
      <c r="V63"/>
      <c r="W63"/>
      <c r="X63"/>
      <c r="Y63"/>
      <c r="Z63" s="344"/>
      <c r="AA63" s="364"/>
      <c r="AB63" s="364"/>
      <c r="AC63" s="364"/>
      <c r="AD63" s="110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</row>
    <row r="64" spans="1:94" s="53" customFormat="1" ht="15.75" customHeight="1" thickBot="1" x14ac:dyDescent="0.3">
      <c r="A64" s="93">
        <v>8.51</v>
      </c>
      <c r="B64" s="93"/>
      <c r="C64" s="435" t="s">
        <v>56</v>
      </c>
      <c r="D64" s="436"/>
      <c r="E64" s="134"/>
      <c r="F64" s="58">
        <v>0</v>
      </c>
      <c r="G64" s="88">
        <v>0</v>
      </c>
      <c r="H64" s="88">
        <v>0</v>
      </c>
      <c r="I64" s="265">
        <v>0</v>
      </c>
      <c r="J64" s="89">
        <f>SUM(G64:I64)</f>
        <v>0</v>
      </c>
      <c r="K64" s="62"/>
      <c r="L64" s="88"/>
      <c r="M64" s="261"/>
      <c r="N64" s="89">
        <f>SUM(L64:M64)</f>
        <v>0</v>
      </c>
      <c r="O64"/>
      <c r="P64"/>
      <c r="Q64"/>
      <c r="R64"/>
      <c r="S64"/>
      <c r="T64"/>
      <c r="U64"/>
      <c r="V64"/>
      <c r="W64"/>
      <c r="X64"/>
      <c r="Y64"/>
      <c r="Z64" s="344"/>
      <c r="AA64" s="364"/>
      <c r="AB64" s="364"/>
      <c r="AC64" s="364"/>
      <c r="AD64" s="110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</row>
    <row r="65" spans="1:94" s="53" customFormat="1" ht="6" customHeight="1" thickTop="1" x14ac:dyDescent="0.25">
      <c r="A65" s="94"/>
      <c r="B65" s="95"/>
      <c r="C65" s="437"/>
      <c r="D65" s="438"/>
      <c r="E65" s="96"/>
      <c r="F65" s="97"/>
      <c r="G65" s="98"/>
      <c r="H65" s="98"/>
      <c r="I65" s="98"/>
      <c r="J65" s="98"/>
      <c r="K65" s="98"/>
      <c r="L65" s="98"/>
      <c r="M65" s="99"/>
      <c r="N65" s="95"/>
      <c r="O65"/>
      <c r="P65"/>
      <c r="Q65"/>
      <c r="R65"/>
      <c r="S65"/>
      <c r="T65"/>
      <c r="U65"/>
      <c r="V65"/>
      <c r="W65"/>
      <c r="X65"/>
      <c r="Y65"/>
      <c r="Z65" s="344"/>
      <c r="AA65" s="364"/>
      <c r="AB65" s="364"/>
      <c r="AC65" s="364"/>
      <c r="AD65" s="110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</row>
    <row r="66" spans="1:94" s="107" customFormat="1" ht="15" x14ac:dyDescent="0.25">
      <c r="A66" s="100"/>
      <c r="B66" s="101"/>
      <c r="C66" s="439"/>
      <c r="D66" s="440"/>
      <c r="E66" s="102"/>
      <c r="F66" s="103" t="s">
        <v>24</v>
      </c>
      <c r="G66" s="104" t="str">
        <f>"FY "&amp;M4-2000&amp;" Salary"</f>
        <v>FY 24 Salary</v>
      </c>
      <c r="H66" s="104" t="str">
        <f>"FY"&amp;M4-2000&amp;" Health Ben"</f>
        <v>FY24 Health Ben</v>
      </c>
      <c r="I66" s="104" t="str">
        <f>"FY "&amp;M4-2000&amp;" Var Ben"</f>
        <v>FY 24 Var Ben</v>
      </c>
      <c r="J66" s="104" t="str">
        <f>"FY "&amp;M4&amp;" Total"</f>
        <v>FY 2024 Total</v>
      </c>
      <c r="K66" s="104"/>
      <c r="L66" s="105"/>
      <c r="M66" s="105"/>
      <c r="N66" s="101"/>
      <c r="O66"/>
      <c r="P66"/>
      <c r="Q66"/>
      <c r="R66"/>
      <c r="S66"/>
      <c r="T66"/>
      <c r="U66"/>
      <c r="V66"/>
      <c r="W66"/>
      <c r="X66"/>
      <c r="Y66"/>
      <c r="Z66" s="344"/>
      <c r="AA66" s="339"/>
      <c r="AB66" s="339"/>
      <c r="AC66" s="339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</row>
    <row r="67" spans="1:94" s="53" customFormat="1" ht="15" x14ac:dyDescent="0.25">
      <c r="A67" s="82">
        <v>9</v>
      </c>
      <c r="B67" s="83"/>
      <c r="C67" s="84" t="str">
        <f>"FY "&amp;M4</f>
        <v>FY 2024</v>
      </c>
      <c r="D67" s="108" t="s">
        <v>57</v>
      </c>
      <c r="E67" s="109"/>
      <c r="F67" s="55">
        <f>SUM(F60:F64)</f>
        <v>9</v>
      </c>
      <c r="G67" s="80">
        <f>SUM(G60:G64)</f>
        <v>0</v>
      </c>
      <c r="H67" s="80">
        <f>SUM(H60:H64)</f>
        <v>0</v>
      </c>
      <c r="I67" s="80">
        <f>SUM(I60:I64)</f>
        <v>0</v>
      </c>
      <c r="J67" s="80">
        <f>SUM(J60:J64)</f>
        <v>0</v>
      </c>
      <c r="K67" s="263"/>
      <c r="L67" s="110"/>
      <c r="M67" s="110"/>
      <c r="N67" s="111"/>
      <c r="O67"/>
      <c r="P67"/>
      <c r="Q67"/>
      <c r="R67"/>
      <c r="S67"/>
      <c r="T67"/>
      <c r="U67"/>
      <c r="V67"/>
      <c r="W67"/>
      <c r="X67"/>
      <c r="Y67"/>
      <c r="Z67" s="344"/>
      <c r="AA67" s="364"/>
      <c r="AB67" s="364"/>
      <c r="AC67" s="364"/>
      <c r="AD67" s="110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</row>
    <row r="68" spans="1:94" s="53" customFormat="1" ht="15.75" customHeight="1" x14ac:dyDescent="0.25">
      <c r="A68" s="85">
        <v>10.11</v>
      </c>
      <c r="B68" s="83"/>
      <c r="C68" s="428" t="s">
        <v>58</v>
      </c>
      <c r="D68" s="429"/>
      <c r="E68" s="112"/>
      <c r="F68" s="288"/>
      <c r="G68" s="287"/>
      <c r="H68" s="113">
        <f>IF(DUNine=0,0,ROUND(SUM(L41:L65),-2))</f>
        <v>0</v>
      </c>
      <c r="I68" s="113"/>
      <c r="J68" s="287">
        <f>SUM(G68:I68)</f>
        <v>0</v>
      </c>
      <c r="K68" s="291"/>
      <c r="L68" s="292"/>
      <c r="M68" s="292"/>
      <c r="N68" s="293"/>
      <c r="O68"/>
      <c r="P68"/>
      <c r="Q68"/>
      <c r="R68"/>
      <c r="S68"/>
      <c r="T68"/>
      <c r="U68"/>
      <c r="V68"/>
      <c r="W68"/>
      <c r="X68"/>
      <c r="Y68"/>
      <c r="Z68" s="344"/>
      <c r="AA68" s="364"/>
      <c r="AB68" s="364"/>
      <c r="AC68" s="364"/>
      <c r="AD68" s="110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</row>
    <row r="69" spans="1:94" s="53" customFormat="1" ht="15" x14ac:dyDescent="0.25">
      <c r="A69" s="85">
        <v>10.119999999999999</v>
      </c>
      <c r="B69" s="83"/>
      <c r="C69" s="428" t="s">
        <v>59</v>
      </c>
      <c r="D69" s="429"/>
      <c r="E69" s="112"/>
      <c r="F69" s="288"/>
      <c r="G69" s="113"/>
      <c r="H69" s="113"/>
      <c r="I69" s="113">
        <f>IF(DUNine=0,0,ROUND(SUM(M41:M64),-2))</f>
        <v>0</v>
      </c>
      <c r="J69" s="287">
        <f>SUM(G69:I69)</f>
        <v>0</v>
      </c>
      <c r="K69" s="291"/>
      <c r="L69" s="292"/>
      <c r="M69" s="292"/>
      <c r="N69" s="293"/>
      <c r="O69"/>
      <c r="P69"/>
      <c r="Q69"/>
      <c r="R69"/>
      <c r="S69"/>
      <c r="T69"/>
      <c r="U69"/>
      <c r="V69"/>
      <c r="W69"/>
      <c r="X69"/>
      <c r="Y69"/>
      <c r="Z69" s="344"/>
      <c r="AA69" s="364"/>
      <c r="AB69" s="364"/>
      <c r="AC69" s="364"/>
      <c r="AD69" s="110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</row>
    <row r="70" spans="1:94" s="53" customFormat="1" ht="15" x14ac:dyDescent="0.25">
      <c r="A70" s="85"/>
      <c r="B70" s="83"/>
      <c r="C70" s="421"/>
      <c r="D70" s="422"/>
      <c r="E70" s="236" t="s">
        <v>23</v>
      </c>
      <c r="F70" s="288"/>
      <c r="G70" s="113"/>
      <c r="H70" s="113"/>
      <c r="I70" s="113"/>
      <c r="J70" s="287">
        <f>SUM(G70:I70)</f>
        <v>0</v>
      </c>
      <c r="K70" s="291"/>
      <c r="L70" s="292"/>
      <c r="M70" s="294"/>
      <c r="N70" s="295"/>
      <c r="O70"/>
      <c r="P70"/>
      <c r="Q70"/>
      <c r="R70"/>
      <c r="S70"/>
      <c r="T70"/>
      <c r="U70"/>
      <c r="V70"/>
      <c r="W70"/>
      <c r="X70"/>
      <c r="Y70"/>
      <c r="Z70" s="344"/>
      <c r="AA70" s="364"/>
      <c r="AB70" s="364"/>
      <c r="AC70" s="364"/>
      <c r="AD70" s="110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</row>
    <row r="71" spans="1:94" s="53" customFormat="1" ht="15.75" customHeight="1" x14ac:dyDescent="0.25">
      <c r="A71" s="85">
        <v>10.51</v>
      </c>
      <c r="B71" s="83"/>
      <c r="C71" s="423" t="s">
        <v>60</v>
      </c>
      <c r="D71" s="424"/>
      <c r="E71" s="237"/>
      <c r="F71" s="288"/>
      <c r="G71" s="92">
        <v>0</v>
      </c>
      <c r="H71" s="92">
        <v>0</v>
      </c>
      <c r="I71" s="287">
        <f>ROUND(IF(AND($G71&lt;&gt;0,$E71=1),$G71*PermVBBY+$G71*Retire1BY,IF(AND($G71&lt;&gt;0,$E71=2),$G71*GroupVBBY,IF(AND($G71&lt;&gt;0,$E71=3),$G71*ElectVBBY+$G71*Retire1BY,0))),-2)</f>
        <v>0</v>
      </c>
      <c r="J71" s="113">
        <f t="shared" ref="J71:J74" si="11">SUM(G71:I71)</f>
        <v>0</v>
      </c>
      <c r="K71" s="296"/>
      <c r="L71" s="297"/>
      <c r="M71" s="348" t="s">
        <v>110</v>
      </c>
      <c r="N71" s="356"/>
      <c r="O71" s="357"/>
      <c r="P71" s="357"/>
      <c r="Q71"/>
      <c r="R71"/>
      <c r="S71"/>
      <c r="T71"/>
      <c r="U71"/>
      <c r="V71"/>
      <c r="W71"/>
      <c r="X71"/>
      <c r="Y71"/>
      <c r="Z71" s="344"/>
      <c r="AA71" s="364"/>
      <c r="AB71" s="364"/>
      <c r="AC71" s="364"/>
      <c r="AD71" s="110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</row>
    <row r="72" spans="1:94" s="53" customFormat="1" ht="15.75" customHeight="1" x14ac:dyDescent="0.25">
      <c r="A72" s="85">
        <v>10.61</v>
      </c>
      <c r="B72" s="83"/>
      <c r="C72" s="423" t="s">
        <v>99</v>
      </c>
      <c r="D72" s="425"/>
      <c r="E72" s="290">
        <f>CECPerm</f>
        <v>0.01</v>
      </c>
      <c r="F72" s="288"/>
      <c r="G72" s="355">
        <f>IF(DUNine=0,0,IF(DUNine&lt;0,0,ROUND(AdjPermSalary*CECPerm,-2)))</f>
        <v>0</v>
      </c>
      <c r="H72" s="287"/>
      <c r="I72" s="287">
        <f>ROUND(($G72*PermVBBY+$G72*Retire1BY),-2)</f>
        <v>0</v>
      </c>
      <c r="J72" s="113">
        <f>SUM(G72:I72)</f>
        <v>0</v>
      </c>
      <c r="K72" s="296"/>
      <c r="L72" s="298"/>
      <c r="M72" s="349">
        <f>IF(DUNine=0,0,IF(((#REF!-G39-G40)*E72)&lt;0,0,ROUND(((#REF!-G39-G40)*E72),-2)))</f>
        <v>0</v>
      </c>
      <c r="N72" s="358"/>
      <c r="O72" s="357">
        <f>IF(DUNine=0,0,IF(DUNine&lt;0,0,IF(SubCECBase&lt;RoundedAppropSalary,ROUND(AdjPermSalary*CECpermCalc,-2)+((SubCECBase-RoundedAppropSalary)*CECpermCalc),IF(SubCECBase&gt;RoundedAppropSalary,ROUND(AdjPermSalary*CECpermCalc,-2)+((SubCECBase-RoundedAppropSalary)*CECpermCalc),ROUND(AdjPermSalary*CECpermCalc,-2)))))</f>
        <v>0</v>
      </c>
      <c r="P72" s="357"/>
      <c r="Q72"/>
      <c r="R72"/>
      <c r="S72"/>
      <c r="T72"/>
      <c r="U72"/>
      <c r="V72"/>
      <c r="W72"/>
      <c r="X72"/>
      <c r="Y72"/>
      <c r="Z72" s="344"/>
      <c r="AA72" s="364"/>
      <c r="AB72" s="364"/>
      <c r="AC72" s="364"/>
      <c r="AD72" s="110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</row>
    <row r="73" spans="1:94" s="53" customFormat="1" ht="15.6" customHeight="1" x14ac:dyDescent="0.25">
      <c r="A73" s="85">
        <v>10.62</v>
      </c>
      <c r="B73" s="83"/>
      <c r="C73" s="423" t="s">
        <v>117</v>
      </c>
      <c r="D73" s="425"/>
      <c r="E73" s="289">
        <f>CECGroup</f>
        <v>0.01</v>
      </c>
      <c r="F73" s="288"/>
      <c r="G73" s="355">
        <f>IF(DUNine=0,0,IF(DUNine&lt;0,0,ROUND(AdjGroupSalary*CECGroup,-2)))</f>
        <v>0</v>
      </c>
      <c r="H73" s="287"/>
      <c r="I73" s="287">
        <f>ROUND(($G73*GroupVBBY),-2)</f>
        <v>0</v>
      </c>
      <c r="J73" s="113">
        <f t="shared" si="11"/>
        <v>0</v>
      </c>
      <c r="K73" s="301"/>
      <c r="L73" s="302"/>
      <c r="M73" s="359"/>
      <c r="N73" s="360"/>
      <c r="O73" s="357"/>
      <c r="P73" s="357"/>
      <c r="Q73"/>
      <c r="R73"/>
      <c r="S73"/>
      <c r="T73"/>
      <c r="U73"/>
      <c r="V73"/>
      <c r="W73"/>
      <c r="X73"/>
      <c r="Y73"/>
      <c r="Z73" s="344"/>
      <c r="AA73" s="364"/>
      <c r="AB73" s="364"/>
      <c r="AC73" s="364"/>
      <c r="AD73" s="110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</row>
    <row r="74" spans="1:94" s="53" customFormat="1" ht="15.6" customHeight="1" x14ac:dyDescent="0.25">
      <c r="A74" s="85">
        <v>10.63</v>
      </c>
      <c r="B74" s="83"/>
      <c r="C74" s="367" t="s">
        <v>61</v>
      </c>
      <c r="D74" s="369"/>
      <c r="E74" s="112"/>
      <c r="F74" s="288"/>
      <c r="G74" s="92">
        <v>0</v>
      </c>
      <c r="H74" s="287"/>
      <c r="I74" s="287">
        <f>ROUND(($G74*ElectVBBY+$G74*Retire1BY),-2)</f>
        <v>0</v>
      </c>
      <c r="J74" s="113">
        <f t="shared" si="11"/>
        <v>0</v>
      </c>
      <c r="K74" s="301"/>
      <c r="L74" s="302"/>
      <c r="M74" s="303"/>
      <c r="N74" s="304"/>
      <c r="O74"/>
      <c r="P74"/>
      <c r="Q74"/>
      <c r="R74"/>
      <c r="S74"/>
      <c r="T74"/>
      <c r="U74"/>
      <c r="V74"/>
      <c r="W74"/>
      <c r="X74"/>
      <c r="Y74"/>
      <c r="Z74" s="344"/>
      <c r="AA74" s="364"/>
      <c r="AB74" s="364"/>
      <c r="AC74" s="364"/>
      <c r="AD74" s="110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</row>
    <row r="75" spans="1:94" s="53" customFormat="1" ht="15.75" customHeight="1" x14ac:dyDescent="0.25">
      <c r="A75" s="75">
        <v>11</v>
      </c>
      <c r="B75" s="76"/>
      <c r="C75" s="54" t="str">
        <f>"FY "&amp;M4</f>
        <v>FY 2024</v>
      </c>
      <c r="D75" s="77" t="s">
        <v>62</v>
      </c>
      <c r="E75" s="112"/>
      <c r="F75" s="55">
        <f>SUM(F67:F74)</f>
        <v>9</v>
      </c>
      <c r="G75" s="80">
        <f>SUM(G67:G74)</f>
        <v>0</v>
      </c>
      <c r="H75" s="80">
        <f>SUM(H67:H74)</f>
        <v>0</v>
      </c>
      <c r="I75" s="80">
        <f>SUM(I67:I74)</f>
        <v>0</v>
      </c>
      <c r="J75" s="80">
        <f>SUM(J67:K74)</f>
        <v>0</v>
      </c>
      <c r="K75" s="296"/>
      <c r="L75" s="299"/>
      <c r="M75" s="299"/>
      <c r="N75" s="300"/>
      <c r="O75"/>
      <c r="P75"/>
      <c r="Q75"/>
      <c r="R75"/>
      <c r="S75"/>
      <c r="T75"/>
      <c r="U75"/>
      <c r="V75"/>
      <c r="W75"/>
      <c r="X75"/>
      <c r="Y75"/>
      <c r="Z75" s="344"/>
      <c r="AA75" s="364"/>
      <c r="AB75" s="364"/>
      <c r="AC75" s="364"/>
      <c r="AD75" s="110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</row>
    <row r="76" spans="1:94" s="53" customFormat="1" ht="28.5" customHeight="1" x14ac:dyDescent="0.25">
      <c r="A76" s="85"/>
      <c r="B76" s="83"/>
      <c r="C76" s="426" t="s">
        <v>63</v>
      </c>
      <c r="D76" s="427"/>
      <c r="E76" s="59"/>
      <c r="F76" s="59"/>
      <c r="G76" s="61"/>
      <c r="H76" s="61"/>
      <c r="I76" s="61"/>
      <c r="J76" s="61"/>
      <c r="K76" s="291"/>
      <c r="L76" s="292"/>
      <c r="M76" s="305"/>
      <c r="N76" s="293"/>
      <c r="O76"/>
      <c r="P76"/>
      <c r="Q76"/>
      <c r="R76"/>
      <c r="S76"/>
      <c r="T76"/>
      <c r="U76"/>
      <c r="V76"/>
      <c r="W76"/>
      <c r="X76"/>
      <c r="Y76"/>
      <c r="Z76" s="344"/>
      <c r="AA76" s="364"/>
      <c r="AB76" s="364"/>
      <c r="AC76" s="364"/>
      <c r="AD76" s="110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</row>
    <row r="77" spans="1:94" s="53" customFormat="1" ht="15" x14ac:dyDescent="0.25">
      <c r="A77" s="116">
        <v>12.01</v>
      </c>
      <c r="B77" s="57"/>
      <c r="C77" s="419"/>
      <c r="D77" s="420"/>
      <c r="E77" s="87"/>
      <c r="F77" s="58"/>
      <c r="G77" s="88"/>
      <c r="H77" s="88"/>
      <c r="I77" s="88"/>
      <c r="J77" s="80">
        <f>ROUND(SUM(G77:I77),-2)</f>
        <v>0</v>
      </c>
      <c r="K77" s="296"/>
      <c r="L77" s="292"/>
      <c r="M77" s="292"/>
      <c r="N77" s="293"/>
      <c r="O77"/>
      <c r="P77"/>
      <c r="Q77"/>
      <c r="R77"/>
      <c r="S77"/>
      <c r="T77"/>
      <c r="U77"/>
      <c r="V77"/>
      <c r="W77"/>
      <c r="X77"/>
      <c r="Y77"/>
      <c r="Z77" s="344"/>
      <c r="AA77" s="364"/>
      <c r="AB77" s="364"/>
      <c r="AC77" s="364"/>
      <c r="AD77" s="110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</row>
    <row r="78" spans="1:94" s="53" customFormat="1" ht="15" x14ac:dyDescent="0.25">
      <c r="A78" s="116">
        <v>12.02</v>
      </c>
      <c r="B78" s="57"/>
      <c r="C78" s="419"/>
      <c r="D78" s="420"/>
      <c r="E78" s="87"/>
      <c r="F78" s="58"/>
      <c r="G78" s="88"/>
      <c r="H78" s="88"/>
      <c r="I78" s="88"/>
      <c r="J78" s="80">
        <f>ROUND(SUM(G78:I78),-2)</f>
        <v>0</v>
      </c>
      <c r="K78" s="296"/>
      <c r="L78" s="292"/>
      <c r="M78" s="292"/>
      <c r="N78" s="293"/>
      <c r="O78"/>
      <c r="P78"/>
      <c r="Q78"/>
      <c r="R78"/>
      <c r="S78"/>
      <c r="T78"/>
      <c r="U78"/>
      <c r="V78"/>
      <c r="W78"/>
      <c r="X78"/>
      <c r="Y78"/>
      <c r="Z78" s="344"/>
      <c r="AA78" s="364"/>
      <c r="AB78" s="364"/>
      <c r="AC78" s="364"/>
      <c r="AD78" s="110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</row>
    <row r="79" spans="1:94" s="53" customFormat="1" ht="15" x14ac:dyDescent="0.25">
      <c r="A79" s="116">
        <v>12.03</v>
      </c>
      <c r="B79" s="57" t="s">
        <v>45</v>
      </c>
      <c r="C79" s="419"/>
      <c r="D79" s="420"/>
      <c r="E79" s="87"/>
      <c r="F79" s="58"/>
      <c r="G79" s="88"/>
      <c r="H79" s="88"/>
      <c r="I79" s="88"/>
      <c r="J79" s="80">
        <f>ROUND(SUM(G79:I79),-2)</f>
        <v>0</v>
      </c>
      <c r="K79" s="296"/>
      <c r="L79" s="292"/>
      <c r="M79" s="292"/>
      <c r="N79" s="293"/>
      <c r="O79"/>
      <c r="P79"/>
      <c r="Q79"/>
      <c r="R79"/>
      <c r="S79"/>
      <c r="T79"/>
      <c r="U79"/>
      <c r="V79"/>
      <c r="W79"/>
      <c r="X79"/>
      <c r="Y79"/>
      <c r="Z79" s="344"/>
      <c r="AA79" s="364"/>
      <c r="AB79" s="364"/>
      <c r="AC79" s="364"/>
      <c r="AD79" s="110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</row>
    <row r="80" spans="1:94" s="53" customFormat="1" ht="15.75" customHeight="1" x14ac:dyDescent="0.25">
      <c r="A80" s="117">
        <v>13</v>
      </c>
      <c r="B80" s="118"/>
      <c r="C80" s="119" t="str">
        <f>"FY "&amp;M4</f>
        <v>FY 2024</v>
      </c>
      <c r="D80" s="120" t="s">
        <v>64</v>
      </c>
      <c r="E80" s="121"/>
      <c r="F80" s="55">
        <f>SUM(F75:F79)</f>
        <v>9</v>
      </c>
      <c r="G80" s="80">
        <f>SUM(G75:G79)</f>
        <v>0</v>
      </c>
      <c r="H80" s="80">
        <f>SUM(H75:H79)</f>
        <v>0</v>
      </c>
      <c r="I80" s="80">
        <f>SUM(I75:I79)</f>
        <v>0</v>
      </c>
      <c r="J80" s="80">
        <f>SUM(J75:J79)</f>
        <v>0</v>
      </c>
      <c r="K80" s="270"/>
      <c r="L80" s="122"/>
      <c r="M80" s="122"/>
      <c r="N80" s="123"/>
      <c r="O80"/>
      <c r="P80"/>
      <c r="Q80"/>
      <c r="R80"/>
      <c r="S80"/>
      <c r="T80"/>
      <c r="U80"/>
      <c r="V80"/>
      <c r="W80"/>
      <c r="X80"/>
      <c r="Y80"/>
      <c r="Z80" s="344"/>
      <c r="AA80" s="364"/>
      <c r="AB80" s="364"/>
      <c r="AC80" s="364"/>
      <c r="AD80" s="110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</row>
  </sheetData>
  <mergeCells count="51">
    <mergeCell ref="C13:D13"/>
    <mergeCell ref="M1:N1"/>
    <mergeCell ref="M2:N2"/>
    <mergeCell ref="M3:N3"/>
    <mergeCell ref="M4:N4"/>
    <mergeCell ref="I5:L5"/>
    <mergeCell ref="C8:D8"/>
    <mergeCell ref="AA8:AC8"/>
    <mergeCell ref="C9:D9"/>
    <mergeCell ref="C10:D10"/>
    <mergeCell ref="C11:D11"/>
    <mergeCell ref="C12:D12"/>
    <mergeCell ref="K43:N43"/>
    <mergeCell ref="AA43:AC43"/>
    <mergeCell ref="K44:N44"/>
    <mergeCell ref="C16:D16"/>
    <mergeCell ref="C17:D17"/>
    <mergeCell ref="C18:D18"/>
    <mergeCell ref="C37:D37"/>
    <mergeCell ref="AA37:AC37"/>
    <mergeCell ref="C38:D38"/>
    <mergeCell ref="C54:D54"/>
    <mergeCell ref="C39:D39"/>
    <mergeCell ref="C41:D41"/>
    <mergeCell ref="C42:D42"/>
    <mergeCell ref="C43:D44"/>
    <mergeCell ref="K45:N45"/>
    <mergeCell ref="E46:J47"/>
    <mergeCell ref="K46:N47"/>
    <mergeCell ref="C50:D50"/>
    <mergeCell ref="C53:D53"/>
    <mergeCell ref="C69:D69"/>
    <mergeCell ref="C55:D55"/>
    <mergeCell ref="C57:D57"/>
    <mergeCell ref="C58:D58"/>
    <mergeCell ref="C59:D59"/>
    <mergeCell ref="C61:D61"/>
    <mergeCell ref="C62:D62"/>
    <mergeCell ref="C63:D63"/>
    <mergeCell ref="C64:D64"/>
    <mergeCell ref="C65:D65"/>
    <mergeCell ref="C66:D66"/>
    <mergeCell ref="C68:D68"/>
    <mergeCell ref="C78:D78"/>
    <mergeCell ref="C79:D79"/>
    <mergeCell ref="C70:D70"/>
    <mergeCell ref="C71:D71"/>
    <mergeCell ref="C72:D72"/>
    <mergeCell ref="C73:D73"/>
    <mergeCell ref="C76:D76"/>
    <mergeCell ref="C77:D77"/>
  </mergeCells>
  <conditionalFormatting sqref="K44">
    <cfRule type="expression" dxfId="36" priority="8">
      <formula>$J$44&lt;0</formula>
    </cfRule>
  </conditionalFormatting>
  <conditionalFormatting sqref="K43">
    <cfRule type="expression" dxfId="35" priority="7">
      <formula>$J$43&lt;0</formula>
    </cfRule>
  </conditionalFormatting>
  <conditionalFormatting sqref="L16">
    <cfRule type="expression" dxfId="34" priority="6">
      <formula>$J$16&lt;0</formula>
    </cfRule>
  </conditionalFormatting>
  <conditionalFormatting sqref="K45">
    <cfRule type="expression" dxfId="33" priority="5">
      <formula>$J$44&lt;0</formula>
    </cfRule>
  </conditionalFormatting>
  <conditionalFormatting sqref="K43:N45">
    <cfRule type="containsText" dxfId="32" priority="4" operator="containsText" text="underfunding">
      <formula>NOT(ISERROR(SEARCH("underfunding",K43)))</formula>
    </cfRule>
  </conditionalFormatting>
  <conditionalFormatting sqref="K44">
    <cfRule type="expression" dxfId="31" priority="3">
      <formula>$J$44&lt;0</formula>
    </cfRule>
  </conditionalFormatting>
  <conditionalFormatting sqref="K45">
    <cfRule type="expression" dxfId="30" priority="2">
      <formula>$J$44&lt;0</formula>
    </cfRule>
  </conditionalFormatting>
  <conditionalFormatting sqref="K45">
    <cfRule type="expression" dxfId="29" priority="1">
      <formula>$J$44&lt;0</formula>
    </cfRule>
  </conditionalFormatting>
  <printOptions horizontalCentered="1"/>
  <pageMargins left="0.5" right="0.5" top="0.65" bottom="0.65" header="0.26" footer="0.31"/>
  <pageSetup scale="63" fitToHeight="2" orientation="landscape" r:id="rId1"/>
  <headerFooter>
    <oddHeader>&amp;L&amp;"Helv,Bold"FORM B6:  WAGE &amp;&amp; SALARY RECONCILIATION</oddHeader>
    <oddFooter>&amp;LPrinted: &amp;D, &amp;T&amp;RPage &amp;P of &amp;N</oddFooter>
  </headerFooter>
  <rowBreaks count="1" manualBreakCount="1">
    <brk id="64" max="1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0D1C44-4872-4378-A53B-61340CA478B3}">
          <x14:formula1>
            <xm:f>Benefits!$A$20:$A$26</xm:f>
          </x14:formula1>
          <xm:sqref>C20:C30 C32:C36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E751F-D45C-4B0F-A574-6E02F11E1EA9}">
  <sheetPr codeName="Sheet9">
    <pageSetUpPr fitToPage="1"/>
  </sheetPr>
  <dimension ref="A1:CP80"/>
  <sheetViews>
    <sheetView showGridLines="0" zoomScaleNormal="100" workbookViewId="0">
      <selection activeCell="C8" sqref="C8:N16"/>
    </sheetView>
  </sheetViews>
  <sheetFormatPr defaultColWidth="9.140625" defaultRowHeight="15.75" x14ac:dyDescent="0.25"/>
  <cols>
    <col min="1" max="1" width="7.85546875" style="124" customWidth="1"/>
    <col min="2" max="2" width="7.7109375" style="125" customWidth="1"/>
    <col min="3" max="3" width="9" style="125" customWidth="1"/>
    <col min="4" max="4" width="39.28515625" style="53" customWidth="1"/>
    <col min="5" max="5" width="13" style="126" customWidth="1"/>
    <col min="6" max="6" width="12.28515625" style="127" customWidth="1"/>
    <col min="7" max="7" width="12.140625" style="127" bestFit="1" customWidth="1"/>
    <col min="8" max="8" width="14.5703125" style="127" customWidth="1"/>
    <col min="9" max="9" width="19.5703125" style="128" bestFit="1" customWidth="1"/>
    <col min="10" max="10" width="13.7109375" style="129" customWidth="1"/>
    <col min="11" max="11" width="13.7109375" style="129" hidden="1" customWidth="1"/>
    <col min="12" max="12" width="18.42578125" style="129" customWidth="1"/>
    <col min="13" max="13" width="16.42578125" style="129" customWidth="1"/>
    <col min="14" max="14" width="16.140625" style="128" customWidth="1"/>
    <col min="15" max="25" width="16.140625" customWidth="1"/>
    <col min="26" max="26" width="16.140625" style="344" customWidth="1"/>
    <col min="27" max="27" width="22.140625" style="334" bestFit="1" customWidth="1"/>
    <col min="28" max="28" width="31.140625" style="334" bestFit="1" customWidth="1"/>
    <col min="29" max="29" width="7.85546875" style="334" bestFit="1" customWidth="1"/>
    <col min="30" max="30" width="9.140625" style="110" customWidth="1"/>
    <col min="31" max="94" width="9.140625" style="17"/>
    <col min="95" max="16384" width="9.140625" style="18"/>
  </cols>
  <sheetData>
    <row r="1" spans="1:94" x14ac:dyDescent="0.25">
      <c r="A1" s="12" t="s">
        <v>13</v>
      </c>
      <c r="B1" s="13"/>
      <c r="C1" s="13"/>
      <c r="D1" s="14" t="s">
        <v>759</v>
      </c>
      <c r="E1" s="15"/>
      <c r="F1" s="15"/>
      <c r="G1" s="15"/>
      <c r="H1" s="15"/>
      <c r="I1" s="15"/>
      <c r="J1" s="15"/>
      <c r="K1" s="15"/>
      <c r="L1" s="16" t="s">
        <v>14</v>
      </c>
      <c r="M1" s="484">
        <v>140</v>
      </c>
      <c r="N1" s="485"/>
      <c r="AA1" s="364"/>
      <c r="AB1" s="333"/>
      <c r="AC1" s="333"/>
      <c r="AD1" s="325"/>
    </row>
    <row r="2" spans="1:94" ht="20.25" x14ac:dyDescent="0.25">
      <c r="A2" s="19" t="s">
        <v>114</v>
      </c>
      <c r="B2" s="20"/>
      <c r="C2" s="20"/>
      <c r="D2" s="14" t="s">
        <v>759</v>
      </c>
      <c r="E2" s="21"/>
      <c r="F2" s="21"/>
      <c r="G2" s="21"/>
      <c r="H2" s="21"/>
      <c r="I2" s="21"/>
      <c r="J2" s="20"/>
      <c r="K2" s="20"/>
      <c r="L2" s="22" t="s">
        <v>111</v>
      </c>
      <c r="M2" s="486" t="s">
        <v>763</v>
      </c>
      <c r="N2" s="487"/>
      <c r="AA2" s="333"/>
      <c r="AB2" s="333"/>
      <c r="AC2" s="333"/>
      <c r="AD2" s="325"/>
    </row>
    <row r="3" spans="1:94" x14ac:dyDescent="0.25">
      <c r="A3" s="19" t="s">
        <v>115</v>
      </c>
      <c r="B3" s="20"/>
      <c r="C3" s="20"/>
      <c r="D3" s="23" t="s">
        <v>779</v>
      </c>
      <c r="E3" s="24"/>
      <c r="F3" s="25"/>
      <c r="G3" s="25"/>
      <c r="H3" s="25"/>
      <c r="I3" s="26"/>
      <c r="J3" s="20"/>
      <c r="K3" s="20"/>
      <c r="L3" s="22" t="s">
        <v>112</v>
      </c>
      <c r="M3" s="484" t="s">
        <v>495</v>
      </c>
      <c r="N3" s="485"/>
      <c r="AA3" s="364"/>
      <c r="AB3" s="333"/>
      <c r="AC3" s="333"/>
      <c r="AD3" s="325"/>
    </row>
    <row r="4" spans="1:94" x14ac:dyDescent="0.25">
      <c r="A4" s="19"/>
      <c r="B4" s="20"/>
      <c r="C4" s="20"/>
      <c r="D4" s="27"/>
      <c r="E4" s="24"/>
      <c r="F4" s="25"/>
      <c r="G4" s="25"/>
      <c r="H4" s="25"/>
      <c r="I4" s="28"/>
      <c r="J4" s="26"/>
      <c r="K4" s="26"/>
      <c r="L4" s="22" t="s">
        <v>15</v>
      </c>
      <c r="M4" s="484">
        <v>2024</v>
      </c>
      <c r="N4" s="485"/>
      <c r="AA4" s="364"/>
      <c r="AB4" s="333"/>
      <c r="AC4" s="333"/>
      <c r="AD4" s="325"/>
    </row>
    <row r="5" spans="1:94" s="34" customFormat="1" ht="18" customHeight="1" x14ac:dyDescent="0.25">
      <c r="A5" s="19" t="s">
        <v>16</v>
      </c>
      <c r="B5" s="20"/>
      <c r="C5" s="20"/>
      <c r="D5" s="350">
        <v>44805</v>
      </c>
      <c r="E5" s="27"/>
      <c r="F5" s="30"/>
      <c r="G5" s="31"/>
      <c r="H5" s="31" t="s">
        <v>17</v>
      </c>
      <c r="I5" s="486" t="s">
        <v>761</v>
      </c>
      <c r="J5" s="488"/>
      <c r="K5" s="488"/>
      <c r="L5" s="487"/>
      <c r="M5" s="351" t="s">
        <v>113</v>
      </c>
      <c r="N5" s="32" t="s">
        <v>762</v>
      </c>
      <c r="O5"/>
      <c r="P5"/>
      <c r="Q5"/>
      <c r="R5"/>
      <c r="S5"/>
      <c r="T5"/>
      <c r="U5"/>
      <c r="V5"/>
      <c r="W5"/>
      <c r="X5"/>
      <c r="Y5"/>
      <c r="Z5" s="344"/>
      <c r="AA5" s="364"/>
      <c r="AB5" s="333"/>
      <c r="AC5" s="333"/>
      <c r="AD5" s="326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</row>
    <row r="6" spans="1:94" ht="23.25" customHeight="1" x14ac:dyDescent="0.25">
      <c r="A6" s="19"/>
      <c r="B6" s="20" t="s">
        <v>18</v>
      </c>
      <c r="C6" s="20"/>
      <c r="D6" s="29"/>
      <c r="E6" s="35" t="s">
        <v>19</v>
      </c>
      <c r="F6" s="36"/>
      <c r="G6" s="25"/>
      <c r="H6" s="25"/>
      <c r="I6" s="37"/>
      <c r="J6" s="31" t="s">
        <v>82</v>
      </c>
      <c r="K6" s="31"/>
      <c r="L6" s="352"/>
      <c r="M6" s="353" t="s">
        <v>83</v>
      </c>
      <c r="N6" s="306"/>
      <c r="AA6" s="364"/>
      <c r="AB6" s="333"/>
      <c r="AC6" s="333"/>
      <c r="AD6" s="325"/>
    </row>
    <row r="7" spans="1:94" x14ac:dyDescent="0.25">
      <c r="A7" s="38"/>
      <c r="B7" s="39"/>
      <c r="C7" s="40"/>
      <c r="D7" s="41"/>
      <c r="E7" s="42"/>
      <c r="F7" s="40"/>
      <c r="G7" s="43"/>
      <c r="H7" s="44"/>
      <c r="I7" s="45"/>
      <c r="J7" s="46"/>
      <c r="K7" s="46"/>
      <c r="L7" s="46"/>
      <c r="M7" s="46"/>
      <c r="N7" s="47"/>
    </row>
    <row r="8" spans="1:94" s="52" customFormat="1" ht="40.5" customHeight="1" x14ac:dyDescent="0.25">
      <c r="A8" s="48" t="s">
        <v>20</v>
      </c>
      <c r="B8" s="370" t="s">
        <v>21</v>
      </c>
      <c r="C8" s="489" t="s">
        <v>22</v>
      </c>
      <c r="D8" s="490"/>
      <c r="E8" s="370" t="s">
        <v>23</v>
      </c>
      <c r="F8" s="49" t="s">
        <v>24</v>
      </c>
      <c r="G8" s="50" t="str">
        <f>"FY "&amp;'SCCA|0001-00'!FiscalYear-1&amp;" SALARY"</f>
        <v>FY 2023 SALARY</v>
      </c>
      <c r="H8" s="50" t="str">
        <f>"FY "&amp;'SCCA|0001-00'!FiscalYear-1&amp;" HEALTH BENEFITS"</f>
        <v>FY 2023 HEALTH BENEFITS</v>
      </c>
      <c r="I8" s="50" t="str">
        <f>"FY "&amp;'SCCA|0001-00'!FiscalYear-1&amp;" VAR BENEFITS"</f>
        <v>FY 2023 VAR BENEFITS</v>
      </c>
      <c r="J8" s="50" t="str">
        <f>"FY "&amp;'SCCA|0001-00'!FiscalYear-1&amp;" TOTAL"</f>
        <v>FY 2023 TOTAL</v>
      </c>
      <c r="K8" s="50" t="str">
        <f>"FY "&amp;'SCCA|0001-00'!FiscalYear&amp;" SALARY CHANGE"</f>
        <v>FY 2024 SALARY CHANGE</v>
      </c>
      <c r="L8" s="50" t="str">
        <f>"FY "&amp;'SCCA|0001-00'!FiscalYear&amp;" CHG HEALTH BENEFITS"</f>
        <v>FY 2024 CHG HEALTH BENEFITS</v>
      </c>
      <c r="M8" s="50" t="str">
        <f>"FY "&amp;'SCCA|0001-00'!FiscalYear&amp;" CHG VAR BENEFITS"</f>
        <v>FY 2024 CHG VAR BENEFITS</v>
      </c>
      <c r="N8" s="50" t="s">
        <v>25</v>
      </c>
      <c r="O8"/>
      <c r="P8"/>
      <c r="Q8"/>
      <c r="R8"/>
      <c r="S8"/>
      <c r="T8"/>
      <c r="U8"/>
      <c r="V8"/>
      <c r="W8"/>
      <c r="X8"/>
      <c r="Y8"/>
      <c r="Z8" s="344"/>
      <c r="AA8" s="480" t="s">
        <v>103</v>
      </c>
      <c r="AB8" s="480"/>
      <c r="AC8" s="480"/>
      <c r="AD8" s="327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</row>
    <row r="9" spans="1:94" s="149" customFormat="1" x14ac:dyDescent="0.25">
      <c r="A9" s="139"/>
      <c r="B9" s="140"/>
      <c r="C9" s="481" t="s">
        <v>26</v>
      </c>
      <c r="D9" s="482"/>
      <c r="E9" s="141"/>
      <c r="F9" s="142"/>
      <c r="G9" s="143"/>
      <c r="H9" s="143"/>
      <c r="I9" s="143"/>
      <c r="J9" s="144"/>
      <c r="K9" s="144"/>
      <c r="L9" s="145"/>
      <c r="M9" s="146"/>
      <c r="N9" s="144"/>
      <c r="O9"/>
      <c r="P9"/>
      <c r="Q9"/>
      <c r="R9"/>
      <c r="S9"/>
      <c r="T9"/>
      <c r="U9"/>
      <c r="V9"/>
      <c r="W9"/>
      <c r="X9"/>
      <c r="Y9"/>
      <c r="Z9" s="344"/>
      <c r="AA9" s="364" t="s">
        <v>92</v>
      </c>
      <c r="AB9" s="333" t="s">
        <v>93</v>
      </c>
      <c r="AC9" s="333" t="s">
        <v>104</v>
      </c>
      <c r="AD9" s="32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</row>
    <row r="10" spans="1:94" s="149" customFormat="1" x14ac:dyDescent="0.25">
      <c r="A10" s="139"/>
      <c r="B10" s="139"/>
      <c r="C10" s="460" t="s">
        <v>27</v>
      </c>
      <c r="D10" s="483"/>
      <c r="E10" s="217">
        <v>1</v>
      </c>
      <c r="F10" s="288">
        <f>[0]!SCCA000100col_INC_FTI</f>
        <v>16.600000000000001</v>
      </c>
      <c r="G10" s="218">
        <f>[0]!SCCA000100col_FTI_SALARY_PERM</f>
        <v>1130697.56</v>
      </c>
      <c r="H10" s="218">
        <f>[0]!SCCA000100col_HEALTH_PERM</f>
        <v>207500</v>
      </c>
      <c r="I10" s="218">
        <f>[0]!SCCA000100col_TOT_VB_PERM</f>
        <v>231691.23701959997</v>
      </c>
      <c r="J10" s="219">
        <f>SUM(G10:I10)</f>
        <v>1569888.7970195999</v>
      </c>
      <c r="K10" s="219">
        <f>[0]!SCCA000100col_1_27TH_PP</f>
        <v>0</v>
      </c>
      <c r="L10" s="218">
        <f>[0]!SCCA000100col_HEALTH_PERM_CHG</f>
        <v>20750</v>
      </c>
      <c r="M10" s="218">
        <f>[0]!SCCA000100col_TOT_VB_PERM_CHG</f>
        <v>-8480.2317000000094</v>
      </c>
      <c r="N10" s="218">
        <f>SUM(L10:M10)</f>
        <v>12269.768299999991</v>
      </c>
      <c r="O10"/>
      <c r="P10"/>
      <c r="Q10"/>
      <c r="R10"/>
      <c r="S10"/>
      <c r="T10"/>
      <c r="U10"/>
      <c r="V10"/>
      <c r="W10"/>
      <c r="X10"/>
      <c r="Y10"/>
      <c r="Z10" s="344"/>
      <c r="AA10" s="338">
        <f>ROUND(CECPerm*PermSalary,-2)</f>
        <v>11300</v>
      </c>
      <c r="AB10" s="335">
        <f>ROUND(PermVarBen*CECPerm+(CECPerm*PermVarBenChg),-2)</f>
        <v>2200</v>
      </c>
      <c r="AC10" s="335">
        <f>SUM(AA10:AB10)</f>
        <v>13500</v>
      </c>
      <c r="AD10" s="32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</row>
    <row r="11" spans="1:94" s="149" customFormat="1" x14ac:dyDescent="0.25">
      <c r="A11" s="139"/>
      <c r="B11" s="139"/>
      <c r="C11" s="460" t="s">
        <v>28</v>
      </c>
      <c r="D11" s="483"/>
      <c r="E11" s="217">
        <v>2</v>
      </c>
      <c r="F11" s="288"/>
      <c r="G11" s="218">
        <f>[0]!SCCA000100col_Group_Salary</f>
        <v>0</v>
      </c>
      <c r="H11" s="218">
        <v>0</v>
      </c>
      <c r="I11" s="218">
        <f>[0]!SCCA000100col_Group_Ben</f>
        <v>0</v>
      </c>
      <c r="J11" s="219">
        <f>SUM(G11:I11)</f>
        <v>0</v>
      </c>
      <c r="K11" s="268"/>
      <c r="L11" s="218"/>
      <c r="M11" s="218"/>
      <c r="N11" s="218"/>
      <c r="O11"/>
      <c r="P11"/>
      <c r="Q11"/>
      <c r="R11"/>
      <c r="S11"/>
      <c r="T11"/>
      <c r="U11"/>
      <c r="V11"/>
      <c r="W11"/>
      <c r="X11"/>
      <c r="Y11"/>
      <c r="Z11" s="344"/>
      <c r="AA11" s="338">
        <f>ROUND(GroupSalary*CECGroup,-2)</f>
        <v>0</v>
      </c>
      <c r="AB11" s="335">
        <f>ROUND((GroupSalary*GroupVBBY)*CECGroup,-2)</f>
        <v>0</v>
      </c>
      <c r="AC11" s="335">
        <f>SUM(AA12:AB12)</f>
        <v>0</v>
      </c>
      <c r="AD11" s="32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</row>
    <row r="12" spans="1:94" s="149" customFormat="1" x14ac:dyDescent="0.25">
      <c r="A12" s="139"/>
      <c r="B12" s="139"/>
      <c r="C12" s="460" t="s">
        <v>29</v>
      </c>
      <c r="D12" s="461"/>
      <c r="E12" s="217">
        <v>3</v>
      </c>
      <c r="F12" s="288">
        <f>[0]!SCCA000100col_TOTAL_ELECT_PCN_FTI</f>
        <v>0</v>
      </c>
      <c r="G12" s="218">
        <f>[0]!SCCA000100col_FTI_SALARY_ELECT</f>
        <v>0</v>
      </c>
      <c r="H12" s="218">
        <f>[0]!SCCA000100col_HEALTH_ELECT</f>
        <v>0</v>
      </c>
      <c r="I12" s="218">
        <f>[0]!SCCA000100col_TOT_VB_ELECT</f>
        <v>0</v>
      </c>
      <c r="J12" s="219">
        <f>SUM(G12:I12)</f>
        <v>0</v>
      </c>
      <c r="K12" s="268"/>
      <c r="L12" s="218">
        <f>[0]!SCCA000100col_HEALTH_ELECT_CHG</f>
        <v>0</v>
      </c>
      <c r="M12" s="218">
        <f>[0]!SCCA000100col_TOT_VB_ELECT_CHG</f>
        <v>0</v>
      </c>
      <c r="N12" s="219">
        <f>SUM(L12:M12)</f>
        <v>0</v>
      </c>
      <c r="O12"/>
      <c r="P12"/>
      <c r="Q12"/>
      <c r="R12"/>
      <c r="S12"/>
      <c r="T12"/>
      <c r="U12"/>
      <c r="V12"/>
      <c r="W12"/>
      <c r="X12"/>
      <c r="Y12"/>
      <c r="Z12" s="344"/>
      <c r="AA12" s="336"/>
      <c r="AB12" s="336"/>
      <c r="AC12" s="336"/>
      <c r="AD12" s="32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</row>
    <row r="13" spans="1:94" s="153" customFormat="1" x14ac:dyDescent="0.25">
      <c r="A13" s="139"/>
      <c r="B13" s="139"/>
      <c r="C13" s="460" t="s">
        <v>30</v>
      </c>
      <c r="D13" s="483"/>
      <c r="E13" s="217"/>
      <c r="F13" s="220">
        <f>SUM(F10:F12)</f>
        <v>16.600000000000001</v>
      </c>
      <c r="G13" s="221">
        <f>SUM(G10:G12)</f>
        <v>1130697.56</v>
      </c>
      <c r="H13" s="221">
        <f>SUM(H10:H12)</f>
        <v>207500</v>
      </c>
      <c r="I13" s="221">
        <f>SUM(I10:I12)</f>
        <v>231691.23701959997</v>
      </c>
      <c r="J13" s="219">
        <f>SUM(G13:I13)</f>
        <v>1569888.7970195999</v>
      </c>
      <c r="K13" s="268"/>
      <c r="L13" s="219">
        <f>SUM(L10:L12)</f>
        <v>20750</v>
      </c>
      <c r="M13" s="219">
        <f>SUM(M10:M12)</f>
        <v>-8480.2317000000094</v>
      </c>
      <c r="N13" s="219">
        <f>SUM(N10:N12)</f>
        <v>12269.768299999991</v>
      </c>
      <c r="O13"/>
      <c r="P13"/>
      <c r="Q13"/>
      <c r="R13"/>
      <c r="S13"/>
      <c r="T13"/>
      <c r="U13"/>
      <c r="V13"/>
      <c r="W13"/>
      <c r="X13"/>
      <c r="Y13"/>
      <c r="Z13" s="344"/>
      <c r="AA13" s="336"/>
      <c r="AB13" s="336"/>
      <c r="AC13" s="336"/>
      <c r="AD13" s="329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</row>
    <row r="14" spans="1:94" s="153" customFormat="1" ht="5.45" customHeight="1" x14ac:dyDescent="0.25">
      <c r="A14" s="139"/>
      <c r="B14" s="139"/>
      <c r="C14" s="365"/>
      <c r="D14" s="371"/>
      <c r="E14" s="217"/>
      <c r="F14" s="220"/>
      <c r="G14" s="219"/>
      <c r="H14" s="219"/>
      <c r="I14" s="219"/>
      <c r="J14" s="219"/>
      <c r="K14" s="268"/>
      <c r="L14" s="219"/>
      <c r="M14" s="222"/>
      <c r="N14" s="222"/>
      <c r="O14"/>
      <c r="P14"/>
      <c r="Q14"/>
      <c r="R14"/>
      <c r="S14"/>
      <c r="T14"/>
      <c r="U14"/>
      <c r="V14"/>
      <c r="W14"/>
      <c r="X14"/>
      <c r="Y14"/>
      <c r="Z14" s="344"/>
      <c r="AA14" s="336"/>
      <c r="AB14" s="336"/>
      <c r="AC14" s="336"/>
      <c r="AD14" s="329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</row>
    <row r="15" spans="1:94" s="153" customFormat="1" ht="15.75" customHeight="1" x14ac:dyDescent="0.25">
      <c r="A15" s="139"/>
      <c r="B15" s="156"/>
      <c r="C15" s="157" t="str">
        <f>"FY "&amp;'SCCA|0001-00'!FiscalYear-1</f>
        <v>FY 2023</v>
      </c>
      <c r="D15" s="158" t="s">
        <v>31</v>
      </c>
      <c r="E15" s="354">
        <v>1696500</v>
      </c>
      <c r="F15" s="55">
        <v>17.7</v>
      </c>
      <c r="G15" s="223">
        <f>IF(OrigApprop=0,0,(G13/$J$13)*OrigApprop)</f>
        <v>1221888.0816155358</v>
      </c>
      <c r="H15" s="223">
        <f>IF(OrigApprop=0,0,(H13/$J$13)*OrigApprop)</f>
        <v>224234.831580625</v>
      </c>
      <c r="I15" s="223">
        <f>IF(G15=0,0,(I13/$J$13)*OrigApprop)</f>
        <v>250377.08680383937</v>
      </c>
      <c r="J15" s="223">
        <f>SUM(G15:I15)</f>
        <v>1696500</v>
      </c>
      <c r="K15" s="268"/>
      <c r="L15" s="224"/>
      <c r="M15" s="224"/>
      <c r="N15" s="224"/>
      <c r="O15"/>
      <c r="P15"/>
      <c r="Q15"/>
      <c r="R15"/>
      <c r="S15"/>
      <c r="T15"/>
      <c r="U15"/>
      <c r="V15"/>
      <c r="W15"/>
      <c r="X15"/>
      <c r="Y15"/>
      <c r="Z15" s="344"/>
      <c r="AA15" s="336"/>
      <c r="AB15" s="336"/>
      <c r="AC15" s="336"/>
      <c r="AD15" s="329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</row>
    <row r="16" spans="1:94" s="153" customFormat="1" ht="15.75" customHeight="1" x14ac:dyDescent="0.25">
      <c r="A16" s="139"/>
      <c r="B16" s="139"/>
      <c r="C16" s="470" t="s">
        <v>32</v>
      </c>
      <c r="D16" s="471"/>
      <c r="E16" s="160" t="s">
        <v>33</v>
      </c>
      <c r="F16" s="161">
        <f>F15-F13</f>
        <v>1.0999999999999979</v>
      </c>
      <c r="G16" s="162">
        <f>G15-G13</f>
        <v>91190.521615535719</v>
      </c>
      <c r="H16" s="162">
        <f>H15-H13</f>
        <v>16734.831580625003</v>
      </c>
      <c r="I16" s="162">
        <f>I15-I13</f>
        <v>18685.849784239399</v>
      </c>
      <c r="J16" s="162">
        <f>J15-J13</f>
        <v>126611.20298040006</v>
      </c>
      <c r="K16" s="269"/>
      <c r="L16" s="56" t="str">
        <f>IF('SCCA|0001-00'!OrigApprop=0,"No Original Appropriation amount in DU 3.00 for this fund","Calculated "&amp;IF('SCCA|0001-00'!AdjustedTotal&gt;0,"overfunding ","underfunding ")&amp;"is "&amp;TEXT('SCCA|0001-00'!AdjustedTotal/'SCCA|0001-00'!AppropTotal,"#.0%;(#.0% );0% ;")&amp;" of Original Appropriation")</f>
        <v>Calculated overfunding is 7.5% of Original Appropriation</v>
      </c>
      <c r="M16" s="163"/>
      <c r="N16" s="164"/>
      <c r="O16"/>
      <c r="P16"/>
      <c r="Q16"/>
      <c r="R16"/>
      <c r="S16"/>
      <c r="T16"/>
      <c r="U16"/>
      <c r="V16"/>
      <c r="W16"/>
      <c r="X16"/>
      <c r="Y16"/>
      <c r="Z16" s="344"/>
      <c r="AA16" s="336"/>
      <c r="AB16" s="336"/>
      <c r="AC16" s="336"/>
      <c r="AD16" s="329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</row>
    <row r="17" spans="1:94" s="153" customFormat="1" x14ac:dyDescent="0.25">
      <c r="A17" s="139"/>
      <c r="B17" s="139"/>
      <c r="C17" s="472" t="s">
        <v>34</v>
      </c>
      <c r="D17" s="473"/>
      <c r="E17" s="147"/>
      <c r="F17" s="258"/>
      <c r="G17" s="147"/>
      <c r="H17" s="166"/>
      <c r="I17" s="167"/>
      <c r="J17" s="166"/>
      <c r="K17" s="166"/>
      <c r="L17" s="166"/>
      <c r="M17" s="166"/>
      <c r="N17" s="166"/>
      <c r="O17"/>
      <c r="P17"/>
      <c r="Q17"/>
      <c r="R17"/>
      <c r="S17"/>
      <c r="T17"/>
      <c r="U17"/>
      <c r="V17"/>
      <c r="W17"/>
      <c r="X17"/>
      <c r="Y17"/>
      <c r="Z17" s="344"/>
      <c r="AA17" s="336"/>
      <c r="AB17" s="336"/>
      <c r="AC17" s="336"/>
      <c r="AD17" s="329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</row>
    <row r="18" spans="1:94" s="153" customFormat="1" ht="26.25" customHeight="1" x14ac:dyDescent="0.25">
      <c r="A18" s="139"/>
      <c r="B18" s="168"/>
      <c r="C18" s="474" t="s">
        <v>35</v>
      </c>
      <c r="D18" s="475"/>
      <c r="E18" s="150"/>
      <c r="F18" s="165"/>
      <c r="G18" s="166"/>
      <c r="H18" s="169"/>
      <c r="I18" s="166"/>
      <c r="J18" s="166"/>
      <c r="K18" s="166"/>
      <c r="L18" s="166"/>
      <c r="M18" s="166"/>
      <c r="N18" s="166"/>
      <c r="O18"/>
      <c r="P18"/>
      <c r="Q18"/>
      <c r="R18"/>
      <c r="S18"/>
      <c r="T18"/>
      <c r="U18"/>
      <c r="V18"/>
      <c r="W18"/>
      <c r="X18"/>
      <c r="Y18"/>
      <c r="Z18" s="344"/>
      <c r="AA18" s="336"/>
      <c r="AB18" s="336"/>
      <c r="AC18" s="336"/>
      <c r="AD18" s="329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</row>
    <row r="19" spans="1:94" s="153" customFormat="1" ht="25.5" x14ac:dyDescent="0.25">
      <c r="A19" s="238"/>
      <c r="B19" s="202"/>
      <c r="C19" s="239" t="s">
        <v>84</v>
      </c>
      <c r="D19" s="240" t="s">
        <v>85</v>
      </c>
      <c r="E19" s="241"/>
      <c r="F19" s="165"/>
      <c r="G19" s="166"/>
      <c r="H19" s="169"/>
      <c r="I19" s="170"/>
      <c r="J19" s="166"/>
      <c r="K19" s="166"/>
      <c r="L19" s="169"/>
      <c r="M19" s="166"/>
      <c r="N19" s="166"/>
      <c r="O19"/>
      <c r="P19"/>
      <c r="Q19"/>
      <c r="R19"/>
      <c r="S19"/>
      <c r="T19"/>
      <c r="U19"/>
      <c r="V19"/>
      <c r="W19"/>
      <c r="X19"/>
      <c r="Y19"/>
      <c r="Z19" s="344"/>
      <c r="AA19" s="364"/>
      <c r="AB19" s="364"/>
      <c r="AC19" s="364"/>
      <c r="AD19" s="329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</row>
    <row r="20" spans="1:94" s="177" customFormat="1" ht="15" x14ac:dyDescent="0.25">
      <c r="A20" s="171"/>
      <c r="B20" s="172"/>
      <c r="C20" s="244"/>
      <c r="D20" s="242"/>
      <c r="E20" s="173"/>
      <c r="F20" s="174">
        <v>0</v>
      </c>
      <c r="G20" s="175">
        <v>0</v>
      </c>
      <c r="H20" s="176">
        <f t="shared" ref="H20:H30" si="0">IF(AND($F20&lt;&gt;0,$G20&lt;&gt;0,OR($E20=1,$E20=3)),$F20*Health,0)</f>
        <v>0</v>
      </c>
      <c r="I20" s="176">
        <f t="shared" ref="I20:I30" si="1">IF(AND($E20=1,$C20=""),$G20*PermVB+$G20*Retire1,IF($E20=1,$G20*PermVB+$G20*VLOOKUP($C20,Retirement_Rates,3,FALSE),IF($E20=2,$G20*GroupVB,IF(AND($E20=3,$C20=""),$G20*ElectVB+$G20*Retire1,IF($E20=3,$G20*ElectVB+$G20*VLOOKUP($C20,Retirement_Rates,3,FALSE),0)))))</f>
        <v>0</v>
      </c>
      <c r="J20" s="159">
        <f>IF($E20&gt;0,SUM($G20:$I20),0)</f>
        <v>0</v>
      </c>
      <c r="K20" s="166"/>
      <c r="L20" s="176">
        <f t="shared" ref="L20:L30" si="2">IF(AND($F20&lt;&gt;0,$G20&lt;&gt;0,OR($E20=1,$E20=3)),$F20*HealthCHG,0)</f>
        <v>0</v>
      </c>
      <c r="M20" s="176">
        <f>IF(AND($E20=1,$C20=""),$G20*PermVBCHG+$G20*Retire1CHG,IF($E20=1,$G20*PermVBCHG+$G20*VLOOKUP($C20,Retirement_Rates,5,FALSE),IF($E20=2,0,IF(AND($E20=3,$C20=""),$G20*ElectVBCHG+$G20*Retire1CHG,IF($E20=3,$G20*ElectVBCHG+$G20*VLOOKUP($C20,Retirement_Rates,5,FALSE),0)))))</f>
        <v>0</v>
      </c>
      <c r="N20" s="176">
        <f>SUM(L20:M20)</f>
        <v>0</v>
      </c>
      <c r="O20"/>
      <c r="P20"/>
      <c r="Q20"/>
      <c r="R20"/>
      <c r="S20"/>
      <c r="T20"/>
      <c r="U20"/>
      <c r="V20"/>
      <c r="W20"/>
      <c r="X20"/>
      <c r="Y20"/>
      <c r="Z20" s="344"/>
      <c r="AA20" s="364"/>
      <c r="AB20" s="364"/>
      <c r="AC20" s="364"/>
      <c r="AD20" s="329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</row>
    <row r="21" spans="1:94" s="177" customFormat="1" ht="15" x14ac:dyDescent="0.25">
      <c r="A21" s="178"/>
      <c r="B21" s="179"/>
      <c r="C21" s="244"/>
      <c r="D21" s="242"/>
      <c r="E21" s="180"/>
      <c r="F21" s="181">
        <v>0</v>
      </c>
      <c r="G21" s="175">
        <v>0</v>
      </c>
      <c r="H21" s="176">
        <f t="shared" si="0"/>
        <v>0</v>
      </c>
      <c r="I21" s="176">
        <f t="shared" si="1"/>
        <v>0</v>
      </c>
      <c r="J21" s="159">
        <f t="shared" ref="J21:J35" si="3">IF($E21&gt;0,SUM($G21:$I21),0)</f>
        <v>0</v>
      </c>
      <c r="K21" s="166"/>
      <c r="L21" s="176">
        <f t="shared" si="2"/>
        <v>0</v>
      </c>
      <c r="M21" s="176">
        <f t="shared" ref="M21:M30" si="4">IF(AND($E21=1,$C21=""),$G21*PermVBCHG+$G21*Retire1CHG,IF($E21=1,$G21*PermVBCHG+$G21*VLOOKUP($C21,Retirement_Rates,5,FALSE),IF($E21=2,0,IF(AND($E21=3,$C21=""),$G21*ElectVBCHG+$G21*Retire1CHG,IF($E21=3,$G21*ElectVBCHG+$G21*VLOOKUP($C21,Retirement_Rates,5,FALSE),0)))))</f>
        <v>0</v>
      </c>
      <c r="N21" s="183">
        <f t="shared" ref="N21:N30" si="5">SUM(L21:M21)</f>
        <v>0</v>
      </c>
      <c r="O21"/>
      <c r="P21"/>
      <c r="Q21"/>
      <c r="R21"/>
      <c r="S21"/>
      <c r="T21"/>
      <c r="U21"/>
      <c r="V21"/>
      <c r="W21"/>
      <c r="X21"/>
      <c r="Y21"/>
      <c r="Z21" s="344"/>
      <c r="AA21" s="364"/>
      <c r="AB21" s="364"/>
      <c r="AC21" s="364"/>
      <c r="AD21" s="329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</row>
    <row r="22" spans="1:94" s="177" customFormat="1" ht="15" x14ac:dyDescent="0.25">
      <c r="A22" s="178"/>
      <c r="B22" s="179"/>
      <c r="C22" s="244"/>
      <c r="D22" s="242"/>
      <c r="E22" s="180"/>
      <c r="F22" s="181">
        <v>0</v>
      </c>
      <c r="G22" s="175">
        <v>0</v>
      </c>
      <c r="H22" s="176">
        <f t="shared" si="0"/>
        <v>0</v>
      </c>
      <c r="I22" s="176">
        <f t="shared" si="1"/>
        <v>0</v>
      </c>
      <c r="J22" s="159">
        <f t="shared" si="3"/>
        <v>0</v>
      </c>
      <c r="K22" s="166"/>
      <c r="L22" s="176">
        <f t="shared" si="2"/>
        <v>0</v>
      </c>
      <c r="M22" s="176">
        <f t="shared" si="4"/>
        <v>0</v>
      </c>
      <c r="N22" s="183">
        <f t="shared" si="5"/>
        <v>0</v>
      </c>
      <c r="O22"/>
      <c r="P22"/>
      <c r="Q22"/>
      <c r="R22"/>
      <c r="S22"/>
      <c r="T22"/>
      <c r="U22"/>
      <c r="V22"/>
      <c r="W22"/>
      <c r="X22"/>
      <c r="Y22"/>
      <c r="Z22" s="344"/>
      <c r="AA22" s="364"/>
      <c r="AB22" s="364"/>
      <c r="AC22" s="364"/>
      <c r="AD22" s="329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</row>
    <row r="23" spans="1:94" s="177" customFormat="1" ht="15" x14ac:dyDescent="0.25">
      <c r="A23" s="178"/>
      <c r="B23" s="179"/>
      <c r="C23" s="244"/>
      <c r="D23" s="242"/>
      <c r="E23" s="180"/>
      <c r="F23" s="181">
        <v>0</v>
      </c>
      <c r="G23" s="175">
        <v>0</v>
      </c>
      <c r="H23" s="176">
        <f t="shared" si="0"/>
        <v>0</v>
      </c>
      <c r="I23" s="176">
        <f t="shared" si="1"/>
        <v>0</v>
      </c>
      <c r="J23" s="159">
        <f t="shared" si="3"/>
        <v>0</v>
      </c>
      <c r="K23" s="166"/>
      <c r="L23" s="176">
        <f t="shared" si="2"/>
        <v>0</v>
      </c>
      <c r="M23" s="176">
        <f t="shared" si="4"/>
        <v>0</v>
      </c>
      <c r="N23" s="183">
        <f t="shared" si="5"/>
        <v>0</v>
      </c>
      <c r="O23"/>
      <c r="P23"/>
      <c r="Q23"/>
      <c r="R23"/>
      <c r="S23"/>
      <c r="T23"/>
      <c r="U23"/>
      <c r="V23"/>
      <c r="W23"/>
      <c r="X23"/>
      <c r="Y23"/>
      <c r="Z23" s="344"/>
      <c r="AA23" s="364"/>
      <c r="AB23" s="364"/>
      <c r="AC23" s="364"/>
      <c r="AD23" s="329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</row>
    <row r="24" spans="1:94" s="177" customFormat="1" ht="15" x14ac:dyDescent="0.25">
      <c r="A24" s="178"/>
      <c r="B24" s="179"/>
      <c r="C24" s="244"/>
      <c r="D24" s="242"/>
      <c r="E24" s="180"/>
      <c r="F24" s="181">
        <v>0</v>
      </c>
      <c r="G24" s="175">
        <v>0</v>
      </c>
      <c r="H24" s="176">
        <f t="shared" si="0"/>
        <v>0</v>
      </c>
      <c r="I24" s="176">
        <f t="shared" si="1"/>
        <v>0</v>
      </c>
      <c r="J24" s="159">
        <f t="shared" si="3"/>
        <v>0</v>
      </c>
      <c r="K24" s="166"/>
      <c r="L24" s="176">
        <f t="shared" si="2"/>
        <v>0</v>
      </c>
      <c r="M24" s="176">
        <f t="shared" si="4"/>
        <v>0</v>
      </c>
      <c r="N24" s="183">
        <f t="shared" si="5"/>
        <v>0</v>
      </c>
      <c r="O24"/>
      <c r="P24"/>
      <c r="Q24"/>
      <c r="R24"/>
      <c r="S24"/>
      <c r="T24"/>
      <c r="U24"/>
      <c r="V24"/>
      <c r="W24"/>
      <c r="X24"/>
      <c r="Y24"/>
      <c r="Z24" s="344"/>
      <c r="AA24" s="345"/>
      <c r="AB24" s="364"/>
      <c r="AC24" s="364"/>
      <c r="AD24" s="329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</row>
    <row r="25" spans="1:94" s="177" customFormat="1" ht="15" x14ac:dyDescent="0.25">
      <c r="A25" s="178"/>
      <c r="B25" s="179"/>
      <c r="C25" s="244"/>
      <c r="D25" s="242"/>
      <c r="E25" s="180"/>
      <c r="F25" s="181">
        <v>0</v>
      </c>
      <c r="G25" s="182">
        <v>0</v>
      </c>
      <c r="H25" s="176">
        <f t="shared" si="0"/>
        <v>0</v>
      </c>
      <c r="I25" s="176">
        <f t="shared" si="1"/>
        <v>0</v>
      </c>
      <c r="J25" s="159">
        <f t="shared" si="3"/>
        <v>0</v>
      </c>
      <c r="K25" s="166"/>
      <c r="L25" s="176">
        <f t="shared" si="2"/>
        <v>0</v>
      </c>
      <c r="M25" s="176">
        <f t="shared" si="4"/>
        <v>0</v>
      </c>
      <c r="N25" s="183">
        <f t="shared" si="5"/>
        <v>0</v>
      </c>
      <c r="O25"/>
      <c r="P25"/>
      <c r="Q25"/>
      <c r="R25"/>
      <c r="S25"/>
      <c r="T25"/>
      <c r="U25"/>
      <c r="V25"/>
      <c r="W25"/>
      <c r="X25"/>
      <c r="Y25"/>
      <c r="Z25" s="344"/>
      <c r="AA25" s="345"/>
      <c r="AB25" s="364"/>
      <c r="AC25" s="364"/>
      <c r="AD25" s="329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</row>
    <row r="26" spans="1:94" s="177" customFormat="1" ht="15" x14ac:dyDescent="0.25">
      <c r="A26" s="178"/>
      <c r="B26" s="179"/>
      <c r="C26" s="244"/>
      <c r="D26" s="242"/>
      <c r="E26" s="180"/>
      <c r="F26" s="181">
        <v>0</v>
      </c>
      <c r="G26" s="182">
        <v>0</v>
      </c>
      <c r="H26" s="176">
        <f t="shared" si="0"/>
        <v>0</v>
      </c>
      <c r="I26" s="176">
        <f t="shared" si="1"/>
        <v>0</v>
      </c>
      <c r="J26" s="159">
        <f t="shared" si="3"/>
        <v>0</v>
      </c>
      <c r="K26" s="166"/>
      <c r="L26" s="176">
        <f t="shared" si="2"/>
        <v>0</v>
      </c>
      <c r="M26" s="176">
        <f t="shared" si="4"/>
        <v>0</v>
      </c>
      <c r="N26" s="183">
        <f t="shared" si="5"/>
        <v>0</v>
      </c>
      <c r="O26"/>
      <c r="P26"/>
      <c r="Q26"/>
      <c r="R26"/>
      <c r="S26"/>
      <c r="T26"/>
      <c r="U26"/>
      <c r="V26"/>
      <c r="W26"/>
      <c r="X26"/>
      <c r="Y26"/>
      <c r="Z26" s="344"/>
      <c r="AA26" s="345"/>
      <c r="AB26" s="364"/>
      <c r="AC26" s="364"/>
      <c r="AD26" s="329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</row>
    <row r="27" spans="1:94" s="177" customFormat="1" ht="15" x14ac:dyDescent="0.25">
      <c r="A27" s="178"/>
      <c r="B27" s="179"/>
      <c r="C27" s="244"/>
      <c r="D27" s="242"/>
      <c r="E27" s="180"/>
      <c r="F27" s="181">
        <v>0</v>
      </c>
      <c r="G27" s="182">
        <v>0</v>
      </c>
      <c r="H27" s="176">
        <f t="shared" si="0"/>
        <v>0</v>
      </c>
      <c r="I27" s="176">
        <f t="shared" si="1"/>
        <v>0</v>
      </c>
      <c r="J27" s="159">
        <f t="shared" si="3"/>
        <v>0</v>
      </c>
      <c r="K27" s="166"/>
      <c r="L27" s="176">
        <f t="shared" si="2"/>
        <v>0</v>
      </c>
      <c r="M27" s="176">
        <f t="shared" si="4"/>
        <v>0</v>
      </c>
      <c r="N27" s="183">
        <f t="shared" si="5"/>
        <v>0</v>
      </c>
      <c r="O27"/>
      <c r="P27"/>
      <c r="Q27"/>
      <c r="R27"/>
      <c r="S27"/>
      <c r="T27"/>
      <c r="U27"/>
      <c r="V27"/>
      <c r="W27"/>
      <c r="X27"/>
      <c r="Y27"/>
      <c r="Z27" s="344"/>
      <c r="AA27" s="364"/>
      <c r="AB27" s="364"/>
      <c r="AC27" s="364"/>
      <c r="AD27" s="329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</row>
    <row r="28" spans="1:94" s="177" customFormat="1" ht="15" x14ac:dyDescent="0.25">
      <c r="A28" s="178"/>
      <c r="B28" s="179"/>
      <c r="C28" s="244"/>
      <c r="D28" s="242"/>
      <c r="E28" s="180"/>
      <c r="F28" s="181">
        <v>0</v>
      </c>
      <c r="G28" s="182">
        <v>0</v>
      </c>
      <c r="H28" s="176">
        <f t="shared" si="0"/>
        <v>0</v>
      </c>
      <c r="I28" s="176">
        <f t="shared" si="1"/>
        <v>0</v>
      </c>
      <c r="J28" s="159">
        <f t="shared" si="3"/>
        <v>0</v>
      </c>
      <c r="K28" s="166"/>
      <c r="L28" s="176">
        <f t="shared" si="2"/>
        <v>0</v>
      </c>
      <c r="M28" s="176">
        <f t="shared" si="4"/>
        <v>0</v>
      </c>
      <c r="N28" s="183">
        <f t="shared" si="5"/>
        <v>0</v>
      </c>
      <c r="O28"/>
      <c r="P28"/>
      <c r="Q28"/>
      <c r="R28"/>
      <c r="S28"/>
      <c r="T28"/>
      <c r="U28"/>
      <c r="V28"/>
      <c r="W28"/>
      <c r="X28"/>
      <c r="Y28"/>
      <c r="Z28" s="344"/>
      <c r="AA28" s="364"/>
      <c r="AB28" s="364"/>
      <c r="AC28" s="364"/>
      <c r="AD28" s="329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</row>
    <row r="29" spans="1:94" s="177" customFormat="1" ht="15" x14ac:dyDescent="0.25">
      <c r="A29" s="179"/>
      <c r="B29" s="179"/>
      <c r="C29" s="171"/>
      <c r="D29" s="243"/>
      <c r="E29" s="180"/>
      <c r="F29" s="181">
        <v>0</v>
      </c>
      <c r="G29" s="182">
        <v>0</v>
      </c>
      <c r="H29" s="176">
        <f t="shared" si="0"/>
        <v>0</v>
      </c>
      <c r="I29" s="176">
        <f t="shared" si="1"/>
        <v>0</v>
      </c>
      <c r="J29" s="159">
        <f t="shared" si="3"/>
        <v>0</v>
      </c>
      <c r="K29" s="166"/>
      <c r="L29" s="176">
        <f t="shared" si="2"/>
        <v>0</v>
      </c>
      <c r="M29" s="176">
        <f t="shared" si="4"/>
        <v>0</v>
      </c>
      <c r="N29" s="183">
        <f t="shared" si="5"/>
        <v>0</v>
      </c>
      <c r="O29"/>
      <c r="P29"/>
      <c r="Q29"/>
      <c r="R29"/>
      <c r="S29"/>
      <c r="T29"/>
      <c r="U29"/>
      <c r="V29"/>
      <c r="W29"/>
      <c r="X29"/>
      <c r="Y29"/>
      <c r="Z29" s="344"/>
      <c r="AA29" s="364"/>
      <c r="AB29" s="364"/>
      <c r="AC29" s="364"/>
      <c r="AD29" s="329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</row>
    <row r="30" spans="1:94" s="177" customFormat="1" ht="15" x14ac:dyDescent="0.25">
      <c r="A30" s="179"/>
      <c r="B30" s="184"/>
      <c r="C30" s="171"/>
      <c r="D30" s="243"/>
      <c r="E30" s="180"/>
      <c r="F30" s="181">
        <v>0</v>
      </c>
      <c r="G30" s="182">
        <v>0</v>
      </c>
      <c r="H30" s="176">
        <f t="shared" si="0"/>
        <v>0</v>
      </c>
      <c r="I30" s="176">
        <f t="shared" si="1"/>
        <v>0</v>
      </c>
      <c r="J30" s="159">
        <f t="shared" si="3"/>
        <v>0</v>
      </c>
      <c r="K30" s="166"/>
      <c r="L30" s="176">
        <f t="shared" si="2"/>
        <v>0</v>
      </c>
      <c r="M30" s="176">
        <f t="shared" si="4"/>
        <v>0</v>
      </c>
      <c r="N30" s="183">
        <f t="shared" si="5"/>
        <v>0</v>
      </c>
      <c r="O30"/>
      <c r="P30"/>
      <c r="Q30"/>
      <c r="R30"/>
      <c r="S30"/>
      <c r="T30"/>
      <c r="U30"/>
      <c r="V30"/>
      <c r="W30"/>
      <c r="X30"/>
      <c r="Y30"/>
      <c r="Z30" s="344"/>
      <c r="AA30" s="364"/>
      <c r="AB30" s="364"/>
      <c r="AC30" s="364"/>
      <c r="AD30" s="329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</row>
    <row r="31" spans="1:94" s="153" customFormat="1" ht="15" x14ac:dyDescent="0.25">
      <c r="A31" s="139"/>
      <c r="B31" s="168"/>
      <c r="C31" s="245"/>
      <c r="D31" s="246" t="s">
        <v>36</v>
      </c>
      <c r="E31" s="150"/>
      <c r="F31" s="165"/>
      <c r="G31" s="166"/>
      <c r="H31" s="166"/>
      <c r="I31" s="166"/>
      <c r="J31" s="166"/>
      <c r="K31" s="166"/>
      <c r="L31" s="166"/>
      <c r="M31" s="166"/>
      <c r="N31" s="166"/>
      <c r="O31"/>
      <c r="P31"/>
      <c r="Q31"/>
      <c r="R31"/>
      <c r="S31"/>
      <c r="T31"/>
      <c r="U31"/>
      <c r="V31"/>
      <c r="W31"/>
      <c r="X31"/>
      <c r="Y31"/>
      <c r="Z31" s="344"/>
      <c r="AA31" s="364"/>
      <c r="AB31" s="364"/>
      <c r="AC31" s="364"/>
      <c r="AD31" s="329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</row>
    <row r="32" spans="1:94" s="177" customFormat="1" ht="15" x14ac:dyDescent="0.25">
      <c r="A32" s="185"/>
      <c r="B32" s="185"/>
      <c r="C32" s="244"/>
      <c r="D32" s="242"/>
      <c r="E32" s="173"/>
      <c r="F32" s="174">
        <v>0</v>
      </c>
      <c r="G32" s="175">
        <v>0</v>
      </c>
      <c r="H32" s="176">
        <f t="shared" ref="H32:H35" si="6">IF(AND($F32&lt;&gt;0,$G32&lt;&gt;0,OR($E32=1,$E32=3)),$F32*Health,0)</f>
        <v>0</v>
      </c>
      <c r="I32" s="176">
        <f t="shared" ref="I32:I34" si="7">IF(AND($E32=1,$C32=""),$G32*PermVB+$G32*Retire1,IF($E32=1,$G32*PermVB+$G32*VLOOKUP($C32,Retirement_Rates,3,FALSE),IF($E32=2,$G32*GroupVB,IF(AND($E32=3,$C32=""),$G32*ElectVB+$G32*Retire1,IF($E32=3,$G32*ElectVB+$G32*VLOOKUP($C32,Retirement_Rates,3,FALSE),0)))))</f>
        <v>0</v>
      </c>
      <c r="J32" s="279">
        <f t="shared" si="3"/>
        <v>0</v>
      </c>
      <c r="K32" s="166"/>
      <c r="L32" s="176">
        <f t="shared" ref="L32:L35" si="8">IF(AND($F32&lt;&gt;0,$G32&lt;&gt;0,OR($E32=1,$E32=3)),$F32*HealthCHG,0)</f>
        <v>0</v>
      </c>
      <c r="M32" s="176">
        <f t="shared" ref="M32:M35" si="9">IF(AND($E32=1,$C32=""),$G32*PermVBCHG+$G32*Retire1CHG,IF($E32=1,$G32*PermVBCHG+$G32*VLOOKUP($C32,Retirement_Rates,5,FALSE),IF($E32=2,0,IF(AND($E32=3,$C32=""),$G32*ElectVBCHG+$G32*Retire1CHG,IF($E32=3,$G32*ElectVBCHG+$G32*VLOOKUP($C32,Retirement_Rates,5,FALSE),0)))))</f>
        <v>0</v>
      </c>
      <c r="N32" s="176">
        <f t="shared" ref="N32:N35" si="10">SUM(L32:M32)</f>
        <v>0</v>
      </c>
      <c r="O32"/>
      <c r="P32"/>
      <c r="Q32"/>
      <c r="R32"/>
      <c r="S32"/>
      <c r="T32"/>
      <c r="U32"/>
      <c r="V32"/>
      <c r="W32"/>
      <c r="X32"/>
      <c r="Y32"/>
      <c r="Z32" s="344"/>
      <c r="AA32" s="364"/>
      <c r="AB32" s="364"/>
      <c r="AC32" s="364"/>
      <c r="AD32" s="329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</row>
    <row r="33" spans="1:94" s="177" customFormat="1" ht="15" x14ac:dyDescent="0.25">
      <c r="A33" s="186"/>
      <c r="B33" s="187"/>
      <c r="C33" s="244"/>
      <c r="D33" s="242"/>
      <c r="E33" s="180"/>
      <c r="F33" s="181">
        <v>0</v>
      </c>
      <c r="G33" s="182">
        <v>0</v>
      </c>
      <c r="H33" s="176">
        <f t="shared" si="6"/>
        <v>0</v>
      </c>
      <c r="I33" s="176">
        <f t="shared" si="7"/>
        <v>0</v>
      </c>
      <c r="J33" s="279">
        <f t="shared" si="3"/>
        <v>0</v>
      </c>
      <c r="K33" s="166"/>
      <c r="L33" s="176">
        <f t="shared" si="8"/>
        <v>0</v>
      </c>
      <c r="M33" s="176">
        <f t="shared" si="9"/>
        <v>0</v>
      </c>
      <c r="N33" s="183">
        <f t="shared" si="10"/>
        <v>0</v>
      </c>
      <c r="O33"/>
      <c r="P33"/>
      <c r="Q33"/>
      <c r="R33"/>
      <c r="S33"/>
      <c r="T33"/>
      <c r="U33"/>
      <c r="V33"/>
      <c r="W33"/>
      <c r="X33"/>
      <c r="Y33"/>
      <c r="Z33" s="344"/>
      <c r="AA33" s="364"/>
      <c r="AB33" s="364"/>
      <c r="AC33" s="364"/>
      <c r="AD33" s="329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</row>
    <row r="34" spans="1:94" s="177" customFormat="1" ht="15" x14ac:dyDescent="0.25">
      <c r="A34" s="186"/>
      <c r="B34" s="187"/>
      <c r="C34" s="244"/>
      <c r="D34" s="242"/>
      <c r="E34" s="180"/>
      <c r="F34" s="181">
        <v>0</v>
      </c>
      <c r="G34" s="182">
        <v>0</v>
      </c>
      <c r="H34" s="176">
        <f t="shared" si="6"/>
        <v>0</v>
      </c>
      <c r="I34" s="176">
        <f t="shared" si="7"/>
        <v>0</v>
      </c>
      <c r="J34" s="279">
        <f t="shared" si="3"/>
        <v>0</v>
      </c>
      <c r="K34" s="280"/>
      <c r="L34" s="176">
        <f t="shared" si="8"/>
        <v>0</v>
      </c>
      <c r="M34" s="176">
        <f t="shared" si="9"/>
        <v>0</v>
      </c>
      <c r="N34" s="183">
        <f t="shared" si="10"/>
        <v>0</v>
      </c>
      <c r="O34"/>
      <c r="P34"/>
      <c r="Q34"/>
      <c r="R34"/>
      <c r="S34"/>
      <c r="T34"/>
      <c r="U34"/>
      <c r="V34"/>
      <c r="W34"/>
      <c r="X34"/>
      <c r="Y34"/>
      <c r="Z34" s="344"/>
      <c r="AA34" s="364"/>
      <c r="AB34" s="364"/>
      <c r="AC34" s="364"/>
      <c r="AD34" s="329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</row>
    <row r="35" spans="1:94" s="177" customFormat="1" ht="15" x14ac:dyDescent="0.25">
      <c r="A35" s="186"/>
      <c r="B35" s="187"/>
      <c r="C35" s="244"/>
      <c r="D35" s="242"/>
      <c r="E35" s="180"/>
      <c r="F35" s="181">
        <v>0</v>
      </c>
      <c r="G35" s="182">
        <v>0</v>
      </c>
      <c r="H35" s="176">
        <f t="shared" si="6"/>
        <v>0</v>
      </c>
      <c r="I35" s="176">
        <f>IF(AND($E35=1,$C35=""),$G35*(PermVB+Retire1),IF($E35=1,$G35*PermVB+$G35*VLOOKUP($C35,Retirement_Rates,3,FALSE),IF($E35=2,$G35*GroupVB,IF(AND($E35=3,$C35=""),$G35*ElectVB+$G35*Retire1,IF($E35=3,$G35*ElectVB+$G35*VLOOKUP($C35,Retirement_Rates,3,FALSE),0)))))</f>
        <v>0</v>
      </c>
      <c r="J35" s="279">
        <f t="shared" si="3"/>
        <v>0</v>
      </c>
      <c r="K35" s="309"/>
      <c r="L35" s="176">
        <f t="shared" si="8"/>
        <v>0</v>
      </c>
      <c r="M35" s="176">
        <f t="shared" si="9"/>
        <v>0</v>
      </c>
      <c r="N35" s="183">
        <f t="shared" si="10"/>
        <v>0</v>
      </c>
      <c r="O35"/>
      <c r="P35"/>
      <c r="Q35"/>
      <c r="R35"/>
      <c r="S35"/>
      <c r="T35"/>
      <c r="U35"/>
      <c r="V35"/>
      <c r="W35"/>
      <c r="X35"/>
      <c r="Y35"/>
      <c r="Z35" s="344"/>
      <c r="AA35" s="364"/>
      <c r="AB35" s="364"/>
      <c r="AC35" s="364"/>
      <c r="AD35" s="329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</row>
    <row r="36" spans="1:94" s="213" customFormat="1" ht="15" x14ac:dyDescent="0.25">
      <c r="A36" s="281"/>
      <c r="B36" s="282"/>
      <c r="C36" s="283"/>
      <c r="D36" s="284"/>
      <c r="E36" s="285"/>
      <c r="F36" s="197"/>
      <c r="G36" s="259"/>
      <c r="H36" s="259"/>
      <c r="I36" s="259"/>
      <c r="J36" s="286"/>
      <c r="K36" s="280"/>
      <c r="L36" s="321"/>
      <c r="M36" s="259"/>
      <c r="N36" s="259"/>
      <c r="O36"/>
      <c r="P36"/>
      <c r="Q36"/>
      <c r="R36"/>
      <c r="S36"/>
      <c r="T36"/>
      <c r="U36"/>
      <c r="V36"/>
      <c r="W36"/>
      <c r="X36"/>
      <c r="Y36"/>
      <c r="Z36" s="344"/>
      <c r="AA36" s="364" t="s">
        <v>92</v>
      </c>
      <c r="AB36" s="333" t="s">
        <v>93</v>
      </c>
      <c r="AC36" s="333" t="s">
        <v>104</v>
      </c>
      <c r="AD36" s="330"/>
    </row>
    <row r="37" spans="1:94" s="153" customFormat="1" ht="17.25" customHeight="1" x14ac:dyDescent="0.25">
      <c r="A37" s="139"/>
      <c r="B37" s="188"/>
      <c r="C37" s="476" t="s">
        <v>37</v>
      </c>
      <c r="D37" s="477"/>
      <c r="E37" s="150"/>
      <c r="F37" s="165"/>
      <c r="G37" s="166"/>
      <c r="H37" s="166"/>
      <c r="I37" s="166"/>
      <c r="J37" s="322"/>
      <c r="K37" s="166"/>
      <c r="L37" s="166"/>
      <c r="M37" s="166"/>
      <c r="N37" s="166"/>
      <c r="O37"/>
      <c r="P37"/>
      <c r="Q37"/>
      <c r="R37"/>
      <c r="S37"/>
      <c r="T37"/>
      <c r="U37"/>
      <c r="V37"/>
      <c r="W37"/>
      <c r="X37"/>
      <c r="Y37"/>
      <c r="Z37" s="344"/>
      <c r="AA37" s="478" t="s">
        <v>105</v>
      </c>
      <c r="AB37" s="479"/>
      <c r="AC37" s="479"/>
      <c r="AD37" s="329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</row>
    <row r="38" spans="1:94" s="153" customFormat="1" ht="15" x14ac:dyDescent="0.25">
      <c r="A38" s="139"/>
      <c r="B38" s="188"/>
      <c r="C38" s="460" t="str">
        <f>perm_name</f>
        <v>Permanent Positions</v>
      </c>
      <c r="D38" s="461"/>
      <c r="E38" s="189">
        <v>1</v>
      </c>
      <c r="F38" s="190">
        <f>SUMIF($E9:$E35,$E38,$F9:$F35)</f>
        <v>16.600000000000001</v>
      </c>
      <c r="G38" s="191">
        <f>SUMIF($E10:$E35,$E38,$G10:$G35)</f>
        <v>1130697.56</v>
      </c>
      <c r="H38" s="192">
        <f>SUMIF($E10:$E35,$E38,$H10:$H35)</f>
        <v>207500</v>
      </c>
      <c r="I38" s="192">
        <f>SUMIF($E10:$E35,$E38,$I10:$I35)</f>
        <v>231691.23701959997</v>
      </c>
      <c r="J38" s="192">
        <f>SUM(G38:I38)</f>
        <v>1569888.7970195999</v>
      </c>
      <c r="K38" s="166"/>
      <c r="L38" s="191">
        <f>SUMIF($E10:$E35,$E38,$L10:$L35)</f>
        <v>20750</v>
      </c>
      <c r="M38" s="192">
        <f>SUMIF($E10:$E35,$E38,$M10:$M35)</f>
        <v>-8480.2317000000094</v>
      </c>
      <c r="N38" s="192">
        <f>SUM(L38:M38)</f>
        <v>12269.768299999991</v>
      </c>
      <c r="O38"/>
      <c r="P38"/>
      <c r="Q38"/>
      <c r="R38"/>
      <c r="S38"/>
      <c r="T38"/>
      <c r="U38"/>
      <c r="V38"/>
      <c r="W38"/>
      <c r="X38"/>
      <c r="Y38"/>
      <c r="Z38" s="344"/>
      <c r="AA38" s="338">
        <f>ROUND(AdjPermSalary*CECPerm,-2)</f>
        <v>11300</v>
      </c>
      <c r="AB38" s="338">
        <f>ROUND((AdjPermVB*CECPerm+AdjPermVBBY*CECPerm),-2)</f>
        <v>2200</v>
      </c>
      <c r="AC38" s="338">
        <f>SUM(AA38:AB38)</f>
        <v>13500</v>
      </c>
      <c r="AD38" s="329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</row>
    <row r="39" spans="1:94" s="153" customFormat="1" ht="15" x14ac:dyDescent="0.25">
      <c r="A39" s="139"/>
      <c r="B39" s="188"/>
      <c r="C39" s="460" t="str">
        <f>Group_name</f>
        <v>Board &amp; Group Positions</v>
      </c>
      <c r="D39" s="461"/>
      <c r="E39" s="189">
        <v>2</v>
      </c>
      <c r="F39" s="151">
        <f>SUMIF($E9:$E35,$E39,$F9:$F35)</f>
        <v>0</v>
      </c>
      <c r="G39" s="193">
        <f>SUMIF($E10:$E35,$E39,$G10:$G35)</f>
        <v>0</v>
      </c>
      <c r="H39" s="152">
        <f>SUMIF($E10:$E35,$E39,$H10:$H35)</f>
        <v>0</v>
      </c>
      <c r="I39" s="152">
        <f>SUMIF($E10:$E35,$E39,$I10:$I35)</f>
        <v>0</v>
      </c>
      <c r="J39" s="152">
        <f>SUM(G39:I39)</f>
        <v>0</v>
      </c>
      <c r="K39" s="259"/>
      <c r="L39" s="193">
        <f>SUMIF($E10:$E35,$E39,$L10:$L35)</f>
        <v>0</v>
      </c>
      <c r="M39" s="152">
        <f>SUMIF($E11:$E37,$E39,$M11:$M37)</f>
        <v>0</v>
      </c>
      <c r="N39" s="152">
        <f>SUM(L39:M39)</f>
        <v>0</v>
      </c>
      <c r="O39"/>
      <c r="P39"/>
      <c r="Q39"/>
      <c r="R39"/>
      <c r="S39"/>
      <c r="T39"/>
      <c r="U39"/>
      <c r="V39"/>
      <c r="W39"/>
      <c r="X39"/>
      <c r="Y39"/>
      <c r="Z39" s="344"/>
      <c r="AA39" s="338">
        <f>ROUND(AdjGroupSalary*CECGroup,-2)</f>
        <v>0</v>
      </c>
      <c r="AB39" s="338">
        <f>ROUND(AdjGroupVB*CECGroup,-2)</f>
        <v>0</v>
      </c>
      <c r="AC39" s="338">
        <f>SUM(AA39:AB39)</f>
        <v>0</v>
      </c>
      <c r="AD39" s="329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</row>
    <row r="40" spans="1:94" s="153" customFormat="1" ht="15" x14ac:dyDescent="0.25">
      <c r="A40" s="139"/>
      <c r="B40" s="188"/>
      <c r="C40" s="365" t="str">
        <f>Elect_name</f>
        <v>Elected Officials &amp; Full Time Commissioners</v>
      </c>
      <c r="D40" s="366"/>
      <c r="E40" s="189">
        <v>3</v>
      </c>
      <c r="F40" s="151">
        <f>SUMIF($E9:$E35,$E40,$F9:$F35)</f>
        <v>0</v>
      </c>
      <c r="G40" s="193">
        <f>SUMIF($E10:$E35,$E40,$G10:$G35)</f>
        <v>0</v>
      </c>
      <c r="H40" s="152">
        <f>SUMIF($E10:$E35,$E40,$H10:$H35)</f>
        <v>0</v>
      </c>
      <c r="I40" s="152">
        <f>SUMIF($E10:$E35,$E40,$I10:$I35)</f>
        <v>0</v>
      </c>
      <c r="J40" s="152">
        <f>SUM(G40:I40)</f>
        <v>0</v>
      </c>
      <c r="K40" s="259"/>
      <c r="L40" s="193">
        <f>SUMIF($E10:$E35,$E40,$L10:$L35)</f>
        <v>0</v>
      </c>
      <c r="M40" s="152">
        <f>SUMIF($E10:$E35,$E40,$M10:$M35)</f>
        <v>0</v>
      </c>
      <c r="N40" s="152">
        <f>SUM(L40:M40)</f>
        <v>0</v>
      </c>
      <c r="O40"/>
      <c r="P40"/>
      <c r="Q40"/>
      <c r="R40"/>
      <c r="S40"/>
      <c r="T40"/>
      <c r="U40"/>
      <c r="V40"/>
      <c r="W40"/>
      <c r="X40"/>
      <c r="Y40"/>
      <c r="Z40" s="344"/>
      <c r="AA40" s="364"/>
      <c r="AB40" s="364"/>
      <c r="AC40" s="364"/>
      <c r="AD40" s="329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</row>
    <row r="41" spans="1:94" s="153" customFormat="1" ht="15" x14ac:dyDescent="0.25">
      <c r="A41" s="139"/>
      <c r="B41" s="188"/>
      <c r="C41" s="460" t="s">
        <v>38</v>
      </c>
      <c r="D41" s="461"/>
      <c r="E41" s="189"/>
      <c r="F41" s="161">
        <f>SUM(F38:F40)</f>
        <v>16.600000000000001</v>
      </c>
      <c r="G41" s="195">
        <f>SUM($G$38:$G$40)</f>
        <v>1130697.56</v>
      </c>
      <c r="H41" s="162">
        <f>SUM($H$38:$H$40)</f>
        <v>207500</v>
      </c>
      <c r="I41" s="162">
        <f>SUM($I$38:$I$40)</f>
        <v>231691.23701959997</v>
      </c>
      <c r="J41" s="162">
        <f>SUM($J$38:$J$40)</f>
        <v>1569888.7970195999</v>
      </c>
      <c r="K41" s="259"/>
      <c r="L41" s="195">
        <f>SUM($L$38:$L$40)</f>
        <v>20750</v>
      </c>
      <c r="M41" s="162">
        <f>SUM($M$38:$M$40)</f>
        <v>-8480.2317000000094</v>
      </c>
      <c r="N41" s="162">
        <f>SUM(L41:M41)</f>
        <v>12269.768299999991</v>
      </c>
      <c r="O41"/>
      <c r="P41"/>
      <c r="Q41"/>
      <c r="R41"/>
      <c r="S41"/>
      <c r="T41"/>
      <c r="U41"/>
      <c r="V41"/>
      <c r="W41"/>
      <c r="X41"/>
      <c r="Y41"/>
      <c r="Z41" s="344"/>
      <c r="AA41" s="364" t="s">
        <v>92</v>
      </c>
      <c r="AB41" s="333" t="s">
        <v>93</v>
      </c>
      <c r="AC41" s="333" t="s">
        <v>104</v>
      </c>
      <c r="AD41" s="329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</row>
    <row r="42" spans="1:94" s="153" customFormat="1" ht="4.5" customHeight="1" x14ac:dyDescent="0.25">
      <c r="A42" s="139"/>
      <c r="B42" s="188"/>
      <c r="C42" s="462"/>
      <c r="D42" s="463"/>
      <c r="E42" s="196"/>
      <c r="F42" s="197"/>
      <c r="G42" s="198"/>
      <c r="H42" s="199"/>
      <c r="I42" s="199"/>
      <c r="J42" s="324"/>
      <c r="K42" s="200"/>
      <c r="L42" s="323"/>
      <c r="M42" s="323"/>
      <c r="N42" s="201"/>
      <c r="O42"/>
      <c r="P42"/>
      <c r="Q42"/>
      <c r="R42"/>
      <c r="S42"/>
      <c r="T42"/>
      <c r="U42"/>
      <c r="V42"/>
      <c r="W42"/>
      <c r="X42"/>
      <c r="Y42"/>
      <c r="Z42" s="344"/>
      <c r="AA42" s="364"/>
      <c r="AB42" s="364"/>
      <c r="AC42" s="364"/>
      <c r="AD42" s="329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</row>
    <row r="43" spans="1:94" s="153" customFormat="1" ht="15.75" customHeight="1" x14ac:dyDescent="0.25">
      <c r="A43" s="139"/>
      <c r="B43" s="202"/>
      <c r="C43" s="464" t="s">
        <v>39</v>
      </c>
      <c r="D43" s="465"/>
      <c r="E43" s="203" t="s">
        <v>40</v>
      </c>
      <c r="F43" s="205">
        <f>ROUND(F51-F41,2)</f>
        <v>1.1000000000000001</v>
      </c>
      <c r="G43" s="206">
        <f>G51-G41</f>
        <v>91190.521615535719</v>
      </c>
      <c r="H43" s="159">
        <f>H51-H41</f>
        <v>16734.831580625003</v>
      </c>
      <c r="I43" s="159">
        <f>I51-I41</f>
        <v>18685.849784239399</v>
      </c>
      <c r="J43" s="159">
        <f>SUM(G43:I43)</f>
        <v>126611.20298040012</v>
      </c>
      <c r="K43" s="441" t="str">
        <f>IF(E51=0,"No Original Appropriation amount in DU 3.00 for this fund","Calculated "&amp;IF(J43&gt;0,"overfunding ","underfunding ")&amp;"is "&amp;TEXT(J43/J51,"#.0%;(#.0% );0%;")&amp;" of Original Appropriation")</f>
        <v>Calculated overfunding is 7.5% of Original Appropriation</v>
      </c>
      <c r="L43" s="442"/>
      <c r="M43" s="442"/>
      <c r="N43" s="443"/>
      <c r="O43"/>
      <c r="P43"/>
      <c r="Q43"/>
      <c r="R43"/>
      <c r="S43"/>
      <c r="T43"/>
      <c r="U43"/>
      <c r="V43"/>
      <c r="W43"/>
      <c r="X43"/>
      <c r="Y43"/>
      <c r="Z43" s="344"/>
      <c r="AA43" s="468" t="s">
        <v>106</v>
      </c>
      <c r="AB43" s="469"/>
      <c r="AC43" s="469"/>
      <c r="AD43" s="329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</row>
    <row r="44" spans="1:94" s="153" customFormat="1" ht="15.75" customHeight="1" x14ac:dyDescent="0.25">
      <c r="A44" s="139"/>
      <c r="B44" s="202"/>
      <c r="C44" s="466"/>
      <c r="D44" s="467"/>
      <c r="E44" s="204" t="s">
        <v>41</v>
      </c>
      <c r="F44" s="205">
        <f>ROUND(F60-F41,2)</f>
        <v>1.1000000000000001</v>
      </c>
      <c r="G44" s="206">
        <f>G60-G41</f>
        <v>91202.439999999944</v>
      </c>
      <c r="H44" s="159">
        <f>H60-H41</f>
        <v>16700</v>
      </c>
      <c r="I44" s="159">
        <f>I60-I41</f>
        <v>18708.762980400032</v>
      </c>
      <c r="J44" s="159">
        <f>SUM(G44:I44)</f>
        <v>126611.20298039998</v>
      </c>
      <c r="K44" s="441" t="str">
        <f>IF(J60=0,"This fund has zero estimated expenditures in DU 7.00",IF(J60=0,"ERROR! Verify/enter 6 series adjustments!","Calculated "&amp;IF(J44&gt;0,"overfunding ","underfunding ")&amp;"is "&amp;TEXT(J44/J60,"#.0%;(#.0% );0%;")&amp;" of Est. Expenditures"))</f>
        <v>Calculated overfunding is 7.5% of Est. Expenditures</v>
      </c>
      <c r="L44" s="442"/>
      <c r="M44" s="442"/>
      <c r="N44" s="443"/>
      <c r="O44"/>
      <c r="P44"/>
      <c r="Q44"/>
      <c r="R44"/>
      <c r="S44"/>
      <c r="T44"/>
      <c r="U44"/>
      <c r="V44"/>
      <c r="W44"/>
      <c r="X44"/>
      <c r="Y44"/>
      <c r="Z44" s="344"/>
      <c r="AA44" s="338">
        <f>NEW_AdjPermSalary-NEW_PermSalaryFilled</f>
        <v>0</v>
      </c>
      <c r="AB44" s="338">
        <f>NEW_AdjPermVB-NEW_PermVBFilled</f>
        <v>0</v>
      </c>
      <c r="AC44" s="338">
        <f>SUM(AA44:AB44)</f>
        <v>0</v>
      </c>
      <c r="AD44" s="329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</row>
    <row r="45" spans="1:94" s="153" customFormat="1" ht="15.75" customHeight="1" x14ac:dyDescent="0.25">
      <c r="A45" s="139"/>
      <c r="B45" s="202"/>
      <c r="C45" s="215"/>
      <c r="D45" s="215"/>
      <c r="E45" s="204" t="s">
        <v>97</v>
      </c>
      <c r="F45" s="205">
        <f>ROUND(F67-F41-F63,2)</f>
        <v>1.1000000000000001</v>
      </c>
      <c r="G45" s="206">
        <f>G67-G41-G63</f>
        <v>91202.439999999944</v>
      </c>
      <c r="H45" s="206">
        <f>H67-H41-H63</f>
        <v>16700</v>
      </c>
      <c r="I45" s="206">
        <f>I67-I41-I63</f>
        <v>18708.762980400032</v>
      </c>
      <c r="J45" s="159">
        <f>SUM(G45:I45)</f>
        <v>126611.20298039998</v>
      </c>
      <c r="K45" s="441" t="str">
        <f>IF(J67=0,"This fund has a $0 Base in DU 9.00",IF(J67=0,"ERROR! Verify/enter 8 series adjustments!","Calculated "&amp;IF(J45&gt;0,"overfunding ","underfunding ")&amp;"is "&amp;TEXT(J45/J67,"#.0%;(#.0% );0%;")&amp;" of the Base"))</f>
        <v>Calculated overfunding is 7.5% of the Base</v>
      </c>
      <c r="L45" s="442"/>
      <c r="M45" s="442"/>
      <c r="N45" s="443"/>
      <c r="O45"/>
      <c r="P45"/>
      <c r="Q45"/>
      <c r="R45"/>
      <c r="S45"/>
      <c r="T45"/>
      <c r="U45"/>
      <c r="V45"/>
      <c r="W45"/>
      <c r="X45"/>
      <c r="Y45"/>
      <c r="Z45" s="344"/>
      <c r="AA45" s="338">
        <f>NEW_AdjGroupSalary-NEW_GroupSalaryFilled</f>
        <v>0</v>
      </c>
      <c r="AB45" s="338">
        <f>NEW_AdjGroupVB-NEW_GroupVBFilled</f>
        <v>0</v>
      </c>
      <c r="AC45" s="338">
        <f>SUM(AA45:AB45)</f>
        <v>0</v>
      </c>
      <c r="AD45" s="329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</row>
    <row r="46" spans="1:94" s="153" customFormat="1" ht="28.5" customHeight="1" x14ac:dyDescent="0.25">
      <c r="A46" s="139"/>
      <c r="B46" s="202"/>
      <c r="C46" s="215"/>
      <c r="D46" s="215"/>
      <c r="E46" s="444" t="s">
        <v>98</v>
      </c>
      <c r="F46" s="445"/>
      <c r="G46" s="445"/>
      <c r="H46" s="445"/>
      <c r="I46" s="445"/>
      <c r="J46" s="446"/>
      <c r="K46" s="450" t="str">
        <f>IF(OR(J45&lt;0,F45&lt;0),"You may not have sufficient funding or authorized FTP, and may need to make additional adjustments to finalize this form.  Please contact both your DFM and LSO analysts.","")</f>
        <v/>
      </c>
      <c r="L46" s="451"/>
      <c r="M46" s="451"/>
      <c r="N46" s="452"/>
      <c r="O46"/>
      <c r="P46"/>
      <c r="Q46"/>
      <c r="R46"/>
      <c r="S46"/>
      <c r="T46"/>
      <c r="U46"/>
      <c r="V46"/>
      <c r="W46"/>
      <c r="X46"/>
      <c r="Y46"/>
      <c r="Z46" s="344"/>
      <c r="AA46" s="364"/>
      <c r="AB46" s="364"/>
      <c r="AC46" s="364"/>
      <c r="AD46" s="329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</row>
    <row r="47" spans="1:94" s="153" customFormat="1" ht="21.75" customHeight="1" x14ac:dyDescent="0.25">
      <c r="A47" s="139"/>
      <c r="B47" s="202"/>
      <c r="C47" s="215"/>
      <c r="D47" s="215"/>
      <c r="E47" s="447"/>
      <c r="F47" s="448"/>
      <c r="G47" s="448"/>
      <c r="H47" s="448"/>
      <c r="I47" s="448"/>
      <c r="J47" s="449"/>
      <c r="K47" s="453"/>
      <c r="L47" s="454"/>
      <c r="M47" s="454"/>
      <c r="N47" s="455"/>
      <c r="O47"/>
      <c r="P47"/>
      <c r="Q47"/>
      <c r="R47"/>
      <c r="S47"/>
      <c r="T47"/>
      <c r="U47"/>
      <c r="V47"/>
      <c r="W47"/>
      <c r="X47"/>
      <c r="Y47"/>
      <c r="Z47" s="344"/>
      <c r="AA47" s="364"/>
      <c r="AB47" s="364"/>
      <c r="AC47" s="364"/>
      <c r="AD47" s="329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</row>
    <row r="48" spans="1:94" s="214" customFormat="1" ht="8.25" customHeight="1" x14ac:dyDescent="0.25">
      <c r="A48" s="207"/>
      <c r="B48" s="208"/>
      <c r="C48" s="136"/>
      <c r="D48" s="136"/>
      <c r="E48" s="209"/>
      <c r="F48" s="210"/>
      <c r="G48" s="211"/>
      <c r="H48" s="211"/>
      <c r="I48" s="211"/>
      <c r="J48" s="211"/>
      <c r="K48" s="211"/>
      <c r="L48" s="137"/>
      <c r="M48" s="138"/>
      <c r="N48" s="212"/>
      <c r="O48"/>
      <c r="P48"/>
      <c r="Q48"/>
      <c r="R48"/>
      <c r="S48"/>
      <c r="T48"/>
      <c r="U48"/>
      <c r="V48"/>
      <c r="W48"/>
      <c r="X48"/>
      <c r="Y48"/>
      <c r="Z48" s="344"/>
      <c r="AA48" s="339"/>
      <c r="AB48" s="339"/>
      <c r="AC48" s="339"/>
      <c r="AD48" s="330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  <c r="CM48" s="213"/>
      <c r="CN48" s="213"/>
      <c r="CO48" s="213"/>
      <c r="CP48" s="213"/>
    </row>
    <row r="49" spans="1:94" s="53" customFormat="1" ht="6" customHeight="1" x14ac:dyDescent="0.25">
      <c r="A49" s="63"/>
      <c r="B49" s="64"/>
      <c r="C49" s="65"/>
      <c r="D49" s="66"/>
      <c r="E49" s="67"/>
      <c r="F49" s="68"/>
      <c r="G49" s="64"/>
      <c r="H49" s="64"/>
      <c r="I49" s="64"/>
      <c r="J49" s="64"/>
      <c r="K49" s="64"/>
      <c r="L49" s="69"/>
      <c r="M49" s="69"/>
      <c r="N49" s="70"/>
      <c r="O49"/>
      <c r="P49"/>
      <c r="Q49"/>
      <c r="R49"/>
      <c r="S49"/>
      <c r="T49"/>
      <c r="U49"/>
      <c r="V49"/>
      <c r="W49"/>
      <c r="X49"/>
      <c r="Y49"/>
      <c r="Z49" s="344"/>
      <c r="AA49" s="364"/>
      <c r="AB49" s="364"/>
      <c r="AC49" s="364"/>
      <c r="AD49" s="110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</row>
    <row r="50" spans="1:94" s="53" customFormat="1" ht="24.75" customHeight="1" x14ac:dyDescent="0.25">
      <c r="A50" s="257" t="s">
        <v>42</v>
      </c>
      <c r="B50" s="71"/>
      <c r="C50" s="456"/>
      <c r="D50" s="457"/>
      <c r="E50" s="72" t="s">
        <v>43</v>
      </c>
      <c r="F50" s="73" t="s">
        <v>24</v>
      </c>
      <c r="G50" s="72" t="str">
        <f>"FY "&amp;M4-2001&amp;" Salary"</f>
        <v>FY 23 Salary</v>
      </c>
      <c r="H50" s="72" t="str">
        <f>"FY "&amp;M4-2001&amp;" Health Ben"</f>
        <v>FY 23 Health Ben</v>
      </c>
      <c r="I50" s="72" t="str">
        <f>"FY "&amp;M4-2001&amp;" Var Ben"</f>
        <v>FY 23 Var Ben</v>
      </c>
      <c r="J50" s="72" t="str">
        <f>"FY "&amp;M4-1&amp;" Total"</f>
        <v>FY 2023 Total</v>
      </c>
      <c r="K50" s="307" t="str">
        <f>"FY "&amp;FiscalYear&amp;" SALARY CHG"</f>
        <v>FY 2024 SALARY CHG</v>
      </c>
      <c r="L50" s="74" t="str">
        <f>"FY "&amp;M4-2000&amp;" Chg Health Bens"</f>
        <v>FY 24 Chg Health Bens</v>
      </c>
      <c r="M50" s="74" t="str">
        <f>"FY "&amp;M4-2000&amp;" Chg Var Bens"</f>
        <v>FY 24 Chg Var Bens</v>
      </c>
      <c r="N50" s="74" t="s">
        <v>44</v>
      </c>
      <c r="O50"/>
      <c r="P50"/>
      <c r="Q50"/>
      <c r="R50"/>
      <c r="S50"/>
      <c r="T50"/>
      <c r="U50"/>
      <c r="V50"/>
      <c r="W50"/>
      <c r="X50"/>
      <c r="Y50"/>
      <c r="Z50" s="344"/>
      <c r="AA50" s="364"/>
      <c r="AB50" s="364"/>
      <c r="AC50" s="364"/>
      <c r="AD50" s="110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</row>
    <row r="51" spans="1:94" s="53" customFormat="1" ht="15.75" customHeight="1" x14ac:dyDescent="0.25">
      <c r="A51" s="75">
        <v>3</v>
      </c>
      <c r="B51" s="76" t="s">
        <v>45</v>
      </c>
      <c r="C51" s="54" t="str">
        <f>"FY "&amp;M4-1</f>
        <v>FY 2023</v>
      </c>
      <c r="D51" s="77" t="s">
        <v>31</v>
      </c>
      <c r="E51" s="78">
        <f>OrigApprop</f>
        <v>1696500</v>
      </c>
      <c r="F51" s="272">
        <f>AppropFTP</f>
        <v>17.7</v>
      </c>
      <c r="G51" s="274">
        <f>IF(E51=0,0,(G41/$J$41)*$E$51)</f>
        <v>1221888.0816155358</v>
      </c>
      <c r="H51" s="274">
        <f>IF(E51=0,0,(H41/$J$41)*$E$51)</f>
        <v>224234.831580625</v>
      </c>
      <c r="I51" s="275">
        <f>IF(E51=0,0,(I41/$J$41)*$E$51)</f>
        <v>250377.08680383937</v>
      </c>
      <c r="J51" s="90">
        <f>SUM(G51:I51)</f>
        <v>1696500</v>
      </c>
      <c r="K51" s="263"/>
      <c r="L51" s="61"/>
      <c r="M51" s="81"/>
      <c r="N51" s="81"/>
      <c r="O51"/>
      <c r="P51"/>
      <c r="Q51"/>
      <c r="R51"/>
      <c r="S51"/>
      <c r="T51"/>
      <c r="U51"/>
      <c r="V51"/>
      <c r="W51"/>
      <c r="X51"/>
      <c r="Y51"/>
      <c r="Z51" s="344"/>
      <c r="AA51" s="346"/>
      <c r="AB51" s="364"/>
      <c r="AC51" s="364"/>
      <c r="AD51" s="110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</row>
    <row r="52" spans="1:94" s="53" customFormat="1" ht="15.75" customHeight="1" x14ac:dyDescent="0.25">
      <c r="A52" s="82"/>
      <c r="B52" s="83"/>
      <c r="C52" s="84"/>
      <c r="D52" s="132" t="s">
        <v>46</v>
      </c>
      <c r="E52" s="133"/>
      <c r="F52" s="55">
        <f>F51</f>
        <v>17.7</v>
      </c>
      <c r="G52" s="79">
        <f>ROUND(G51,-2)</f>
        <v>1221900</v>
      </c>
      <c r="H52" s="79">
        <f>ROUND(H51,-2)</f>
        <v>224200</v>
      </c>
      <c r="I52" s="266">
        <f>ROUND(I51,-2)</f>
        <v>250400</v>
      </c>
      <c r="J52" s="80">
        <f>ROUND(J51,-2)</f>
        <v>1696500</v>
      </c>
      <c r="K52" s="263"/>
      <c r="L52" s="61"/>
      <c r="M52" s="81"/>
      <c r="N52" s="81"/>
      <c r="O52"/>
      <c r="P52"/>
      <c r="Q52"/>
      <c r="R52"/>
      <c r="S52"/>
      <c r="T52"/>
      <c r="U52"/>
      <c r="V52"/>
      <c r="W52"/>
      <c r="X52"/>
      <c r="Y52"/>
      <c r="Z52" s="344"/>
      <c r="AA52" s="347"/>
      <c r="AB52" s="364"/>
      <c r="AC52" s="364"/>
      <c r="AD52" s="110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</row>
    <row r="53" spans="1:94" s="53" customFormat="1" ht="15" x14ac:dyDescent="0.25">
      <c r="A53" s="85"/>
      <c r="B53" s="83"/>
      <c r="C53" s="458" t="s">
        <v>47</v>
      </c>
      <c r="D53" s="459"/>
      <c r="E53" s="271"/>
      <c r="F53" s="273"/>
      <c r="G53" s="62"/>
      <c r="H53" s="62"/>
      <c r="I53" s="62"/>
      <c r="J53" s="62"/>
      <c r="K53" s="62"/>
      <c r="L53" s="61"/>
      <c r="M53" s="86"/>
      <c r="N53" s="86"/>
      <c r="O53"/>
      <c r="P53"/>
      <c r="Q53"/>
      <c r="R53"/>
      <c r="S53"/>
      <c r="T53"/>
      <c r="U53"/>
      <c r="V53"/>
      <c r="W53"/>
      <c r="X53"/>
      <c r="Y53"/>
      <c r="Z53" s="344"/>
      <c r="AA53" s="364"/>
      <c r="AB53" s="364"/>
      <c r="AC53" s="364"/>
      <c r="AD53" s="110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</row>
    <row r="54" spans="1:94" s="53" customFormat="1" ht="15.75" customHeight="1" x14ac:dyDescent="0.25">
      <c r="A54" s="85">
        <v>4.1100000000000003</v>
      </c>
      <c r="B54" s="83"/>
      <c r="C54" s="423" t="s">
        <v>48</v>
      </c>
      <c r="D54" s="424"/>
      <c r="E54" s="59"/>
      <c r="F54" s="58">
        <v>0</v>
      </c>
      <c r="G54" s="88">
        <v>0</v>
      </c>
      <c r="H54" s="88">
        <v>0</v>
      </c>
      <c r="I54" s="265">
        <v>0</v>
      </c>
      <c r="J54" s="89">
        <f>SUM(G54:I54)</f>
        <v>0</v>
      </c>
      <c r="K54" s="62"/>
      <c r="L54" s="61"/>
      <c r="M54" s="86"/>
      <c r="N54" s="86"/>
      <c r="O54"/>
      <c r="P54"/>
      <c r="Q54"/>
      <c r="R54"/>
      <c r="S54"/>
      <c r="T54"/>
      <c r="U54"/>
      <c r="V54"/>
      <c r="W54"/>
      <c r="X54"/>
      <c r="Y54"/>
      <c r="Z54" s="344"/>
      <c r="AA54" s="364"/>
      <c r="AB54" s="364"/>
      <c r="AC54" s="364"/>
      <c r="AD54" s="110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</row>
    <row r="55" spans="1:94" s="53" customFormat="1" ht="15.75" customHeight="1" x14ac:dyDescent="0.25">
      <c r="A55" s="85">
        <v>4.3099999999999996</v>
      </c>
      <c r="B55" s="83"/>
      <c r="C55" s="430" t="s">
        <v>49</v>
      </c>
      <c r="D55" s="431"/>
      <c r="E55" s="59"/>
      <c r="F55" s="277">
        <v>0</v>
      </c>
      <c r="G55" s="92">
        <v>0</v>
      </c>
      <c r="H55" s="92">
        <v>0</v>
      </c>
      <c r="I55" s="264">
        <v>0</v>
      </c>
      <c r="J55" s="287">
        <f>SUM(G55:I55)</f>
        <v>0</v>
      </c>
      <c r="K55" s="62"/>
      <c r="L55" s="88"/>
      <c r="M55" s="261"/>
      <c r="N55" s="89">
        <f>SUM(L55:M55)</f>
        <v>0</v>
      </c>
      <c r="O55"/>
      <c r="P55"/>
      <c r="Q55"/>
      <c r="R55"/>
      <c r="S55"/>
      <c r="T55"/>
      <c r="U55"/>
      <c r="V55"/>
      <c r="W55"/>
      <c r="X55"/>
      <c r="Y55"/>
      <c r="Z55" s="344"/>
      <c r="AA55" s="364"/>
      <c r="AB55" s="364"/>
      <c r="AC55" s="364"/>
      <c r="AD55" s="110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</row>
    <row r="56" spans="1:94" s="53" customFormat="1" ht="15.75" customHeight="1" x14ac:dyDescent="0.25">
      <c r="A56" s="75">
        <v>5</v>
      </c>
      <c r="B56" s="76"/>
      <c r="C56" s="54" t="str">
        <f>"FY "&amp;M4-1</f>
        <v>FY 2023</v>
      </c>
      <c r="D56" s="131" t="s">
        <v>50</v>
      </c>
      <c r="E56" s="135"/>
      <c r="F56" s="55">
        <f>SUM(F52:F55)</f>
        <v>17.7</v>
      </c>
      <c r="G56" s="80">
        <f>SUM(G52:G55)</f>
        <v>1221900</v>
      </c>
      <c r="H56" s="80">
        <f>SUM(H52:H55)</f>
        <v>224200</v>
      </c>
      <c r="I56" s="260">
        <f>SUM(I52:I55)</f>
        <v>250400</v>
      </c>
      <c r="J56" s="80">
        <f>SUM(J52:J55)</f>
        <v>1696500</v>
      </c>
      <c r="K56" s="263"/>
      <c r="L56" s="61"/>
      <c r="M56" s="61"/>
      <c r="N56" s="61"/>
      <c r="O56"/>
      <c r="P56"/>
      <c r="Q56"/>
      <c r="R56"/>
      <c r="S56"/>
      <c r="T56"/>
      <c r="U56"/>
      <c r="V56"/>
      <c r="W56"/>
      <c r="X56"/>
      <c r="Y56"/>
      <c r="Z56" s="344"/>
      <c r="AA56" s="364"/>
      <c r="AB56" s="364"/>
      <c r="AC56" s="364"/>
      <c r="AD56" s="110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</row>
    <row r="57" spans="1:94" s="53" customFormat="1" ht="15.75" customHeight="1" x14ac:dyDescent="0.25">
      <c r="A57" s="85"/>
      <c r="B57" s="83"/>
      <c r="C57" s="428" t="s">
        <v>51</v>
      </c>
      <c r="D57" s="432"/>
      <c r="E57" s="368"/>
      <c r="F57" s="273"/>
      <c r="G57" s="62"/>
      <c r="H57" s="62"/>
      <c r="I57" s="62"/>
      <c r="J57" s="62"/>
      <c r="K57" s="62"/>
      <c r="L57" s="61"/>
      <c r="M57" s="61"/>
      <c r="N57" s="61"/>
      <c r="O57"/>
      <c r="P57"/>
      <c r="Q57"/>
      <c r="R57"/>
      <c r="S57"/>
      <c r="T57"/>
      <c r="U57"/>
      <c r="V57"/>
      <c r="W57"/>
      <c r="X57"/>
      <c r="Y57"/>
      <c r="Z57" s="344"/>
      <c r="AA57" s="364"/>
      <c r="AB57" s="364"/>
      <c r="AC57" s="364"/>
      <c r="AD57" s="110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</row>
    <row r="58" spans="1:94" s="53" customFormat="1" ht="15.75" customHeight="1" x14ac:dyDescent="0.25">
      <c r="A58" s="85">
        <v>6.31</v>
      </c>
      <c r="B58" s="83"/>
      <c r="C58" s="433" t="s">
        <v>116</v>
      </c>
      <c r="D58" s="434"/>
      <c r="E58" s="102"/>
      <c r="F58" s="58">
        <v>0</v>
      </c>
      <c r="G58" s="88">
        <v>0</v>
      </c>
      <c r="H58" s="88">
        <v>0</v>
      </c>
      <c r="I58" s="265"/>
      <c r="J58" s="89">
        <f>SUM(G58:I58)</f>
        <v>0</v>
      </c>
      <c r="K58" s="62"/>
      <c r="L58" s="88"/>
      <c r="M58" s="262"/>
      <c r="N58" s="89">
        <f>SUM(L58:M58)</f>
        <v>0</v>
      </c>
      <c r="O58"/>
      <c r="P58"/>
      <c r="Q58"/>
      <c r="R58"/>
      <c r="S58"/>
      <c r="T58"/>
      <c r="U58"/>
      <c r="V58"/>
      <c r="W58"/>
      <c r="X58"/>
      <c r="Y58"/>
      <c r="Z58" s="344"/>
      <c r="AA58" s="364"/>
      <c r="AB58" s="364"/>
      <c r="AC58" s="364"/>
      <c r="AD58" s="110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</row>
    <row r="59" spans="1:94" s="53" customFormat="1" ht="15.75" customHeight="1" x14ac:dyDescent="0.25">
      <c r="A59" s="85">
        <v>6.41</v>
      </c>
      <c r="B59" s="83"/>
      <c r="C59" s="433" t="s">
        <v>52</v>
      </c>
      <c r="D59" s="434"/>
      <c r="E59" s="102"/>
      <c r="F59" s="58">
        <v>0</v>
      </c>
      <c r="G59" s="88">
        <v>0</v>
      </c>
      <c r="H59" s="92">
        <v>0</v>
      </c>
      <c r="I59" s="264">
        <v>0</v>
      </c>
      <c r="J59" s="267">
        <f>SUM(G59:I59)</f>
        <v>0</v>
      </c>
      <c r="K59" s="62"/>
      <c r="L59" s="88"/>
      <c r="M59" s="261"/>
      <c r="N59" s="89">
        <f>SUM(L59:M59)</f>
        <v>0</v>
      </c>
      <c r="O59"/>
      <c r="P59"/>
      <c r="Q59"/>
      <c r="R59"/>
      <c r="S59"/>
      <c r="T59"/>
      <c r="U59"/>
      <c r="V59"/>
      <c r="W59"/>
      <c r="X59"/>
      <c r="Y59"/>
      <c r="Z59" s="344"/>
      <c r="AA59" s="364"/>
      <c r="AB59" s="364"/>
      <c r="AC59" s="364"/>
      <c r="AD59" s="110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</row>
    <row r="60" spans="1:94" s="53" customFormat="1" ht="15.75" customHeight="1" x14ac:dyDescent="0.25">
      <c r="A60" s="75">
        <v>7</v>
      </c>
      <c r="B60" s="76"/>
      <c r="C60" s="54" t="str">
        <f>"FY "&amp;M4-1</f>
        <v>FY 2023</v>
      </c>
      <c r="D60" s="131" t="s">
        <v>53</v>
      </c>
      <c r="E60" s="135"/>
      <c r="F60" s="55">
        <f>SUM(F56:F59)</f>
        <v>17.7</v>
      </c>
      <c r="G60" s="80">
        <f>SUM(G56:G59)</f>
        <v>1221900</v>
      </c>
      <c r="H60" s="80">
        <f>SUM(H56:H59)</f>
        <v>224200</v>
      </c>
      <c r="I60" s="260">
        <f>SUM(I56:I59)</f>
        <v>250400</v>
      </c>
      <c r="J60" s="80">
        <f>SUM(J56:J59)</f>
        <v>1696500</v>
      </c>
      <c r="K60" s="263"/>
      <c r="L60" s="61"/>
      <c r="M60" s="61"/>
      <c r="N60" s="60"/>
      <c r="O60"/>
      <c r="P60"/>
      <c r="Q60"/>
      <c r="R60"/>
      <c r="S60"/>
      <c r="T60"/>
      <c r="U60"/>
      <c r="V60"/>
      <c r="W60"/>
      <c r="X60"/>
      <c r="Y60"/>
      <c r="Z60" s="344"/>
      <c r="AA60" s="364"/>
      <c r="AB60" s="364"/>
      <c r="AC60" s="364"/>
      <c r="AD60" s="110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</row>
    <row r="61" spans="1:94" s="53" customFormat="1" ht="15.75" customHeight="1" x14ac:dyDescent="0.25">
      <c r="A61" s="85"/>
      <c r="B61" s="83"/>
      <c r="C61" s="428" t="s">
        <v>54</v>
      </c>
      <c r="D61" s="432"/>
      <c r="E61" s="368"/>
      <c r="F61" s="273"/>
      <c r="G61" s="62"/>
      <c r="H61" s="62"/>
      <c r="I61" s="62"/>
      <c r="J61" s="62"/>
      <c r="K61" s="62"/>
      <c r="L61" s="61"/>
      <c r="M61" s="61"/>
      <c r="N61" s="60"/>
      <c r="O61"/>
      <c r="P61"/>
      <c r="Q61"/>
      <c r="R61"/>
      <c r="S61"/>
      <c r="T61"/>
      <c r="U61"/>
      <c r="V61"/>
      <c r="W61"/>
      <c r="X61"/>
      <c r="Y61"/>
      <c r="Z61" s="344"/>
      <c r="AA61" s="364"/>
      <c r="AB61" s="364"/>
      <c r="AC61" s="364"/>
      <c r="AD61" s="110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</row>
    <row r="62" spans="1:94" s="53" customFormat="1" ht="15.75" customHeight="1" x14ac:dyDescent="0.25">
      <c r="A62" s="85">
        <v>8.31</v>
      </c>
      <c r="B62" s="83"/>
      <c r="C62" s="423" t="s">
        <v>65</v>
      </c>
      <c r="D62" s="424"/>
      <c r="E62" s="102"/>
      <c r="F62" s="58">
        <v>0</v>
      </c>
      <c r="G62" s="88">
        <v>0</v>
      </c>
      <c r="H62" s="91">
        <v>0</v>
      </c>
      <c r="I62" s="276">
        <v>0</v>
      </c>
      <c r="J62" s="89">
        <f>SUM(G62:I62)</f>
        <v>0</v>
      </c>
      <c r="K62" s="62"/>
      <c r="L62" s="88"/>
      <c r="M62" s="261"/>
      <c r="N62" s="89">
        <f>SUM(L62:M62)</f>
        <v>0</v>
      </c>
      <c r="O62"/>
      <c r="P62"/>
      <c r="Q62"/>
      <c r="R62"/>
      <c r="S62"/>
      <c r="T62"/>
      <c r="U62"/>
      <c r="V62"/>
      <c r="W62"/>
      <c r="X62"/>
      <c r="Y62"/>
      <c r="Z62" s="344"/>
      <c r="AA62" s="364"/>
      <c r="AB62" s="364"/>
      <c r="AC62" s="364"/>
      <c r="AD62" s="110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</row>
    <row r="63" spans="1:94" s="53" customFormat="1" ht="15.75" customHeight="1" x14ac:dyDescent="0.25">
      <c r="A63" s="85">
        <v>8.41</v>
      </c>
      <c r="B63" s="83"/>
      <c r="C63" s="423" t="s">
        <v>55</v>
      </c>
      <c r="D63" s="424"/>
      <c r="E63" s="102"/>
      <c r="F63" s="58">
        <v>0</v>
      </c>
      <c r="G63" s="89">
        <f>ROUND((OneTimePC_Total-H63)/(1+(PermVB+Retire1)),-2)</f>
        <v>0</v>
      </c>
      <c r="H63" s="89">
        <f>ROUND(IF(AND(F63&lt;0,OneTimePC_Total&lt;0),F63*Health,0),-2)</f>
        <v>0</v>
      </c>
      <c r="I63" s="310">
        <f>OneTimePC_Total-G63-H63</f>
        <v>0</v>
      </c>
      <c r="J63" s="89">
        <v>0</v>
      </c>
      <c r="K63" s="308"/>
      <c r="L63" s="88"/>
      <c r="M63" s="261"/>
      <c r="N63" s="89">
        <f>SUM(L63:M63)</f>
        <v>0</v>
      </c>
      <c r="O63"/>
      <c r="P63"/>
      <c r="Q63"/>
      <c r="R63"/>
      <c r="S63"/>
      <c r="T63"/>
      <c r="U63"/>
      <c r="V63"/>
      <c r="W63"/>
      <c r="X63"/>
      <c r="Y63"/>
      <c r="Z63" s="344"/>
      <c r="AA63" s="364"/>
      <c r="AB63" s="364"/>
      <c r="AC63" s="364"/>
      <c r="AD63" s="110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</row>
    <row r="64" spans="1:94" s="53" customFormat="1" ht="15.75" customHeight="1" thickBot="1" x14ac:dyDescent="0.3">
      <c r="A64" s="93">
        <v>8.51</v>
      </c>
      <c r="B64" s="93"/>
      <c r="C64" s="435" t="s">
        <v>56</v>
      </c>
      <c r="D64" s="436"/>
      <c r="E64" s="134"/>
      <c r="F64" s="58">
        <v>0</v>
      </c>
      <c r="G64" s="88">
        <v>0</v>
      </c>
      <c r="H64" s="88">
        <v>0</v>
      </c>
      <c r="I64" s="265">
        <v>0</v>
      </c>
      <c r="J64" s="89">
        <f>SUM(G64:I64)</f>
        <v>0</v>
      </c>
      <c r="K64" s="62"/>
      <c r="L64" s="88"/>
      <c r="M64" s="261"/>
      <c r="N64" s="89">
        <f>SUM(L64:M64)</f>
        <v>0</v>
      </c>
      <c r="O64"/>
      <c r="P64"/>
      <c r="Q64"/>
      <c r="R64"/>
      <c r="S64"/>
      <c r="T64"/>
      <c r="U64"/>
      <c r="V64"/>
      <c r="W64"/>
      <c r="X64"/>
      <c r="Y64"/>
      <c r="Z64" s="344"/>
      <c r="AA64" s="364"/>
      <c r="AB64" s="364"/>
      <c r="AC64" s="364"/>
      <c r="AD64" s="110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</row>
    <row r="65" spans="1:94" s="53" customFormat="1" ht="6" customHeight="1" thickTop="1" x14ac:dyDescent="0.25">
      <c r="A65" s="94"/>
      <c r="B65" s="95"/>
      <c r="C65" s="437"/>
      <c r="D65" s="438"/>
      <c r="E65" s="96"/>
      <c r="F65" s="97"/>
      <c r="G65" s="98"/>
      <c r="H65" s="98"/>
      <c r="I65" s="98"/>
      <c r="J65" s="98"/>
      <c r="K65" s="98"/>
      <c r="L65" s="98"/>
      <c r="M65" s="99"/>
      <c r="N65" s="95"/>
      <c r="O65"/>
      <c r="P65"/>
      <c r="Q65"/>
      <c r="R65"/>
      <c r="S65"/>
      <c r="T65"/>
      <c r="U65"/>
      <c r="V65"/>
      <c r="W65"/>
      <c r="X65"/>
      <c r="Y65"/>
      <c r="Z65" s="344"/>
      <c r="AA65" s="364"/>
      <c r="AB65" s="364"/>
      <c r="AC65" s="364"/>
      <c r="AD65" s="110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</row>
    <row r="66" spans="1:94" s="107" customFormat="1" ht="15" x14ac:dyDescent="0.25">
      <c r="A66" s="100"/>
      <c r="B66" s="101"/>
      <c r="C66" s="439"/>
      <c r="D66" s="440"/>
      <c r="E66" s="102"/>
      <c r="F66" s="103" t="s">
        <v>24</v>
      </c>
      <c r="G66" s="104" t="str">
        <f>"FY "&amp;M4-2000&amp;" Salary"</f>
        <v>FY 24 Salary</v>
      </c>
      <c r="H66" s="104" t="str">
        <f>"FY"&amp;M4-2000&amp;" Health Ben"</f>
        <v>FY24 Health Ben</v>
      </c>
      <c r="I66" s="104" t="str">
        <f>"FY "&amp;M4-2000&amp;" Var Ben"</f>
        <v>FY 24 Var Ben</v>
      </c>
      <c r="J66" s="104" t="str">
        <f>"FY "&amp;M4&amp;" Total"</f>
        <v>FY 2024 Total</v>
      </c>
      <c r="K66" s="104"/>
      <c r="L66" s="105"/>
      <c r="M66" s="105"/>
      <c r="N66" s="101"/>
      <c r="O66"/>
      <c r="P66"/>
      <c r="Q66"/>
      <c r="R66"/>
      <c r="S66"/>
      <c r="T66"/>
      <c r="U66"/>
      <c r="V66"/>
      <c r="W66"/>
      <c r="X66"/>
      <c r="Y66"/>
      <c r="Z66" s="344"/>
      <c r="AA66" s="339"/>
      <c r="AB66" s="339"/>
      <c r="AC66" s="339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</row>
    <row r="67" spans="1:94" s="53" customFormat="1" ht="15" x14ac:dyDescent="0.25">
      <c r="A67" s="82">
        <v>9</v>
      </c>
      <c r="B67" s="83"/>
      <c r="C67" s="84" t="str">
        <f>"FY "&amp;M4</f>
        <v>FY 2024</v>
      </c>
      <c r="D67" s="108" t="s">
        <v>57</v>
      </c>
      <c r="E67" s="109"/>
      <c r="F67" s="55">
        <f>SUM(F60:F64)</f>
        <v>17.7</v>
      </c>
      <c r="G67" s="80">
        <f>SUM(G60:G64)</f>
        <v>1221900</v>
      </c>
      <c r="H67" s="80">
        <f>SUM(H60:H64)</f>
        <v>224200</v>
      </c>
      <c r="I67" s="80">
        <f>SUM(I60:I64)</f>
        <v>250400</v>
      </c>
      <c r="J67" s="80">
        <f>SUM(J60:J64)</f>
        <v>1696500</v>
      </c>
      <c r="K67" s="263"/>
      <c r="L67" s="110"/>
      <c r="M67" s="110"/>
      <c r="N67" s="111"/>
      <c r="O67"/>
      <c r="P67"/>
      <c r="Q67"/>
      <c r="R67"/>
      <c r="S67"/>
      <c r="T67"/>
      <c r="U67"/>
      <c r="V67"/>
      <c r="W67"/>
      <c r="X67"/>
      <c r="Y67"/>
      <c r="Z67" s="344"/>
      <c r="AA67" s="364"/>
      <c r="AB67" s="364"/>
      <c r="AC67" s="364"/>
      <c r="AD67" s="110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</row>
    <row r="68" spans="1:94" s="53" customFormat="1" ht="15.75" customHeight="1" x14ac:dyDescent="0.25">
      <c r="A68" s="85">
        <v>10.11</v>
      </c>
      <c r="B68" s="83"/>
      <c r="C68" s="428" t="s">
        <v>58</v>
      </c>
      <c r="D68" s="429"/>
      <c r="E68" s="112"/>
      <c r="F68" s="288"/>
      <c r="G68" s="287"/>
      <c r="H68" s="113">
        <f>IF(DUNine=0,0,ROUND(SUM(L41:L65),-2))</f>
        <v>20800</v>
      </c>
      <c r="I68" s="113"/>
      <c r="J68" s="287">
        <f>SUM(G68:I68)</f>
        <v>20800</v>
      </c>
      <c r="K68" s="291"/>
      <c r="L68" s="292"/>
      <c r="M68" s="292"/>
      <c r="N68" s="293"/>
      <c r="O68"/>
      <c r="P68"/>
      <c r="Q68"/>
      <c r="R68"/>
      <c r="S68"/>
      <c r="T68"/>
      <c r="U68"/>
      <c r="V68"/>
      <c r="W68"/>
      <c r="X68"/>
      <c r="Y68"/>
      <c r="Z68" s="344"/>
      <c r="AA68" s="364"/>
      <c r="AB68" s="364"/>
      <c r="AC68" s="364"/>
      <c r="AD68" s="110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</row>
    <row r="69" spans="1:94" s="53" customFormat="1" ht="15" x14ac:dyDescent="0.25">
      <c r="A69" s="85">
        <v>10.119999999999999</v>
      </c>
      <c r="B69" s="83"/>
      <c r="C69" s="428" t="s">
        <v>59</v>
      </c>
      <c r="D69" s="429"/>
      <c r="E69" s="112"/>
      <c r="F69" s="288"/>
      <c r="G69" s="113"/>
      <c r="H69" s="113"/>
      <c r="I69" s="113">
        <f>IF(DUNine=0,0,ROUND(SUM(M41:M64),-2))</f>
        <v>-8500</v>
      </c>
      <c r="J69" s="287">
        <f>SUM(G69:I69)</f>
        <v>-8500</v>
      </c>
      <c r="K69" s="291"/>
      <c r="L69" s="292"/>
      <c r="M69" s="292"/>
      <c r="N69" s="293"/>
      <c r="O69"/>
      <c r="P69"/>
      <c r="Q69"/>
      <c r="R69"/>
      <c r="S69"/>
      <c r="T69"/>
      <c r="U69"/>
      <c r="V69"/>
      <c r="W69"/>
      <c r="X69"/>
      <c r="Y69"/>
      <c r="Z69" s="344"/>
      <c r="AA69" s="364"/>
      <c r="AB69" s="364"/>
      <c r="AC69" s="364"/>
      <c r="AD69" s="110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</row>
    <row r="70" spans="1:94" s="53" customFormat="1" ht="15" x14ac:dyDescent="0.25">
      <c r="A70" s="85"/>
      <c r="B70" s="83"/>
      <c r="C70" s="421"/>
      <c r="D70" s="422"/>
      <c r="E70" s="236" t="s">
        <v>23</v>
      </c>
      <c r="F70" s="288"/>
      <c r="G70" s="113"/>
      <c r="H70" s="113"/>
      <c r="I70" s="113"/>
      <c r="J70" s="287">
        <f>SUM(G70:I70)</f>
        <v>0</v>
      </c>
      <c r="K70" s="291"/>
      <c r="L70" s="292"/>
      <c r="M70" s="294"/>
      <c r="N70" s="295"/>
      <c r="O70"/>
      <c r="P70"/>
      <c r="Q70"/>
      <c r="R70"/>
      <c r="S70"/>
      <c r="T70"/>
      <c r="U70"/>
      <c r="V70"/>
      <c r="W70"/>
      <c r="X70"/>
      <c r="Y70"/>
      <c r="Z70" s="344"/>
      <c r="AA70" s="364"/>
      <c r="AB70" s="364"/>
      <c r="AC70" s="364"/>
      <c r="AD70" s="110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</row>
    <row r="71" spans="1:94" s="53" customFormat="1" ht="15.75" customHeight="1" x14ac:dyDescent="0.25">
      <c r="A71" s="85">
        <v>10.51</v>
      </c>
      <c r="B71" s="83"/>
      <c r="C71" s="423" t="s">
        <v>60</v>
      </c>
      <c r="D71" s="424"/>
      <c r="E71" s="237"/>
      <c r="F71" s="288"/>
      <c r="G71" s="92">
        <v>0</v>
      </c>
      <c r="H71" s="92">
        <v>0</v>
      </c>
      <c r="I71" s="287">
        <f>ROUND(IF(AND($G71&lt;&gt;0,$E71=1),$G71*PermVBBY+$G71*Retire1BY,IF(AND($G71&lt;&gt;0,$E71=2),$G71*GroupVBBY,IF(AND($G71&lt;&gt;0,$E71=3),$G71*ElectVBBY+$G71*Retire1BY,0))),-2)</f>
        <v>0</v>
      </c>
      <c r="J71" s="113">
        <f t="shared" ref="J71:J74" si="11">SUM(G71:I71)</f>
        <v>0</v>
      </c>
      <c r="K71" s="296"/>
      <c r="L71" s="297"/>
      <c r="M71" s="348" t="s">
        <v>110</v>
      </c>
      <c r="N71" s="356"/>
      <c r="O71" s="357"/>
      <c r="P71" s="357"/>
      <c r="Q71"/>
      <c r="R71"/>
      <c r="S71"/>
      <c r="T71"/>
      <c r="U71"/>
      <c r="V71"/>
      <c r="W71"/>
      <c r="X71"/>
      <c r="Y71"/>
      <c r="Z71" s="344"/>
      <c r="AA71" s="364"/>
      <c r="AB71" s="364"/>
      <c r="AC71" s="364"/>
      <c r="AD71" s="110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</row>
    <row r="72" spans="1:94" s="53" customFormat="1" ht="15.75" customHeight="1" x14ac:dyDescent="0.25">
      <c r="A72" s="85">
        <v>10.61</v>
      </c>
      <c r="B72" s="83"/>
      <c r="C72" s="423" t="s">
        <v>99</v>
      </c>
      <c r="D72" s="425"/>
      <c r="E72" s="290">
        <f>CECPerm</f>
        <v>0.01</v>
      </c>
      <c r="F72" s="288"/>
      <c r="G72" s="355">
        <f>IF(DUNine=0,0,IF(DUNine&lt;0,0,ROUND(AdjPermSalary*CECPerm,-2)))</f>
        <v>11300</v>
      </c>
      <c r="H72" s="287"/>
      <c r="I72" s="287">
        <f>ROUND(($G72*PermVBBY+$G72*Retire1BY),-2)</f>
        <v>2200</v>
      </c>
      <c r="J72" s="113">
        <f>SUM(G72:I72)</f>
        <v>13500</v>
      </c>
      <c r="K72" s="296"/>
      <c r="L72" s="298"/>
      <c r="M72" s="349" t="e">
        <f>IF(DUNine=0,0,IF(((#REF!-G39-G40)*E72)&lt;0,0,ROUND(((#REF!-G39-G40)*E72),-2)))</f>
        <v>#REF!</v>
      </c>
      <c r="N72" s="358"/>
      <c r="O72" s="357" t="e">
        <f>IF(DUNine=0,0,IF(DUNine&lt;0,0,IF(SubCECBase&lt;RoundedAppropSalary,ROUND(AdjPermSalary*CECpermCalc,-2)+((SubCECBase-RoundedAppropSalary)*CECpermCalc),IF(SubCECBase&gt;RoundedAppropSalary,ROUND(AdjPermSalary*CECpermCalc,-2)+((SubCECBase-RoundedAppropSalary)*CECpermCalc),ROUND(AdjPermSalary*CECpermCalc,-2)))))</f>
        <v>#REF!</v>
      </c>
      <c r="P72" s="357"/>
      <c r="Q72"/>
      <c r="R72"/>
      <c r="S72"/>
      <c r="T72"/>
      <c r="U72"/>
      <c r="V72"/>
      <c r="W72"/>
      <c r="X72"/>
      <c r="Y72"/>
      <c r="Z72" s="344"/>
      <c r="AA72" s="364"/>
      <c r="AB72" s="364"/>
      <c r="AC72" s="364"/>
      <c r="AD72" s="110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</row>
    <row r="73" spans="1:94" s="53" customFormat="1" ht="15.6" customHeight="1" x14ac:dyDescent="0.25">
      <c r="A73" s="85">
        <v>10.62</v>
      </c>
      <c r="B73" s="83"/>
      <c r="C73" s="423" t="s">
        <v>117</v>
      </c>
      <c r="D73" s="425"/>
      <c r="E73" s="289">
        <f>CECGroup</f>
        <v>0.01</v>
      </c>
      <c r="F73" s="288"/>
      <c r="G73" s="355">
        <f>IF(DUNine=0,0,IF(DUNine&lt;0,0,ROUND(AdjGroupSalary*CECGroup,-2)))</f>
        <v>0</v>
      </c>
      <c r="H73" s="287"/>
      <c r="I73" s="287">
        <f>ROUND(($G73*GroupVBBY),-2)</f>
        <v>0</v>
      </c>
      <c r="J73" s="113">
        <f t="shared" si="11"/>
        <v>0</v>
      </c>
      <c r="K73" s="301"/>
      <c r="L73" s="302"/>
      <c r="M73" s="359"/>
      <c r="N73" s="360"/>
      <c r="O73" s="357"/>
      <c r="P73" s="357"/>
      <c r="Q73"/>
      <c r="R73"/>
      <c r="S73"/>
      <c r="T73"/>
      <c r="U73"/>
      <c r="V73"/>
      <c r="W73"/>
      <c r="X73"/>
      <c r="Y73"/>
      <c r="Z73" s="344"/>
      <c r="AA73" s="364"/>
      <c r="AB73" s="364"/>
      <c r="AC73" s="364"/>
      <c r="AD73" s="110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</row>
    <row r="74" spans="1:94" s="53" customFormat="1" ht="15.6" customHeight="1" x14ac:dyDescent="0.25">
      <c r="A74" s="85">
        <v>10.63</v>
      </c>
      <c r="B74" s="83"/>
      <c r="C74" s="367" t="s">
        <v>61</v>
      </c>
      <c r="D74" s="369"/>
      <c r="E74" s="112"/>
      <c r="F74" s="288"/>
      <c r="G74" s="92">
        <v>0</v>
      </c>
      <c r="H74" s="287"/>
      <c r="I74" s="287">
        <f>ROUND(($G74*ElectVBBY+$G74*Retire1BY),-2)</f>
        <v>0</v>
      </c>
      <c r="J74" s="113">
        <f t="shared" si="11"/>
        <v>0</v>
      </c>
      <c r="K74" s="301"/>
      <c r="L74" s="302"/>
      <c r="M74" s="303"/>
      <c r="N74" s="304"/>
      <c r="O74"/>
      <c r="P74"/>
      <c r="Q74"/>
      <c r="R74"/>
      <c r="S74"/>
      <c r="T74"/>
      <c r="U74"/>
      <c r="V74"/>
      <c r="W74"/>
      <c r="X74"/>
      <c r="Y74"/>
      <c r="Z74" s="344"/>
      <c r="AA74" s="364"/>
      <c r="AB74" s="364"/>
      <c r="AC74" s="364"/>
      <c r="AD74" s="110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</row>
    <row r="75" spans="1:94" s="53" customFormat="1" ht="15.75" customHeight="1" x14ac:dyDescent="0.25">
      <c r="A75" s="75">
        <v>11</v>
      </c>
      <c r="B75" s="76"/>
      <c r="C75" s="54" t="str">
        <f>"FY "&amp;M4</f>
        <v>FY 2024</v>
      </c>
      <c r="D75" s="77" t="s">
        <v>62</v>
      </c>
      <c r="E75" s="112"/>
      <c r="F75" s="55">
        <f>SUM(F67:F74)</f>
        <v>17.7</v>
      </c>
      <c r="G75" s="80">
        <f>SUM(G67:G74)</f>
        <v>1233200</v>
      </c>
      <c r="H75" s="80">
        <f>SUM(H67:H74)</f>
        <v>245000</v>
      </c>
      <c r="I75" s="80">
        <f>SUM(I67:I74)</f>
        <v>244100</v>
      </c>
      <c r="J75" s="80">
        <f>SUM(J67:K74)</f>
        <v>1722300</v>
      </c>
      <c r="K75" s="296"/>
      <c r="L75" s="299"/>
      <c r="M75" s="299"/>
      <c r="N75" s="300"/>
      <c r="O75"/>
      <c r="P75"/>
      <c r="Q75"/>
      <c r="R75"/>
      <c r="S75"/>
      <c r="T75"/>
      <c r="U75"/>
      <c r="V75"/>
      <c r="W75"/>
      <c r="X75"/>
      <c r="Y75"/>
      <c r="Z75" s="344"/>
      <c r="AA75" s="364"/>
      <c r="AB75" s="364"/>
      <c r="AC75" s="364"/>
      <c r="AD75" s="110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</row>
    <row r="76" spans="1:94" s="53" customFormat="1" ht="28.5" customHeight="1" x14ac:dyDescent="0.25">
      <c r="A76" s="85"/>
      <c r="B76" s="83"/>
      <c r="C76" s="426" t="s">
        <v>63</v>
      </c>
      <c r="D76" s="427"/>
      <c r="E76" s="59"/>
      <c r="F76" s="59"/>
      <c r="G76" s="61"/>
      <c r="H76" s="61"/>
      <c r="I76" s="61"/>
      <c r="J76" s="61"/>
      <c r="K76" s="291"/>
      <c r="L76" s="292"/>
      <c r="M76" s="305"/>
      <c r="N76" s="293"/>
      <c r="O76"/>
      <c r="P76"/>
      <c r="Q76"/>
      <c r="R76"/>
      <c r="S76"/>
      <c r="T76"/>
      <c r="U76"/>
      <c r="V76"/>
      <c r="W76"/>
      <c r="X76"/>
      <c r="Y76"/>
      <c r="Z76" s="344"/>
      <c r="AA76" s="364"/>
      <c r="AB76" s="364"/>
      <c r="AC76" s="364"/>
      <c r="AD76" s="110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</row>
    <row r="77" spans="1:94" s="53" customFormat="1" ht="15" x14ac:dyDescent="0.25">
      <c r="A77" s="116">
        <v>12.01</v>
      </c>
      <c r="B77" s="57"/>
      <c r="C77" s="419"/>
      <c r="D77" s="420"/>
      <c r="E77" s="87"/>
      <c r="F77" s="58"/>
      <c r="G77" s="88"/>
      <c r="H77" s="88"/>
      <c r="I77" s="88"/>
      <c r="J77" s="80">
        <f>ROUND(SUM(G77:I77),-2)</f>
        <v>0</v>
      </c>
      <c r="K77" s="296"/>
      <c r="L77" s="292"/>
      <c r="M77" s="292"/>
      <c r="N77" s="293"/>
      <c r="O77"/>
      <c r="P77"/>
      <c r="Q77"/>
      <c r="R77"/>
      <c r="S77"/>
      <c r="T77"/>
      <c r="U77"/>
      <c r="V77"/>
      <c r="W77"/>
      <c r="X77"/>
      <c r="Y77"/>
      <c r="Z77" s="344"/>
      <c r="AA77" s="364"/>
      <c r="AB77" s="364"/>
      <c r="AC77" s="364"/>
      <c r="AD77" s="110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</row>
    <row r="78" spans="1:94" s="53" customFormat="1" ht="15" x14ac:dyDescent="0.25">
      <c r="A78" s="116">
        <v>12.02</v>
      </c>
      <c r="B78" s="57"/>
      <c r="C78" s="419"/>
      <c r="D78" s="420"/>
      <c r="E78" s="87"/>
      <c r="F78" s="58"/>
      <c r="G78" s="88"/>
      <c r="H78" s="88"/>
      <c r="I78" s="88"/>
      <c r="J78" s="80">
        <f>ROUND(SUM(G78:I78),-2)</f>
        <v>0</v>
      </c>
      <c r="K78" s="296"/>
      <c r="L78" s="292"/>
      <c r="M78" s="292"/>
      <c r="N78" s="293"/>
      <c r="O78"/>
      <c r="P78"/>
      <c r="Q78"/>
      <c r="R78"/>
      <c r="S78"/>
      <c r="T78"/>
      <c r="U78"/>
      <c r="V78"/>
      <c r="W78"/>
      <c r="X78"/>
      <c r="Y78"/>
      <c r="Z78" s="344"/>
      <c r="AA78" s="364"/>
      <c r="AB78" s="364"/>
      <c r="AC78" s="364"/>
      <c r="AD78" s="110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</row>
    <row r="79" spans="1:94" s="53" customFormat="1" ht="15" x14ac:dyDescent="0.25">
      <c r="A79" s="116">
        <v>12.03</v>
      </c>
      <c r="B79" s="57" t="s">
        <v>45</v>
      </c>
      <c r="C79" s="419"/>
      <c r="D79" s="420"/>
      <c r="E79" s="87"/>
      <c r="F79" s="58"/>
      <c r="G79" s="88"/>
      <c r="H79" s="88"/>
      <c r="I79" s="88"/>
      <c r="J79" s="80">
        <f>ROUND(SUM(G79:I79),-2)</f>
        <v>0</v>
      </c>
      <c r="K79" s="296"/>
      <c r="L79" s="292"/>
      <c r="M79" s="292"/>
      <c r="N79" s="293"/>
      <c r="O79"/>
      <c r="P79"/>
      <c r="Q79"/>
      <c r="R79"/>
      <c r="S79"/>
      <c r="T79"/>
      <c r="U79"/>
      <c r="V79"/>
      <c r="W79"/>
      <c r="X79"/>
      <c r="Y79"/>
      <c r="Z79" s="344"/>
      <c r="AA79" s="364"/>
      <c r="AB79" s="364"/>
      <c r="AC79" s="364"/>
      <c r="AD79" s="110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</row>
    <row r="80" spans="1:94" s="53" customFormat="1" ht="15.75" customHeight="1" x14ac:dyDescent="0.25">
      <c r="A80" s="117">
        <v>13</v>
      </c>
      <c r="B80" s="118"/>
      <c r="C80" s="119" t="str">
        <f>"FY "&amp;M4</f>
        <v>FY 2024</v>
      </c>
      <c r="D80" s="120" t="s">
        <v>64</v>
      </c>
      <c r="E80" s="121"/>
      <c r="F80" s="55">
        <f>SUM(F75:F79)</f>
        <v>17.7</v>
      </c>
      <c r="G80" s="80">
        <f>SUM(G75:G79)</f>
        <v>1233200</v>
      </c>
      <c r="H80" s="80">
        <f>SUM(H75:H79)</f>
        <v>245000</v>
      </c>
      <c r="I80" s="80">
        <f>SUM(I75:I79)</f>
        <v>244100</v>
      </c>
      <c r="J80" s="80">
        <f>SUM(J75:J79)</f>
        <v>1722300</v>
      </c>
      <c r="K80" s="270"/>
      <c r="L80" s="122"/>
      <c r="M80" s="122"/>
      <c r="N80" s="123"/>
      <c r="O80"/>
      <c r="P80"/>
      <c r="Q80"/>
      <c r="R80"/>
      <c r="S80"/>
      <c r="T80"/>
      <c r="U80"/>
      <c r="V80"/>
      <c r="W80"/>
      <c r="X80"/>
      <c r="Y80"/>
      <c r="Z80" s="344"/>
      <c r="AA80" s="364"/>
      <c r="AB80" s="364"/>
      <c r="AC80" s="364"/>
      <c r="AD80" s="110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</row>
  </sheetData>
  <mergeCells count="51">
    <mergeCell ref="C13:D13"/>
    <mergeCell ref="M1:N1"/>
    <mergeCell ref="M2:N2"/>
    <mergeCell ref="M3:N3"/>
    <mergeCell ref="M4:N4"/>
    <mergeCell ref="I5:L5"/>
    <mergeCell ref="C8:D8"/>
    <mergeCell ref="AA8:AC8"/>
    <mergeCell ref="C9:D9"/>
    <mergeCell ref="C10:D10"/>
    <mergeCell ref="C11:D11"/>
    <mergeCell ref="C12:D12"/>
    <mergeCell ref="K43:N43"/>
    <mergeCell ref="AA43:AC43"/>
    <mergeCell ref="K44:N44"/>
    <mergeCell ref="C16:D16"/>
    <mergeCell ref="C17:D17"/>
    <mergeCell ref="C18:D18"/>
    <mergeCell ref="C37:D37"/>
    <mergeCell ref="AA37:AC37"/>
    <mergeCell ref="C38:D38"/>
    <mergeCell ref="C54:D54"/>
    <mergeCell ref="C39:D39"/>
    <mergeCell ref="C41:D41"/>
    <mergeCell ref="C42:D42"/>
    <mergeCell ref="C43:D44"/>
    <mergeCell ref="K45:N45"/>
    <mergeCell ref="E46:J47"/>
    <mergeCell ref="K46:N47"/>
    <mergeCell ref="C50:D50"/>
    <mergeCell ref="C53:D53"/>
    <mergeCell ref="C69:D69"/>
    <mergeCell ref="C55:D55"/>
    <mergeCell ref="C57:D57"/>
    <mergeCell ref="C58:D58"/>
    <mergeCell ref="C59:D59"/>
    <mergeCell ref="C61:D61"/>
    <mergeCell ref="C62:D62"/>
    <mergeCell ref="C63:D63"/>
    <mergeCell ref="C64:D64"/>
    <mergeCell ref="C65:D65"/>
    <mergeCell ref="C66:D66"/>
    <mergeCell ref="C68:D68"/>
    <mergeCell ref="C78:D78"/>
    <mergeCell ref="C79:D79"/>
    <mergeCell ref="C70:D70"/>
    <mergeCell ref="C71:D71"/>
    <mergeCell ref="C72:D72"/>
    <mergeCell ref="C73:D73"/>
    <mergeCell ref="C76:D76"/>
    <mergeCell ref="C77:D77"/>
  </mergeCells>
  <conditionalFormatting sqref="K44">
    <cfRule type="expression" dxfId="28" priority="8">
      <formula>$J$44&lt;0</formula>
    </cfRule>
  </conditionalFormatting>
  <conditionalFormatting sqref="K43">
    <cfRule type="expression" dxfId="27" priority="7">
      <formula>$J$43&lt;0</formula>
    </cfRule>
  </conditionalFormatting>
  <conditionalFormatting sqref="L16">
    <cfRule type="expression" dxfId="26" priority="6">
      <formula>$J$16&lt;0</formula>
    </cfRule>
  </conditionalFormatting>
  <conditionalFormatting sqref="K45">
    <cfRule type="expression" dxfId="25" priority="5">
      <formula>$J$44&lt;0</formula>
    </cfRule>
  </conditionalFormatting>
  <conditionalFormatting sqref="K43:N45">
    <cfRule type="containsText" dxfId="24" priority="4" operator="containsText" text="underfunding">
      <formula>NOT(ISERROR(SEARCH("underfunding",K43)))</formula>
    </cfRule>
  </conditionalFormatting>
  <conditionalFormatting sqref="K44">
    <cfRule type="expression" dxfId="23" priority="3">
      <formula>$J$44&lt;0</formula>
    </cfRule>
  </conditionalFormatting>
  <conditionalFormatting sqref="K45">
    <cfRule type="expression" dxfId="22" priority="2">
      <formula>$J$44&lt;0</formula>
    </cfRule>
  </conditionalFormatting>
  <conditionalFormatting sqref="K45">
    <cfRule type="expression" dxfId="21" priority="1">
      <formula>$J$44&lt;0</formula>
    </cfRule>
  </conditionalFormatting>
  <printOptions horizontalCentered="1"/>
  <pageMargins left="0.5" right="0.5" top="0.65" bottom="0.65" header="0.26" footer="0.31"/>
  <pageSetup scale="63" fitToHeight="2" orientation="landscape" r:id="rId1"/>
  <headerFooter>
    <oddHeader>&amp;L&amp;"Helv,Bold"FORM B6:  WAGE &amp;&amp; SALARY RECONCILIATION</oddHeader>
    <oddFooter>&amp;LPrinted: &amp;D, &amp;T&amp;RPage &amp;P of &amp;N</oddFooter>
  </headerFooter>
  <rowBreaks count="1" manualBreakCount="1">
    <brk id="64" max="1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2CDEFC-34E5-4580-8AAC-B93E0FBA8D9F}">
          <x14:formula1>
            <xm:f>Benefits!$A$20:$A$26</xm:f>
          </x14:formula1>
          <xm:sqref>C20:C30 C32:C36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3DC07-C89C-4780-ABD9-7D46A49F8898}">
  <sheetPr codeName="Sheet10">
    <pageSetUpPr fitToPage="1"/>
  </sheetPr>
  <dimension ref="A1:CP80"/>
  <sheetViews>
    <sheetView showGridLines="0" zoomScaleNormal="100" workbookViewId="0">
      <selection activeCell="C8" sqref="C8:N16"/>
    </sheetView>
  </sheetViews>
  <sheetFormatPr defaultColWidth="9.140625" defaultRowHeight="15.75" x14ac:dyDescent="0.25"/>
  <cols>
    <col min="1" max="1" width="7.85546875" style="124" customWidth="1"/>
    <col min="2" max="2" width="7.7109375" style="125" customWidth="1"/>
    <col min="3" max="3" width="9" style="125" customWidth="1"/>
    <col min="4" max="4" width="39.28515625" style="53" customWidth="1"/>
    <col min="5" max="5" width="13" style="126" customWidth="1"/>
    <col min="6" max="6" width="12.28515625" style="127" customWidth="1"/>
    <col min="7" max="7" width="12.140625" style="127" bestFit="1" customWidth="1"/>
    <col min="8" max="8" width="14.5703125" style="127" customWidth="1"/>
    <col min="9" max="9" width="19.5703125" style="128" bestFit="1" customWidth="1"/>
    <col min="10" max="10" width="13.7109375" style="129" customWidth="1"/>
    <col min="11" max="11" width="13.7109375" style="129" hidden="1" customWidth="1"/>
    <col min="12" max="12" width="18.42578125" style="129" customWidth="1"/>
    <col min="13" max="13" width="16.42578125" style="129" customWidth="1"/>
    <col min="14" max="14" width="16.140625" style="128" customWidth="1"/>
    <col min="15" max="25" width="16.140625" customWidth="1"/>
    <col min="26" max="26" width="16.140625" style="344" customWidth="1"/>
    <col min="27" max="27" width="22.140625" style="334" bestFit="1" customWidth="1"/>
    <col min="28" max="28" width="31.140625" style="334" bestFit="1" customWidth="1"/>
    <col min="29" max="29" width="7.85546875" style="334" bestFit="1" customWidth="1"/>
    <col min="30" max="30" width="9.140625" style="110" customWidth="1"/>
    <col min="31" max="94" width="9.140625" style="17"/>
    <col min="95" max="16384" width="9.140625" style="18"/>
  </cols>
  <sheetData>
    <row r="1" spans="1:94" x14ac:dyDescent="0.25">
      <c r="A1" s="12" t="s">
        <v>13</v>
      </c>
      <c r="B1" s="13"/>
      <c r="C1" s="13"/>
      <c r="D1" s="14" t="s">
        <v>759</v>
      </c>
      <c r="E1" s="15"/>
      <c r="F1" s="15"/>
      <c r="G1" s="15"/>
      <c r="H1" s="15"/>
      <c r="I1" s="15"/>
      <c r="J1" s="15"/>
      <c r="K1" s="15"/>
      <c r="L1" s="16" t="s">
        <v>14</v>
      </c>
      <c r="M1" s="484">
        <v>140</v>
      </c>
      <c r="N1" s="485"/>
      <c r="AA1" s="364"/>
      <c r="AB1" s="333"/>
      <c r="AC1" s="333"/>
      <c r="AD1" s="325"/>
    </row>
    <row r="2" spans="1:94" ht="20.25" x14ac:dyDescent="0.25">
      <c r="A2" s="19" t="s">
        <v>114</v>
      </c>
      <c r="B2" s="20"/>
      <c r="C2" s="20"/>
      <c r="D2" s="14" t="s">
        <v>759</v>
      </c>
      <c r="E2" s="21"/>
      <c r="F2" s="21"/>
      <c r="G2" s="21"/>
      <c r="H2" s="21"/>
      <c r="I2" s="21"/>
      <c r="J2" s="20"/>
      <c r="K2" s="20"/>
      <c r="L2" s="22" t="s">
        <v>111</v>
      </c>
      <c r="M2" s="486" t="s">
        <v>786</v>
      </c>
      <c r="N2" s="487"/>
      <c r="AA2" s="333"/>
      <c r="AB2" s="333"/>
      <c r="AC2" s="333"/>
      <c r="AD2" s="325"/>
    </row>
    <row r="3" spans="1:94" x14ac:dyDescent="0.25">
      <c r="A3" s="19" t="s">
        <v>115</v>
      </c>
      <c r="B3" s="20"/>
      <c r="C3" s="20"/>
      <c r="D3" s="23" t="s">
        <v>783</v>
      </c>
      <c r="E3" s="24"/>
      <c r="F3" s="25"/>
      <c r="G3" s="25"/>
      <c r="H3" s="25"/>
      <c r="I3" s="26"/>
      <c r="J3" s="20"/>
      <c r="K3" s="20"/>
      <c r="L3" s="22" t="s">
        <v>112</v>
      </c>
      <c r="M3" s="484" t="s">
        <v>506</v>
      </c>
      <c r="N3" s="485"/>
      <c r="AA3" s="364"/>
      <c r="AB3" s="333"/>
      <c r="AC3" s="333"/>
      <c r="AD3" s="325"/>
    </row>
    <row r="4" spans="1:94" x14ac:dyDescent="0.25">
      <c r="A4" s="19"/>
      <c r="B4" s="20"/>
      <c r="C4" s="20"/>
      <c r="D4" s="27"/>
      <c r="E4" s="24"/>
      <c r="F4" s="25"/>
      <c r="G4" s="25"/>
      <c r="H4" s="25"/>
      <c r="I4" s="28"/>
      <c r="J4" s="26"/>
      <c r="K4" s="26"/>
      <c r="L4" s="22" t="s">
        <v>15</v>
      </c>
      <c r="M4" s="484">
        <v>2024</v>
      </c>
      <c r="N4" s="485"/>
      <c r="AA4" s="364"/>
      <c r="AB4" s="333"/>
      <c r="AC4" s="333"/>
      <c r="AD4" s="325"/>
    </row>
    <row r="5" spans="1:94" s="34" customFormat="1" ht="18" customHeight="1" x14ac:dyDescent="0.25">
      <c r="A5" s="19" t="s">
        <v>16</v>
      </c>
      <c r="B5" s="20"/>
      <c r="C5" s="20"/>
      <c r="D5" s="350">
        <v>44805</v>
      </c>
      <c r="E5" s="27"/>
      <c r="F5" s="30"/>
      <c r="G5" s="31"/>
      <c r="H5" s="31" t="s">
        <v>17</v>
      </c>
      <c r="I5" s="486" t="s">
        <v>784</v>
      </c>
      <c r="J5" s="488"/>
      <c r="K5" s="488"/>
      <c r="L5" s="487"/>
      <c r="M5" s="351" t="s">
        <v>113</v>
      </c>
      <c r="N5" s="32" t="s">
        <v>785</v>
      </c>
      <c r="O5"/>
      <c r="P5"/>
      <c r="Q5"/>
      <c r="R5"/>
      <c r="S5"/>
      <c r="T5"/>
      <c r="U5"/>
      <c r="V5"/>
      <c r="W5"/>
      <c r="X5"/>
      <c r="Y5"/>
      <c r="Z5" s="344"/>
      <c r="AA5" s="364"/>
      <c r="AB5" s="333"/>
      <c r="AC5" s="333"/>
      <c r="AD5" s="326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</row>
    <row r="6" spans="1:94" ht="23.25" customHeight="1" x14ac:dyDescent="0.25">
      <c r="A6" s="19"/>
      <c r="B6" s="20" t="s">
        <v>18</v>
      </c>
      <c r="C6" s="20"/>
      <c r="D6" s="29"/>
      <c r="E6" s="35" t="s">
        <v>19</v>
      </c>
      <c r="F6" s="36"/>
      <c r="G6" s="25"/>
      <c r="H6" s="25"/>
      <c r="I6" s="37"/>
      <c r="J6" s="31" t="s">
        <v>82</v>
      </c>
      <c r="K6" s="31"/>
      <c r="L6" s="352"/>
      <c r="M6" s="353" t="s">
        <v>83</v>
      </c>
      <c r="N6" s="306"/>
      <c r="AA6" s="364"/>
      <c r="AB6" s="333"/>
      <c r="AC6" s="333"/>
      <c r="AD6" s="325"/>
    </row>
    <row r="7" spans="1:94" x14ac:dyDescent="0.25">
      <c r="A7" s="38"/>
      <c r="B7" s="39"/>
      <c r="C7" s="40"/>
      <c r="D7" s="41"/>
      <c r="E7" s="42"/>
      <c r="F7" s="40"/>
      <c r="G7" s="43"/>
      <c r="H7" s="44"/>
      <c r="I7" s="45"/>
      <c r="J7" s="46"/>
      <c r="K7" s="46"/>
      <c r="L7" s="46"/>
      <c r="M7" s="46"/>
      <c r="N7" s="47"/>
    </row>
    <row r="8" spans="1:94" s="52" customFormat="1" ht="40.5" customHeight="1" x14ac:dyDescent="0.25">
      <c r="A8" s="48" t="s">
        <v>20</v>
      </c>
      <c r="B8" s="370" t="s">
        <v>21</v>
      </c>
      <c r="C8" s="489" t="s">
        <v>22</v>
      </c>
      <c r="D8" s="490"/>
      <c r="E8" s="370" t="s">
        <v>23</v>
      </c>
      <c r="F8" s="49" t="s">
        <v>24</v>
      </c>
      <c r="G8" s="50" t="str">
        <f>"FY "&amp;'SCDA|0480-00'!FiscalYear-1&amp;" SALARY"</f>
        <v>FY 2023 SALARY</v>
      </c>
      <c r="H8" s="50" t="str">
        <f>"FY "&amp;'SCDA|0480-00'!FiscalYear-1&amp;" HEALTH BENEFITS"</f>
        <v>FY 2023 HEALTH BENEFITS</v>
      </c>
      <c r="I8" s="50" t="str">
        <f>"FY "&amp;'SCDA|0480-00'!FiscalYear-1&amp;" VAR BENEFITS"</f>
        <v>FY 2023 VAR BENEFITS</v>
      </c>
      <c r="J8" s="50" t="str">
        <f>"FY "&amp;'SCDA|0480-00'!FiscalYear-1&amp;" TOTAL"</f>
        <v>FY 2023 TOTAL</v>
      </c>
      <c r="K8" s="50" t="str">
        <f>"FY "&amp;'SCDA|0480-00'!FiscalYear&amp;" SALARY CHANGE"</f>
        <v>FY 2024 SALARY CHANGE</v>
      </c>
      <c r="L8" s="50" t="str">
        <f>"FY "&amp;'SCDA|0480-00'!FiscalYear&amp;" CHG HEALTH BENEFITS"</f>
        <v>FY 2024 CHG HEALTH BENEFITS</v>
      </c>
      <c r="M8" s="50" t="str">
        <f>"FY "&amp;'SCDA|0480-00'!FiscalYear&amp;" CHG VAR BENEFITS"</f>
        <v>FY 2024 CHG VAR BENEFITS</v>
      </c>
      <c r="N8" s="50" t="s">
        <v>25</v>
      </c>
      <c r="O8"/>
      <c r="P8"/>
      <c r="Q8"/>
      <c r="R8"/>
      <c r="S8"/>
      <c r="T8"/>
      <c r="U8"/>
      <c r="V8"/>
      <c r="W8"/>
      <c r="X8"/>
      <c r="Y8"/>
      <c r="Z8" s="344"/>
      <c r="AA8" s="480" t="s">
        <v>103</v>
      </c>
      <c r="AB8" s="480"/>
      <c r="AC8" s="480"/>
      <c r="AD8" s="327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</row>
    <row r="9" spans="1:94" s="149" customFormat="1" x14ac:dyDescent="0.25">
      <c r="A9" s="139"/>
      <c r="B9" s="140"/>
      <c r="C9" s="481" t="s">
        <v>26</v>
      </c>
      <c r="D9" s="482"/>
      <c r="E9" s="141"/>
      <c r="F9" s="142"/>
      <c r="G9" s="143"/>
      <c r="H9" s="143"/>
      <c r="I9" s="143"/>
      <c r="J9" s="144"/>
      <c r="K9" s="144"/>
      <c r="L9" s="145"/>
      <c r="M9" s="146"/>
      <c r="N9" s="144"/>
      <c r="O9"/>
      <c r="P9"/>
      <c r="Q9"/>
      <c r="R9"/>
      <c r="S9"/>
      <c r="T9"/>
      <c r="U9"/>
      <c r="V9"/>
      <c r="W9"/>
      <c r="X9"/>
      <c r="Y9"/>
      <c r="Z9" s="344"/>
      <c r="AA9" s="364" t="s">
        <v>92</v>
      </c>
      <c r="AB9" s="333" t="s">
        <v>93</v>
      </c>
      <c r="AC9" s="333" t="s">
        <v>104</v>
      </c>
      <c r="AD9" s="32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</row>
    <row r="10" spans="1:94" s="149" customFormat="1" x14ac:dyDescent="0.25">
      <c r="A10" s="139"/>
      <c r="B10" s="139"/>
      <c r="C10" s="460" t="s">
        <v>27</v>
      </c>
      <c r="D10" s="483"/>
      <c r="E10" s="217">
        <v>1</v>
      </c>
      <c r="F10" s="288">
        <f>[0]!SCDA048000col_INC_FTI</f>
        <v>47.419999999999995</v>
      </c>
      <c r="G10" s="218">
        <f>[0]!SCDA048000col_FTI_SALARY_PERM</f>
        <v>3826100.91</v>
      </c>
      <c r="H10" s="218">
        <f>[0]!SCDA048000col_HEALTH_PERM</f>
        <v>597750</v>
      </c>
      <c r="I10" s="218">
        <f>[0]!SCDA048000col_TOT_VB_PERM</f>
        <v>784006.3374680999</v>
      </c>
      <c r="J10" s="219">
        <f>SUM(G10:I10)</f>
        <v>5207857.2474680999</v>
      </c>
      <c r="K10" s="219">
        <f>[0]!SCDA048000col_1_27TH_PP</f>
        <v>0</v>
      </c>
      <c r="L10" s="218">
        <f>[0]!SCDA048000col_HEALTH_PERM_CHG</f>
        <v>59775</v>
      </c>
      <c r="M10" s="218">
        <f>[0]!SCDA048000col_TOT_VB_PERM_CHG</f>
        <v>-28695.756825000037</v>
      </c>
      <c r="N10" s="218">
        <f>SUM(L10:M10)</f>
        <v>31079.243174999963</v>
      </c>
      <c r="O10"/>
      <c r="P10"/>
      <c r="Q10"/>
      <c r="R10"/>
      <c r="S10"/>
      <c r="T10"/>
      <c r="U10"/>
      <c r="V10"/>
      <c r="W10"/>
      <c r="X10"/>
      <c r="Y10"/>
      <c r="Z10" s="344"/>
      <c r="AA10" s="338">
        <f>ROUND(CECPerm*PermSalary,-2)</f>
        <v>38300</v>
      </c>
      <c r="AB10" s="335">
        <f>ROUND(PermVarBen*CECPerm+(CECPerm*PermVarBenChg),-2)</f>
        <v>7600</v>
      </c>
      <c r="AC10" s="335">
        <f>SUM(AA10:AB10)</f>
        <v>45900</v>
      </c>
      <c r="AD10" s="32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</row>
    <row r="11" spans="1:94" s="149" customFormat="1" x14ac:dyDescent="0.25">
      <c r="A11" s="139"/>
      <c r="B11" s="139"/>
      <c r="C11" s="460" t="s">
        <v>28</v>
      </c>
      <c r="D11" s="483"/>
      <c r="E11" s="217">
        <v>2</v>
      </c>
      <c r="F11" s="288"/>
      <c r="G11" s="218">
        <f>[0]!SCDA048000col_Group_Salary</f>
        <v>0</v>
      </c>
      <c r="H11" s="218">
        <v>0</v>
      </c>
      <c r="I11" s="218">
        <f>[0]!SCDA048000col_Group_Ben</f>
        <v>0</v>
      </c>
      <c r="J11" s="219">
        <f>SUM(G11:I11)</f>
        <v>0</v>
      </c>
      <c r="K11" s="268"/>
      <c r="L11" s="218"/>
      <c r="M11" s="218"/>
      <c r="N11" s="218"/>
      <c r="O11"/>
      <c r="P11"/>
      <c r="Q11"/>
      <c r="R11"/>
      <c r="S11"/>
      <c r="T11"/>
      <c r="U11"/>
      <c r="V11"/>
      <c r="W11"/>
      <c r="X11"/>
      <c r="Y11"/>
      <c r="Z11" s="344"/>
      <c r="AA11" s="338">
        <f>ROUND(GroupSalary*CECGroup,-2)</f>
        <v>0</v>
      </c>
      <c r="AB11" s="335">
        <f>ROUND((GroupSalary*GroupVBBY)*CECGroup,-2)</f>
        <v>0</v>
      </c>
      <c r="AC11" s="335">
        <f>SUM(AA12:AB12)</f>
        <v>0</v>
      </c>
      <c r="AD11" s="32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</row>
    <row r="12" spans="1:94" s="149" customFormat="1" x14ac:dyDescent="0.25">
      <c r="A12" s="139"/>
      <c r="B12" s="139"/>
      <c r="C12" s="460" t="s">
        <v>29</v>
      </c>
      <c r="D12" s="461"/>
      <c r="E12" s="217">
        <v>3</v>
      </c>
      <c r="F12" s="288">
        <f>[0]!SCDA048000col_TOTAL_ELECT_PCN_FTI</f>
        <v>0</v>
      </c>
      <c r="G12" s="218">
        <f>[0]!SCDA048000col_FTI_SALARY_ELECT</f>
        <v>0</v>
      </c>
      <c r="H12" s="218">
        <f>[0]!SCDA048000col_HEALTH_ELECT</f>
        <v>0</v>
      </c>
      <c r="I12" s="218">
        <f>[0]!SCDA048000col_TOT_VB_ELECT</f>
        <v>0</v>
      </c>
      <c r="J12" s="219">
        <f>SUM(G12:I12)</f>
        <v>0</v>
      </c>
      <c r="K12" s="268"/>
      <c r="L12" s="218">
        <f>[0]!SCDA048000col_HEALTH_ELECT_CHG</f>
        <v>0</v>
      </c>
      <c r="M12" s="218">
        <f>[0]!SCDA048000col_TOT_VB_ELECT_CHG</f>
        <v>0</v>
      </c>
      <c r="N12" s="219">
        <f>SUM(L12:M12)</f>
        <v>0</v>
      </c>
      <c r="O12"/>
      <c r="P12"/>
      <c r="Q12"/>
      <c r="R12"/>
      <c r="S12"/>
      <c r="T12"/>
      <c r="U12"/>
      <c r="V12"/>
      <c r="W12"/>
      <c r="X12"/>
      <c r="Y12"/>
      <c r="Z12" s="344"/>
      <c r="AA12" s="336"/>
      <c r="AB12" s="336"/>
      <c r="AC12" s="336"/>
      <c r="AD12" s="32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</row>
    <row r="13" spans="1:94" s="153" customFormat="1" x14ac:dyDescent="0.25">
      <c r="A13" s="139"/>
      <c r="B13" s="139"/>
      <c r="C13" s="460" t="s">
        <v>30</v>
      </c>
      <c r="D13" s="483"/>
      <c r="E13" s="217"/>
      <c r="F13" s="220">
        <f>SUM(F10:F12)</f>
        <v>47.419999999999995</v>
      </c>
      <c r="G13" s="221">
        <f>SUM(G10:G12)</f>
        <v>3826100.91</v>
      </c>
      <c r="H13" s="221">
        <f>SUM(H10:H12)</f>
        <v>597750</v>
      </c>
      <c r="I13" s="221">
        <f>SUM(I10:I12)</f>
        <v>784006.3374680999</v>
      </c>
      <c r="J13" s="219">
        <f>SUM(G13:I13)</f>
        <v>5207857.2474680999</v>
      </c>
      <c r="K13" s="268"/>
      <c r="L13" s="219">
        <f>SUM(L10:L12)</f>
        <v>59775</v>
      </c>
      <c r="M13" s="219">
        <f>SUM(M10:M12)</f>
        <v>-28695.756825000037</v>
      </c>
      <c r="N13" s="219">
        <f>SUM(N10:N12)</f>
        <v>31079.243174999963</v>
      </c>
      <c r="O13"/>
      <c r="P13"/>
      <c r="Q13"/>
      <c r="R13"/>
      <c r="S13"/>
      <c r="T13"/>
      <c r="U13"/>
      <c r="V13"/>
      <c r="W13"/>
      <c r="X13"/>
      <c r="Y13"/>
      <c r="Z13" s="344"/>
      <c r="AA13" s="336"/>
      <c r="AB13" s="336"/>
      <c r="AC13" s="336"/>
      <c r="AD13" s="329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</row>
    <row r="14" spans="1:94" s="153" customFormat="1" ht="5.45" customHeight="1" x14ac:dyDescent="0.25">
      <c r="A14" s="139"/>
      <c r="B14" s="139"/>
      <c r="C14" s="365"/>
      <c r="D14" s="371"/>
      <c r="E14" s="217"/>
      <c r="F14" s="220"/>
      <c r="G14" s="219"/>
      <c r="H14" s="219"/>
      <c r="I14" s="219"/>
      <c r="J14" s="219"/>
      <c r="K14" s="268"/>
      <c r="L14" s="219"/>
      <c r="M14" s="222"/>
      <c r="N14" s="222"/>
      <c r="O14"/>
      <c r="P14"/>
      <c r="Q14"/>
      <c r="R14"/>
      <c r="S14"/>
      <c r="T14"/>
      <c r="U14"/>
      <c r="V14"/>
      <c r="W14"/>
      <c r="X14"/>
      <c r="Y14"/>
      <c r="Z14" s="344"/>
      <c r="AA14" s="336"/>
      <c r="AB14" s="336"/>
      <c r="AC14" s="336"/>
      <c r="AD14" s="329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</row>
    <row r="15" spans="1:94" s="153" customFormat="1" ht="15.75" customHeight="1" x14ac:dyDescent="0.25">
      <c r="A15" s="139"/>
      <c r="B15" s="156"/>
      <c r="C15" s="157" t="str">
        <f>"FY "&amp;'SCDA|0480-00'!FiscalYear-1</f>
        <v>FY 2023</v>
      </c>
      <c r="D15" s="158" t="s">
        <v>31</v>
      </c>
      <c r="E15" s="354">
        <v>5638400</v>
      </c>
      <c r="F15" s="55">
        <v>52.3</v>
      </c>
      <c r="G15" s="223">
        <f>IF(OrigApprop=0,0,(G13/$J$13)*OrigApprop)</f>
        <v>4142411.4267786765</v>
      </c>
      <c r="H15" s="223">
        <f>IF(OrigApprop=0,0,(H13/$J$13)*OrigApprop)</f>
        <v>647167.04776010558</v>
      </c>
      <c r="I15" s="223">
        <f>IF(G15=0,0,(I13/$J$13)*OrigApprop)</f>
        <v>848821.52546121844</v>
      </c>
      <c r="J15" s="223">
        <f>SUM(G15:I15)</f>
        <v>5638400</v>
      </c>
      <c r="K15" s="268"/>
      <c r="L15" s="224"/>
      <c r="M15" s="224"/>
      <c r="N15" s="224"/>
      <c r="O15"/>
      <c r="P15"/>
      <c r="Q15"/>
      <c r="R15"/>
      <c r="S15"/>
      <c r="T15"/>
      <c r="U15"/>
      <c r="V15"/>
      <c r="W15"/>
      <c r="X15"/>
      <c r="Y15"/>
      <c r="Z15" s="344"/>
      <c r="AA15" s="336"/>
      <c r="AB15" s="336"/>
      <c r="AC15" s="336"/>
      <c r="AD15" s="329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</row>
    <row r="16" spans="1:94" s="153" customFormat="1" ht="15.75" customHeight="1" x14ac:dyDescent="0.25">
      <c r="A16" s="139"/>
      <c r="B16" s="139"/>
      <c r="C16" s="470" t="s">
        <v>32</v>
      </c>
      <c r="D16" s="471"/>
      <c r="E16" s="160" t="s">
        <v>33</v>
      </c>
      <c r="F16" s="161">
        <f>F15-F13</f>
        <v>4.8800000000000026</v>
      </c>
      <c r="G16" s="162">
        <f>G15-G13</f>
        <v>316310.5167786763</v>
      </c>
      <c r="H16" s="162">
        <f>H15-H13</f>
        <v>49417.047760105575</v>
      </c>
      <c r="I16" s="162">
        <f>I15-I13</f>
        <v>64815.187993118539</v>
      </c>
      <c r="J16" s="162">
        <f>J15-J13</f>
        <v>430542.75253190007</v>
      </c>
      <c r="K16" s="269"/>
      <c r="L16" s="56" t="str">
        <f>IF('SCDA|0480-00'!OrigApprop=0,"No Original Appropriation amount in DU 3.00 for this fund","Calculated "&amp;IF('SCDA|0480-00'!AdjustedTotal&gt;0,"overfunding ","underfunding ")&amp;"is "&amp;TEXT('SCDA|0480-00'!AdjustedTotal/'SCDA|0480-00'!AppropTotal,"#.0%;(#.0% );0% ;")&amp;" of Original Appropriation")</f>
        <v>Calculated overfunding is 7.6% of Original Appropriation</v>
      </c>
      <c r="M16" s="163"/>
      <c r="N16" s="164"/>
      <c r="O16"/>
      <c r="P16"/>
      <c r="Q16"/>
      <c r="R16"/>
      <c r="S16"/>
      <c r="T16"/>
      <c r="U16"/>
      <c r="V16"/>
      <c r="W16"/>
      <c r="X16"/>
      <c r="Y16"/>
      <c r="Z16" s="344"/>
      <c r="AA16" s="336"/>
      <c r="AB16" s="336"/>
      <c r="AC16" s="336"/>
      <c r="AD16" s="329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</row>
    <row r="17" spans="1:94" s="153" customFormat="1" x14ac:dyDescent="0.25">
      <c r="A17" s="139"/>
      <c r="B17" s="139"/>
      <c r="C17" s="472" t="s">
        <v>34</v>
      </c>
      <c r="D17" s="473"/>
      <c r="E17" s="147"/>
      <c r="F17" s="258"/>
      <c r="G17" s="147"/>
      <c r="H17" s="166"/>
      <c r="I17" s="167"/>
      <c r="J17" s="166"/>
      <c r="K17" s="166"/>
      <c r="L17" s="166"/>
      <c r="M17" s="166"/>
      <c r="N17" s="166"/>
      <c r="O17"/>
      <c r="P17"/>
      <c r="Q17"/>
      <c r="R17"/>
      <c r="S17"/>
      <c r="T17"/>
      <c r="U17"/>
      <c r="V17"/>
      <c r="W17"/>
      <c r="X17"/>
      <c r="Y17"/>
      <c r="Z17" s="344"/>
      <c r="AA17" s="336"/>
      <c r="AB17" s="336"/>
      <c r="AC17" s="336"/>
      <c r="AD17" s="329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</row>
    <row r="18" spans="1:94" s="153" customFormat="1" ht="26.25" customHeight="1" x14ac:dyDescent="0.25">
      <c r="A18" s="139"/>
      <c r="B18" s="168"/>
      <c r="C18" s="474" t="s">
        <v>35</v>
      </c>
      <c r="D18" s="475"/>
      <c r="E18" s="150"/>
      <c r="F18" s="165"/>
      <c r="G18" s="166"/>
      <c r="H18" s="169"/>
      <c r="I18" s="166"/>
      <c r="J18" s="166"/>
      <c r="K18" s="166"/>
      <c r="L18" s="166"/>
      <c r="M18" s="166"/>
      <c r="N18" s="166"/>
      <c r="O18"/>
      <c r="P18"/>
      <c r="Q18"/>
      <c r="R18"/>
      <c r="S18"/>
      <c r="T18"/>
      <c r="U18"/>
      <c r="V18"/>
      <c r="W18"/>
      <c r="X18"/>
      <c r="Y18"/>
      <c r="Z18" s="344"/>
      <c r="AA18" s="336"/>
      <c r="AB18" s="336"/>
      <c r="AC18" s="336"/>
      <c r="AD18" s="329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</row>
    <row r="19" spans="1:94" s="153" customFormat="1" ht="25.5" x14ac:dyDescent="0.25">
      <c r="A19" s="238"/>
      <c r="B19" s="202"/>
      <c r="C19" s="239" t="s">
        <v>84</v>
      </c>
      <c r="D19" s="240" t="s">
        <v>85</v>
      </c>
      <c r="E19" s="241"/>
      <c r="F19" s="165"/>
      <c r="G19" s="166"/>
      <c r="H19" s="169"/>
      <c r="I19" s="170"/>
      <c r="J19" s="166"/>
      <c r="K19" s="166"/>
      <c r="L19" s="169"/>
      <c r="M19" s="166"/>
      <c r="N19" s="166"/>
      <c r="O19"/>
      <c r="P19"/>
      <c r="Q19"/>
      <c r="R19"/>
      <c r="S19"/>
      <c r="T19"/>
      <c r="U19"/>
      <c r="V19"/>
      <c r="W19"/>
      <c r="X19"/>
      <c r="Y19"/>
      <c r="Z19" s="344"/>
      <c r="AA19" s="364"/>
      <c r="AB19" s="364"/>
      <c r="AC19" s="364"/>
      <c r="AD19" s="329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</row>
    <row r="20" spans="1:94" s="177" customFormat="1" ht="15" x14ac:dyDescent="0.25">
      <c r="A20" s="171"/>
      <c r="B20" s="172"/>
      <c r="C20" s="244"/>
      <c r="D20" s="242"/>
      <c r="E20" s="173"/>
      <c r="F20" s="174">
        <v>0</v>
      </c>
      <c r="G20" s="175">
        <v>0</v>
      </c>
      <c r="H20" s="176">
        <f t="shared" ref="H20:H30" si="0">IF(AND($F20&lt;&gt;0,$G20&lt;&gt;0,OR($E20=1,$E20=3)),$F20*Health,0)</f>
        <v>0</v>
      </c>
      <c r="I20" s="176">
        <f t="shared" ref="I20:I30" si="1">IF(AND($E20=1,$C20=""),$G20*PermVB+$G20*Retire1,IF($E20=1,$G20*PermVB+$G20*VLOOKUP($C20,Retirement_Rates,3,FALSE),IF($E20=2,$G20*GroupVB,IF(AND($E20=3,$C20=""),$G20*ElectVB+$G20*Retire1,IF($E20=3,$G20*ElectVB+$G20*VLOOKUP($C20,Retirement_Rates,3,FALSE),0)))))</f>
        <v>0</v>
      </c>
      <c r="J20" s="159">
        <f>IF($E20&gt;0,SUM($G20:$I20),0)</f>
        <v>0</v>
      </c>
      <c r="K20" s="166"/>
      <c r="L20" s="176">
        <f t="shared" ref="L20:L30" si="2">IF(AND($F20&lt;&gt;0,$G20&lt;&gt;0,OR($E20=1,$E20=3)),$F20*HealthCHG,0)</f>
        <v>0</v>
      </c>
      <c r="M20" s="176">
        <f>IF(AND($E20=1,$C20=""),$G20*PermVBCHG+$G20*Retire1CHG,IF($E20=1,$G20*PermVBCHG+$G20*VLOOKUP($C20,Retirement_Rates,5,FALSE),IF($E20=2,0,IF(AND($E20=3,$C20=""),$G20*ElectVBCHG+$G20*Retire1CHG,IF($E20=3,$G20*ElectVBCHG+$G20*VLOOKUP($C20,Retirement_Rates,5,FALSE),0)))))</f>
        <v>0</v>
      </c>
      <c r="N20" s="176">
        <f>SUM(L20:M20)</f>
        <v>0</v>
      </c>
      <c r="O20"/>
      <c r="P20"/>
      <c r="Q20"/>
      <c r="R20"/>
      <c r="S20"/>
      <c r="T20"/>
      <c r="U20"/>
      <c r="V20"/>
      <c r="W20"/>
      <c r="X20"/>
      <c r="Y20"/>
      <c r="Z20" s="344"/>
      <c r="AA20" s="364"/>
      <c r="AB20" s="364"/>
      <c r="AC20" s="364"/>
      <c r="AD20" s="329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</row>
    <row r="21" spans="1:94" s="177" customFormat="1" ht="15" x14ac:dyDescent="0.25">
      <c r="A21" s="178"/>
      <c r="B21" s="179"/>
      <c r="C21" s="244"/>
      <c r="D21" s="242"/>
      <c r="E21" s="180"/>
      <c r="F21" s="181">
        <v>0</v>
      </c>
      <c r="G21" s="175">
        <v>0</v>
      </c>
      <c r="H21" s="176">
        <f t="shared" si="0"/>
        <v>0</v>
      </c>
      <c r="I21" s="176">
        <f t="shared" si="1"/>
        <v>0</v>
      </c>
      <c r="J21" s="159">
        <f t="shared" ref="J21:J35" si="3">IF($E21&gt;0,SUM($G21:$I21),0)</f>
        <v>0</v>
      </c>
      <c r="K21" s="166"/>
      <c r="L21" s="176">
        <f t="shared" si="2"/>
        <v>0</v>
      </c>
      <c r="M21" s="176">
        <f t="shared" ref="M21:M30" si="4">IF(AND($E21=1,$C21=""),$G21*PermVBCHG+$G21*Retire1CHG,IF($E21=1,$G21*PermVBCHG+$G21*VLOOKUP($C21,Retirement_Rates,5,FALSE),IF($E21=2,0,IF(AND($E21=3,$C21=""),$G21*ElectVBCHG+$G21*Retire1CHG,IF($E21=3,$G21*ElectVBCHG+$G21*VLOOKUP($C21,Retirement_Rates,5,FALSE),0)))))</f>
        <v>0</v>
      </c>
      <c r="N21" s="183">
        <f t="shared" ref="N21:N30" si="5">SUM(L21:M21)</f>
        <v>0</v>
      </c>
      <c r="O21"/>
      <c r="P21"/>
      <c r="Q21"/>
      <c r="R21"/>
      <c r="S21"/>
      <c r="T21"/>
      <c r="U21"/>
      <c r="V21"/>
      <c r="W21"/>
      <c r="X21"/>
      <c r="Y21"/>
      <c r="Z21" s="344"/>
      <c r="AA21" s="364"/>
      <c r="AB21" s="364"/>
      <c r="AC21" s="364"/>
      <c r="AD21" s="329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</row>
    <row r="22" spans="1:94" s="177" customFormat="1" ht="15" x14ac:dyDescent="0.25">
      <c r="A22" s="178"/>
      <c r="B22" s="179"/>
      <c r="C22" s="244"/>
      <c r="D22" s="242"/>
      <c r="E22" s="180"/>
      <c r="F22" s="181">
        <v>0</v>
      </c>
      <c r="G22" s="175">
        <v>0</v>
      </c>
      <c r="H22" s="176">
        <f t="shared" si="0"/>
        <v>0</v>
      </c>
      <c r="I22" s="176">
        <f t="shared" si="1"/>
        <v>0</v>
      </c>
      <c r="J22" s="159">
        <f t="shared" si="3"/>
        <v>0</v>
      </c>
      <c r="K22" s="166"/>
      <c r="L22" s="176">
        <f t="shared" si="2"/>
        <v>0</v>
      </c>
      <c r="M22" s="176">
        <f t="shared" si="4"/>
        <v>0</v>
      </c>
      <c r="N22" s="183">
        <f t="shared" si="5"/>
        <v>0</v>
      </c>
      <c r="O22"/>
      <c r="P22"/>
      <c r="Q22"/>
      <c r="R22"/>
      <c r="S22"/>
      <c r="T22"/>
      <c r="U22"/>
      <c r="V22"/>
      <c r="W22"/>
      <c r="X22"/>
      <c r="Y22"/>
      <c r="Z22" s="344"/>
      <c r="AA22" s="364"/>
      <c r="AB22" s="364"/>
      <c r="AC22" s="364"/>
      <c r="AD22" s="329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</row>
    <row r="23" spans="1:94" s="177" customFormat="1" ht="15" x14ac:dyDescent="0.25">
      <c r="A23" s="178"/>
      <c r="B23" s="179"/>
      <c r="C23" s="244"/>
      <c r="D23" s="242"/>
      <c r="E23" s="180"/>
      <c r="F23" s="181">
        <v>0</v>
      </c>
      <c r="G23" s="175">
        <v>0</v>
      </c>
      <c r="H23" s="176">
        <f t="shared" si="0"/>
        <v>0</v>
      </c>
      <c r="I23" s="176">
        <f t="shared" si="1"/>
        <v>0</v>
      </c>
      <c r="J23" s="159">
        <f t="shared" si="3"/>
        <v>0</v>
      </c>
      <c r="K23" s="166"/>
      <c r="L23" s="176">
        <f t="shared" si="2"/>
        <v>0</v>
      </c>
      <c r="M23" s="176">
        <f t="shared" si="4"/>
        <v>0</v>
      </c>
      <c r="N23" s="183">
        <f t="shared" si="5"/>
        <v>0</v>
      </c>
      <c r="O23"/>
      <c r="P23"/>
      <c r="Q23"/>
      <c r="R23"/>
      <c r="S23"/>
      <c r="T23"/>
      <c r="U23"/>
      <c r="V23"/>
      <c r="W23"/>
      <c r="X23"/>
      <c r="Y23"/>
      <c r="Z23" s="344"/>
      <c r="AA23" s="364"/>
      <c r="AB23" s="364"/>
      <c r="AC23" s="364"/>
      <c r="AD23" s="329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</row>
    <row r="24" spans="1:94" s="177" customFormat="1" ht="15" x14ac:dyDescent="0.25">
      <c r="A24" s="178"/>
      <c r="B24" s="179"/>
      <c r="C24" s="244"/>
      <c r="D24" s="242"/>
      <c r="E24" s="180"/>
      <c r="F24" s="181">
        <v>0</v>
      </c>
      <c r="G24" s="175">
        <v>0</v>
      </c>
      <c r="H24" s="176">
        <f t="shared" si="0"/>
        <v>0</v>
      </c>
      <c r="I24" s="176">
        <f t="shared" si="1"/>
        <v>0</v>
      </c>
      <c r="J24" s="159">
        <f t="shared" si="3"/>
        <v>0</v>
      </c>
      <c r="K24" s="166"/>
      <c r="L24" s="176">
        <f t="shared" si="2"/>
        <v>0</v>
      </c>
      <c r="M24" s="176">
        <f t="shared" si="4"/>
        <v>0</v>
      </c>
      <c r="N24" s="183">
        <f t="shared" si="5"/>
        <v>0</v>
      </c>
      <c r="O24"/>
      <c r="P24"/>
      <c r="Q24"/>
      <c r="R24"/>
      <c r="S24"/>
      <c r="T24"/>
      <c r="U24"/>
      <c r="V24"/>
      <c r="W24"/>
      <c r="X24"/>
      <c r="Y24"/>
      <c r="Z24" s="344"/>
      <c r="AA24" s="345"/>
      <c r="AB24" s="364"/>
      <c r="AC24" s="364"/>
      <c r="AD24" s="329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</row>
    <row r="25" spans="1:94" s="177" customFormat="1" ht="15" x14ac:dyDescent="0.25">
      <c r="A25" s="178"/>
      <c r="B25" s="179"/>
      <c r="C25" s="244"/>
      <c r="D25" s="242"/>
      <c r="E25" s="180"/>
      <c r="F25" s="181">
        <v>0</v>
      </c>
      <c r="G25" s="182">
        <v>0</v>
      </c>
      <c r="H25" s="176">
        <f t="shared" si="0"/>
        <v>0</v>
      </c>
      <c r="I25" s="176">
        <f t="shared" si="1"/>
        <v>0</v>
      </c>
      <c r="J25" s="159">
        <f t="shared" si="3"/>
        <v>0</v>
      </c>
      <c r="K25" s="166"/>
      <c r="L25" s="176">
        <f t="shared" si="2"/>
        <v>0</v>
      </c>
      <c r="M25" s="176">
        <f t="shared" si="4"/>
        <v>0</v>
      </c>
      <c r="N25" s="183">
        <f t="shared" si="5"/>
        <v>0</v>
      </c>
      <c r="O25"/>
      <c r="P25"/>
      <c r="Q25"/>
      <c r="R25"/>
      <c r="S25"/>
      <c r="T25"/>
      <c r="U25"/>
      <c r="V25"/>
      <c r="W25"/>
      <c r="X25"/>
      <c r="Y25"/>
      <c r="Z25" s="344"/>
      <c r="AA25" s="345"/>
      <c r="AB25" s="364"/>
      <c r="AC25" s="364"/>
      <c r="AD25" s="329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</row>
    <row r="26" spans="1:94" s="177" customFormat="1" ht="15" x14ac:dyDescent="0.25">
      <c r="A26" s="178"/>
      <c r="B26" s="179"/>
      <c r="C26" s="244"/>
      <c r="D26" s="242"/>
      <c r="E26" s="180"/>
      <c r="F26" s="181">
        <v>0</v>
      </c>
      <c r="G26" s="182">
        <v>0</v>
      </c>
      <c r="H26" s="176">
        <f t="shared" si="0"/>
        <v>0</v>
      </c>
      <c r="I26" s="176">
        <f t="shared" si="1"/>
        <v>0</v>
      </c>
      <c r="J26" s="159">
        <f t="shared" si="3"/>
        <v>0</v>
      </c>
      <c r="K26" s="166"/>
      <c r="L26" s="176">
        <f t="shared" si="2"/>
        <v>0</v>
      </c>
      <c r="M26" s="176">
        <f t="shared" si="4"/>
        <v>0</v>
      </c>
      <c r="N26" s="183">
        <f t="shared" si="5"/>
        <v>0</v>
      </c>
      <c r="O26"/>
      <c r="P26"/>
      <c r="Q26"/>
      <c r="R26"/>
      <c r="S26"/>
      <c r="T26"/>
      <c r="U26"/>
      <c r="V26"/>
      <c r="W26"/>
      <c r="X26"/>
      <c r="Y26"/>
      <c r="Z26" s="344"/>
      <c r="AA26" s="345"/>
      <c r="AB26" s="364"/>
      <c r="AC26" s="364"/>
      <c r="AD26" s="329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</row>
    <row r="27" spans="1:94" s="177" customFormat="1" ht="15" x14ac:dyDescent="0.25">
      <c r="A27" s="178"/>
      <c r="B27" s="179"/>
      <c r="C27" s="244"/>
      <c r="D27" s="242"/>
      <c r="E27" s="180"/>
      <c r="F27" s="181">
        <v>0</v>
      </c>
      <c r="G27" s="182">
        <v>0</v>
      </c>
      <c r="H27" s="176">
        <f t="shared" si="0"/>
        <v>0</v>
      </c>
      <c r="I27" s="176">
        <f t="shared" si="1"/>
        <v>0</v>
      </c>
      <c r="J27" s="159">
        <f t="shared" si="3"/>
        <v>0</v>
      </c>
      <c r="K27" s="166"/>
      <c r="L27" s="176">
        <f t="shared" si="2"/>
        <v>0</v>
      </c>
      <c r="M27" s="176">
        <f t="shared" si="4"/>
        <v>0</v>
      </c>
      <c r="N27" s="183">
        <f t="shared" si="5"/>
        <v>0</v>
      </c>
      <c r="O27"/>
      <c r="P27"/>
      <c r="Q27"/>
      <c r="R27"/>
      <c r="S27"/>
      <c r="T27"/>
      <c r="U27"/>
      <c r="V27"/>
      <c r="W27"/>
      <c r="X27"/>
      <c r="Y27"/>
      <c r="Z27" s="344"/>
      <c r="AA27" s="364"/>
      <c r="AB27" s="364"/>
      <c r="AC27" s="364"/>
      <c r="AD27" s="329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</row>
    <row r="28" spans="1:94" s="177" customFormat="1" ht="15" x14ac:dyDescent="0.25">
      <c r="A28" s="178"/>
      <c r="B28" s="179"/>
      <c r="C28" s="244"/>
      <c r="D28" s="242"/>
      <c r="E28" s="180"/>
      <c r="F28" s="181">
        <v>0</v>
      </c>
      <c r="G28" s="182">
        <v>0</v>
      </c>
      <c r="H28" s="176">
        <f t="shared" si="0"/>
        <v>0</v>
      </c>
      <c r="I28" s="176">
        <f t="shared" si="1"/>
        <v>0</v>
      </c>
      <c r="J28" s="159">
        <f t="shared" si="3"/>
        <v>0</v>
      </c>
      <c r="K28" s="166"/>
      <c r="L28" s="176">
        <f t="shared" si="2"/>
        <v>0</v>
      </c>
      <c r="M28" s="176">
        <f t="shared" si="4"/>
        <v>0</v>
      </c>
      <c r="N28" s="183">
        <f t="shared" si="5"/>
        <v>0</v>
      </c>
      <c r="O28"/>
      <c r="P28"/>
      <c r="Q28"/>
      <c r="R28"/>
      <c r="S28"/>
      <c r="T28"/>
      <c r="U28"/>
      <c r="V28"/>
      <c r="W28"/>
      <c r="X28"/>
      <c r="Y28"/>
      <c r="Z28" s="344"/>
      <c r="AA28" s="364"/>
      <c r="AB28" s="364"/>
      <c r="AC28" s="364"/>
      <c r="AD28" s="329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</row>
    <row r="29" spans="1:94" s="177" customFormat="1" ht="15" x14ac:dyDescent="0.25">
      <c r="A29" s="179"/>
      <c r="B29" s="179"/>
      <c r="C29" s="171"/>
      <c r="D29" s="243"/>
      <c r="E29" s="180"/>
      <c r="F29" s="181">
        <v>0</v>
      </c>
      <c r="G29" s="182">
        <v>0</v>
      </c>
      <c r="H29" s="176">
        <f t="shared" si="0"/>
        <v>0</v>
      </c>
      <c r="I29" s="176">
        <f t="shared" si="1"/>
        <v>0</v>
      </c>
      <c r="J29" s="159">
        <f t="shared" si="3"/>
        <v>0</v>
      </c>
      <c r="K29" s="166"/>
      <c r="L29" s="176">
        <f t="shared" si="2"/>
        <v>0</v>
      </c>
      <c r="M29" s="176">
        <f t="shared" si="4"/>
        <v>0</v>
      </c>
      <c r="N29" s="183">
        <f t="shared" si="5"/>
        <v>0</v>
      </c>
      <c r="O29"/>
      <c r="P29"/>
      <c r="Q29"/>
      <c r="R29"/>
      <c r="S29"/>
      <c r="T29"/>
      <c r="U29"/>
      <c r="V29"/>
      <c r="W29"/>
      <c r="X29"/>
      <c r="Y29"/>
      <c r="Z29" s="344"/>
      <c r="AA29" s="364"/>
      <c r="AB29" s="364"/>
      <c r="AC29" s="364"/>
      <c r="AD29" s="329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</row>
    <row r="30" spans="1:94" s="177" customFormat="1" ht="15" x14ac:dyDescent="0.25">
      <c r="A30" s="179"/>
      <c r="B30" s="184"/>
      <c r="C30" s="171"/>
      <c r="D30" s="243"/>
      <c r="E30" s="180"/>
      <c r="F30" s="181">
        <v>0</v>
      </c>
      <c r="G30" s="182">
        <v>0</v>
      </c>
      <c r="H30" s="176">
        <f t="shared" si="0"/>
        <v>0</v>
      </c>
      <c r="I30" s="176">
        <f t="shared" si="1"/>
        <v>0</v>
      </c>
      <c r="J30" s="159">
        <f t="shared" si="3"/>
        <v>0</v>
      </c>
      <c r="K30" s="166"/>
      <c r="L30" s="176">
        <f t="shared" si="2"/>
        <v>0</v>
      </c>
      <c r="M30" s="176">
        <f t="shared" si="4"/>
        <v>0</v>
      </c>
      <c r="N30" s="183">
        <f t="shared" si="5"/>
        <v>0</v>
      </c>
      <c r="O30"/>
      <c r="P30"/>
      <c r="Q30"/>
      <c r="R30"/>
      <c r="S30"/>
      <c r="T30"/>
      <c r="U30"/>
      <c r="V30"/>
      <c r="W30"/>
      <c r="X30"/>
      <c r="Y30"/>
      <c r="Z30" s="344"/>
      <c r="AA30" s="364"/>
      <c r="AB30" s="364"/>
      <c r="AC30" s="364"/>
      <c r="AD30" s="329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</row>
    <row r="31" spans="1:94" s="153" customFormat="1" ht="15" x14ac:dyDescent="0.25">
      <c r="A31" s="139"/>
      <c r="B31" s="168"/>
      <c r="C31" s="245"/>
      <c r="D31" s="246" t="s">
        <v>36</v>
      </c>
      <c r="E31" s="150"/>
      <c r="F31" s="165"/>
      <c r="G31" s="166"/>
      <c r="H31" s="166"/>
      <c r="I31" s="166"/>
      <c r="J31" s="166"/>
      <c r="K31" s="166"/>
      <c r="L31" s="166"/>
      <c r="M31" s="166"/>
      <c r="N31" s="166"/>
      <c r="O31"/>
      <c r="P31"/>
      <c r="Q31"/>
      <c r="R31"/>
      <c r="S31"/>
      <c r="T31"/>
      <c r="U31"/>
      <c r="V31"/>
      <c r="W31"/>
      <c r="X31"/>
      <c r="Y31"/>
      <c r="Z31" s="344"/>
      <c r="AA31" s="364"/>
      <c r="AB31" s="364"/>
      <c r="AC31" s="364"/>
      <c r="AD31" s="329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</row>
    <row r="32" spans="1:94" s="177" customFormat="1" ht="15" x14ac:dyDescent="0.25">
      <c r="A32" s="185"/>
      <c r="B32" s="185"/>
      <c r="C32" s="244"/>
      <c r="D32" s="242"/>
      <c r="E32" s="173"/>
      <c r="F32" s="174">
        <v>0</v>
      </c>
      <c r="G32" s="175">
        <v>0</v>
      </c>
      <c r="H32" s="176">
        <f t="shared" ref="H32:H35" si="6">IF(AND($F32&lt;&gt;0,$G32&lt;&gt;0,OR($E32=1,$E32=3)),$F32*Health,0)</f>
        <v>0</v>
      </c>
      <c r="I32" s="176">
        <f t="shared" ref="I32:I34" si="7">IF(AND($E32=1,$C32=""),$G32*PermVB+$G32*Retire1,IF($E32=1,$G32*PermVB+$G32*VLOOKUP($C32,Retirement_Rates,3,FALSE),IF($E32=2,$G32*GroupVB,IF(AND($E32=3,$C32=""),$G32*ElectVB+$G32*Retire1,IF($E32=3,$G32*ElectVB+$G32*VLOOKUP($C32,Retirement_Rates,3,FALSE),0)))))</f>
        <v>0</v>
      </c>
      <c r="J32" s="279">
        <f t="shared" si="3"/>
        <v>0</v>
      </c>
      <c r="K32" s="166"/>
      <c r="L32" s="176">
        <f t="shared" ref="L32:L35" si="8">IF(AND($F32&lt;&gt;0,$G32&lt;&gt;0,OR($E32=1,$E32=3)),$F32*HealthCHG,0)</f>
        <v>0</v>
      </c>
      <c r="M32" s="176">
        <f t="shared" ref="M32:M35" si="9">IF(AND($E32=1,$C32=""),$G32*PermVBCHG+$G32*Retire1CHG,IF($E32=1,$G32*PermVBCHG+$G32*VLOOKUP($C32,Retirement_Rates,5,FALSE),IF($E32=2,0,IF(AND($E32=3,$C32=""),$G32*ElectVBCHG+$G32*Retire1CHG,IF($E32=3,$G32*ElectVBCHG+$G32*VLOOKUP($C32,Retirement_Rates,5,FALSE),0)))))</f>
        <v>0</v>
      </c>
      <c r="N32" s="176">
        <f t="shared" ref="N32:N35" si="10">SUM(L32:M32)</f>
        <v>0</v>
      </c>
      <c r="O32"/>
      <c r="P32"/>
      <c r="Q32"/>
      <c r="R32"/>
      <c r="S32"/>
      <c r="T32"/>
      <c r="U32"/>
      <c r="V32"/>
      <c r="W32"/>
      <c r="X32"/>
      <c r="Y32"/>
      <c r="Z32" s="344"/>
      <c r="AA32" s="364"/>
      <c r="AB32" s="364"/>
      <c r="AC32" s="364"/>
      <c r="AD32" s="329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</row>
    <row r="33" spans="1:94" s="177" customFormat="1" ht="15" x14ac:dyDescent="0.25">
      <c r="A33" s="186"/>
      <c r="B33" s="187"/>
      <c r="C33" s="244"/>
      <c r="D33" s="242"/>
      <c r="E33" s="180"/>
      <c r="F33" s="181">
        <v>0</v>
      </c>
      <c r="G33" s="182">
        <v>0</v>
      </c>
      <c r="H33" s="176">
        <f t="shared" si="6"/>
        <v>0</v>
      </c>
      <c r="I33" s="176">
        <f t="shared" si="7"/>
        <v>0</v>
      </c>
      <c r="J33" s="279">
        <f t="shared" si="3"/>
        <v>0</v>
      </c>
      <c r="K33" s="166"/>
      <c r="L33" s="176">
        <f t="shared" si="8"/>
        <v>0</v>
      </c>
      <c r="M33" s="176">
        <f t="shared" si="9"/>
        <v>0</v>
      </c>
      <c r="N33" s="183">
        <f t="shared" si="10"/>
        <v>0</v>
      </c>
      <c r="O33"/>
      <c r="P33"/>
      <c r="Q33"/>
      <c r="R33"/>
      <c r="S33"/>
      <c r="T33"/>
      <c r="U33"/>
      <c r="V33"/>
      <c r="W33"/>
      <c r="X33"/>
      <c r="Y33"/>
      <c r="Z33" s="344"/>
      <c r="AA33" s="364"/>
      <c r="AB33" s="364"/>
      <c r="AC33" s="364"/>
      <c r="AD33" s="329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</row>
    <row r="34" spans="1:94" s="177" customFormat="1" ht="15" x14ac:dyDescent="0.25">
      <c r="A34" s="186"/>
      <c r="B34" s="187"/>
      <c r="C34" s="244"/>
      <c r="D34" s="242"/>
      <c r="E34" s="180"/>
      <c r="F34" s="181">
        <v>0</v>
      </c>
      <c r="G34" s="182">
        <v>0</v>
      </c>
      <c r="H34" s="176">
        <f t="shared" si="6"/>
        <v>0</v>
      </c>
      <c r="I34" s="176">
        <f t="shared" si="7"/>
        <v>0</v>
      </c>
      <c r="J34" s="279">
        <f t="shared" si="3"/>
        <v>0</v>
      </c>
      <c r="K34" s="280"/>
      <c r="L34" s="176">
        <f t="shared" si="8"/>
        <v>0</v>
      </c>
      <c r="M34" s="176">
        <f t="shared" si="9"/>
        <v>0</v>
      </c>
      <c r="N34" s="183">
        <f t="shared" si="10"/>
        <v>0</v>
      </c>
      <c r="O34"/>
      <c r="P34"/>
      <c r="Q34"/>
      <c r="R34"/>
      <c r="S34"/>
      <c r="T34"/>
      <c r="U34"/>
      <c r="V34"/>
      <c r="W34"/>
      <c r="X34"/>
      <c r="Y34"/>
      <c r="Z34" s="344"/>
      <c r="AA34" s="364"/>
      <c r="AB34" s="364"/>
      <c r="AC34" s="364"/>
      <c r="AD34" s="329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</row>
    <row r="35" spans="1:94" s="177" customFormat="1" ht="15" x14ac:dyDescent="0.25">
      <c r="A35" s="186"/>
      <c r="B35" s="187"/>
      <c r="C35" s="244"/>
      <c r="D35" s="242"/>
      <c r="E35" s="180"/>
      <c r="F35" s="181">
        <v>0</v>
      </c>
      <c r="G35" s="182">
        <v>0</v>
      </c>
      <c r="H35" s="176">
        <f t="shared" si="6"/>
        <v>0</v>
      </c>
      <c r="I35" s="176">
        <f>IF(AND($E35=1,$C35=""),$G35*(PermVB+Retire1),IF($E35=1,$G35*PermVB+$G35*VLOOKUP($C35,Retirement_Rates,3,FALSE),IF($E35=2,$G35*GroupVB,IF(AND($E35=3,$C35=""),$G35*ElectVB+$G35*Retire1,IF($E35=3,$G35*ElectVB+$G35*VLOOKUP($C35,Retirement_Rates,3,FALSE),0)))))</f>
        <v>0</v>
      </c>
      <c r="J35" s="279">
        <f t="shared" si="3"/>
        <v>0</v>
      </c>
      <c r="K35" s="309"/>
      <c r="L35" s="176">
        <f t="shared" si="8"/>
        <v>0</v>
      </c>
      <c r="M35" s="176">
        <f t="shared" si="9"/>
        <v>0</v>
      </c>
      <c r="N35" s="183">
        <f t="shared" si="10"/>
        <v>0</v>
      </c>
      <c r="O35"/>
      <c r="P35"/>
      <c r="Q35"/>
      <c r="R35"/>
      <c r="S35"/>
      <c r="T35"/>
      <c r="U35"/>
      <c r="V35"/>
      <c r="W35"/>
      <c r="X35"/>
      <c r="Y35"/>
      <c r="Z35" s="344"/>
      <c r="AA35" s="364"/>
      <c r="AB35" s="364"/>
      <c r="AC35" s="364"/>
      <c r="AD35" s="329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</row>
    <row r="36" spans="1:94" s="213" customFormat="1" ht="15" x14ac:dyDescent="0.25">
      <c r="A36" s="281"/>
      <c r="B36" s="282"/>
      <c r="C36" s="283"/>
      <c r="D36" s="284"/>
      <c r="E36" s="285"/>
      <c r="F36" s="197"/>
      <c r="G36" s="259"/>
      <c r="H36" s="259"/>
      <c r="I36" s="259"/>
      <c r="J36" s="286"/>
      <c r="K36" s="280"/>
      <c r="L36" s="321"/>
      <c r="M36" s="259"/>
      <c r="N36" s="259"/>
      <c r="O36"/>
      <c r="P36"/>
      <c r="Q36"/>
      <c r="R36"/>
      <c r="S36"/>
      <c r="T36"/>
      <c r="U36"/>
      <c r="V36"/>
      <c r="W36"/>
      <c r="X36"/>
      <c r="Y36"/>
      <c r="Z36" s="344"/>
      <c r="AA36" s="364" t="s">
        <v>92</v>
      </c>
      <c r="AB36" s="333" t="s">
        <v>93</v>
      </c>
      <c r="AC36" s="333" t="s">
        <v>104</v>
      </c>
      <c r="AD36" s="330"/>
    </row>
    <row r="37" spans="1:94" s="153" customFormat="1" ht="17.25" customHeight="1" x14ac:dyDescent="0.25">
      <c r="A37" s="139"/>
      <c r="B37" s="188"/>
      <c r="C37" s="476" t="s">
        <v>37</v>
      </c>
      <c r="D37" s="477"/>
      <c r="E37" s="150"/>
      <c r="F37" s="165"/>
      <c r="G37" s="166"/>
      <c r="H37" s="166"/>
      <c r="I37" s="166"/>
      <c r="J37" s="322"/>
      <c r="K37" s="166"/>
      <c r="L37" s="166"/>
      <c r="M37" s="166"/>
      <c r="N37" s="166"/>
      <c r="O37"/>
      <c r="P37"/>
      <c r="Q37"/>
      <c r="R37"/>
      <c r="S37"/>
      <c r="T37"/>
      <c r="U37"/>
      <c r="V37"/>
      <c r="W37"/>
      <c r="X37"/>
      <c r="Y37"/>
      <c r="Z37" s="344"/>
      <c r="AA37" s="478" t="s">
        <v>105</v>
      </c>
      <c r="AB37" s="479"/>
      <c r="AC37" s="479"/>
      <c r="AD37" s="329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</row>
    <row r="38" spans="1:94" s="153" customFormat="1" ht="15" x14ac:dyDescent="0.25">
      <c r="A38" s="139"/>
      <c r="B38" s="188"/>
      <c r="C38" s="460" t="str">
        <f>perm_name</f>
        <v>Permanent Positions</v>
      </c>
      <c r="D38" s="461"/>
      <c r="E38" s="189">
        <v>1</v>
      </c>
      <c r="F38" s="190">
        <f>SUMIF($E9:$E35,$E38,$F9:$F35)</f>
        <v>47.419999999999995</v>
      </c>
      <c r="G38" s="191">
        <f>SUMIF($E10:$E35,$E38,$G10:$G35)</f>
        <v>3826100.91</v>
      </c>
      <c r="H38" s="192">
        <f>SUMIF($E10:$E35,$E38,$H10:$H35)</f>
        <v>597750</v>
      </c>
      <c r="I38" s="192">
        <f>SUMIF($E10:$E35,$E38,$I10:$I35)</f>
        <v>784006.3374680999</v>
      </c>
      <c r="J38" s="192">
        <f>SUM(G38:I38)</f>
        <v>5207857.2474680999</v>
      </c>
      <c r="K38" s="166"/>
      <c r="L38" s="191">
        <f>SUMIF($E10:$E35,$E38,$L10:$L35)</f>
        <v>59775</v>
      </c>
      <c r="M38" s="192">
        <f>SUMIF($E10:$E35,$E38,$M10:$M35)</f>
        <v>-28695.756825000037</v>
      </c>
      <c r="N38" s="192">
        <f>SUM(L38:M38)</f>
        <v>31079.243174999963</v>
      </c>
      <c r="O38"/>
      <c r="P38"/>
      <c r="Q38"/>
      <c r="R38"/>
      <c r="S38"/>
      <c r="T38"/>
      <c r="U38"/>
      <c r="V38"/>
      <c r="W38"/>
      <c r="X38"/>
      <c r="Y38"/>
      <c r="Z38" s="344"/>
      <c r="AA38" s="338">
        <f>ROUND(AdjPermSalary*CECPerm,-2)</f>
        <v>38300</v>
      </c>
      <c r="AB38" s="338">
        <f>ROUND((AdjPermVB*CECPerm+AdjPermVBBY*CECPerm),-2)</f>
        <v>7600</v>
      </c>
      <c r="AC38" s="338">
        <f>SUM(AA38:AB38)</f>
        <v>45900</v>
      </c>
      <c r="AD38" s="329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</row>
    <row r="39" spans="1:94" s="153" customFormat="1" ht="15" x14ac:dyDescent="0.25">
      <c r="A39" s="139"/>
      <c r="B39" s="188"/>
      <c r="C39" s="460" t="str">
        <f>Group_name</f>
        <v>Board &amp; Group Positions</v>
      </c>
      <c r="D39" s="461"/>
      <c r="E39" s="189">
        <v>2</v>
      </c>
      <c r="F39" s="151">
        <f>SUMIF($E9:$E35,$E39,$F9:$F35)</f>
        <v>0</v>
      </c>
      <c r="G39" s="193">
        <f>SUMIF($E10:$E35,$E39,$G10:$G35)</f>
        <v>0</v>
      </c>
      <c r="H39" s="152">
        <f>SUMIF($E10:$E35,$E39,$H10:$H35)</f>
        <v>0</v>
      </c>
      <c r="I39" s="152">
        <f>SUMIF($E10:$E35,$E39,$I10:$I35)</f>
        <v>0</v>
      </c>
      <c r="J39" s="152">
        <f>SUM(G39:I39)</f>
        <v>0</v>
      </c>
      <c r="K39" s="259"/>
      <c r="L39" s="193">
        <f>SUMIF($E10:$E35,$E39,$L10:$L35)</f>
        <v>0</v>
      </c>
      <c r="M39" s="152">
        <f>SUMIF($E11:$E37,$E39,$M11:$M37)</f>
        <v>0</v>
      </c>
      <c r="N39" s="152">
        <f>SUM(L39:M39)</f>
        <v>0</v>
      </c>
      <c r="O39"/>
      <c r="P39"/>
      <c r="Q39"/>
      <c r="R39"/>
      <c r="S39"/>
      <c r="T39"/>
      <c r="U39"/>
      <c r="V39"/>
      <c r="W39"/>
      <c r="X39"/>
      <c r="Y39"/>
      <c r="Z39" s="344"/>
      <c r="AA39" s="338">
        <f>ROUND(AdjGroupSalary*CECGroup,-2)</f>
        <v>0</v>
      </c>
      <c r="AB39" s="338">
        <f>ROUND(AdjGroupVB*CECGroup,-2)</f>
        <v>0</v>
      </c>
      <c r="AC39" s="338">
        <f>SUM(AA39:AB39)</f>
        <v>0</v>
      </c>
      <c r="AD39" s="329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</row>
    <row r="40" spans="1:94" s="153" customFormat="1" ht="15" x14ac:dyDescent="0.25">
      <c r="A40" s="139"/>
      <c r="B40" s="188"/>
      <c r="C40" s="365" t="str">
        <f>Elect_name</f>
        <v>Elected Officials &amp; Full Time Commissioners</v>
      </c>
      <c r="D40" s="366"/>
      <c r="E40" s="189">
        <v>3</v>
      </c>
      <c r="F40" s="151">
        <f>SUMIF($E9:$E35,$E40,$F9:$F35)</f>
        <v>0</v>
      </c>
      <c r="G40" s="193">
        <f>SUMIF($E10:$E35,$E40,$G10:$G35)</f>
        <v>0</v>
      </c>
      <c r="H40" s="152">
        <f>SUMIF($E10:$E35,$E40,$H10:$H35)</f>
        <v>0</v>
      </c>
      <c r="I40" s="152">
        <f>SUMIF($E10:$E35,$E40,$I10:$I35)</f>
        <v>0</v>
      </c>
      <c r="J40" s="152">
        <f>SUM(G40:I40)</f>
        <v>0</v>
      </c>
      <c r="K40" s="259"/>
      <c r="L40" s="193">
        <f>SUMIF($E10:$E35,$E40,$L10:$L35)</f>
        <v>0</v>
      </c>
      <c r="M40" s="152">
        <f>SUMIF($E10:$E35,$E40,$M10:$M35)</f>
        <v>0</v>
      </c>
      <c r="N40" s="152">
        <f>SUM(L40:M40)</f>
        <v>0</v>
      </c>
      <c r="O40"/>
      <c r="P40"/>
      <c r="Q40"/>
      <c r="R40"/>
      <c r="S40"/>
      <c r="T40"/>
      <c r="U40"/>
      <c r="V40"/>
      <c r="W40"/>
      <c r="X40"/>
      <c r="Y40"/>
      <c r="Z40" s="344"/>
      <c r="AA40" s="364"/>
      <c r="AB40" s="364"/>
      <c r="AC40" s="364"/>
      <c r="AD40" s="329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</row>
    <row r="41" spans="1:94" s="153" customFormat="1" ht="15" x14ac:dyDescent="0.25">
      <c r="A41" s="139"/>
      <c r="B41" s="188"/>
      <c r="C41" s="460" t="s">
        <v>38</v>
      </c>
      <c r="D41" s="461"/>
      <c r="E41" s="189"/>
      <c r="F41" s="161">
        <f>SUM(F38:F40)</f>
        <v>47.419999999999995</v>
      </c>
      <c r="G41" s="195">
        <f>SUM($G$38:$G$40)</f>
        <v>3826100.91</v>
      </c>
      <c r="H41" s="162">
        <f>SUM($H$38:$H$40)</f>
        <v>597750</v>
      </c>
      <c r="I41" s="162">
        <f>SUM($I$38:$I$40)</f>
        <v>784006.3374680999</v>
      </c>
      <c r="J41" s="162">
        <f>SUM($J$38:$J$40)</f>
        <v>5207857.2474680999</v>
      </c>
      <c r="K41" s="259"/>
      <c r="L41" s="195">
        <f>SUM($L$38:$L$40)</f>
        <v>59775</v>
      </c>
      <c r="M41" s="162">
        <f>SUM($M$38:$M$40)</f>
        <v>-28695.756825000037</v>
      </c>
      <c r="N41" s="162">
        <f>SUM(L41:M41)</f>
        <v>31079.243174999963</v>
      </c>
      <c r="O41"/>
      <c r="P41"/>
      <c r="Q41"/>
      <c r="R41"/>
      <c r="S41"/>
      <c r="T41"/>
      <c r="U41"/>
      <c r="V41"/>
      <c r="W41"/>
      <c r="X41"/>
      <c r="Y41"/>
      <c r="Z41" s="344"/>
      <c r="AA41" s="364" t="s">
        <v>92</v>
      </c>
      <c r="AB41" s="333" t="s">
        <v>93</v>
      </c>
      <c r="AC41" s="333" t="s">
        <v>104</v>
      </c>
      <c r="AD41" s="329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</row>
    <row r="42" spans="1:94" s="153" customFormat="1" ht="4.5" customHeight="1" x14ac:dyDescent="0.25">
      <c r="A42" s="139"/>
      <c r="B42" s="188"/>
      <c r="C42" s="462"/>
      <c r="D42" s="463"/>
      <c r="E42" s="196"/>
      <c r="F42" s="197"/>
      <c r="G42" s="198"/>
      <c r="H42" s="199"/>
      <c r="I42" s="199"/>
      <c r="J42" s="324"/>
      <c r="K42" s="200"/>
      <c r="L42" s="323"/>
      <c r="M42" s="323"/>
      <c r="N42" s="201"/>
      <c r="O42"/>
      <c r="P42"/>
      <c r="Q42"/>
      <c r="R42"/>
      <c r="S42"/>
      <c r="T42"/>
      <c r="U42"/>
      <c r="V42"/>
      <c r="W42"/>
      <c r="X42"/>
      <c r="Y42"/>
      <c r="Z42" s="344"/>
      <c r="AA42" s="364"/>
      <c r="AB42" s="364"/>
      <c r="AC42" s="364"/>
      <c r="AD42" s="329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</row>
    <row r="43" spans="1:94" s="153" customFormat="1" ht="15.75" customHeight="1" x14ac:dyDescent="0.25">
      <c r="A43" s="139"/>
      <c r="B43" s="202"/>
      <c r="C43" s="464" t="s">
        <v>39</v>
      </c>
      <c r="D43" s="465"/>
      <c r="E43" s="203" t="s">
        <v>40</v>
      </c>
      <c r="F43" s="205">
        <f>ROUND(F51-F41,2)</f>
        <v>4.88</v>
      </c>
      <c r="G43" s="206">
        <f>G51-G41</f>
        <v>316310.5167786763</v>
      </c>
      <c r="H43" s="159">
        <f>H51-H41</f>
        <v>49417.047760105575</v>
      </c>
      <c r="I43" s="159">
        <f>I51-I41</f>
        <v>64815.187993118539</v>
      </c>
      <c r="J43" s="159">
        <f>SUM(G43:I43)</f>
        <v>430542.75253190042</v>
      </c>
      <c r="K43" s="441" t="str">
        <f>IF(E51=0,"No Original Appropriation amount in DU 3.00 for this fund","Calculated "&amp;IF(J43&gt;0,"overfunding ","underfunding ")&amp;"is "&amp;TEXT(J43/J51,"#.0%;(#.0% );0%;")&amp;" of Original Appropriation")</f>
        <v>Calculated overfunding is 7.6% of Original Appropriation</v>
      </c>
      <c r="L43" s="442"/>
      <c r="M43" s="442"/>
      <c r="N43" s="443"/>
      <c r="O43"/>
      <c r="P43"/>
      <c r="Q43"/>
      <c r="R43"/>
      <c r="S43"/>
      <c r="T43"/>
      <c r="U43"/>
      <c r="V43"/>
      <c r="W43"/>
      <c r="X43"/>
      <c r="Y43"/>
      <c r="Z43" s="344"/>
      <c r="AA43" s="468" t="s">
        <v>106</v>
      </c>
      <c r="AB43" s="469"/>
      <c r="AC43" s="469"/>
      <c r="AD43" s="329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</row>
    <row r="44" spans="1:94" s="153" customFormat="1" ht="15.75" customHeight="1" x14ac:dyDescent="0.25">
      <c r="A44" s="139"/>
      <c r="B44" s="202"/>
      <c r="C44" s="466"/>
      <c r="D44" s="467"/>
      <c r="E44" s="204" t="s">
        <v>41</v>
      </c>
      <c r="F44" s="205">
        <f>ROUND(F60-F41,2)</f>
        <v>4.88</v>
      </c>
      <c r="G44" s="206">
        <f>G60-G41</f>
        <v>316299.08999999985</v>
      </c>
      <c r="H44" s="159">
        <f>H60-H41</f>
        <v>49450</v>
      </c>
      <c r="I44" s="159">
        <f>I60-I41</f>
        <v>64793.662531900103</v>
      </c>
      <c r="J44" s="159">
        <f>SUM(G44:I44)</f>
        <v>430542.75253189995</v>
      </c>
      <c r="K44" s="441" t="str">
        <f>IF(J60=0,"This fund has zero estimated expenditures in DU 7.00",IF(J60=0,"ERROR! Verify/enter 6 series adjustments!","Calculated "&amp;IF(J44&gt;0,"overfunding ","underfunding ")&amp;"is "&amp;TEXT(J44/J60,"#.0%;(#.0% );0%;")&amp;" of Est. Expenditures"))</f>
        <v>Calculated overfunding is 7.6% of Est. Expenditures</v>
      </c>
      <c r="L44" s="442"/>
      <c r="M44" s="442"/>
      <c r="N44" s="443"/>
      <c r="O44"/>
      <c r="P44"/>
      <c r="Q44"/>
      <c r="R44"/>
      <c r="S44"/>
      <c r="T44"/>
      <c r="U44"/>
      <c r="V44"/>
      <c r="W44"/>
      <c r="X44"/>
      <c r="Y44"/>
      <c r="Z44" s="344"/>
      <c r="AA44" s="338">
        <f>NEW_AdjPermSalary-NEW_PermSalaryFilled</f>
        <v>0</v>
      </c>
      <c r="AB44" s="338">
        <f>NEW_AdjPermVB-NEW_PermVBFilled</f>
        <v>0</v>
      </c>
      <c r="AC44" s="338">
        <f>SUM(AA44:AB44)</f>
        <v>0</v>
      </c>
      <c r="AD44" s="329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</row>
    <row r="45" spans="1:94" s="153" customFormat="1" ht="15.75" customHeight="1" x14ac:dyDescent="0.25">
      <c r="A45" s="139"/>
      <c r="B45" s="202"/>
      <c r="C45" s="215"/>
      <c r="D45" s="215"/>
      <c r="E45" s="204" t="s">
        <v>97</v>
      </c>
      <c r="F45" s="205">
        <f>ROUND(F67-F41-F63,2)</f>
        <v>4.88</v>
      </c>
      <c r="G45" s="206">
        <f>G67-G41-G63</f>
        <v>316299.08999999985</v>
      </c>
      <c r="H45" s="206">
        <f>H67-H41-H63</f>
        <v>49450</v>
      </c>
      <c r="I45" s="206">
        <f>I67-I41-I63</f>
        <v>64793.662531900103</v>
      </c>
      <c r="J45" s="159">
        <f>SUM(G45:I45)</f>
        <v>430542.75253189995</v>
      </c>
      <c r="K45" s="441" t="str">
        <f>IF(J67=0,"This fund has a $0 Base in DU 9.00",IF(J67=0,"ERROR! Verify/enter 8 series adjustments!","Calculated "&amp;IF(J45&gt;0,"overfunding ","underfunding ")&amp;"is "&amp;TEXT(J45/J67,"#.0%;(#.0% );0%;")&amp;" of the Base"))</f>
        <v>Calculated overfunding is 7.6% of the Base</v>
      </c>
      <c r="L45" s="442"/>
      <c r="M45" s="442"/>
      <c r="N45" s="443"/>
      <c r="O45"/>
      <c r="P45"/>
      <c r="Q45"/>
      <c r="R45"/>
      <c r="S45"/>
      <c r="T45"/>
      <c r="U45"/>
      <c r="V45"/>
      <c r="W45"/>
      <c r="X45"/>
      <c r="Y45"/>
      <c r="Z45" s="344"/>
      <c r="AA45" s="338">
        <f>NEW_AdjGroupSalary-NEW_GroupSalaryFilled</f>
        <v>0</v>
      </c>
      <c r="AB45" s="338">
        <f>NEW_AdjGroupVB-NEW_GroupVBFilled</f>
        <v>0</v>
      </c>
      <c r="AC45" s="338">
        <f>SUM(AA45:AB45)</f>
        <v>0</v>
      </c>
      <c r="AD45" s="329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</row>
    <row r="46" spans="1:94" s="153" customFormat="1" ht="28.5" customHeight="1" x14ac:dyDescent="0.25">
      <c r="A46" s="139"/>
      <c r="B46" s="202"/>
      <c r="C46" s="215"/>
      <c r="D46" s="215"/>
      <c r="E46" s="444" t="s">
        <v>98</v>
      </c>
      <c r="F46" s="445"/>
      <c r="G46" s="445"/>
      <c r="H46" s="445"/>
      <c r="I46" s="445"/>
      <c r="J46" s="446"/>
      <c r="K46" s="450" t="str">
        <f>IF(OR(J45&lt;0,F45&lt;0),"You may not have sufficient funding or authorized FTP, and may need to make additional adjustments to finalize this form.  Please contact both your DFM and LSO analysts.","")</f>
        <v/>
      </c>
      <c r="L46" s="451"/>
      <c r="M46" s="451"/>
      <c r="N46" s="452"/>
      <c r="O46"/>
      <c r="P46"/>
      <c r="Q46"/>
      <c r="R46"/>
      <c r="S46"/>
      <c r="T46"/>
      <c r="U46"/>
      <c r="V46"/>
      <c r="W46"/>
      <c r="X46"/>
      <c r="Y46"/>
      <c r="Z46" s="344"/>
      <c r="AA46" s="364"/>
      <c r="AB46" s="364"/>
      <c r="AC46" s="364"/>
      <c r="AD46" s="329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</row>
    <row r="47" spans="1:94" s="153" customFormat="1" ht="21.75" customHeight="1" x14ac:dyDescent="0.25">
      <c r="A47" s="139"/>
      <c r="B47" s="202"/>
      <c r="C47" s="215"/>
      <c r="D47" s="215"/>
      <c r="E47" s="447"/>
      <c r="F47" s="448"/>
      <c r="G47" s="448"/>
      <c r="H47" s="448"/>
      <c r="I47" s="448"/>
      <c r="J47" s="449"/>
      <c r="K47" s="453"/>
      <c r="L47" s="454"/>
      <c r="M47" s="454"/>
      <c r="N47" s="455"/>
      <c r="O47"/>
      <c r="P47"/>
      <c r="Q47"/>
      <c r="R47"/>
      <c r="S47"/>
      <c r="T47"/>
      <c r="U47"/>
      <c r="V47"/>
      <c r="W47"/>
      <c r="X47"/>
      <c r="Y47"/>
      <c r="Z47" s="344"/>
      <c r="AA47" s="364"/>
      <c r="AB47" s="364"/>
      <c r="AC47" s="364"/>
      <c r="AD47" s="329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</row>
    <row r="48" spans="1:94" s="214" customFormat="1" ht="8.25" customHeight="1" x14ac:dyDescent="0.25">
      <c r="A48" s="207"/>
      <c r="B48" s="208"/>
      <c r="C48" s="136"/>
      <c r="D48" s="136"/>
      <c r="E48" s="209"/>
      <c r="F48" s="210"/>
      <c r="G48" s="211"/>
      <c r="H48" s="211"/>
      <c r="I48" s="211"/>
      <c r="J48" s="211"/>
      <c r="K48" s="211"/>
      <c r="L48" s="137"/>
      <c r="M48" s="138"/>
      <c r="N48" s="212"/>
      <c r="O48"/>
      <c r="P48"/>
      <c r="Q48"/>
      <c r="R48"/>
      <c r="S48"/>
      <c r="T48"/>
      <c r="U48"/>
      <c r="V48"/>
      <c r="W48"/>
      <c r="X48"/>
      <c r="Y48"/>
      <c r="Z48" s="344"/>
      <c r="AA48" s="339"/>
      <c r="AB48" s="339"/>
      <c r="AC48" s="339"/>
      <c r="AD48" s="330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  <c r="CM48" s="213"/>
      <c r="CN48" s="213"/>
      <c r="CO48" s="213"/>
      <c r="CP48" s="213"/>
    </row>
    <row r="49" spans="1:94" s="53" customFormat="1" ht="6" customHeight="1" x14ac:dyDescent="0.25">
      <c r="A49" s="63"/>
      <c r="B49" s="64"/>
      <c r="C49" s="65"/>
      <c r="D49" s="66"/>
      <c r="E49" s="67"/>
      <c r="F49" s="68"/>
      <c r="G49" s="64"/>
      <c r="H49" s="64"/>
      <c r="I49" s="64"/>
      <c r="J49" s="64"/>
      <c r="K49" s="64"/>
      <c r="L49" s="69"/>
      <c r="M49" s="69"/>
      <c r="N49" s="70"/>
      <c r="O49"/>
      <c r="P49"/>
      <c r="Q49"/>
      <c r="R49"/>
      <c r="S49"/>
      <c r="T49"/>
      <c r="U49"/>
      <c r="V49"/>
      <c r="W49"/>
      <c r="X49"/>
      <c r="Y49"/>
      <c r="Z49" s="344"/>
      <c r="AA49" s="364"/>
      <c r="AB49" s="364"/>
      <c r="AC49" s="364"/>
      <c r="AD49" s="110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</row>
    <row r="50" spans="1:94" s="53" customFormat="1" ht="24.75" customHeight="1" x14ac:dyDescent="0.25">
      <c r="A50" s="257" t="s">
        <v>42</v>
      </c>
      <c r="B50" s="71"/>
      <c r="C50" s="456"/>
      <c r="D50" s="457"/>
      <c r="E50" s="72" t="s">
        <v>43</v>
      </c>
      <c r="F50" s="73" t="s">
        <v>24</v>
      </c>
      <c r="G50" s="72" t="str">
        <f>"FY "&amp;M4-2001&amp;" Salary"</f>
        <v>FY 23 Salary</v>
      </c>
      <c r="H50" s="72" t="str">
        <f>"FY "&amp;M4-2001&amp;" Health Ben"</f>
        <v>FY 23 Health Ben</v>
      </c>
      <c r="I50" s="72" t="str">
        <f>"FY "&amp;M4-2001&amp;" Var Ben"</f>
        <v>FY 23 Var Ben</v>
      </c>
      <c r="J50" s="72" t="str">
        <f>"FY "&amp;M4-1&amp;" Total"</f>
        <v>FY 2023 Total</v>
      </c>
      <c r="K50" s="307" t="str">
        <f>"FY "&amp;FiscalYear&amp;" SALARY CHG"</f>
        <v>FY 2024 SALARY CHG</v>
      </c>
      <c r="L50" s="74" t="str">
        <f>"FY "&amp;M4-2000&amp;" Chg Health Bens"</f>
        <v>FY 24 Chg Health Bens</v>
      </c>
      <c r="M50" s="74" t="str">
        <f>"FY "&amp;M4-2000&amp;" Chg Var Bens"</f>
        <v>FY 24 Chg Var Bens</v>
      </c>
      <c r="N50" s="74" t="s">
        <v>44</v>
      </c>
      <c r="O50"/>
      <c r="P50"/>
      <c r="Q50"/>
      <c r="R50"/>
      <c r="S50"/>
      <c r="T50"/>
      <c r="U50"/>
      <c r="V50"/>
      <c r="W50"/>
      <c r="X50"/>
      <c r="Y50"/>
      <c r="Z50" s="344"/>
      <c r="AA50" s="364"/>
      <c r="AB50" s="364"/>
      <c r="AC50" s="364"/>
      <c r="AD50" s="110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</row>
    <row r="51" spans="1:94" s="53" customFormat="1" ht="15.75" customHeight="1" x14ac:dyDescent="0.25">
      <c r="A51" s="75">
        <v>3</v>
      </c>
      <c r="B51" s="76" t="s">
        <v>45</v>
      </c>
      <c r="C51" s="54" t="str">
        <f>"FY "&amp;M4-1</f>
        <v>FY 2023</v>
      </c>
      <c r="D51" s="77" t="s">
        <v>31</v>
      </c>
      <c r="E51" s="78">
        <f>OrigApprop</f>
        <v>5638400</v>
      </c>
      <c r="F51" s="272">
        <f>AppropFTP</f>
        <v>52.3</v>
      </c>
      <c r="G51" s="274">
        <f>IF(E51=0,0,(G41/$J$41)*$E$51)</f>
        <v>4142411.4267786765</v>
      </c>
      <c r="H51" s="274">
        <f>IF(E51=0,0,(H41/$J$41)*$E$51)</f>
        <v>647167.04776010558</v>
      </c>
      <c r="I51" s="275">
        <f>IF(E51=0,0,(I41/$J$41)*$E$51)</f>
        <v>848821.52546121844</v>
      </c>
      <c r="J51" s="90">
        <f>SUM(G51:I51)</f>
        <v>5638400</v>
      </c>
      <c r="K51" s="263"/>
      <c r="L51" s="61"/>
      <c r="M51" s="81"/>
      <c r="N51" s="81"/>
      <c r="O51"/>
      <c r="P51"/>
      <c r="Q51"/>
      <c r="R51"/>
      <c r="S51"/>
      <c r="T51"/>
      <c r="U51"/>
      <c r="V51"/>
      <c r="W51"/>
      <c r="X51"/>
      <c r="Y51"/>
      <c r="Z51" s="344"/>
      <c r="AA51" s="346"/>
      <c r="AB51" s="364"/>
      <c r="AC51" s="364"/>
      <c r="AD51" s="110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</row>
    <row r="52" spans="1:94" s="53" customFormat="1" ht="15.75" customHeight="1" x14ac:dyDescent="0.25">
      <c r="A52" s="82"/>
      <c r="B52" s="83"/>
      <c r="C52" s="84"/>
      <c r="D52" s="132" t="s">
        <v>46</v>
      </c>
      <c r="E52" s="133"/>
      <c r="F52" s="55">
        <f>F51</f>
        <v>52.3</v>
      </c>
      <c r="G52" s="79">
        <f>ROUND(G51,-2)</f>
        <v>4142400</v>
      </c>
      <c r="H52" s="79">
        <f>ROUND(H51,-2)</f>
        <v>647200</v>
      </c>
      <c r="I52" s="266">
        <f>ROUND(I51,-2)</f>
        <v>848800</v>
      </c>
      <c r="J52" s="80">
        <f>ROUND(J51,-2)</f>
        <v>5638400</v>
      </c>
      <c r="K52" s="263"/>
      <c r="L52" s="61"/>
      <c r="M52" s="81"/>
      <c r="N52" s="81"/>
      <c r="O52"/>
      <c r="P52"/>
      <c r="Q52"/>
      <c r="R52"/>
      <c r="S52"/>
      <c r="T52"/>
      <c r="U52"/>
      <c r="V52"/>
      <c r="W52"/>
      <c r="X52"/>
      <c r="Y52"/>
      <c r="Z52" s="344"/>
      <c r="AA52" s="347"/>
      <c r="AB52" s="364"/>
      <c r="AC52" s="364"/>
      <c r="AD52" s="110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</row>
    <row r="53" spans="1:94" s="53" customFormat="1" ht="15" x14ac:dyDescent="0.25">
      <c r="A53" s="85"/>
      <c r="B53" s="83"/>
      <c r="C53" s="458" t="s">
        <v>47</v>
      </c>
      <c r="D53" s="459"/>
      <c r="E53" s="271"/>
      <c r="F53" s="273"/>
      <c r="G53" s="62"/>
      <c r="H53" s="62"/>
      <c r="I53" s="62"/>
      <c r="J53" s="62"/>
      <c r="K53" s="62"/>
      <c r="L53" s="61"/>
      <c r="M53" s="86"/>
      <c r="N53" s="86"/>
      <c r="O53"/>
      <c r="P53"/>
      <c r="Q53"/>
      <c r="R53"/>
      <c r="S53"/>
      <c r="T53"/>
      <c r="U53"/>
      <c r="V53"/>
      <c r="W53"/>
      <c r="X53"/>
      <c r="Y53"/>
      <c r="Z53" s="344"/>
      <c r="AA53" s="364"/>
      <c r="AB53" s="364"/>
      <c r="AC53" s="364"/>
      <c r="AD53" s="110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</row>
    <row r="54" spans="1:94" s="53" customFormat="1" ht="15.75" customHeight="1" x14ac:dyDescent="0.25">
      <c r="A54" s="85">
        <v>4.1100000000000003</v>
      </c>
      <c r="B54" s="83"/>
      <c r="C54" s="423" t="s">
        <v>48</v>
      </c>
      <c r="D54" s="424"/>
      <c r="E54" s="59"/>
      <c r="F54" s="58">
        <v>0</v>
      </c>
      <c r="G54" s="88">
        <v>0</v>
      </c>
      <c r="H54" s="88">
        <v>0</v>
      </c>
      <c r="I54" s="265">
        <v>0</v>
      </c>
      <c r="J54" s="89">
        <f>SUM(G54:I54)</f>
        <v>0</v>
      </c>
      <c r="K54" s="62"/>
      <c r="L54" s="61"/>
      <c r="M54" s="86"/>
      <c r="N54" s="86"/>
      <c r="O54"/>
      <c r="P54"/>
      <c r="Q54"/>
      <c r="R54"/>
      <c r="S54"/>
      <c r="T54"/>
      <c r="U54"/>
      <c r="V54"/>
      <c r="W54"/>
      <c r="X54"/>
      <c r="Y54"/>
      <c r="Z54" s="344"/>
      <c r="AA54" s="364"/>
      <c r="AB54" s="364"/>
      <c r="AC54" s="364"/>
      <c r="AD54" s="110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</row>
    <row r="55" spans="1:94" s="53" customFormat="1" ht="15.75" customHeight="1" x14ac:dyDescent="0.25">
      <c r="A55" s="85">
        <v>4.3099999999999996</v>
      </c>
      <c r="B55" s="83"/>
      <c r="C55" s="430" t="s">
        <v>49</v>
      </c>
      <c r="D55" s="431"/>
      <c r="E55" s="59"/>
      <c r="F55" s="277">
        <v>0</v>
      </c>
      <c r="G55" s="92">
        <v>0</v>
      </c>
      <c r="H55" s="92">
        <v>0</v>
      </c>
      <c r="I55" s="264">
        <v>0</v>
      </c>
      <c r="J55" s="287">
        <f>SUM(G55:I55)</f>
        <v>0</v>
      </c>
      <c r="K55" s="62"/>
      <c r="L55" s="88"/>
      <c r="M55" s="261"/>
      <c r="N55" s="89">
        <f>SUM(L55:M55)</f>
        <v>0</v>
      </c>
      <c r="O55"/>
      <c r="P55"/>
      <c r="Q55"/>
      <c r="R55"/>
      <c r="S55"/>
      <c r="T55"/>
      <c r="U55"/>
      <c r="V55"/>
      <c r="W55"/>
      <c r="X55"/>
      <c r="Y55"/>
      <c r="Z55" s="344"/>
      <c r="AA55" s="364"/>
      <c r="AB55" s="364"/>
      <c r="AC55" s="364"/>
      <c r="AD55" s="110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</row>
    <row r="56" spans="1:94" s="53" customFormat="1" ht="15.75" customHeight="1" x14ac:dyDescent="0.25">
      <c r="A56" s="75">
        <v>5</v>
      </c>
      <c r="B56" s="76"/>
      <c r="C56" s="54" t="str">
        <f>"FY "&amp;M4-1</f>
        <v>FY 2023</v>
      </c>
      <c r="D56" s="131" t="s">
        <v>50</v>
      </c>
      <c r="E56" s="135"/>
      <c r="F56" s="55">
        <f>SUM(F52:F55)</f>
        <v>52.3</v>
      </c>
      <c r="G56" s="80">
        <f>SUM(G52:G55)</f>
        <v>4142400</v>
      </c>
      <c r="H56" s="80">
        <f>SUM(H52:H55)</f>
        <v>647200</v>
      </c>
      <c r="I56" s="260">
        <f>SUM(I52:I55)</f>
        <v>848800</v>
      </c>
      <c r="J56" s="80">
        <f>SUM(J52:J55)</f>
        <v>5638400</v>
      </c>
      <c r="K56" s="263"/>
      <c r="L56" s="61"/>
      <c r="M56" s="61"/>
      <c r="N56" s="61"/>
      <c r="O56"/>
      <c r="P56"/>
      <c r="Q56"/>
      <c r="R56"/>
      <c r="S56"/>
      <c r="T56"/>
      <c r="U56"/>
      <c r="V56"/>
      <c r="W56"/>
      <c r="X56"/>
      <c r="Y56"/>
      <c r="Z56" s="344"/>
      <c r="AA56" s="364"/>
      <c r="AB56" s="364"/>
      <c r="AC56" s="364"/>
      <c r="AD56" s="110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</row>
    <row r="57" spans="1:94" s="53" customFormat="1" ht="15.75" customHeight="1" x14ac:dyDescent="0.25">
      <c r="A57" s="85"/>
      <c r="B57" s="83"/>
      <c r="C57" s="428" t="s">
        <v>51</v>
      </c>
      <c r="D57" s="432"/>
      <c r="E57" s="368"/>
      <c r="F57" s="273"/>
      <c r="G57" s="62"/>
      <c r="H57" s="62"/>
      <c r="I57" s="62"/>
      <c r="J57" s="62"/>
      <c r="K57" s="62"/>
      <c r="L57" s="61"/>
      <c r="M57" s="61"/>
      <c r="N57" s="61"/>
      <c r="O57"/>
      <c r="P57"/>
      <c r="Q57"/>
      <c r="R57"/>
      <c r="S57"/>
      <c r="T57"/>
      <c r="U57"/>
      <c r="V57"/>
      <c r="W57"/>
      <c r="X57"/>
      <c r="Y57"/>
      <c r="Z57" s="344"/>
      <c r="AA57" s="364"/>
      <c r="AB57" s="364"/>
      <c r="AC57" s="364"/>
      <c r="AD57" s="110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</row>
    <row r="58" spans="1:94" s="53" customFormat="1" ht="15.75" customHeight="1" x14ac:dyDescent="0.25">
      <c r="A58" s="85">
        <v>6.31</v>
      </c>
      <c r="B58" s="83"/>
      <c r="C58" s="433" t="s">
        <v>116</v>
      </c>
      <c r="D58" s="434"/>
      <c r="E58" s="102"/>
      <c r="F58" s="58">
        <v>0</v>
      </c>
      <c r="G58" s="88">
        <v>0</v>
      </c>
      <c r="H58" s="88">
        <v>0</v>
      </c>
      <c r="I58" s="265"/>
      <c r="J58" s="89">
        <f>SUM(G58:I58)</f>
        <v>0</v>
      </c>
      <c r="K58" s="62"/>
      <c r="L58" s="88"/>
      <c r="M58" s="262"/>
      <c r="N58" s="89">
        <f>SUM(L58:M58)</f>
        <v>0</v>
      </c>
      <c r="O58"/>
      <c r="P58"/>
      <c r="Q58"/>
      <c r="R58"/>
      <c r="S58"/>
      <c r="T58"/>
      <c r="U58"/>
      <c r="V58"/>
      <c r="W58"/>
      <c r="X58"/>
      <c r="Y58"/>
      <c r="Z58" s="344"/>
      <c r="AA58" s="364"/>
      <c r="AB58" s="364"/>
      <c r="AC58" s="364"/>
      <c r="AD58" s="110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</row>
    <row r="59" spans="1:94" s="53" customFormat="1" ht="15.75" customHeight="1" x14ac:dyDescent="0.25">
      <c r="A59" s="85">
        <v>6.41</v>
      </c>
      <c r="B59" s="83"/>
      <c r="C59" s="433" t="s">
        <v>52</v>
      </c>
      <c r="D59" s="434"/>
      <c r="E59" s="102"/>
      <c r="F59" s="58">
        <v>0</v>
      </c>
      <c r="G59" s="88">
        <v>0</v>
      </c>
      <c r="H59" s="92">
        <v>0</v>
      </c>
      <c r="I59" s="264">
        <v>0</v>
      </c>
      <c r="J59" s="267">
        <f>SUM(G59:I59)</f>
        <v>0</v>
      </c>
      <c r="K59" s="62"/>
      <c r="L59" s="88"/>
      <c r="M59" s="261"/>
      <c r="N59" s="89">
        <f>SUM(L59:M59)</f>
        <v>0</v>
      </c>
      <c r="O59"/>
      <c r="P59"/>
      <c r="Q59"/>
      <c r="R59"/>
      <c r="S59"/>
      <c r="T59"/>
      <c r="U59"/>
      <c r="V59"/>
      <c r="W59"/>
      <c r="X59"/>
      <c r="Y59"/>
      <c r="Z59" s="344"/>
      <c r="AA59" s="364"/>
      <c r="AB59" s="364"/>
      <c r="AC59" s="364"/>
      <c r="AD59" s="110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</row>
    <row r="60" spans="1:94" s="53" customFormat="1" ht="15.75" customHeight="1" x14ac:dyDescent="0.25">
      <c r="A60" s="75">
        <v>7</v>
      </c>
      <c r="B60" s="76"/>
      <c r="C60" s="54" t="str">
        <f>"FY "&amp;M4-1</f>
        <v>FY 2023</v>
      </c>
      <c r="D60" s="131" t="s">
        <v>53</v>
      </c>
      <c r="E60" s="135"/>
      <c r="F60" s="55">
        <f>SUM(F56:F59)</f>
        <v>52.3</v>
      </c>
      <c r="G60" s="80">
        <f>SUM(G56:G59)</f>
        <v>4142400</v>
      </c>
      <c r="H60" s="80">
        <f>SUM(H56:H59)</f>
        <v>647200</v>
      </c>
      <c r="I60" s="260">
        <f>SUM(I56:I59)</f>
        <v>848800</v>
      </c>
      <c r="J60" s="80">
        <f>SUM(J56:J59)</f>
        <v>5638400</v>
      </c>
      <c r="K60" s="263"/>
      <c r="L60" s="61"/>
      <c r="M60" s="61"/>
      <c r="N60" s="60"/>
      <c r="O60"/>
      <c r="P60"/>
      <c r="Q60"/>
      <c r="R60"/>
      <c r="S60"/>
      <c r="T60"/>
      <c r="U60"/>
      <c r="V60"/>
      <c r="W60"/>
      <c r="X60"/>
      <c r="Y60"/>
      <c r="Z60" s="344"/>
      <c r="AA60" s="364"/>
      <c r="AB60" s="364"/>
      <c r="AC60" s="364"/>
      <c r="AD60" s="110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</row>
    <row r="61" spans="1:94" s="53" customFormat="1" ht="15.75" customHeight="1" x14ac:dyDescent="0.25">
      <c r="A61" s="85"/>
      <c r="B61" s="83"/>
      <c r="C61" s="428" t="s">
        <v>54</v>
      </c>
      <c r="D61" s="432"/>
      <c r="E61" s="368"/>
      <c r="F61" s="273"/>
      <c r="G61" s="62"/>
      <c r="H61" s="62"/>
      <c r="I61" s="62"/>
      <c r="J61" s="62"/>
      <c r="K61" s="62"/>
      <c r="L61" s="61"/>
      <c r="M61" s="61"/>
      <c r="N61" s="60"/>
      <c r="O61"/>
      <c r="P61"/>
      <c r="Q61"/>
      <c r="R61"/>
      <c r="S61"/>
      <c r="T61"/>
      <c r="U61"/>
      <c r="V61"/>
      <c r="W61"/>
      <c r="X61"/>
      <c r="Y61"/>
      <c r="Z61" s="344"/>
      <c r="AA61" s="364"/>
      <c r="AB61" s="364"/>
      <c r="AC61" s="364"/>
      <c r="AD61" s="110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</row>
    <row r="62" spans="1:94" s="53" customFormat="1" ht="15.75" customHeight="1" x14ac:dyDescent="0.25">
      <c r="A62" s="85">
        <v>8.31</v>
      </c>
      <c r="B62" s="83"/>
      <c r="C62" s="423" t="s">
        <v>65</v>
      </c>
      <c r="D62" s="424"/>
      <c r="E62" s="102"/>
      <c r="F62" s="58">
        <v>0</v>
      </c>
      <c r="G62" s="88">
        <v>0</v>
      </c>
      <c r="H62" s="91">
        <v>0</v>
      </c>
      <c r="I62" s="276">
        <v>0</v>
      </c>
      <c r="J62" s="89">
        <f>SUM(G62:I62)</f>
        <v>0</v>
      </c>
      <c r="K62" s="62"/>
      <c r="L62" s="88"/>
      <c r="M62" s="261"/>
      <c r="N62" s="89">
        <f>SUM(L62:M62)</f>
        <v>0</v>
      </c>
      <c r="O62"/>
      <c r="P62"/>
      <c r="Q62"/>
      <c r="R62"/>
      <c r="S62"/>
      <c r="T62"/>
      <c r="U62"/>
      <c r="V62"/>
      <c r="W62"/>
      <c r="X62"/>
      <c r="Y62"/>
      <c r="Z62" s="344"/>
      <c r="AA62" s="364"/>
      <c r="AB62" s="364"/>
      <c r="AC62" s="364"/>
      <c r="AD62" s="110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</row>
    <row r="63" spans="1:94" s="53" customFormat="1" ht="15.75" customHeight="1" x14ac:dyDescent="0.25">
      <c r="A63" s="85">
        <v>8.41</v>
      </c>
      <c r="B63" s="83"/>
      <c r="C63" s="423" t="s">
        <v>55</v>
      </c>
      <c r="D63" s="424"/>
      <c r="E63" s="102"/>
      <c r="F63" s="58">
        <v>0</v>
      </c>
      <c r="G63" s="89">
        <f>ROUND((OneTimePC_Total-H63)/(1+(PermVB+Retire1)),-2)</f>
        <v>0</v>
      </c>
      <c r="H63" s="89">
        <f>ROUND(IF(AND(F63&lt;0,OneTimePC_Total&lt;0),F63*Health,0),-2)</f>
        <v>0</v>
      </c>
      <c r="I63" s="310">
        <f>OneTimePC_Total-G63-H63</f>
        <v>0</v>
      </c>
      <c r="J63" s="89">
        <v>0</v>
      </c>
      <c r="K63" s="308"/>
      <c r="L63" s="88"/>
      <c r="M63" s="261"/>
      <c r="N63" s="89">
        <f>SUM(L63:M63)</f>
        <v>0</v>
      </c>
      <c r="O63"/>
      <c r="P63"/>
      <c r="Q63"/>
      <c r="R63"/>
      <c r="S63"/>
      <c r="T63"/>
      <c r="U63"/>
      <c r="V63"/>
      <c r="W63"/>
      <c r="X63"/>
      <c r="Y63"/>
      <c r="Z63" s="344"/>
      <c r="AA63" s="364"/>
      <c r="AB63" s="364"/>
      <c r="AC63" s="364"/>
      <c r="AD63" s="110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</row>
    <row r="64" spans="1:94" s="53" customFormat="1" ht="15.75" customHeight="1" thickBot="1" x14ac:dyDescent="0.3">
      <c r="A64" s="93">
        <v>8.51</v>
      </c>
      <c r="B64" s="93"/>
      <c r="C64" s="435" t="s">
        <v>56</v>
      </c>
      <c r="D64" s="436"/>
      <c r="E64" s="134"/>
      <c r="F64" s="58">
        <v>0</v>
      </c>
      <c r="G64" s="88">
        <v>0</v>
      </c>
      <c r="H64" s="88">
        <v>0</v>
      </c>
      <c r="I64" s="265">
        <v>0</v>
      </c>
      <c r="J64" s="89">
        <f>SUM(G64:I64)</f>
        <v>0</v>
      </c>
      <c r="K64" s="62"/>
      <c r="L64" s="88"/>
      <c r="M64" s="261"/>
      <c r="N64" s="89">
        <f>SUM(L64:M64)</f>
        <v>0</v>
      </c>
      <c r="O64"/>
      <c r="P64"/>
      <c r="Q64"/>
      <c r="R64"/>
      <c r="S64"/>
      <c r="T64"/>
      <c r="U64"/>
      <c r="V64"/>
      <c r="W64"/>
      <c r="X64"/>
      <c r="Y64"/>
      <c r="Z64" s="344"/>
      <c r="AA64" s="364"/>
      <c r="AB64" s="364"/>
      <c r="AC64" s="364"/>
      <c r="AD64" s="110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</row>
    <row r="65" spans="1:94" s="53" customFormat="1" ht="6" customHeight="1" thickTop="1" x14ac:dyDescent="0.25">
      <c r="A65" s="94"/>
      <c r="B65" s="95"/>
      <c r="C65" s="437"/>
      <c r="D65" s="438"/>
      <c r="E65" s="96"/>
      <c r="F65" s="97"/>
      <c r="G65" s="98"/>
      <c r="H65" s="98"/>
      <c r="I65" s="98"/>
      <c r="J65" s="98"/>
      <c r="K65" s="98"/>
      <c r="L65" s="98"/>
      <c r="M65" s="99"/>
      <c r="N65" s="95"/>
      <c r="O65"/>
      <c r="P65"/>
      <c r="Q65"/>
      <c r="R65"/>
      <c r="S65"/>
      <c r="T65"/>
      <c r="U65"/>
      <c r="V65"/>
      <c r="W65"/>
      <c r="X65"/>
      <c r="Y65"/>
      <c r="Z65" s="344"/>
      <c r="AA65" s="364"/>
      <c r="AB65" s="364"/>
      <c r="AC65" s="364"/>
      <c r="AD65" s="110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</row>
    <row r="66" spans="1:94" s="107" customFormat="1" ht="15" x14ac:dyDescent="0.25">
      <c r="A66" s="100"/>
      <c r="B66" s="101"/>
      <c r="C66" s="439"/>
      <c r="D66" s="440"/>
      <c r="E66" s="102"/>
      <c r="F66" s="103" t="s">
        <v>24</v>
      </c>
      <c r="G66" s="104" t="str">
        <f>"FY "&amp;M4-2000&amp;" Salary"</f>
        <v>FY 24 Salary</v>
      </c>
      <c r="H66" s="104" t="str">
        <f>"FY"&amp;M4-2000&amp;" Health Ben"</f>
        <v>FY24 Health Ben</v>
      </c>
      <c r="I66" s="104" t="str">
        <f>"FY "&amp;M4-2000&amp;" Var Ben"</f>
        <v>FY 24 Var Ben</v>
      </c>
      <c r="J66" s="104" t="str">
        <f>"FY "&amp;M4&amp;" Total"</f>
        <v>FY 2024 Total</v>
      </c>
      <c r="K66" s="104"/>
      <c r="L66" s="105"/>
      <c r="M66" s="105"/>
      <c r="N66" s="101"/>
      <c r="O66"/>
      <c r="P66"/>
      <c r="Q66"/>
      <c r="R66"/>
      <c r="S66"/>
      <c r="T66"/>
      <c r="U66"/>
      <c r="V66"/>
      <c r="W66"/>
      <c r="X66"/>
      <c r="Y66"/>
      <c r="Z66" s="344"/>
      <c r="AA66" s="339"/>
      <c r="AB66" s="339"/>
      <c r="AC66" s="339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</row>
    <row r="67" spans="1:94" s="53" customFormat="1" ht="15" x14ac:dyDescent="0.25">
      <c r="A67" s="82">
        <v>9</v>
      </c>
      <c r="B67" s="83"/>
      <c r="C67" s="84" t="str">
        <f>"FY "&amp;M4</f>
        <v>FY 2024</v>
      </c>
      <c r="D67" s="108" t="s">
        <v>57</v>
      </c>
      <c r="E67" s="109"/>
      <c r="F67" s="55">
        <f>SUM(F60:F64)</f>
        <v>52.3</v>
      </c>
      <c r="G67" s="80">
        <f>SUM(G60:G64)</f>
        <v>4142400</v>
      </c>
      <c r="H67" s="80">
        <f>SUM(H60:H64)</f>
        <v>647200</v>
      </c>
      <c r="I67" s="80">
        <f>SUM(I60:I64)</f>
        <v>848800</v>
      </c>
      <c r="J67" s="80">
        <f>SUM(J60:J64)</f>
        <v>5638400</v>
      </c>
      <c r="K67" s="263"/>
      <c r="L67" s="110"/>
      <c r="M67" s="110"/>
      <c r="N67" s="111"/>
      <c r="O67"/>
      <c r="P67"/>
      <c r="Q67"/>
      <c r="R67"/>
      <c r="S67"/>
      <c r="T67"/>
      <c r="U67"/>
      <c r="V67"/>
      <c r="W67"/>
      <c r="X67"/>
      <c r="Y67"/>
      <c r="Z67" s="344"/>
      <c r="AA67" s="364"/>
      <c r="AB67" s="364"/>
      <c r="AC67" s="364"/>
      <c r="AD67" s="110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</row>
    <row r="68" spans="1:94" s="53" customFormat="1" ht="15.75" customHeight="1" x14ac:dyDescent="0.25">
      <c r="A68" s="85">
        <v>10.11</v>
      </c>
      <c r="B68" s="83"/>
      <c r="C68" s="428" t="s">
        <v>58</v>
      </c>
      <c r="D68" s="429"/>
      <c r="E68" s="112"/>
      <c r="F68" s="288"/>
      <c r="G68" s="287"/>
      <c r="H68" s="113">
        <f>IF(DUNine=0,0,ROUND(SUM(L41:L65),-2))</f>
        <v>59800</v>
      </c>
      <c r="I68" s="113"/>
      <c r="J68" s="287">
        <f>SUM(G68:I68)</f>
        <v>59800</v>
      </c>
      <c r="K68" s="291"/>
      <c r="L68" s="292"/>
      <c r="M68" s="292"/>
      <c r="N68" s="293"/>
      <c r="O68"/>
      <c r="P68"/>
      <c r="Q68"/>
      <c r="R68"/>
      <c r="S68"/>
      <c r="T68"/>
      <c r="U68"/>
      <c r="V68"/>
      <c r="W68"/>
      <c r="X68"/>
      <c r="Y68"/>
      <c r="Z68" s="344"/>
      <c r="AA68" s="364"/>
      <c r="AB68" s="364"/>
      <c r="AC68" s="364"/>
      <c r="AD68" s="110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</row>
    <row r="69" spans="1:94" s="53" customFormat="1" ht="15" x14ac:dyDescent="0.25">
      <c r="A69" s="85">
        <v>10.119999999999999</v>
      </c>
      <c r="B69" s="83"/>
      <c r="C69" s="428" t="s">
        <v>59</v>
      </c>
      <c r="D69" s="429"/>
      <c r="E69" s="112"/>
      <c r="F69" s="288"/>
      <c r="G69" s="113"/>
      <c r="H69" s="113"/>
      <c r="I69" s="113">
        <f>IF(DUNine=0,0,ROUND(SUM(M41:M64),-2))</f>
        <v>-28700</v>
      </c>
      <c r="J69" s="287">
        <f>SUM(G69:I69)</f>
        <v>-28700</v>
      </c>
      <c r="K69" s="291"/>
      <c r="L69" s="292"/>
      <c r="M69" s="292"/>
      <c r="N69" s="293"/>
      <c r="O69"/>
      <c r="P69"/>
      <c r="Q69"/>
      <c r="R69"/>
      <c r="S69"/>
      <c r="T69"/>
      <c r="U69"/>
      <c r="V69"/>
      <c r="W69"/>
      <c r="X69"/>
      <c r="Y69"/>
      <c r="Z69" s="344"/>
      <c r="AA69" s="364"/>
      <c r="AB69" s="364"/>
      <c r="AC69" s="364"/>
      <c r="AD69" s="110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</row>
    <row r="70" spans="1:94" s="53" customFormat="1" ht="15" x14ac:dyDescent="0.25">
      <c r="A70" s="85"/>
      <c r="B70" s="83"/>
      <c r="C70" s="421"/>
      <c r="D70" s="422"/>
      <c r="E70" s="236" t="s">
        <v>23</v>
      </c>
      <c r="F70" s="288"/>
      <c r="G70" s="113"/>
      <c r="H70" s="113"/>
      <c r="I70" s="113"/>
      <c r="J70" s="287">
        <f>SUM(G70:I70)</f>
        <v>0</v>
      </c>
      <c r="K70" s="291"/>
      <c r="L70" s="292"/>
      <c r="M70" s="294"/>
      <c r="N70" s="295"/>
      <c r="O70"/>
      <c r="P70"/>
      <c r="Q70"/>
      <c r="R70"/>
      <c r="S70"/>
      <c r="T70"/>
      <c r="U70"/>
      <c r="V70"/>
      <c r="W70"/>
      <c r="X70"/>
      <c r="Y70"/>
      <c r="Z70" s="344"/>
      <c r="AA70" s="364"/>
      <c r="AB70" s="364"/>
      <c r="AC70" s="364"/>
      <c r="AD70" s="110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</row>
    <row r="71" spans="1:94" s="53" customFormat="1" ht="15.75" customHeight="1" x14ac:dyDescent="0.25">
      <c r="A71" s="85">
        <v>10.51</v>
      </c>
      <c r="B71" s="83"/>
      <c r="C71" s="423" t="s">
        <v>60</v>
      </c>
      <c r="D71" s="424"/>
      <c r="E71" s="237"/>
      <c r="F71" s="288"/>
      <c r="G71" s="92">
        <v>0</v>
      </c>
      <c r="H71" s="92">
        <v>0</v>
      </c>
      <c r="I71" s="287">
        <f>ROUND(IF(AND($G71&lt;&gt;0,$E71=1),$G71*PermVBBY+$G71*Retire1BY,IF(AND($G71&lt;&gt;0,$E71=2),$G71*GroupVBBY,IF(AND($G71&lt;&gt;0,$E71=3),$G71*ElectVBBY+$G71*Retire1BY,0))),-2)</f>
        <v>0</v>
      </c>
      <c r="J71" s="113">
        <f t="shared" ref="J71:J74" si="11">SUM(G71:I71)</f>
        <v>0</v>
      </c>
      <c r="K71" s="296"/>
      <c r="L71" s="297"/>
      <c r="M71" s="348" t="s">
        <v>110</v>
      </c>
      <c r="N71" s="356"/>
      <c r="O71" s="357"/>
      <c r="P71" s="357"/>
      <c r="Q71"/>
      <c r="R71"/>
      <c r="S71"/>
      <c r="T71"/>
      <c r="U71"/>
      <c r="V71"/>
      <c r="W71"/>
      <c r="X71"/>
      <c r="Y71"/>
      <c r="Z71" s="344"/>
      <c r="AA71" s="364"/>
      <c r="AB71" s="364"/>
      <c r="AC71" s="364"/>
      <c r="AD71" s="110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</row>
    <row r="72" spans="1:94" s="53" customFormat="1" ht="15.75" customHeight="1" x14ac:dyDescent="0.25">
      <c r="A72" s="85">
        <v>10.61</v>
      </c>
      <c r="B72" s="83"/>
      <c r="C72" s="423" t="s">
        <v>99</v>
      </c>
      <c r="D72" s="425"/>
      <c r="E72" s="290">
        <f>CECPerm</f>
        <v>0.01</v>
      </c>
      <c r="F72" s="288"/>
      <c r="G72" s="355">
        <f>IF(DUNine=0,0,IF(DUNine&lt;0,0,ROUND(AdjPermSalary*CECPerm,-2)))</f>
        <v>38300</v>
      </c>
      <c r="H72" s="287"/>
      <c r="I72" s="287">
        <f>ROUND(($G72*PermVBBY+$G72*Retire1BY),-2)</f>
        <v>7600</v>
      </c>
      <c r="J72" s="113">
        <f>SUM(G72:I72)</f>
        <v>45900</v>
      </c>
      <c r="K72" s="296"/>
      <c r="L72" s="298"/>
      <c r="M72" s="349" t="e">
        <f>IF(DUNine=0,0,IF(((#REF!-G39-G40)*E72)&lt;0,0,ROUND(((#REF!-G39-G40)*E72),-2)))</f>
        <v>#REF!</v>
      </c>
      <c r="N72" s="358"/>
      <c r="O72" s="357" t="e">
        <f>IF(DUNine=0,0,IF(DUNine&lt;0,0,IF(SubCECBase&lt;RoundedAppropSalary,ROUND(AdjPermSalary*CECpermCalc,-2)+((SubCECBase-RoundedAppropSalary)*CECpermCalc),IF(SubCECBase&gt;RoundedAppropSalary,ROUND(AdjPermSalary*CECpermCalc,-2)+((SubCECBase-RoundedAppropSalary)*CECpermCalc),ROUND(AdjPermSalary*CECpermCalc,-2)))))</f>
        <v>#REF!</v>
      </c>
      <c r="P72" s="357"/>
      <c r="Q72"/>
      <c r="R72"/>
      <c r="S72"/>
      <c r="T72"/>
      <c r="U72"/>
      <c r="V72"/>
      <c r="W72"/>
      <c r="X72"/>
      <c r="Y72"/>
      <c r="Z72" s="344"/>
      <c r="AA72" s="364"/>
      <c r="AB72" s="364"/>
      <c r="AC72" s="364"/>
      <c r="AD72" s="110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</row>
    <row r="73" spans="1:94" s="53" customFormat="1" ht="15.6" customHeight="1" x14ac:dyDescent="0.25">
      <c r="A73" s="85">
        <v>10.62</v>
      </c>
      <c r="B73" s="83"/>
      <c r="C73" s="423" t="s">
        <v>117</v>
      </c>
      <c r="D73" s="425"/>
      <c r="E73" s="289">
        <f>CECGroup</f>
        <v>0.01</v>
      </c>
      <c r="F73" s="288"/>
      <c r="G73" s="355">
        <f>IF(DUNine=0,0,IF(DUNine&lt;0,0,ROUND(AdjGroupSalary*CECGroup,-2)))</f>
        <v>0</v>
      </c>
      <c r="H73" s="287"/>
      <c r="I73" s="287">
        <f>ROUND(($G73*GroupVBBY),-2)</f>
        <v>0</v>
      </c>
      <c r="J73" s="113">
        <f t="shared" si="11"/>
        <v>0</v>
      </c>
      <c r="K73" s="301"/>
      <c r="L73" s="302"/>
      <c r="M73" s="359"/>
      <c r="N73" s="360"/>
      <c r="O73" s="357"/>
      <c r="P73" s="357"/>
      <c r="Q73"/>
      <c r="R73"/>
      <c r="S73"/>
      <c r="T73"/>
      <c r="U73"/>
      <c r="V73"/>
      <c r="W73"/>
      <c r="X73"/>
      <c r="Y73"/>
      <c r="Z73" s="344"/>
      <c r="AA73" s="364"/>
      <c r="AB73" s="364"/>
      <c r="AC73" s="364"/>
      <c r="AD73" s="110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</row>
    <row r="74" spans="1:94" s="53" customFormat="1" ht="15.6" customHeight="1" x14ac:dyDescent="0.25">
      <c r="A74" s="85">
        <v>10.63</v>
      </c>
      <c r="B74" s="83"/>
      <c r="C74" s="367" t="s">
        <v>61</v>
      </c>
      <c r="D74" s="369"/>
      <c r="E74" s="112"/>
      <c r="F74" s="288"/>
      <c r="G74" s="92">
        <v>0</v>
      </c>
      <c r="H74" s="287"/>
      <c r="I74" s="287">
        <f>ROUND(($G74*ElectVBBY+$G74*Retire1BY),-2)</f>
        <v>0</v>
      </c>
      <c r="J74" s="113">
        <f t="shared" si="11"/>
        <v>0</v>
      </c>
      <c r="K74" s="301"/>
      <c r="L74" s="302"/>
      <c r="M74" s="303"/>
      <c r="N74" s="304"/>
      <c r="O74"/>
      <c r="P74"/>
      <c r="Q74"/>
      <c r="R74"/>
      <c r="S74"/>
      <c r="T74"/>
      <c r="U74"/>
      <c r="V74"/>
      <c r="W74"/>
      <c r="X74"/>
      <c r="Y74"/>
      <c r="Z74" s="344"/>
      <c r="AA74" s="364"/>
      <c r="AB74" s="364"/>
      <c r="AC74" s="364"/>
      <c r="AD74" s="110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</row>
    <row r="75" spans="1:94" s="53" customFormat="1" ht="15.75" customHeight="1" x14ac:dyDescent="0.25">
      <c r="A75" s="75">
        <v>11</v>
      </c>
      <c r="B75" s="76"/>
      <c r="C75" s="54" t="str">
        <f>"FY "&amp;M4</f>
        <v>FY 2024</v>
      </c>
      <c r="D75" s="77" t="s">
        <v>62</v>
      </c>
      <c r="E75" s="112"/>
      <c r="F75" s="55">
        <f>SUM(F67:F74)</f>
        <v>52.3</v>
      </c>
      <c r="G75" s="80">
        <f>SUM(G67:G74)</f>
        <v>4180700</v>
      </c>
      <c r="H75" s="80">
        <f>SUM(H67:H74)</f>
        <v>707000</v>
      </c>
      <c r="I75" s="80">
        <f>SUM(I67:I74)</f>
        <v>827700</v>
      </c>
      <c r="J75" s="80">
        <f>SUM(J67:K74)</f>
        <v>5715400</v>
      </c>
      <c r="K75" s="296"/>
      <c r="L75" s="299"/>
      <c r="M75" s="299"/>
      <c r="N75" s="300"/>
      <c r="O75"/>
      <c r="P75"/>
      <c r="Q75"/>
      <c r="R75"/>
      <c r="S75"/>
      <c r="T75"/>
      <c r="U75"/>
      <c r="V75"/>
      <c r="W75"/>
      <c r="X75"/>
      <c r="Y75"/>
      <c r="Z75" s="344"/>
      <c r="AA75" s="364"/>
      <c r="AB75" s="364"/>
      <c r="AC75" s="364"/>
      <c r="AD75" s="110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</row>
    <row r="76" spans="1:94" s="53" customFormat="1" ht="28.5" customHeight="1" x14ac:dyDescent="0.25">
      <c r="A76" s="85"/>
      <c r="B76" s="83"/>
      <c r="C76" s="426" t="s">
        <v>63</v>
      </c>
      <c r="D76" s="427"/>
      <c r="E76" s="59"/>
      <c r="F76" s="59"/>
      <c r="G76" s="61"/>
      <c r="H76" s="61"/>
      <c r="I76" s="61"/>
      <c r="J76" s="61"/>
      <c r="K76" s="291"/>
      <c r="L76" s="292"/>
      <c r="M76" s="305"/>
      <c r="N76" s="293"/>
      <c r="O76"/>
      <c r="P76"/>
      <c r="Q76"/>
      <c r="R76"/>
      <c r="S76"/>
      <c r="T76"/>
      <c r="U76"/>
      <c r="V76"/>
      <c r="W76"/>
      <c r="X76"/>
      <c r="Y76"/>
      <c r="Z76" s="344"/>
      <c r="AA76" s="364"/>
      <c r="AB76" s="364"/>
      <c r="AC76" s="364"/>
      <c r="AD76" s="110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</row>
    <row r="77" spans="1:94" s="53" customFormat="1" ht="15" x14ac:dyDescent="0.25">
      <c r="A77" s="116">
        <v>12.01</v>
      </c>
      <c r="B77" s="57"/>
      <c r="C77" s="419"/>
      <c r="D77" s="420"/>
      <c r="E77" s="87"/>
      <c r="F77" s="58"/>
      <c r="G77" s="88"/>
      <c r="H77" s="88"/>
      <c r="I77" s="88"/>
      <c r="J77" s="80">
        <f>ROUND(SUM(G77:I77),-2)</f>
        <v>0</v>
      </c>
      <c r="K77" s="296"/>
      <c r="L77" s="292"/>
      <c r="M77" s="292"/>
      <c r="N77" s="293"/>
      <c r="O77"/>
      <c r="P77"/>
      <c r="Q77"/>
      <c r="R77"/>
      <c r="S77"/>
      <c r="T77"/>
      <c r="U77"/>
      <c r="V77"/>
      <c r="W77"/>
      <c r="X77"/>
      <c r="Y77"/>
      <c r="Z77" s="344"/>
      <c r="AA77" s="364"/>
      <c r="AB77" s="364"/>
      <c r="AC77" s="364"/>
      <c r="AD77" s="110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</row>
    <row r="78" spans="1:94" s="53" customFormat="1" ht="15" x14ac:dyDescent="0.25">
      <c r="A78" s="116">
        <v>12.02</v>
      </c>
      <c r="B78" s="57"/>
      <c r="C78" s="419"/>
      <c r="D78" s="420"/>
      <c r="E78" s="87"/>
      <c r="F78" s="58"/>
      <c r="G78" s="88"/>
      <c r="H78" s="88"/>
      <c r="I78" s="88"/>
      <c r="J78" s="80">
        <f>ROUND(SUM(G78:I78),-2)</f>
        <v>0</v>
      </c>
      <c r="K78" s="296"/>
      <c r="L78" s="292"/>
      <c r="M78" s="292"/>
      <c r="N78" s="293"/>
      <c r="O78"/>
      <c r="P78"/>
      <c r="Q78"/>
      <c r="R78"/>
      <c r="S78"/>
      <c r="T78"/>
      <c r="U78"/>
      <c r="V78"/>
      <c r="W78"/>
      <c r="X78"/>
      <c r="Y78"/>
      <c r="Z78" s="344"/>
      <c r="AA78" s="364"/>
      <c r="AB78" s="364"/>
      <c r="AC78" s="364"/>
      <c r="AD78" s="110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</row>
    <row r="79" spans="1:94" s="53" customFormat="1" ht="15" x14ac:dyDescent="0.25">
      <c r="A79" s="116">
        <v>12.03</v>
      </c>
      <c r="B79" s="57" t="s">
        <v>45</v>
      </c>
      <c r="C79" s="419"/>
      <c r="D79" s="420"/>
      <c r="E79" s="87"/>
      <c r="F79" s="58"/>
      <c r="G79" s="88"/>
      <c r="H79" s="88"/>
      <c r="I79" s="88"/>
      <c r="J79" s="80">
        <f>ROUND(SUM(G79:I79),-2)</f>
        <v>0</v>
      </c>
      <c r="K79" s="296"/>
      <c r="L79" s="292"/>
      <c r="M79" s="292"/>
      <c r="N79" s="293"/>
      <c r="O79"/>
      <c r="P79"/>
      <c r="Q79"/>
      <c r="R79"/>
      <c r="S79"/>
      <c r="T79"/>
      <c r="U79"/>
      <c r="V79"/>
      <c r="W79"/>
      <c r="X79"/>
      <c r="Y79"/>
      <c r="Z79" s="344"/>
      <c r="AA79" s="364"/>
      <c r="AB79" s="364"/>
      <c r="AC79" s="364"/>
      <c r="AD79" s="110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</row>
    <row r="80" spans="1:94" s="53" customFormat="1" ht="15.75" customHeight="1" x14ac:dyDescent="0.25">
      <c r="A80" s="117">
        <v>13</v>
      </c>
      <c r="B80" s="118"/>
      <c r="C80" s="119" t="str">
        <f>"FY "&amp;M4</f>
        <v>FY 2024</v>
      </c>
      <c r="D80" s="120" t="s">
        <v>64</v>
      </c>
      <c r="E80" s="121"/>
      <c r="F80" s="55">
        <f>SUM(F75:F79)</f>
        <v>52.3</v>
      </c>
      <c r="G80" s="80">
        <f>SUM(G75:G79)</f>
        <v>4180700</v>
      </c>
      <c r="H80" s="80">
        <f>SUM(H75:H79)</f>
        <v>707000</v>
      </c>
      <c r="I80" s="80">
        <f>SUM(I75:I79)</f>
        <v>827700</v>
      </c>
      <c r="J80" s="80">
        <f>SUM(J75:J79)</f>
        <v>5715400</v>
      </c>
      <c r="K80" s="270"/>
      <c r="L80" s="122"/>
      <c r="M80" s="122"/>
      <c r="N80" s="123"/>
      <c r="O80"/>
      <c r="P80"/>
      <c r="Q80"/>
      <c r="R80"/>
      <c r="S80"/>
      <c r="T80"/>
      <c r="U80"/>
      <c r="V80"/>
      <c r="W80"/>
      <c r="X80"/>
      <c r="Y80"/>
      <c r="Z80" s="344"/>
      <c r="AA80" s="364"/>
      <c r="AB80" s="364"/>
      <c r="AC80" s="364"/>
      <c r="AD80" s="110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</row>
  </sheetData>
  <mergeCells count="51">
    <mergeCell ref="C13:D13"/>
    <mergeCell ref="M1:N1"/>
    <mergeCell ref="M2:N2"/>
    <mergeCell ref="M3:N3"/>
    <mergeCell ref="M4:N4"/>
    <mergeCell ref="I5:L5"/>
    <mergeCell ref="C8:D8"/>
    <mergeCell ref="AA8:AC8"/>
    <mergeCell ref="C9:D9"/>
    <mergeCell ref="C10:D10"/>
    <mergeCell ref="C11:D11"/>
    <mergeCell ref="C12:D12"/>
    <mergeCell ref="K43:N43"/>
    <mergeCell ref="AA43:AC43"/>
    <mergeCell ref="K44:N44"/>
    <mergeCell ref="C16:D16"/>
    <mergeCell ref="C17:D17"/>
    <mergeCell ref="C18:D18"/>
    <mergeCell ref="C37:D37"/>
    <mergeCell ref="AA37:AC37"/>
    <mergeCell ref="C38:D38"/>
    <mergeCell ref="C54:D54"/>
    <mergeCell ref="C39:D39"/>
    <mergeCell ref="C41:D41"/>
    <mergeCell ref="C42:D42"/>
    <mergeCell ref="C43:D44"/>
    <mergeCell ref="K45:N45"/>
    <mergeCell ref="E46:J47"/>
    <mergeCell ref="K46:N47"/>
    <mergeCell ref="C50:D50"/>
    <mergeCell ref="C53:D53"/>
    <mergeCell ref="C69:D69"/>
    <mergeCell ref="C55:D55"/>
    <mergeCell ref="C57:D57"/>
    <mergeCell ref="C58:D58"/>
    <mergeCell ref="C59:D59"/>
    <mergeCell ref="C61:D61"/>
    <mergeCell ref="C62:D62"/>
    <mergeCell ref="C63:D63"/>
    <mergeCell ref="C64:D64"/>
    <mergeCell ref="C65:D65"/>
    <mergeCell ref="C66:D66"/>
    <mergeCell ref="C68:D68"/>
    <mergeCell ref="C78:D78"/>
    <mergeCell ref="C79:D79"/>
    <mergeCell ref="C70:D70"/>
    <mergeCell ref="C71:D71"/>
    <mergeCell ref="C72:D72"/>
    <mergeCell ref="C73:D73"/>
    <mergeCell ref="C76:D76"/>
    <mergeCell ref="C77:D77"/>
  </mergeCells>
  <conditionalFormatting sqref="K44">
    <cfRule type="expression" dxfId="20" priority="8">
      <formula>$J$44&lt;0</formula>
    </cfRule>
  </conditionalFormatting>
  <conditionalFormatting sqref="K43">
    <cfRule type="expression" dxfId="19" priority="7">
      <formula>$J$43&lt;0</formula>
    </cfRule>
  </conditionalFormatting>
  <conditionalFormatting sqref="L16">
    <cfRule type="expression" dxfId="18" priority="6">
      <formula>$J$16&lt;0</formula>
    </cfRule>
  </conditionalFormatting>
  <conditionalFormatting sqref="K45">
    <cfRule type="expression" dxfId="17" priority="5">
      <formula>$J$44&lt;0</formula>
    </cfRule>
  </conditionalFormatting>
  <conditionalFormatting sqref="K43:N45">
    <cfRule type="containsText" dxfId="16" priority="4" operator="containsText" text="underfunding">
      <formula>NOT(ISERROR(SEARCH("underfunding",K43)))</formula>
    </cfRule>
  </conditionalFormatting>
  <conditionalFormatting sqref="K44">
    <cfRule type="expression" dxfId="15" priority="3">
      <formula>$J$44&lt;0</formula>
    </cfRule>
  </conditionalFormatting>
  <conditionalFormatting sqref="K45">
    <cfRule type="expression" dxfId="14" priority="2">
      <formula>$J$44&lt;0</formula>
    </cfRule>
  </conditionalFormatting>
  <conditionalFormatting sqref="K45">
    <cfRule type="expression" dxfId="13" priority="1">
      <formula>$J$44&lt;0</formula>
    </cfRule>
  </conditionalFormatting>
  <printOptions horizontalCentered="1"/>
  <pageMargins left="0.5" right="0.5" top="0.65" bottom="0.65" header="0.26" footer="0.31"/>
  <pageSetup scale="63" fitToHeight="2" orientation="landscape" r:id="rId1"/>
  <headerFooter>
    <oddHeader>&amp;L&amp;"Helv,Bold"FORM B6:  WAGE &amp;&amp; SALARY RECONCILIATION</oddHeader>
    <oddFooter>&amp;LPrinted: &amp;D, &amp;T&amp;RPage &amp;P of &amp;N</oddFooter>
  </headerFooter>
  <rowBreaks count="1" manualBreakCount="1">
    <brk id="64" max="1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379C33-C4D5-4913-83E0-2C3071E67783}">
          <x14:formula1>
            <xm:f>Benefits!$A$20:$A$26</xm:f>
          </x14:formula1>
          <xm:sqref>C20:C30 C32:C36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JU238"/>
  <sheetViews>
    <sheetView workbookViewId="0">
      <pane xSplit="3" ySplit="1" topLeftCell="AW201" activePane="bottomRight" state="frozen"/>
      <selection pane="topRight" activeCell="D1" sqref="D1"/>
      <selection pane="bottomLeft" activeCell="A2" sqref="A2"/>
      <selection pane="bottomRight" activeCell="AS223" sqref="AS223:BA238"/>
    </sheetView>
  </sheetViews>
  <sheetFormatPr defaultRowHeight="15" x14ac:dyDescent="0.25"/>
  <cols>
    <col min="45" max="53" width="15.7109375" customWidth="1"/>
    <col min="54" max="54" width="12.28515625" bestFit="1" customWidth="1"/>
    <col min="55" max="55" width="11.28515625" bestFit="1" customWidth="1"/>
    <col min="56" max="56" width="12" bestFit="1" customWidth="1"/>
    <col min="57" max="57" width="11.140625" bestFit="1" customWidth="1"/>
    <col min="58" max="58" width="12.28515625" bestFit="1" customWidth="1"/>
    <col min="59" max="59" width="11.140625" bestFit="1" customWidth="1"/>
    <col min="60" max="61" width="9.7109375" bestFit="1" customWidth="1"/>
    <col min="62" max="62" width="10.140625" bestFit="1" customWidth="1"/>
    <col min="63" max="63" width="9.7109375" bestFit="1" customWidth="1"/>
    <col min="64" max="64" width="12.42578125" bestFit="1" customWidth="1"/>
    <col min="65" max="65" width="11.28515625" bestFit="1" customWidth="1"/>
    <col min="66" max="66" width="12.28515625" bestFit="1" customWidth="1"/>
    <col min="67" max="67" width="11.28515625" bestFit="1" customWidth="1"/>
    <col min="68" max="68" width="12" bestFit="1" customWidth="1"/>
    <col min="69" max="69" width="11.140625" bestFit="1" customWidth="1"/>
    <col min="70" max="70" width="12.28515625" bestFit="1" customWidth="1"/>
    <col min="71" max="71" width="11.140625" bestFit="1" customWidth="1"/>
    <col min="72" max="73" width="9.7109375" bestFit="1" customWidth="1"/>
    <col min="74" max="74" width="10.140625" bestFit="1" customWidth="1"/>
    <col min="75" max="75" width="9.7109375" bestFit="1" customWidth="1"/>
    <col min="76" max="76" width="12.42578125" bestFit="1" customWidth="1"/>
    <col min="77" max="77" width="11.28515625" bestFit="1" customWidth="1"/>
    <col min="78" max="78" width="11.140625" bestFit="1" customWidth="1"/>
    <col min="79" max="79" width="10.140625" bestFit="1" customWidth="1"/>
    <col min="80" max="81" width="9.7109375" bestFit="1" customWidth="1"/>
    <col min="82" max="82" width="11.85546875" bestFit="1" customWidth="1"/>
    <col min="83" max="87" width="9.7109375" bestFit="1" customWidth="1"/>
    <col min="88" max="88" width="11.85546875" bestFit="1" customWidth="1"/>
    <col min="89" max="89" width="9.7109375" bestFit="1" customWidth="1"/>
    <col min="90" max="90" width="14" bestFit="1" customWidth="1"/>
    <col min="91" max="91" width="12.140625" bestFit="1" customWidth="1"/>
  </cols>
  <sheetData>
    <row r="1" spans="1:92" ht="12.75" customHeight="1" thickBot="1" x14ac:dyDescent="0.3">
      <c r="A1" s="374" t="s">
        <v>119</v>
      </c>
      <c r="B1" s="374" t="s">
        <v>120</v>
      </c>
      <c r="C1" s="374" t="s">
        <v>20</v>
      </c>
      <c r="D1" s="374" t="s">
        <v>121</v>
      </c>
      <c r="E1" s="374" t="s">
        <v>122</v>
      </c>
      <c r="F1" s="375" t="s">
        <v>123</v>
      </c>
      <c r="G1" s="374" t="s">
        <v>124</v>
      </c>
      <c r="H1" s="374" t="s">
        <v>125</v>
      </c>
      <c r="I1" s="374" t="s">
        <v>126</v>
      </c>
      <c r="J1" s="374" t="s">
        <v>127</v>
      </c>
      <c r="K1" s="374" t="s">
        <v>128</v>
      </c>
      <c r="L1" s="374" t="s">
        <v>129</v>
      </c>
      <c r="M1" s="374" t="s">
        <v>130</v>
      </c>
      <c r="N1" s="374" t="s">
        <v>131</v>
      </c>
      <c r="O1" s="374" t="s">
        <v>132</v>
      </c>
      <c r="P1" s="374" t="s">
        <v>133</v>
      </c>
      <c r="Q1" s="374" t="s">
        <v>134</v>
      </c>
      <c r="R1" s="374" t="s">
        <v>135</v>
      </c>
      <c r="S1" s="374" t="s">
        <v>136</v>
      </c>
      <c r="T1" s="374" t="s">
        <v>137</v>
      </c>
      <c r="U1" s="374" t="s">
        <v>138</v>
      </c>
      <c r="V1" s="374" t="s">
        <v>139</v>
      </c>
      <c r="W1" s="374" t="s">
        <v>140</v>
      </c>
      <c r="X1" s="374" t="s">
        <v>141</v>
      </c>
      <c r="Y1" s="374" t="s">
        <v>142</v>
      </c>
      <c r="Z1" s="374" t="s">
        <v>143</v>
      </c>
      <c r="AA1" s="374" t="s">
        <v>144</v>
      </c>
      <c r="AB1" s="374" t="s">
        <v>145</v>
      </c>
      <c r="AC1" s="374" t="s">
        <v>146</v>
      </c>
      <c r="AD1" s="374" t="s">
        <v>147</v>
      </c>
      <c r="AE1" s="374" t="s">
        <v>148</v>
      </c>
      <c r="AF1" s="374" t="s">
        <v>149</v>
      </c>
      <c r="AG1" s="374" t="s">
        <v>150</v>
      </c>
      <c r="AH1" s="374" t="s">
        <v>151</v>
      </c>
      <c r="AI1" s="374" t="s">
        <v>152</v>
      </c>
      <c r="AJ1" s="374" t="s">
        <v>153</v>
      </c>
      <c r="AK1" s="374" t="s">
        <v>154</v>
      </c>
      <c r="AL1" s="374" t="s">
        <v>155</v>
      </c>
      <c r="AM1" s="374" t="s">
        <v>156</v>
      </c>
      <c r="AN1" s="374" t="s">
        <v>157</v>
      </c>
      <c r="AO1" s="374" t="s">
        <v>158</v>
      </c>
      <c r="AP1" s="374" t="s">
        <v>159</v>
      </c>
      <c r="AQ1" s="374" t="s">
        <v>160</v>
      </c>
      <c r="AR1" s="374" t="s">
        <v>161</v>
      </c>
      <c r="AS1" s="385" t="s">
        <v>709</v>
      </c>
      <c r="AT1" s="385" t="s">
        <v>710</v>
      </c>
      <c r="AU1" s="385" t="s">
        <v>711</v>
      </c>
      <c r="AV1" s="385" t="s">
        <v>712</v>
      </c>
      <c r="AW1" s="385" t="s">
        <v>713</v>
      </c>
      <c r="AX1" s="385" t="s">
        <v>714</v>
      </c>
      <c r="AY1" s="385" t="s">
        <v>715</v>
      </c>
      <c r="AZ1" s="385" t="s">
        <v>716</v>
      </c>
      <c r="BA1" s="387" t="s">
        <v>717</v>
      </c>
      <c r="BB1" s="388" t="s">
        <v>718</v>
      </c>
      <c r="BC1" s="388" t="s">
        <v>719</v>
      </c>
      <c r="BD1" s="388" t="s">
        <v>720</v>
      </c>
      <c r="BE1" s="388" t="s">
        <v>721</v>
      </c>
      <c r="BF1" s="388" t="s">
        <v>722</v>
      </c>
      <c r="BG1" s="388" t="s">
        <v>723</v>
      </c>
      <c r="BH1" s="388" t="s">
        <v>724</v>
      </c>
      <c r="BI1" s="388" t="s">
        <v>725</v>
      </c>
      <c r="BJ1" s="388" t="s">
        <v>726</v>
      </c>
      <c r="BK1" s="388" t="s">
        <v>727</v>
      </c>
      <c r="BL1" s="389" t="s">
        <v>728</v>
      </c>
      <c r="BM1" s="389" t="s">
        <v>729</v>
      </c>
      <c r="BN1" s="388" t="s">
        <v>730</v>
      </c>
      <c r="BO1" s="388" t="s">
        <v>731</v>
      </c>
      <c r="BP1" s="388" t="s">
        <v>732</v>
      </c>
      <c r="BQ1" s="388" t="s">
        <v>733</v>
      </c>
      <c r="BR1" s="388" t="s">
        <v>734</v>
      </c>
      <c r="BS1" s="388" t="s">
        <v>735</v>
      </c>
      <c r="BT1" s="388" t="s">
        <v>736</v>
      </c>
      <c r="BU1" s="388" t="s">
        <v>737</v>
      </c>
      <c r="BV1" s="388" t="s">
        <v>738</v>
      </c>
      <c r="BW1" s="388" t="s">
        <v>739</v>
      </c>
      <c r="BX1" s="389" t="s">
        <v>740</v>
      </c>
      <c r="BY1" s="389" t="s">
        <v>741</v>
      </c>
      <c r="BZ1" s="388" t="s">
        <v>742</v>
      </c>
      <c r="CA1" s="388" t="s">
        <v>743</v>
      </c>
      <c r="CB1" s="388" t="s">
        <v>744</v>
      </c>
      <c r="CC1" s="388" t="s">
        <v>745</v>
      </c>
      <c r="CD1" s="388" t="s">
        <v>746</v>
      </c>
      <c r="CE1" s="388" t="s">
        <v>747</v>
      </c>
      <c r="CF1" s="388" t="s">
        <v>748</v>
      </c>
      <c r="CG1" s="388" t="s">
        <v>749</v>
      </c>
      <c r="CH1" s="388" t="s">
        <v>750</v>
      </c>
      <c r="CI1" s="388" t="s">
        <v>751</v>
      </c>
      <c r="CJ1" s="389" t="s">
        <v>752</v>
      </c>
      <c r="CK1" s="389" t="s">
        <v>753</v>
      </c>
      <c r="CL1" s="390" t="s">
        <v>754</v>
      </c>
      <c r="CM1" s="390" t="s">
        <v>755</v>
      </c>
      <c r="CN1" s="390" t="s">
        <v>756</v>
      </c>
    </row>
    <row r="2" spans="1:92" ht="15.75" thickBot="1" x14ac:dyDescent="0.3">
      <c r="A2" s="376" t="s">
        <v>162</v>
      </c>
      <c r="B2" s="376" t="s">
        <v>163</v>
      </c>
      <c r="C2" s="376" t="s">
        <v>164</v>
      </c>
      <c r="D2" s="376" t="s">
        <v>165</v>
      </c>
      <c r="E2" s="376" t="s">
        <v>166</v>
      </c>
      <c r="F2" s="377" t="s">
        <v>167</v>
      </c>
      <c r="G2" s="376" t="s">
        <v>168</v>
      </c>
      <c r="H2" s="378"/>
      <c r="I2" s="378"/>
      <c r="J2" s="376" t="s">
        <v>169</v>
      </c>
      <c r="K2" s="376" t="s">
        <v>170</v>
      </c>
      <c r="L2" s="376" t="s">
        <v>171</v>
      </c>
      <c r="M2" s="376" t="s">
        <v>172</v>
      </c>
      <c r="N2" s="376" t="s">
        <v>173</v>
      </c>
      <c r="O2" s="379">
        <v>1</v>
      </c>
      <c r="P2" s="384">
        <v>0</v>
      </c>
      <c r="Q2" s="384">
        <v>0</v>
      </c>
      <c r="R2" s="380">
        <v>80</v>
      </c>
      <c r="S2" s="384">
        <v>0</v>
      </c>
      <c r="T2" s="380">
        <v>7000</v>
      </c>
      <c r="U2" s="380">
        <v>0</v>
      </c>
      <c r="V2" s="380">
        <v>1775.9</v>
      </c>
      <c r="W2" s="380">
        <v>0</v>
      </c>
      <c r="X2" s="380">
        <v>0</v>
      </c>
      <c r="Y2" s="380">
        <v>0</v>
      </c>
      <c r="Z2" s="380">
        <v>0</v>
      </c>
      <c r="AA2" s="376" t="s">
        <v>174</v>
      </c>
      <c r="AB2" s="376" t="s">
        <v>175</v>
      </c>
      <c r="AC2" s="376" t="s">
        <v>176</v>
      </c>
      <c r="AD2" s="376" t="s">
        <v>177</v>
      </c>
      <c r="AE2" s="376" t="s">
        <v>170</v>
      </c>
      <c r="AF2" s="376" t="s">
        <v>178</v>
      </c>
      <c r="AG2" s="376" t="s">
        <v>179</v>
      </c>
      <c r="AH2" s="381">
        <v>35.24</v>
      </c>
      <c r="AI2" s="381">
        <v>61196.3</v>
      </c>
      <c r="AJ2" s="376" t="s">
        <v>180</v>
      </c>
      <c r="AK2" s="376" t="s">
        <v>181</v>
      </c>
      <c r="AL2" s="376" t="s">
        <v>182</v>
      </c>
      <c r="AM2" s="376" t="s">
        <v>183</v>
      </c>
      <c r="AN2" s="376" t="s">
        <v>66</v>
      </c>
      <c r="AO2" s="379">
        <v>80</v>
      </c>
      <c r="AP2" s="384">
        <v>1</v>
      </c>
      <c r="AQ2" s="384">
        <v>0</v>
      </c>
      <c r="AR2" s="382" t="s">
        <v>184</v>
      </c>
      <c r="AS2" s="386">
        <f>IF(((AO2/80)*AP2*P2)&gt;1,AQ2,((AO2/80)*AP2*P2))</f>
        <v>0</v>
      </c>
      <c r="AT2">
        <f>IF(AND(M2="F",N2&lt;&gt;"NG",AS2&lt;&gt;0,AND(AR2&lt;&gt;6,AR2&lt;&gt;36,AR2&lt;&gt;56),AG2&lt;&gt;"A",OR(AG2="H",AJ2="FS")),1,IF(AND(M2="F",N2&lt;&gt;"NG",AS2&lt;&gt;0,AG2="A"),3,0))</f>
        <v>0</v>
      </c>
      <c r="AU2" s="386" t="str">
        <f>IF(AT2=0,"",IF(AND(AT2=1,M2="F",SUMIF(C2:C201,C2,AS2:AS201)&lt;=1),SUMIF(C2:C201,C2,AS2:AS201),IF(AND(AT2=1,M2="F",SUMIF(C2:C201,C2,AS2:AS201)&gt;1),1,"")))</f>
        <v/>
      </c>
      <c r="AV2" s="386" t="str">
        <f>IF(AT2=0,"",IF(AND(AT2=3,M2="F",SUMIF(C2:C201,C2,AS2:AS201)&lt;=1),SUMIF(C2:C201,C2,AS2:AS201),IF(AND(AT2=3,M2="F",SUMIF(C2:C201,C2,AS2:AS201)&gt;1),1,"")))</f>
        <v/>
      </c>
      <c r="AW2" s="386">
        <f>SUMIF(C2:C201,C2,O2:O201)</f>
        <v>3</v>
      </c>
      <c r="AX2" s="386">
        <f>IF(AND(M2="F",AS2&lt;&gt;0),SUMIF(C2:C201,C2,W2:W201),0)</f>
        <v>0</v>
      </c>
      <c r="AY2" s="386" t="str">
        <f>IF(AT2=1,W2,"")</f>
        <v/>
      </c>
      <c r="AZ2" s="386" t="str">
        <f>IF(AT2=3,W2,"")</f>
        <v/>
      </c>
      <c r="BA2" s="386">
        <f>IF(AT2=1,Y2-W2,0)</f>
        <v>0</v>
      </c>
      <c r="BB2" s="386">
        <f t="shared" ref="BB2:BB33" si="0">IF(AND(AT2=1,AK2="E",AU2&gt;=0.75,AW2=1),Health,IF(AND(AT2=1,AK2="E",AU2&gt;=0.75),Health*P2,IF(AND(AT2=1,AK2="E",AU2&gt;=0.5,AW2=1),PTHealth,IF(AND(AT2=1,AK2="E",AU2&gt;=0.5),PTHealth*P2,0))))</f>
        <v>0</v>
      </c>
      <c r="BC2" s="386">
        <f t="shared" ref="BC2:BC33" si="1">IF(AND(AT2=3,AK2="E",AV2&gt;=0.75,AW2=1),Health,IF(AND(AT2=3,AK2="E",AV2&gt;=0.75),Health*P2,IF(AND(AT2=3,AK2="E",AV2&gt;=0.5,AW2=1),PTHealth,IF(AND(AT2=3,AK2="E",AV2&gt;=0.5),PTHealth*P2,0))))</f>
        <v>0</v>
      </c>
      <c r="BD2" s="386">
        <f t="shared" ref="BD2:BD33" si="2">IF(AND(AT2&lt;&gt;0,AX2&gt;=MAXSSDI),SSDI*MAXSSDI*P2,IF(AT2&lt;&gt;0,SSDI*W2,0))</f>
        <v>0</v>
      </c>
      <c r="BE2" s="386">
        <f t="shared" ref="BE2:BE33" si="3">IF(AT2&lt;&gt;0,SSHI*W2,0)</f>
        <v>0</v>
      </c>
      <c r="BF2" s="386">
        <f t="shared" ref="BF2:BF33" si="4">IF(AND(AT2&lt;&gt;0,AN2&lt;&gt;"NE"),VLOOKUP(AN2,Retirement_Rates,3,FALSE)*W2,0)</f>
        <v>0</v>
      </c>
      <c r="BG2" s="386">
        <f t="shared" ref="BG2:BG33" si="5">IF(AND(AT2&lt;&gt;0,AJ2&lt;&gt;"PF"),Life*W2,0)</f>
        <v>0</v>
      </c>
      <c r="BH2" s="386">
        <f t="shared" ref="BH2:BH33" si="6">IF(AND(AT2&lt;&gt;0,AM2="Y"),UI*W2,0)</f>
        <v>0</v>
      </c>
      <c r="BI2" s="386">
        <f t="shared" ref="BI2:BI33" si="7">IF(AND(AT2&lt;&gt;0,N2&lt;&gt;"NR"),DHR*W2,0)</f>
        <v>0</v>
      </c>
      <c r="BJ2" s="386">
        <f t="shared" ref="BJ2:BJ33" si="8">IF(AT2&lt;&gt;0,WC*W2,0)</f>
        <v>0</v>
      </c>
      <c r="BK2" s="386">
        <f t="shared" ref="BK2:BK33" si="9">IF(OR(AND(AT2&lt;&gt;0,AJ2&lt;&gt;"PF",AN2&lt;&gt;"NE",AG2&lt;&gt;"A"),AND(AL2="E",OR(AT2=1,AT2=3))),Sick*W2,0)</f>
        <v>0</v>
      </c>
      <c r="BL2" s="386">
        <f>IF(AT2=1,SUM(BD2:BK2),0)</f>
        <v>0</v>
      </c>
      <c r="BM2" s="386">
        <f>IF(AT2=3,SUM(BD2:BK2),0)</f>
        <v>0</v>
      </c>
      <c r="BN2" s="386">
        <f t="shared" ref="BN2:BN33" si="10">IF(AND(AT2=1,AK2="E",AU2&gt;=0.75,AW2=1),HealthBY,IF(AND(AT2=1,AK2="E",AU2&gt;=0.75),HealthBY*P2,IF(AND(AT2=1,AK2="E",AU2&gt;=0.5,AW2=1),PTHealthBY,IF(AND(AT2=1,AK2="E",AU2&gt;=0.5),PTHealthBY*P2,0))))</f>
        <v>0</v>
      </c>
      <c r="BO2" s="386">
        <f t="shared" ref="BO2:BO33" si="11">IF(AND(AT2=3,AK2="E",AV2&gt;=0.75,AW2=1),HealthBY,IF(AND(AT2=3,AK2="E",AV2&gt;=0.75),HealthBY*P2,IF(AND(AT2=3,AK2="E",AV2&gt;=0.5,AW2=1),PTHealthBY,IF(AND(AT2=3,AK2="E",AV2&gt;=0.5),PTHealthBY*P2,0))))</f>
        <v>0</v>
      </c>
      <c r="BP2" s="386">
        <f t="shared" ref="BP2:BP33" si="12">IF(AND(AT2&lt;&gt;0,(AX2+BA2)&gt;=MAXSSDIBY),SSDIBY*MAXSSDIBY*P2,IF(AT2&lt;&gt;0,SSDIBY*W2,0))</f>
        <v>0</v>
      </c>
      <c r="BQ2" s="386">
        <f t="shared" ref="BQ2:BQ33" si="13">IF(AT2&lt;&gt;0,SSHIBY*W2,0)</f>
        <v>0</v>
      </c>
      <c r="BR2" s="386">
        <f t="shared" ref="BR2:BR33" si="14">IF(AND(AT2&lt;&gt;0,AN2&lt;&gt;"NE"),VLOOKUP(AN2,Retirement_Rates,4,FALSE)*W2,0)</f>
        <v>0</v>
      </c>
      <c r="BS2" s="386">
        <f t="shared" ref="BS2:BS33" si="15">IF(AND(AT2&lt;&gt;0,AJ2&lt;&gt;"PF"),LifeBY*W2,0)</f>
        <v>0</v>
      </c>
      <c r="BT2" s="386">
        <f t="shared" ref="BT2:BT33" si="16">IF(AND(AT2&lt;&gt;0,AM2="Y"),UIBY*W2,0)</f>
        <v>0</v>
      </c>
      <c r="BU2" s="386">
        <f t="shared" ref="BU2:BU33" si="17">IF(AND(AT2&lt;&gt;0,N2&lt;&gt;"NR"),DHRBY*W2,0)</f>
        <v>0</v>
      </c>
      <c r="BV2" s="386">
        <f t="shared" ref="BV2:BV33" si="18">IF(AT2&lt;&gt;0,WCBY*W2,0)</f>
        <v>0</v>
      </c>
      <c r="BW2" s="386">
        <f t="shared" ref="BW2:BW33" si="19">IF(OR(AND(AT2&lt;&gt;0,AJ2&lt;&gt;"PF",AN2&lt;&gt;"NE",AG2&lt;&gt;"A"),AND(AL2="E",OR(AT2=1,AT2=3))),SickBY*W2,0)</f>
        <v>0</v>
      </c>
      <c r="BX2" s="386">
        <f>IF(AT2=1,SUM(BP2:BW2),0)</f>
        <v>0</v>
      </c>
      <c r="BY2" s="386">
        <f>IF(AT2=3,SUM(BP2:BW2),0)</f>
        <v>0</v>
      </c>
      <c r="BZ2" s="386">
        <f>IF(AT2=1,BN2-BB2,0)</f>
        <v>0</v>
      </c>
      <c r="CA2" s="386">
        <f>IF(AT2=3,BO2-BC2,0)</f>
        <v>0</v>
      </c>
      <c r="CB2" s="386">
        <f>BP2-BD2</f>
        <v>0</v>
      </c>
      <c r="CC2" s="386">
        <f t="shared" ref="CC2:CC33" si="20">IF(AT2&lt;&gt;0,SSHICHG*Y2,0)</f>
        <v>0</v>
      </c>
      <c r="CD2" s="386">
        <f t="shared" ref="CD2:CD33" si="21">IF(AND(AT2&lt;&gt;0,AN2&lt;&gt;"NE"),VLOOKUP(AN2,Retirement_Rates,5,FALSE)*Y2,0)</f>
        <v>0</v>
      </c>
      <c r="CE2" s="386">
        <f t="shared" ref="CE2:CE33" si="22">IF(AND(AT2&lt;&gt;0,AJ2&lt;&gt;"PF"),LifeCHG*Y2,0)</f>
        <v>0</v>
      </c>
      <c r="CF2" s="386">
        <f t="shared" ref="CF2:CF33" si="23">IF(AND(AT2&lt;&gt;0,AM2="Y"),UICHG*Y2,0)</f>
        <v>0</v>
      </c>
      <c r="CG2" s="386">
        <f t="shared" ref="CG2:CG33" si="24">IF(AND(AT2&lt;&gt;0,N2&lt;&gt;"NR"),DHRCHG*Y2,0)</f>
        <v>0</v>
      </c>
      <c r="CH2" s="386">
        <f t="shared" ref="CH2:CH33" si="25">IF(AT2&lt;&gt;0,WCCHG*Y2,0)</f>
        <v>0</v>
      </c>
      <c r="CI2" s="386">
        <f t="shared" ref="CI2:CI33" si="26">IF(OR(AND(AT2&lt;&gt;0,AJ2&lt;&gt;"PF",AN2&lt;&gt;"NE",AG2&lt;&gt;"A"),AND(AL2="E",OR(AT2=1,AT2=3))),SickCHG*Y2,0)</f>
        <v>0</v>
      </c>
      <c r="CJ2" s="386">
        <f>IF(AT2=1,SUM(CB2:CI2),0)</f>
        <v>0</v>
      </c>
      <c r="CK2" s="386" t="str">
        <f>IF(AT2=3,SUM(CB2:CI2),"")</f>
        <v/>
      </c>
      <c r="CL2" s="386" t="str">
        <f>IF(OR(N2="NG",AG2="D"),(T2+U2),"")</f>
        <v/>
      </c>
      <c r="CM2" s="386" t="str">
        <f>IF(OR(N2="NG",AG2="D"),V2,"")</f>
        <v/>
      </c>
      <c r="CN2" s="386" t="str">
        <f>E2 &amp; "-" &amp; F2</f>
        <v>0001-00</v>
      </c>
    </row>
    <row r="3" spans="1:92" ht="15.75" thickBot="1" x14ac:dyDescent="0.3">
      <c r="A3" s="376" t="s">
        <v>162</v>
      </c>
      <c r="B3" s="376" t="s">
        <v>163</v>
      </c>
      <c r="C3" s="376" t="s">
        <v>185</v>
      </c>
      <c r="D3" s="376" t="s">
        <v>186</v>
      </c>
      <c r="E3" s="376" t="s">
        <v>166</v>
      </c>
      <c r="F3" s="377" t="s">
        <v>167</v>
      </c>
      <c r="G3" s="376" t="s">
        <v>168</v>
      </c>
      <c r="H3" s="378"/>
      <c r="I3" s="378"/>
      <c r="J3" s="376" t="s">
        <v>169</v>
      </c>
      <c r="K3" s="376" t="s">
        <v>187</v>
      </c>
      <c r="L3" s="376" t="s">
        <v>179</v>
      </c>
      <c r="M3" s="376" t="s">
        <v>172</v>
      </c>
      <c r="N3" s="376" t="s">
        <v>173</v>
      </c>
      <c r="O3" s="379">
        <v>1</v>
      </c>
      <c r="P3" s="384">
        <v>0</v>
      </c>
      <c r="Q3" s="384">
        <v>0</v>
      </c>
      <c r="R3" s="380">
        <v>80</v>
      </c>
      <c r="S3" s="384">
        <v>0</v>
      </c>
      <c r="T3" s="380">
        <v>5000</v>
      </c>
      <c r="U3" s="380">
        <v>0</v>
      </c>
      <c r="V3" s="380">
        <v>1380.01</v>
      </c>
      <c r="W3" s="380">
        <v>0</v>
      </c>
      <c r="X3" s="380">
        <v>0</v>
      </c>
      <c r="Y3" s="380">
        <v>0</v>
      </c>
      <c r="Z3" s="380">
        <v>0</v>
      </c>
      <c r="AA3" s="376" t="s">
        <v>188</v>
      </c>
      <c r="AB3" s="376" t="s">
        <v>189</v>
      </c>
      <c r="AC3" s="376" t="s">
        <v>190</v>
      </c>
      <c r="AD3" s="376" t="s">
        <v>191</v>
      </c>
      <c r="AE3" s="376" t="s">
        <v>187</v>
      </c>
      <c r="AF3" s="376" t="s">
        <v>178</v>
      </c>
      <c r="AG3" s="376" t="s">
        <v>179</v>
      </c>
      <c r="AH3" s="381">
        <v>22.37</v>
      </c>
      <c r="AI3" s="379">
        <v>3643</v>
      </c>
      <c r="AJ3" s="376" t="s">
        <v>180</v>
      </c>
      <c r="AK3" s="376" t="s">
        <v>181</v>
      </c>
      <c r="AL3" s="376" t="s">
        <v>182</v>
      </c>
      <c r="AM3" s="376" t="s">
        <v>183</v>
      </c>
      <c r="AN3" s="376" t="s">
        <v>66</v>
      </c>
      <c r="AO3" s="379">
        <v>80</v>
      </c>
      <c r="AP3" s="384">
        <v>1</v>
      </c>
      <c r="AQ3" s="384">
        <v>0</v>
      </c>
      <c r="AR3" s="382" t="s">
        <v>184</v>
      </c>
      <c r="AS3" s="386">
        <f t="shared" ref="AS3:AS66" si="27">IF(((AO3/80)*AP3*P3)&gt;1,AQ3,((AO3/80)*AP3*P3))</f>
        <v>0</v>
      </c>
      <c r="AT3">
        <f t="shared" ref="AT3:AT66" si="28">IF(AND(M3="F",N3&lt;&gt;"NG",AS3&lt;&gt;0,AND(AR3&lt;&gt;6,AR3&lt;&gt;36,AR3&lt;&gt;56),AG3&lt;&gt;"A",OR(AG3="H",AJ3="FS")),1,IF(AND(M3="F",N3&lt;&gt;"NG",AS3&lt;&gt;0,AG3="A"),3,0))</f>
        <v>0</v>
      </c>
      <c r="AU3" s="386" t="str">
        <f>IF(AT3=0,"",IF(AND(AT3=1,M3="F",SUMIF(C2:C201,C3,AS2:AS201)&lt;=1),SUMIF(C2:C201,C3,AS2:AS201),IF(AND(AT3=1,M3="F",SUMIF(C2:C201,C3,AS2:AS201)&gt;1),1,"")))</f>
        <v/>
      </c>
      <c r="AV3" s="386" t="str">
        <f>IF(AT3=0,"",IF(AND(AT3=3,M3="F",SUMIF(C2:C201,C3,AS2:AS201)&lt;=1),SUMIF(C2:C201,C3,AS2:AS201),IF(AND(AT3=3,M3="F",SUMIF(C2:C201,C3,AS2:AS201)&gt;1),1,"")))</f>
        <v/>
      </c>
      <c r="AW3" s="386">
        <f>SUMIF(C2:C201,C3,O2:O201)</f>
        <v>3</v>
      </c>
      <c r="AX3" s="386">
        <f>IF(AND(M3="F",AS3&lt;&gt;0),SUMIF(C2:C201,C3,W2:W201),0)</f>
        <v>0</v>
      </c>
      <c r="AY3" s="386" t="str">
        <f t="shared" ref="AY3:AY66" si="29">IF(AT3=1,W3,"")</f>
        <v/>
      </c>
      <c r="AZ3" s="386" t="str">
        <f t="shared" ref="AZ3:AZ66" si="30">IF(AT3=3,W3,"")</f>
        <v/>
      </c>
      <c r="BA3" s="386">
        <f t="shared" ref="BA3:BA66" si="31">IF(AT3=1,Y3-W3,0)</f>
        <v>0</v>
      </c>
      <c r="BB3" s="386">
        <f t="shared" si="0"/>
        <v>0</v>
      </c>
      <c r="BC3" s="386">
        <f t="shared" si="1"/>
        <v>0</v>
      </c>
      <c r="BD3" s="386">
        <f t="shared" si="2"/>
        <v>0</v>
      </c>
      <c r="BE3" s="386">
        <f t="shared" si="3"/>
        <v>0</v>
      </c>
      <c r="BF3" s="386">
        <f t="shared" si="4"/>
        <v>0</v>
      </c>
      <c r="BG3" s="386">
        <f t="shared" si="5"/>
        <v>0</v>
      </c>
      <c r="BH3" s="386">
        <f t="shared" si="6"/>
        <v>0</v>
      </c>
      <c r="BI3" s="386">
        <f t="shared" si="7"/>
        <v>0</v>
      </c>
      <c r="BJ3" s="386">
        <f t="shared" si="8"/>
        <v>0</v>
      </c>
      <c r="BK3" s="386">
        <f t="shared" si="9"/>
        <v>0</v>
      </c>
      <c r="BL3" s="386">
        <f t="shared" ref="BL3:BL66" si="32">IF(AT3=1,SUM(BD3:BK3),0)</f>
        <v>0</v>
      </c>
      <c r="BM3" s="386">
        <f t="shared" ref="BM3:BM66" si="33">IF(AT3=3,SUM(BD3:BK3),0)</f>
        <v>0</v>
      </c>
      <c r="BN3" s="386">
        <f t="shared" si="10"/>
        <v>0</v>
      </c>
      <c r="BO3" s="386">
        <f t="shared" si="11"/>
        <v>0</v>
      </c>
      <c r="BP3" s="386">
        <f t="shared" si="12"/>
        <v>0</v>
      </c>
      <c r="BQ3" s="386">
        <f t="shared" si="13"/>
        <v>0</v>
      </c>
      <c r="BR3" s="386">
        <f t="shared" si="14"/>
        <v>0</v>
      </c>
      <c r="BS3" s="386">
        <f t="shared" si="15"/>
        <v>0</v>
      </c>
      <c r="BT3" s="386">
        <f t="shared" si="16"/>
        <v>0</v>
      </c>
      <c r="BU3" s="386">
        <f t="shared" si="17"/>
        <v>0</v>
      </c>
      <c r="BV3" s="386">
        <f t="shared" si="18"/>
        <v>0</v>
      </c>
      <c r="BW3" s="386">
        <f t="shared" si="19"/>
        <v>0</v>
      </c>
      <c r="BX3" s="386">
        <f t="shared" ref="BX3:BX66" si="34">IF(AT3=1,SUM(BP3:BW3),0)</f>
        <v>0</v>
      </c>
      <c r="BY3" s="386">
        <f t="shared" ref="BY3:BY66" si="35">IF(AT3=3,SUM(BP3:BW3),0)</f>
        <v>0</v>
      </c>
      <c r="BZ3" s="386">
        <f t="shared" ref="BZ3:BZ66" si="36">IF(AT3=1,BN3-BB3,0)</f>
        <v>0</v>
      </c>
      <c r="CA3" s="386">
        <f t="shared" ref="CA3:CA66" si="37">IF(AT3=3,BO3-BC3,0)</f>
        <v>0</v>
      </c>
      <c r="CB3" s="386">
        <f t="shared" ref="CB3:CB66" si="38">BP3-BD3</f>
        <v>0</v>
      </c>
      <c r="CC3" s="386">
        <f t="shared" si="20"/>
        <v>0</v>
      </c>
      <c r="CD3" s="386">
        <f t="shared" si="21"/>
        <v>0</v>
      </c>
      <c r="CE3" s="386">
        <f t="shared" si="22"/>
        <v>0</v>
      </c>
      <c r="CF3" s="386">
        <f t="shared" si="23"/>
        <v>0</v>
      </c>
      <c r="CG3" s="386">
        <f t="shared" si="24"/>
        <v>0</v>
      </c>
      <c r="CH3" s="386">
        <f t="shared" si="25"/>
        <v>0</v>
      </c>
      <c r="CI3" s="386">
        <f t="shared" si="26"/>
        <v>0</v>
      </c>
      <c r="CJ3" s="386">
        <f t="shared" ref="CJ3:CJ66" si="39">IF(AT3=1,SUM(CB3:CI3),0)</f>
        <v>0</v>
      </c>
      <c r="CK3" s="386" t="str">
        <f t="shared" ref="CK3:CK66" si="40">IF(AT3=3,SUM(CB3:CI3),"")</f>
        <v/>
      </c>
      <c r="CL3" s="386" t="str">
        <f t="shared" ref="CL3:CL66" si="41">IF(OR(N3="NG",AG3="D"),(T3+U3),"")</f>
        <v/>
      </c>
      <c r="CM3" s="386" t="str">
        <f t="shared" ref="CM3:CM66" si="42">IF(OR(N3="NG",AG3="D"),V3,"")</f>
        <v/>
      </c>
      <c r="CN3" s="386" t="str">
        <f t="shared" ref="CN3:CN66" si="43">E3 &amp; "-" &amp; F3</f>
        <v>0001-00</v>
      </c>
    </row>
    <row r="4" spans="1:92" ht="15.75" thickBot="1" x14ac:dyDescent="0.3">
      <c r="A4" s="376" t="s">
        <v>162</v>
      </c>
      <c r="B4" s="376" t="s">
        <v>163</v>
      </c>
      <c r="C4" s="376" t="s">
        <v>192</v>
      </c>
      <c r="D4" s="376" t="s">
        <v>165</v>
      </c>
      <c r="E4" s="376" t="s">
        <v>166</v>
      </c>
      <c r="F4" s="377" t="s">
        <v>167</v>
      </c>
      <c r="G4" s="376" t="s">
        <v>168</v>
      </c>
      <c r="H4" s="378"/>
      <c r="I4" s="378"/>
      <c r="J4" s="376" t="s">
        <v>169</v>
      </c>
      <c r="K4" s="376" t="s">
        <v>193</v>
      </c>
      <c r="L4" s="376" t="s">
        <v>194</v>
      </c>
      <c r="M4" s="376" t="s">
        <v>172</v>
      </c>
      <c r="N4" s="376" t="s">
        <v>173</v>
      </c>
      <c r="O4" s="379">
        <v>1</v>
      </c>
      <c r="P4" s="384">
        <v>0</v>
      </c>
      <c r="Q4" s="384">
        <v>0</v>
      </c>
      <c r="R4" s="380">
        <v>80</v>
      </c>
      <c r="S4" s="384">
        <v>0</v>
      </c>
      <c r="T4" s="380">
        <v>2000</v>
      </c>
      <c r="U4" s="380">
        <v>0</v>
      </c>
      <c r="V4" s="380">
        <v>611.32000000000005</v>
      </c>
      <c r="W4" s="380">
        <v>0</v>
      </c>
      <c r="X4" s="380">
        <v>0</v>
      </c>
      <c r="Y4" s="380">
        <v>0</v>
      </c>
      <c r="Z4" s="380">
        <v>0</v>
      </c>
      <c r="AA4" s="376" t="s">
        <v>195</v>
      </c>
      <c r="AB4" s="376" t="s">
        <v>196</v>
      </c>
      <c r="AC4" s="376" t="s">
        <v>197</v>
      </c>
      <c r="AD4" s="376" t="s">
        <v>198</v>
      </c>
      <c r="AE4" s="376" t="s">
        <v>193</v>
      </c>
      <c r="AF4" s="376" t="s">
        <v>178</v>
      </c>
      <c r="AG4" s="376" t="s">
        <v>179</v>
      </c>
      <c r="AH4" s="381">
        <v>35.24</v>
      </c>
      <c r="AI4" s="379">
        <v>7236</v>
      </c>
      <c r="AJ4" s="376" t="s">
        <v>180</v>
      </c>
      <c r="AK4" s="376" t="s">
        <v>181</v>
      </c>
      <c r="AL4" s="376" t="s">
        <v>182</v>
      </c>
      <c r="AM4" s="376" t="s">
        <v>183</v>
      </c>
      <c r="AN4" s="376" t="s">
        <v>66</v>
      </c>
      <c r="AO4" s="379">
        <v>80</v>
      </c>
      <c r="AP4" s="384">
        <v>1</v>
      </c>
      <c r="AQ4" s="384">
        <v>0</v>
      </c>
      <c r="AR4" s="382" t="s">
        <v>184</v>
      </c>
      <c r="AS4" s="386">
        <f t="shared" si="27"/>
        <v>0</v>
      </c>
      <c r="AT4">
        <f t="shared" si="28"/>
        <v>0</v>
      </c>
      <c r="AU4" s="386" t="str">
        <f>IF(AT4=0,"",IF(AND(AT4=1,M4="F",SUMIF(C2:C201,C4,AS2:AS201)&lt;=1),SUMIF(C2:C201,C4,AS2:AS201),IF(AND(AT4=1,M4="F",SUMIF(C2:C201,C4,AS2:AS201)&gt;1),1,"")))</f>
        <v/>
      </c>
      <c r="AV4" s="386" t="str">
        <f>IF(AT4=0,"",IF(AND(AT4=3,M4="F",SUMIF(C2:C201,C4,AS2:AS201)&lt;=1),SUMIF(C2:C201,C4,AS2:AS201),IF(AND(AT4=3,M4="F",SUMIF(C2:C201,C4,AS2:AS201)&gt;1),1,"")))</f>
        <v/>
      </c>
      <c r="AW4" s="386">
        <f>SUMIF(C2:C201,C4,O2:O201)</f>
        <v>3</v>
      </c>
      <c r="AX4" s="386">
        <f>IF(AND(M4="F",AS4&lt;&gt;0),SUMIF(C2:C201,C4,W2:W201),0)</f>
        <v>0</v>
      </c>
      <c r="AY4" s="386" t="str">
        <f t="shared" si="29"/>
        <v/>
      </c>
      <c r="AZ4" s="386" t="str">
        <f t="shared" si="30"/>
        <v/>
      </c>
      <c r="BA4" s="386">
        <f t="shared" si="31"/>
        <v>0</v>
      </c>
      <c r="BB4" s="386">
        <f t="shared" si="0"/>
        <v>0</v>
      </c>
      <c r="BC4" s="386">
        <f t="shared" si="1"/>
        <v>0</v>
      </c>
      <c r="BD4" s="386">
        <f t="shared" si="2"/>
        <v>0</v>
      </c>
      <c r="BE4" s="386">
        <f t="shared" si="3"/>
        <v>0</v>
      </c>
      <c r="BF4" s="386">
        <f t="shared" si="4"/>
        <v>0</v>
      </c>
      <c r="BG4" s="386">
        <f t="shared" si="5"/>
        <v>0</v>
      </c>
      <c r="BH4" s="386">
        <f t="shared" si="6"/>
        <v>0</v>
      </c>
      <c r="BI4" s="386">
        <f t="shared" si="7"/>
        <v>0</v>
      </c>
      <c r="BJ4" s="386">
        <f t="shared" si="8"/>
        <v>0</v>
      </c>
      <c r="BK4" s="386">
        <f t="shared" si="9"/>
        <v>0</v>
      </c>
      <c r="BL4" s="386">
        <f t="shared" si="32"/>
        <v>0</v>
      </c>
      <c r="BM4" s="386">
        <f t="shared" si="33"/>
        <v>0</v>
      </c>
      <c r="BN4" s="386">
        <f t="shared" si="10"/>
        <v>0</v>
      </c>
      <c r="BO4" s="386">
        <f t="shared" si="11"/>
        <v>0</v>
      </c>
      <c r="BP4" s="386">
        <f t="shared" si="12"/>
        <v>0</v>
      </c>
      <c r="BQ4" s="386">
        <f t="shared" si="13"/>
        <v>0</v>
      </c>
      <c r="BR4" s="386">
        <f t="shared" si="14"/>
        <v>0</v>
      </c>
      <c r="BS4" s="386">
        <f t="shared" si="15"/>
        <v>0</v>
      </c>
      <c r="BT4" s="386">
        <f t="shared" si="16"/>
        <v>0</v>
      </c>
      <c r="BU4" s="386">
        <f t="shared" si="17"/>
        <v>0</v>
      </c>
      <c r="BV4" s="386">
        <f t="shared" si="18"/>
        <v>0</v>
      </c>
      <c r="BW4" s="386">
        <f t="shared" si="19"/>
        <v>0</v>
      </c>
      <c r="BX4" s="386">
        <f t="shared" si="34"/>
        <v>0</v>
      </c>
      <c r="BY4" s="386">
        <f t="shared" si="35"/>
        <v>0</v>
      </c>
      <c r="BZ4" s="386">
        <f t="shared" si="36"/>
        <v>0</v>
      </c>
      <c r="CA4" s="386">
        <f t="shared" si="37"/>
        <v>0</v>
      </c>
      <c r="CB4" s="386">
        <f t="shared" si="38"/>
        <v>0</v>
      </c>
      <c r="CC4" s="386">
        <f t="shared" si="20"/>
        <v>0</v>
      </c>
      <c r="CD4" s="386">
        <f t="shared" si="21"/>
        <v>0</v>
      </c>
      <c r="CE4" s="386">
        <f t="shared" si="22"/>
        <v>0</v>
      </c>
      <c r="CF4" s="386">
        <f t="shared" si="23"/>
        <v>0</v>
      </c>
      <c r="CG4" s="386">
        <f t="shared" si="24"/>
        <v>0</v>
      </c>
      <c r="CH4" s="386">
        <f t="shared" si="25"/>
        <v>0</v>
      </c>
      <c r="CI4" s="386">
        <f t="shared" si="26"/>
        <v>0</v>
      </c>
      <c r="CJ4" s="386">
        <f t="shared" si="39"/>
        <v>0</v>
      </c>
      <c r="CK4" s="386" t="str">
        <f t="shared" si="40"/>
        <v/>
      </c>
      <c r="CL4" s="386" t="str">
        <f t="shared" si="41"/>
        <v/>
      </c>
      <c r="CM4" s="386" t="str">
        <f t="shared" si="42"/>
        <v/>
      </c>
      <c r="CN4" s="386" t="str">
        <f t="shared" si="43"/>
        <v>0001-00</v>
      </c>
    </row>
    <row r="5" spans="1:92" ht="15.75" thickBot="1" x14ac:dyDescent="0.3">
      <c r="A5" s="376" t="s">
        <v>162</v>
      </c>
      <c r="B5" s="376" t="s">
        <v>163</v>
      </c>
      <c r="C5" s="376" t="s">
        <v>199</v>
      </c>
      <c r="D5" s="376" t="s">
        <v>200</v>
      </c>
      <c r="E5" s="376" t="s">
        <v>166</v>
      </c>
      <c r="F5" s="377" t="s">
        <v>167</v>
      </c>
      <c r="G5" s="376" t="s">
        <v>168</v>
      </c>
      <c r="H5" s="378"/>
      <c r="I5" s="378"/>
      <c r="J5" s="376" t="s">
        <v>169</v>
      </c>
      <c r="K5" s="376" t="s">
        <v>201</v>
      </c>
      <c r="L5" s="376" t="s">
        <v>167</v>
      </c>
      <c r="M5" s="376" t="s">
        <v>172</v>
      </c>
      <c r="N5" s="376" t="s">
        <v>173</v>
      </c>
      <c r="O5" s="379">
        <v>1</v>
      </c>
      <c r="P5" s="384">
        <v>0</v>
      </c>
      <c r="Q5" s="384">
        <v>0</v>
      </c>
      <c r="R5" s="380">
        <v>80</v>
      </c>
      <c r="S5" s="384">
        <v>0</v>
      </c>
      <c r="T5" s="380">
        <v>6000</v>
      </c>
      <c r="U5" s="380">
        <v>0</v>
      </c>
      <c r="V5" s="380">
        <v>1531.31</v>
      </c>
      <c r="W5" s="380">
        <v>0</v>
      </c>
      <c r="X5" s="380">
        <v>0</v>
      </c>
      <c r="Y5" s="380">
        <v>0</v>
      </c>
      <c r="Z5" s="380">
        <v>0</v>
      </c>
      <c r="AA5" s="376" t="s">
        <v>202</v>
      </c>
      <c r="AB5" s="376" t="s">
        <v>203</v>
      </c>
      <c r="AC5" s="376" t="s">
        <v>204</v>
      </c>
      <c r="AD5" s="376" t="s">
        <v>172</v>
      </c>
      <c r="AE5" s="376" t="s">
        <v>201</v>
      </c>
      <c r="AF5" s="376" t="s">
        <v>178</v>
      </c>
      <c r="AG5" s="376" t="s">
        <v>179</v>
      </c>
      <c r="AH5" s="381">
        <v>44.56</v>
      </c>
      <c r="AI5" s="379">
        <v>31956</v>
      </c>
      <c r="AJ5" s="376" t="s">
        <v>180</v>
      </c>
      <c r="AK5" s="376" t="s">
        <v>181</v>
      </c>
      <c r="AL5" s="376" t="s">
        <v>182</v>
      </c>
      <c r="AM5" s="376" t="s">
        <v>183</v>
      </c>
      <c r="AN5" s="376" t="s">
        <v>66</v>
      </c>
      <c r="AO5" s="379">
        <v>80</v>
      </c>
      <c r="AP5" s="384">
        <v>1</v>
      </c>
      <c r="AQ5" s="384">
        <v>0</v>
      </c>
      <c r="AR5" s="382" t="s">
        <v>184</v>
      </c>
      <c r="AS5" s="386">
        <f t="shared" si="27"/>
        <v>0</v>
      </c>
      <c r="AT5">
        <f t="shared" si="28"/>
        <v>0</v>
      </c>
      <c r="AU5" s="386" t="str">
        <f>IF(AT5=0,"",IF(AND(AT5=1,M5="F",SUMIF(C2:C201,C5,AS2:AS201)&lt;=1),SUMIF(C2:C201,C5,AS2:AS201),IF(AND(AT5=1,M5="F",SUMIF(C2:C201,C5,AS2:AS201)&gt;1),1,"")))</f>
        <v/>
      </c>
      <c r="AV5" s="386" t="str">
        <f>IF(AT5=0,"",IF(AND(AT5=3,M5="F",SUMIF(C2:C201,C5,AS2:AS201)&lt;=1),SUMIF(C2:C201,C5,AS2:AS201),IF(AND(AT5=3,M5="F",SUMIF(C2:C201,C5,AS2:AS201)&gt;1),1,"")))</f>
        <v/>
      </c>
      <c r="AW5" s="386">
        <f>SUMIF(C2:C201,C5,O2:O201)</f>
        <v>3</v>
      </c>
      <c r="AX5" s="386">
        <f>IF(AND(M5="F",AS5&lt;&gt;0),SUMIF(C2:C201,C5,W2:W201),0)</f>
        <v>0</v>
      </c>
      <c r="AY5" s="386" t="str">
        <f t="shared" si="29"/>
        <v/>
      </c>
      <c r="AZ5" s="386" t="str">
        <f t="shared" si="30"/>
        <v/>
      </c>
      <c r="BA5" s="386">
        <f t="shared" si="31"/>
        <v>0</v>
      </c>
      <c r="BB5" s="386">
        <f t="shared" si="0"/>
        <v>0</v>
      </c>
      <c r="BC5" s="386">
        <f t="shared" si="1"/>
        <v>0</v>
      </c>
      <c r="BD5" s="386">
        <f t="shared" si="2"/>
        <v>0</v>
      </c>
      <c r="BE5" s="386">
        <f t="shared" si="3"/>
        <v>0</v>
      </c>
      <c r="BF5" s="386">
        <f t="shared" si="4"/>
        <v>0</v>
      </c>
      <c r="BG5" s="386">
        <f t="shared" si="5"/>
        <v>0</v>
      </c>
      <c r="BH5" s="386">
        <f t="shared" si="6"/>
        <v>0</v>
      </c>
      <c r="BI5" s="386">
        <f t="shared" si="7"/>
        <v>0</v>
      </c>
      <c r="BJ5" s="386">
        <f t="shared" si="8"/>
        <v>0</v>
      </c>
      <c r="BK5" s="386">
        <f t="shared" si="9"/>
        <v>0</v>
      </c>
      <c r="BL5" s="386">
        <f t="shared" si="32"/>
        <v>0</v>
      </c>
      <c r="BM5" s="386">
        <f t="shared" si="33"/>
        <v>0</v>
      </c>
      <c r="BN5" s="386">
        <f t="shared" si="10"/>
        <v>0</v>
      </c>
      <c r="BO5" s="386">
        <f t="shared" si="11"/>
        <v>0</v>
      </c>
      <c r="BP5" s="386">
        <f t="shared" si="12"/>
        <v>0</v>
      </c>
      <c r="BQ5" s="386">
        <f t="shared" si="13"/>
        <v>0</v>
      </c>
      <c r="BR5" s="386">
        <f t="shared" si="14"/>
        <v>0</v>
      </c>
      <c r="BS5" s="386">
        <f t="shared" si="15"/>
        <v>0</v>
      </c>
      <c r="BT5" s="386">
        <f t="shared" si="16"/>
        <v>0</v>
      </c>
      <c r="BU5" s="386">
        <f t="shared" si="17"/>
        <v>0</v>
      </c>
      <c r="BV5" s="386">
        <f t="shared" si="18"/>
        <v>0</v>
      </c>
      <c r="BW5" s="386">
        <f t="shared" si="19"/>
        <v>0</v>
      </c>
      <c r="BX5" s="386">
        <f t="shared" si="34"/>
        <v>0</v>
      </c>
      <c r="BY5" s="386">
        <f t="shared" si="35"/>
        <v>0</v>
      </c>
      <c r="BZ5" s="386">
        <f t="shared" si="36"/>
        <v>0</v>
      </c>
      <c r="CA5" s="386">
        <f t="shared" si="37"/>
        <v>0</v>
      </c>
      <c r="CB5" s="386">
        <f t="shared" si="38"/>
        <v>0</v>
      </c>
      <c r="CC5" s="386">
        <f t="shared" si="20"/>
        <v>0</v>
      </c>
      <c r="CD5" s="386">
        <f t="shared" si="21"/>
        <v>0</v>
      </c>
      <c r="CE5" s="386">
        <f t="shared" si="22"/>
        <v>0</v>
      </c>
      <c r="CF5" s="386">
        <f t="shared" si="23"/>
        <v>0</v>
      </c>
      <c r="CG5" s="386">
        <f t="shared" si="24"/>
        <v>0</v>
      </c>
      <c r="CH5" s="386">
        <f t="shared" si="25"/>
        <v>0</v>
      </c>
      <c r="CI5" s="386">
        <f t="shared" si="26"/>
        <v>0</v>
      </c>
      <c r="CJ5" s="386">
        <f t="shared" si="39"/>
        <v>0</v>
      </c>
      <c r="CK5" s="386" t="str">
        <f t="shared" si="40"/>
        <v/>
      </c>
      <c r="CL5" s="386" t="str">
        <f t="shared" si="41"/>
        <v/>
      </c>
      <c r="CM5" s="386" t="str">
        <f t="shared" si="42"/>
        <v/>
      </c>
      <c r="CN5" s="386" t="str">
        <f t="shared" si="43"/>
        <v>0001-00</v>
      </c>
    </row>
    <row r="6" spans="1:92" ht="15.75" thickBot="1" x14ac:dyDescent="0.3">
      <c r="A6" s="376" t="s">
        <v>162</v>
      </c>
      <c r="B6" s="376" t="s">
        <v>163</v>
      </c>
      <c r="C6" s="376" t="s">
        <v>205</v>
      </c>
      <c r="D6" s="376" t="s">
        <v>165</v>
      </c>
      <c r="E6" s="376" t="s">
        <v>166</v>
      </c>
      <c r="F6" s="377" t="s">
        <v>167</v>
      </c>
      <c r="G6" s="376" t="s">
        <v>168</v>
      </c>
      <c r="H6" s="378"/>
      <c r="I6" s="378"/>
      <c r="J6" s="376" t="s">
        <v>169</v>
      </c>
      <c r="K6" s="376" t="s">
        <v>206</v>
      </c>
      <c r="L6" s="376" t="s">
        <v>198</v>
      </c>
      <c r="M6" s="376" t="s">
        <v>172</v>
      </c>
      <c r="N6" s="376" t="s">
        <v>173</v>
      </c>
      <c r="O6" s="379">
        <v>1</v>
      </c>
      <c r="P6" s="384">
        <v>0</v>
      </c>
      <c r="Q6" s="384">
        <v>0</v>
      </c>
      <c r="R6" s="380">
        <v>80</v>
      </c>
      <c r="S6" s="384">
        <v>0</v>
      </c>
      <c r="T6" s="380">
        <v>5000</v>
      </c>
      <c r="U6" s="380">
        <v>0</v>
      </c>
      <c r="V6" s="380">
        <v>1335.97</v>
      </c>
      <c r="W6" s="380">
        <v>0</v>
      </c>
      <c r="X6" s="380">
        <v>0</v>
      </c>
      <c r="Y6" s="380">
        <v>0</v>
      </c>
      <c r="Z6" s="380">
        <v>0</v>
      </c>
      <c r="AA6" s="376" t="s">
        <v>207</v>
      </c>
      <c r="AB6" s="376" t="s">
        <v>208</v>
      </c>
      <c r="AC6" s="376" t="s">
        <v>209</v>
      </c>
      <c r="AD6" s="376" t="s">
        <v>177</v>
      </c>
      <c r="AE6" s="376" t="s">
        <v>206</v>
      </c>
      <c r="AF6" s="376" t="s">
        <v>178</v>
      </c>
      <c r="AG6" s="376" t="s">
        <v>179</v>
      </c>
      <c r="AH6" s="381">
        <v>33.18</v>
      </c>
      <c r="AI6" s="381">
        <v>16914.5</v>
      </c>
      <c r="AJ6" s="376" t="s">
        <v>180</v>
      </c>
      <c r="AK6" s="376" t="s">
        <v>181</v>
      </c>
      <c r="AL6" s="376" t="s">
        <v>182</v>
      </c>
      <c r="AM6" s="376" t="s">
        <v>183</v>
      </c>
      <c r="AN6" s="376" t="s">
        <v>66</v>
      </c>
      <c r="AO6" s="379">
        <v>80</v>
      </c>
      <c r="AP6" s="384">
        <v>1</v>
      </c>
      <c r="AQ6" s="384">
        <v>0</v>
      </c>
      <c r="AR6" s="382" t="s">
        <v>184</v>
      </c>
      <c r="AS6" s="386">
        <f t="shared" si="27"/>
        <v>0</v>
      </c>
      <c r="AT6">
        <f t="shared" si="28"/>
        <v>0</v>
      </c>
      <c r="AU6" s="386" t="str">
        <f>IF(AT6=0,"",IF(AND(AT6=1,M6="F",SUMIF(C2:C201,C6,AS2:AS201)&lt;=1),SUMIF(C2:C201,C6,AS2:AS201),IF(AND(AT6=1,M6="F",SUMIF(C2:C201,C6,AS2:AS201)&gt;1),1,"")))</f>
        <v/>
      </c>
      <c r="AV6" s="386" t="str">
        <f>IF(AT6=0,"",IF(AND(AT6=3,M6="F",SUMIF(C2:C201,C6,AS2:AS201)&lt;=1),SUMIF(C2:C201,C6,AS2:AS201),IF(AND(AT6=3,M6="F",SUMIF(C2:C201,C6,AS2:AS201)&gt;1),1,"")))</f>
        <v/>
      </c>
      <c r="AW6" s="386">
        <f>SUMIF(C2:C201,C6,O2:O201)</f>
        <v>3</v>
      </c>
      <c r="AX6" s="386">
        <f>IF(AND(M6="F",AS6&lt;&gt;0),SUMIF(C2:C201,C6,W2:W201),0)</f>
        <v>0</v>
      </c>
      <c r="AY6" s="386" t="str">
        <f t="shared" si="29"/>
        <v/>
      </c>
      <c r="AZ6" s="386" t="str">
        <f t="shared" si="30"/>
        <v/>
      </c>
      <c r="BA6" s="386">
        <f t="shared" si="31"/>
        <v>0</v>
      </c>
      <c r="BB6" s="386">
        <f t="shared" si="0"/>
        <v>0</v>
      </c>
      <c r="BC6" s="386">
        <f t="shared" si="1"/>
        <v>0</v>
      </c>
      <c r="BD6" s="386">
        <f t="shared" si="2"/>
        <v>0</v>
      </c>
      <c r="BE6" s="386">
        <f t="shared" si="3"/>
        <v>0</v>
      </c>
      <c r="BF6" s="386">
        <f t="shared" si="4"/>
        <v>0</v>
      </c>
      <c r="BG6" s="386">
        <f t="shared" si="5"/>
        <v>0</v>
      </c>
      <c r="BH6" s="386">
        <f t="shared" si="6"/>
        <v>0</v>
      </c>
      <c r="BI6" s="386">
        <f t="shared" si="7"/>
        <v>0</v>
      </c>
      <c r="BJ6" s="386">
        <f t="shared" si="8"/>
        <v>0</v>
      </c>
      <c r="BK6" s="386">
        <f t="shared" si="9"/>
        <v>0</v>
      </c>
      <c r="BL6" s="386">
        <f t="shared" si="32"/>
        <v>0</v>
      </c>
      <c r="BM6" s="386">
        <f t="shared" si="33"/>
        <v>0</v>
      </c>
      <c r="BN6" s="386">
        <f t="shared" si="10"/>
        <v>0</v>
      </c>
      <c r="BO6" s="386">
        <f t="shared" si="11"/>
        <v>0</v>
      </c>
      <c r="BP6" s="386">
        <f t="shared" si="12"/>
        <v>0</v>
      </c>
      <c r="BQ6" s="386">
        <f t="shared" si="13"/>
        <v>0</v>
      </c>
      <c r="BR6" s="386">
        <f t="shared" si="14"/>
        <v>0</v>
      </c>
      <c r="BS6" s="386">
        <f t="shared" si="15"/>
        <v>0</v>
      </c>
      <c r="BT6" s="386">
        <f t="shared" si="16"/>
        <v>0</v>
      </c>
      <c r="BU6" s="386">
        <f t="shared" si="17"/>
        <v>0</v>
      </c>
      <c r="BV6" s="386">
        <f t="shared" si="18"/>
        <v>0</v>
      </c>
      <c r="BW6" s="386">
        <f t="shared" si="19"/>
        <v>0</v>
      </c>
      <c r="BX6" s="386">
        <f t="shared" si="34"/>
        <v>0</v>
      </c>
      <c r="BY6" s="386">
        <f t="shared" si="35"/>
        <v>0</v>
      </c>
      <c r="BZ6" s="386">
        <f t="shared" si="36"/>
        <v>0</v>
      </c>
      <c r="CA6" s="386">
        <f t="shared" si="37"/>
        <v>0</v>
      </c>
      <c r="CB6" s="386">
        <f t="shared" si="38"/>
        <v>0</v>
      </c>
      <c r="CC6" s="386">
        <f t="shared" si="20"/>
        <v>0</v>
      </c>
      <c r="CD6" s="386">
        <f t="shared" si="21"/>
        <v>0</v>
      </c>
      <c r="CE6" s="386">
        <f t="shared" si="22"/>
        <v>0</v>
      </c>
      <c r="CF6" s="386">
        <f t="shared" si="23"/>
        <v>0</v>
      </c>
      <c r="CG6" s="386">
        <f t="shared" si="24"/>
        <v>0</v>
      </c>
      <c r="CH6" s="386">
        <f t="shared" si="25"/>
        <v>0</v>
      </c>
      <c r="CI6" s="386">
        <f t="shared" si="26"/>
        <v>0</v>
      </c>
      <c r="CJ6" s="386">
        <f t="shared" si="39"/>
        <v>0</v>
      </c>
      <c r="CK6" s="386" t="str">
        <f t="shared" si="40"/>
        <v/>
      </c>
      <c r="CL6" s="386" t="str">
        <f t="shared" si="41"/>
        <v/>
      </c>
      <c r="CM6" s="386" t="str">
        <f t="shared" si="42"/>
        <v/>
      </c>
      <c r="CN6" s="386" t="str">
        <f t="shared" si="43"/>
        <v>0001-00</v>
      </c>
    </row>
    <row r="7" spans="1:92" ht="15.75" thickBot="1" x14ac:dyDescent="0.3">
      <c r="A7" s="376" t="s">
        <v>162</v>
      </c>
      <c r="B7" s="376" t="s">
        <v>163</v>
      </c>
      <c r="C7" s="376" t="s">
        <v>210</v>
      </c>
      <c r="D7" s="376" t="s">
        <v>165</v>
      </c>
      <c r="E7" s="376" t="s">
        <v>166</v>
      </c>
      <c r="F7" s="377" t="s">
        <v>167</v>
      </c>
      <c r="G7" s="376" t="s">
        <v>168</v>
      </c>
      <c r="H7" s="378"/>
      <c r="I7" s="378"/>
      <c r="J7" s="376" t="s">
        <v>169</v>
      </c>
      <c r="K7" s="376" t="s">
        <v>206</v>
      </c>
      <c r="L7" s="376" t="s">
        <v>198</v>
      </c>
      <c r="M7" s="376" t="s">
        <v>172</v>
      </c>
      <c r="N7" s="376" t="s">
        <v>173</v>
      </c>
      <c r="O7" s="379">
        <v>1</v>
      </c>
      <c r="P7" s="384">
        <v>0</v>
      </c>
      <c r="Q7" s="384">
        <v>0</v>
      </c>
      <c r="R7" s="380">
        <v>80</v>
      </c>
      <c r="S7" s="384">
        <v>0</v>
      </c>
      <c r="T7" s="380">
        <v>5000</v>
      </c>
      <c r="U7" s="380">
        <v>0</v>
      </c>
      <c r="V7" s="380">
        <v>1328.79</v>
      </c>
      <c r="W7" s="380">
        <v>0</v>
      </c>
      <c r="X7" s="380">
        <v>0</v>
      </c>
      <c r="Y7" s="380">
        <v>0</v>
      </c>
      <c r="Z7" s="380">
        <v>0</v>
      </c>
      <c r="AA7" s="376" t="s">
        <v>211</v>
      </c>
      <c r="AB7" s="376" t="s">
        <v>212</v>
      </c>
      <c r="AC7" s="376" t="s">
        <v>213</v>
      </c>
      <c r="AD7" s="376" t="s">
        <v>198</v>
      </c>
      <c r="AE7" s="376" t="s">
        <v>206</v>
      </c>
      <c r="AF7" s="376" t="s">
        <v>178</v>
      </c>
      <c r="AG7" s="376" t="s">
        <v>179</v>
      </c>
      <c r="AH7" s="381">
        <v>36.270000000000003</v>
      </c>
      <c r="AI7" s="381">
        <v>25865.7</v>
      </c>
      <c r="AJ7" s="376" t="s">
        <v>180</v>
      </c>
      <c r="AK7" s="376" t="s">
        <v>181</v>
      </c>
      <c r="AL7" s="376" t="s">
        <v>182</v>
      </c>
      <c r="AM7" s="376" t="s">
        <v>183</v>
      </c>
      <c r="AN7" s="376" t="s">
        <v>66</v>
      </c>
      <c r="AO7" s="379">
        <v>80</v>
      </c>
      <c r="AP7" s="384">
        <v>1</v>
      </c>
      <c r="AQ7" s="384">
        <v>0</v>
      </c>
      <c r="AR7" s="382" t="s">
        <v>184</v>
      </c>
      <c r="AS7" s="386">
        <f t="shared" si="27"/>
        <v>0</v>
      </c>
      <c r="AT7">
        <f t="shared" si="28"/>
        <v>0</v>
      </c>
      <c r="AU7" s="386" t="str">
        <f>IF(AT7=0,"",IF(AND(AT7=1,M7="F",SUMIF(C2:C201,C7,AS2:AS201)&lt;=1),SUMIF(C2:C201,C7,AS2:AS201),IF(AND(AT7=1,M7="F",SUMIF(C2:C201,C7,AS2:AS201)&gt;1),1,"")))</f>
        <v/>
      </c>
      <c r="AV7" s="386" t="str">
        <f>IF(AT7=0,"",IF(AND(AT7=3,M7="F",SUMIF(C2:C201,C7,AS2:AS201)&lt;=1),SUMIF(C2:C201,C7,AS2:AS201),IF(AND(AT7=3,M7="F",SUMIF(C2:C201,C7,AS2:AS201)&gt;1),1,"")))</f>
        <v/>
      </c>
      <c r="AW7" s="386">
        <f>SUMIF(C2:C201,C7,O2:O201)</f>
        <v>3</v>
      </c>
      <c r="AX7" s="386">
        <f>IF(AND(M7="F",AS7&lt;&gt;0),SUMIF(C2:C201,C7,W2:W201),0)</f>
        <v>0</v>
      </c>
      <c r="AY7" s="386" t="str">
        <f t="shared" si="29"/>
        <v/>
      </c>
      <c r="AZ7" s="386" t="str">
        <f t="shared" si="30"/>
        <v/>
      </c>
      <c r="BA7" s="386">
        <f t="shared" si="31"/>
        <v>0</v>
      </c>
      <c r="BB7" s="386">
        <f t="shared" si="0"/>
        <v>0</v>
      </c>
      <c r="BC7" s="386">
        <f t="shared" si="1"/>
        <v>0</v>
      </c>
      <c r="BD7" s="386">
        <f t="shared" si="2"/>
        <v>0</v>
      </c>
      <c r="BE7" s="386">
        <f t="shared" si="3"/>
        <v>0</v>
      </c>
      <c r="BF7" s="386">
        <f t="shared" si="4"/>
        <v>0</v>
      </c>
      <c r="BG7" s="386">
        <f t="shared" si="5"/>
        <v>0</v>
      </c>
      <c r="BH7" s="386">
        <f t="shared" si="6"/>
        <v>0</v>
      </c>
      <c r="BI7" s="386">
        <f t="shared" si="7"/>
        <v>0</v>
      </c>
      <c r="BJ7" s="386">
        <f t="shared" si="8"/>
        <v>0</v>
      </c>
      <c r="BK7" s="386">
        <f t="shared" si="9"/>
        <v>0</v>
      </c>
      <c r="BL7" s="386">
        <f t="shared" si="32"/>
        <v>0</v>
      </c>
      <c r="BM7" s="386">
        <f t="shared" si="33"/>
        <v>0</v>
      </c>
      <c r="BN7" s="386">
        <f t="shared" si="10"/>
        <v>0</v>
      </c>
      <c r="BO7" s="386">
        <f t="shared" si="11"/>
        <v>0</v>
      </c>
      <c r="BP7" s="386">
        <f t="shared" si="12"/>
        <v>0</v>
      </c>
      <c r="BQ7" s="386">
        <f t="shared" si="13"/>
        <v>0</v>
      </c>
      <c r="BR7" s="386">
        <f t="shared" si="14"/>
        <v>0</v>
      </c>
      <c r="BS7" s="386">
        <f t="shared" si="15"/>
        <v>0</v>
      </c>
      <c r="BT7" s="386">
        <f t="shared" si="16"/>
        <v>0</v>
      </c>
      <c r="BU7" s="386">
        <f t="shared" si="17"/>
        <v>0</v>
      </c>
      <c r="BV7" s="386">
        <f t="shared" si="18"/>
        <v>0</v>
      </c>
      <c r="BW7" s="386">
        <f t="shared" si="19"/>
        <v>0</v>
      </c>
      <c r="BX7" s="386">
        <f t="shared" si="34"/>
        <v>0</v>
      </c>
      <c r="BY7" s="386">
        <f t="shared" si="35"/>
        <v>0</v>
      </c>
      <c r="BZ7" s="386">
        <f t="shared" si="36"/>
        <v>0</v>
      </c>
      <c r="CA7" s="386">
        <f t="shared" si="37"/>
        <v>0</v>
      </c>
      <c r="CB7" s="386">
        <f t="shared" si="38"/>
        <v>0</v>
      </c>
      <c r="CC7" s="386">
        <f t="shared" si="20"/>
        <v>0</v>
      </c>
      <c r="CD7" s="386">
        <f t="shared" si="21"/>
        <v>0</v>
      </c>
      <c r="CE7" s="386">
        <f t="shared" si="22"/>
        <v>0</v>
      </c>
      <c r="CF7" s="386">
        <f t="shared" si="23"/>
        <v>0</v>
      </c>
      <c r="CG7" s="386">
        <f t="shared" si="24"/>
        <v>0</v>
      </c>
      <c r="CH7" s="386">
        <f t="shared" si="25"/>
        <v>0</v>
      </c>
      <c r="CI7" s="386">
        <f t="shared" si="26"/>
        <v>0</v>
      </c>
      <c r="CJ7" s="386">
        <f t="shared" si="39"/>
        <v>0</v>
      </c>
      <c r="CK7" s="386" t="str">
        <f t="shared" si="40"/>
        <v/>
      </c>
      <c r="CL7" s="386" t="str">
        <f t="shared" si="41"/>
        <v/>
      </c>
      <c r="CM7" s="386" t="str">
        <f t="shared" si="42"/>
        <v/>
      </c>
      <c r="CN7" s="386" t="str">
        <f t="shared" si="43"/>
        <v>0001-00</v>
      </c>
    </row>
    <row r="8" spans="1:92" ht="15.75" thickBot="1" x14ac:dyDescent="0.3">
      <c r="A8" s="376" t="s">
        <v>162</v>
      </c>
      <c r="B8" s="376" t="s">
        <v>163</v>
      </c>
      <c r="C8" s="376" t="s">
        <v>214</v>
      </c>
      <c r="D8" s="376" t="s">
        <v>165</v>
      </c>
      <c r="E8" s="376" t="s">
        <v>166</v>
      </c>
      <c r="F8" s="377" t="s">
        <v>167</v>
      </c>
      <c r="G8" s="376" t="s">
        <v>168</v>
      </c>
      <c r="H8" s="378"/>
      <c r="I8" s="378"/>
      <c r="J8" s="376" t="s">
        <v>169</v>
      </c>
      <c r="K8" s="376" t="s">
        <v>206</v>
      </c>
      <c r="L8" s="376" t="s">
        <v>198</v>
      </c>
      <c r="M8" s="376" t="s">
        <v>172</v>
      </c>
      <c r="N8" s="376" t="s">
        <v>173</v>
      </c>
      <c r="O8" s="379">
        <v>1</v>
      </c>
      <c r="P8" s="384">
        <v>0</v>
      </c>
      <c r="Q8" s="384">
        <v>0</v>
      </c>
      <c r="R8" s="380">
        <v>80</v>
      </c>
      <c r="S8" s="384">
        <v>0</v>
      </c>
      <c r="T8" s="380">
        <v>7000</v>
      </c>
      <c r="U8" s="380">
        <v>0</v>
      </c>
      <c r="V8" s="380">
        <v>1747.14</v>
      </c>
      <c r="W8" s="380">
        <v>0</v>
      </c>
      <c r="X8" s="380">
        <v>0</v>
      </c>
      <c r="Y8" s="380">
        <v>0</v>
      </c>
      <c r="Z8" s="380">
        <v>0</v>
      </c>
      <c r="AA8" s="376" t="s">
        <v>215</v>
      </c>
      <c r="AB8" s="376" t="s">
        <v>216</v>
      </c>
      <c r="AC8" s="376" t="s">
        <v>217</v>
      </c>
      <c r="AD8" s="376" t="s">
        <v>171</v>
      </c>
      <c r="AE8" s="376" t="s">
        <v>206</v>
      </c>
      <c r="AF8" s="376" t="s">
        <v>178</v>
      </c>
      <c r="AG8" s="376" t="s">
        <v>179</v>
      </c>
      <c r="AH8" s="381">
        <v>36.270000000000003</v>
      </c>
      <c r="AI8" s="381">
        <v>17640.5</v>
      </c>
      <c r="AJ8" s="376" t="s">
        <v>180</v>
      </c>
      <c r="AK8" s="376" t="s">
        <v>181</v>
      </c>
      <c r="AL8" s="376" t="s">
        <v>182</v>
      </c>
      <c r="AM8" s="376" t="s">
        <v>183</v>
      </c>
      <c r="AN8" s="376" t="s">
        <v>66</v>
      </c>
      <c r="AO8" s="379">
        <v>80</v>
      </c>
      <c r="AP8" s="384">
        <v>1</v>
      </c>
      <c r="AQ8" s="384">
        <v>0</v>
      </c>
      <c r="AR8" s="382" t="s">
        <v>184</v>
      </c>
      <c r="AS8" s="386">
        <f t="shared" si="27"/>
        <v>0</v>
      </c>
      <c r="AT8">
        <f t="shared" si="28"/>
        <v>0</v>
      </c>
      <c r="AU8" s="386" t="str">
        <f>IF(AT8=0,"",IF(AND(AT8=1,M8="F",SUMIF(C2:C201,C8,AS2:AS201)&lt;=1),SUMIF(C2:C201,C8,AS2:AS201),IF(AND(AT8=1,M8="F",SUMIF(C2:C201,C8,AS2:AS201)&gt;1),1,"")))</f>
        <v/>
      </c>
      <c r="AV8" s="386" t="str">
        <f>IF(AT8=0,"",IF(AND(AT8=3,M8="F",SUMIF(C2:C201,C8,AS2:AS201)&lt;=1),SUMIF(C2:C201,C8,AS2:AS201),IF(AND(AT8=3,M8="F",SUMIF(C2:C201,C8,AS2:AS201)&gt;1),1,"")))</f>
        <v/>
      </c>
      <c r="AW8" s="386">
        <f>SUMIF(C2:C201,C8,O2:O201)</f>
        <v>3</v>
      </c>
      <c r="AX8" s="386">
        <f>IF(AND(M8="F",AS8&lt;&gt;0),SUMIF(C2:C201,C8,W2:W201),0)</f>
        <v>0</v>
      </c>
      <c r="AY8" s="386" t="str">
        <f t="shared" si="29"/>
        <v/>
      </c>
      <c r="AZ8" s="386" t="str">
        <f t="shared" si="30"/>
        <v/>
      </c>
      <c r="BA8" s="386">
        <f t="shared" si="31"/>
        <v>0</v>
      </c>
      <c r="BB8" s="386">
        <f t="shared" si="0"/>
        <v>0</v>
      </c>
      <c r="BC8" s="386">
        <f t="shared" si="1"/>
        <v>0</v>
      </c>
      <c r="BD8" s="386">
        <f t="shared" si="2"/>
        <v>0</v>
      </c>
      <c r="BE8" s="386">
        <f t="shared" si="3"/>
        <v>0</v>
      </c>
      <c r="BF8" s="386">
        <f t="shared" si="4"/>
        <v>0</v>
      </c>
      <c r="BG8" s="386">
        <f t="shared" si="5"/>
        <v>0</v>
      </c>
      <c r="BH8" s="386">
        <f t="shared" si="6"/>
        <v>0</v>
      </c>
      <c r="BI8" s="386">
        <f t="shared" si="7"/>
        <v>0</v>
      </c>
      <c r="BJ8" s="386">
        <f t="shared" si="8"/>
        <v>0</v>
      </c>
      <c r="BK8" s="386">
        <f t="shared" si="9"/>
        <v>0</v>
      </c>
      <c r="BL8" s="386">
        <f t="shared" si="32"/>
        <v>0</v>
      </c>
      <c r="BM8" s="386">
        <f t="shared" si="33"/>
        <v>0</v>
      </c>
      <c r="BN8" s="386">
        <f t="shared" si="10"/>
        <v>0</v>
      </c>
      <c r="BO8" s="386">
        <f t="shared" si="11"/>
        <v>0</v>
      </c>
      <c r="BP8" s="386">
        <f t="shared" si="12"/>
        <v>0</v>
      </c>
      <c r="BQ8" s="386">
        <f t="shared" si="13"/>
        <v>0</v>
      </c>
      <c r="BR8" s="386">
        <f t="shared" si="14"/>
        <v>0</v>
      </c>
      <c r="BS8" s="386">
        <f t="shared" si="15"/>
        <v>0</v>
      </c>
      <c r="BT8" s="386">
        <f t="shared" si="16"/>
        <v>0</v>
      </c>
      <c r="BU8" s="386">
        <f t="shared" si="17"/>
        <v>0</v>
      </c>
      <c r="BV8" s="386">
        <f t="shared" si="18"/>
        <v>0</v>
      </c>
      <c r="BW8" s="386">
        <f t="shared" si="19"/>
        <v>0</v>
      </c>
      <c r="BX8" s="386">
        <f t="shared" si="34"/>
        <v>0</v>
      </c>
      <c r="BY8" s="386">
        <f t="shared" si="35"/>
        <v>0</v>
      </c>
      <c r="BZ8" s="386">
        <f t="shared" si="36"/>
        <v>0</v>
      </c>
      <c r="CA8" s="386">
        <f t="shared" si="37"/>
        <v>0</v>
      </c>
      <c r="CB8" s="386">
        <f t="shared" si="38"/>
        <v>0</v>
      </c>
      <c r="CC8" s="386">
        <f t="shared" si="20"/>
        <v>0</v>
      </c>
      <c r="CD8" s="386">
        <f t="shared" si="21"/>
        <v>0</v>
      </c>
      <c r="CE8" s="386">
        <f t="shared" si="22"/>
        <v>0</v>
      </c>
      <c r="CF8" s="386">
        <f t="shared" si="23"/>
        <v>0</v>
      </c>
      <c r="CG8" s="386">
        <f t="shared" si="24"/>
        <v>0</v>
      </c>
      <c r="CH8" s="386">
        <f t="shared" si="25"/>
        <v>0</v>
      </c>
      <c r="CI8" s="386">
        <f t="shared" si="26"/>
        <v>0</v>
      </c>
      <c r="CJ8" s="386">
        <f t="shared" si="39"/>
        <v>0</v>
      </c>
      <c r="CK8" s="386" t="str">
        <f t="shared" si="40"/>
        <v/>
      </c>
      <c r="CL8" s="386" t="str">
        <f t="shared" si="41"/>
        <v/>
      </c>
      <c r="CM8" s="386" t="str">
        <f t="shared" si="42"/>
        <v/>
      </c>
      <c r="CN8" s="386" t="str">
        <f t="shared" si="43"/>
        <v>0001-00</v>
      </c>
    </row>
    <row r="9" spans="1:92" ht="15.75" thickBot="1" x14ac:dyDescent="0.3">
      <c r="A9" s="376" t="s">
        <v>162</v>
      </c>
      <c r="B9" s="376" t="s">
        <v>163</v>
      </c>
      <c r="C9" s="376" t="s">
        <v>218</v>
      </c>
      <c r="D9" s="376" t="s">
        <v>219</v>
      </c>
      <c r="E9" s="376" t="s">
        <v>166</v>
      </c>
      <c r="F9" s="377" t="s">
        <v>167</v>
      </c>
      <c r="G9" s="376" t="s">
        <v>168</v>
      </c>
      <c r="H9" s="378"/>
      <c r="I9" s="378"/>
      <c r="J9" s="376" t="s">
        <v>220</v>
      </c>
      <c r="K9" s="376" t="s">
        <v>221</v>
      </c>
      <c r="L9" s="376" t="s">
        <v>222</v>
      </c>
      <c r="M9" s="376" t="s">
        <v>172</v>
      </c>
      <c r="N9" s="376" t="s">
        <v>173</v>
      </c>
      <c r="O9" s="379">
        <v>1</v>
      </c>
      <c r="P9" s="384">
        <v>0.2</v>
      </c>
      <c r="Q9" s="384">
        <v>0.2</v>
      </c>
      <c r="R9" s="380">
        <v>80</v>
      </c>
      <c r="S9" s="384">
        <v>0.2</v>
      </c>
      <c r="T9" s="380">
        <v>22630.77</v>
      </c>
      <c r="U9" s="380">
        <v>0</v>
      </c>
      <c r="V9" s="380">
        <v>7296.99</v>
      </c>
      <c r="W9" s="380">
        <v>16219.84</v>
      </c>
      <c r="X9" s="380">
        <v>5823.6</v>
      </c>
      <c r="Y9" s="380">
        <v>16219.84</v>
      </c>
      <c r="Z9" s="380">
        <v>5951.95</v>
      </c>
      <c r="AA9" s="376" t="s">
        <v>223</v>
      </c>
      <c r="AB9" s="376" t="s">
        <v>189</v>
      </c>
      <c r="AC9" s="376" t="s">
        <v>224</v>
      </c>
      <c r="AD9" s="376" t="s">
        <v>225</v>
      </c>
      <c r="AE9" s="376" t="s">
        <v>221</v>
      </c>
      <c r="AF9" s="376" t="s">
        <v>178</v>
      </c>
      <c r="AG9" s="376" t="s">
        <v>179</v>
      </c>
      <c r="AH9" s="381">
        <v>38.99</v>
      </c>
      <c r="AI9" s="381">
        <v>19300.7</v>
      </c>
      <c r="AJ9" s="376" t="s">
        <v>180</v>
      </c>
      <c r="AK9" s="376" t="s">
        <v>181</v>
      </c>
      <c r="AL9" s="376" t="s">
        <v>182</v>
      </c>
      <c r="AM9" s="376" t="s">
        <v>183</v>
      </c>
      <c r="AN9" s="376" t="s">
        <v>66</v>
      </c>
      <c r="AO9" s="379">
        <v>80</v>
      </c>
      <c r="AP9" s="384">
        <v>1</v>
      </c>
      <c r="AQ9" s="384">
        <v>0.2</v>
      </c>
      <c r="AR9" s="382" t="s">
        <v>184</v>
      </c>
      <c r="AS9" s="386">
        <f t="shared" si="27"/>
        <v>0.2</v>
      </c>
      <c r="AT9">
        <f t="shared" si="28"/>
        <v>1</v>
      </c>
      <c r="AU9" s="386">
        <f>IF(AT9=0,"",IF(AND(AT9=1,M9="F",SUMIF(C2:C201,C9,AS2:AS201)&lt;=1),SUMIF(C2:C201,C9,AS2:AS201),IF(AND(AT9=1,M9="F",SUMIF(C2:C201,C9,AS2:AS201)&gt;1),1,"")))</f>
        <v>1</v>
      </c>
      <c r="AV9" s="386" t="str">
        <f>IF(AT9=0,"",IF(AND(AT9=3,M9="F",SUMIF(C2:C201,C9,AS2:AS201)&lt;=1),SUMIF(C2:C201,C9,AS2:AS201),IF(AND(AT9=3,M9="F",SUMIF(C2:C201,C9,AS2:AS201)&gt;1),1,"")))</f>
        <v/>
      </c>
      <c r="AW9" s="386">
        <f>SUMIF(C2:C201,C9,O2:O201)</f>
        <v>4</v>
      </c>
      <c r="AX9" s="386">
        <f>IF(AND(M9="F",AS9&lt;&gt;0),SUMIF(C2:C201,C9,W2:W201),0)</f>
        <v>81099.199999999997</v>
      </c>
      <c r="AY9" s="386">
        <f t="shared" si="29"/>
        <v>16219.84</v>
      </c>
      <c r="AZ9" s="386" t="str">
        <f t="shared" si="30"/>
        <v/>
      </c>
      <c r="BA9" s="386">
        <f t="shared" si="31"/>
        <v>0</v>
      </c>
      <c r="BB9" s="386">
        <f t="shared" si="0"/>
        <v>2500</v>
      </c>
      <c r="BC9" s="386">
        <f t="shared" si="1"/>
        <v>0</v>
      </c>
      <c r="BD9" s="386">
        <f t="shared" si="2"/>
        <v>1005.63008</v>
      </c>
      <c r="BE9" s="386">
        <f t="shared" si="3"/>
        <v>235.18768</v>
      </c>
      <c r="BF9" s="386">
        <f t="shared" si="4"/>
        <v>1936.6488960000001</v>
      </c>
      <c r="BG9" s="386">
        <f t="shared" si="5"/>
        <v>116.94504640000001</v>
      </c>
      <c r="BH9" s="386">
        <f t="shared" si="6"/>
        <v>0</v>
      </c>
      <c r="BI9" s="386">
        <f t="shared" si="7"/>
        <v>0</v>
      </c>
      <c r="BJ9" s="386">
        <f t="shared" si="8"/>
        <v>29.195712</v>
      </c>
      <c r="BK9" s="386">
        <f t="shared" si="9"/>
        <v>0</v>
      </c>
      <c r="BL9" s="386">
        <f t="shared" si="32"/>
        <v>3323.6074144000004</v>
      </c>
      <c r="BM9" s="386">
        <f t="shared" si="33"/>
        <v>0</v>
      </c>
      <c r="BN9" s="386">
        <f t="shared" si="10"/>
        <v>2750</v>
      </c>
      <c r="BO9" s="386">
        <f t="shared" si="11"/>
        <v>0</v>
      </c>
      <c r="BP9" s="386">
        <f t="shared" si="12"/>
        <v>1005.63008</v>
      </c>
      <c r="BQ9" s="386">
        <f t="shared" si="13"/>
        <v>235.18768</v>
      </c>
      <c r="BR9" s="386">
        <f t="shared" si="14"/>
        <v>1813.3781119999999</v>
      </c>
      <c r="BS9" s="386">
        <f t="shared" si="15"/>
        <v>116.94504640000001</v>
      </c>
      <c r="BT9" s="386">
        <f t="shared" si="16"/>
        <v>0</v>
      </c>
      <c r="BU9" s="386">
        <f t="shared" si="17"/>
        <v>0</v>
      </c>
      <c r="BV9" s="386">
        <f t="shared" si="18"/>
        <v>30.817696000000002</v>
      </c>
      <c r="BW9" s="386">
        <f t="shared" si="19"/>
        <v>0</v>
      </c>
      <c r="BX9" s="386">
        <f t="shared" si="34"/>
        <v>3201.9586144</v>
      </c>
      <c r="BY9" s="386">
        <f t="shared" si="35"/>
        <v>0</v>
      </c>
      <c r="BZ9" s="386">
        <f t="shared" si="36"/>
        <v>250</v>
      </c>
      <c r="CA9" s="386">
        <f t="shared" si="37"/>
        <v>0</v>
      </c>
      <c r="CB9" s="386">
        <f t="shared" si="38"/>
        <v>0</v>
      </c>
      <c r="CC9" s="386">
        <f t="shared" si="20"/>
        <v>0</v>
      </c>
      <c r="CD9" s="386">
        <f t="shared" si="21"/>
        <v>-123.27078400000016</v>
      </c>
      <c r="CE9" s="386">
        <f t="shared" si="22"/>
        <v>0</v>
      </c>
      <c r="CF9" s="386">
        <f t="shared" si="23"/>
        <v>0</v>
      </c>
      <c r="CG9" s="386">
        <f t="shared" si="24"/>
        <v>0</v>
      </c>
      <c r="CH9" s="386">
        <f t="shared" si="25"/>
        <v>1.6219840000000008</v>
      </c>
      <c r="CI9" s="386">
        <f t="shared" si="26"/>
        <v>0</v>
      </c>
      <c r="CJ9" s="386">
        <f t="shared" si="39"/>
        <v>-121.64880000000016</v>
      </c>
      <c r="CK9" s="386" t="str">
        <f t="shared" si="40"/>
        <v/>
      </c>
      <c r="CL9" s="386" t="str">
        <f t="shared" si="41"/>
        <v/>
      </c>
      <c r="CM9" s="386" t="str">
        <f t="shared" si="42"/>
        <v/>
      </c>
      <c r="CN9" s="386" t="str">
        <f t="shared" si="43"/>
        <v>0001-00</v>
      </c>
    </row>
    <row r="10" spans="1:92" ht="15.75" thickBot="1" x14ac:dyDescent="0.3">
      <c r="A10" s="376" t="s">
        <v>162</v>
      </c>
      <c r="B10" s="376" t="s">
        <v>163</v>
      </c>
      <c r="C10" s="376" t="s">
        <v>226</v>
      </c>
      <c r="D10" s="376" t="s">
        <v>227</v>
      </c>
      <c r="E10" s="376" t="s">
        <v>166</v>
      </c>
      <c r="F10" s="377" t="s">
        <v>167</v>
      </c>
      <c r="G10" s="376" t="s">
        <v>168</v>
      </c>
      <c r="H10" s="378"/>
      <c r="I10" s="378"/>
      <c r="J10" s="376" t="s">
        <v>220</v>
      </c>
      <c r="K10" s="376" t="s">
        <v>228</v>
      </c>
      <c r="L10" s="376" t="s">
        <v>167</v>
      </c>
      <c r="M10" s="376" t="s">
        <v>172</v>
      </c>
      <c r="N10" s="376" t="s">
        <v>173</v>
      </c>
      <c r="O10" s="379">
        <v>1</v>
      </c>
      <c r="P10" s="384">
        <v>0.15</v>
      </c>
      <c r="Q10" s="384">
        <v>0.15</v>
      </c>
      <c r="R10" s="380">
        <v>80</v>
      </c>
      <c r="S10" s="384">
        <v>0.15</v>
      </c>
      <c r="T10" s="380">
        <v>15892.14</v>
      </c>
      <c r="U10" s="380">
        <v>0</v>
      </c>
      <c r="V10" s="380">
        <v>4988.6899999999996</v>
      </c>
      <c r="W10" s="380">
        <v>14688.96</v>
      </c>
      <c r="X10" s="380">
        <v>4884.91</v>
      </c>
      <c r="Y10" s="380">
        <v>14688.96</v>
      </c>
      <c r="Z10" s="380">
        <v>4962.24</v>
      </c>
      <c r="AA10" s="376" t="s">
        <v>229</v>
      </c>
      <c r="AB10" s="376" t="s">
        <v>230</v>
      </c>
      <c r="AC10" s="376" t="s">
        <v>213</v>
      </c>
      <c r="AD10" s="376" t="s">
        <v>231</v>
      </c>
      <c r="AE10" s="376" t="s">
        <v>228</v>
      </c>
      <c r="AF10" s="376" t="s">
        <v>178</v>
      </c>
      <c r="AG10" s="376" t="s">
        <v>179</v>
      </c>
      <c r="AH10" s="381">
        <v>47.08</v>
      </c>
      <c r="AI10" s="381">
        <v>8742.5</v>
      </c>
      <c r="AJ10" s="376" t="s">
        <v>180</v>
      </c>
      <c r="AK10" s="376" t="s">
        <v>181</v>
      </c>
      <c r="AL10" s="376" t="s">
        <v>182</v>
      </c>
      <c r="AM10" s="376" t="s">
        <v>183</v>
      </c>
      <c r="AN10" s="376" t="s">
        <v>66</v>
      </c>
      <c r="AO10" s="379">
        <v>80</v>
      </c>
      <c r="AP10" s="384">
        <v>1</v>
      </c>
      <c r="AQ10" s="384">
        <v>0.15</v>
      </c>
      <c r="AR10" s="382" t="s">
        <v>184</v>
      </c>
      <c r="AS10" s="386">
        <f t="shared" si="27"/>
        <v>0.15</v>
      </c>
      <c r="AT10">
        <f t="shared" si="28"/>
        <v>1</v>
      </c>
      <c r="AU10" s="386">
        <f>IF(AT10=0,"",IF(AND(AT10=1,M10="F",SUMIF(C2:C201,C10,AS2:AS201)&lt;=1),SUMIF(C2:C201,C10,AS2:AS201),IF(AND(AT10=1,M10="F",SUMIF(C2:C201,C10,AS2:AS201)&gt;1),1,"")))</f>
        <v>1</v>
      </c>
      <c r="AV10" s="386" t="str">
        <f>IF(AT10=0,"",IF(AND(AT10=3,M10="F",SUMIF(C2:C201,C10,AS2:AS201)&lt;=1),SUMIF(C2:C201,C10,AS2:AS201),IF(AND(AT10=3,M10="F",SUMIF(C2:C201,C10,AS2:AS201)&gt;1),1,"")))</f>
        <v/>
      </c>
      <c r="AW10" s="386">
        <f>SUMIF(C2:C201,C10,O2:O201)</f>
        <v>5</v>
      </c>
      <c r="AX10" s="386">
        <f>IF(AND(M10="F",AS10&lt;&gt;0),SUMIF(C2:C201,C10,W2:W201),0)</f>
        <v>97926.399999999994</v>
      </c>
      <c r="AY10" s="386">
        <f t="shared" si="29"/>
        <v>14688.96</v>
      </c>
      <c r="AZ10" s="386" t="str">
        <f t="shared" si="30"/>
        <v/>
      </c>
      <c r="BA10" s="386">
        <f t="shared" si="31"/>
        <v>0</v>
      </c>
      <c r="BB10" s="386">
        <f t="shared" si="0"/>
        <v>1875</v>
      </c>
      <c r="BC10" s="386">
        <f t="shared" si="1"/>
        <v>0</v>
      </c>
      <c r="BD10" s="386">
        <f t="shared" si="2"/>
        <v>910.71551999999997</v>
      </c>
      <c r="BE10" s="386">
        <f t="shared" si="3"/>
        <v>212.98992000000001</v>
      </c>
      <c r="BF10" s="386">
        <f t="shared" si="4"/>
        <v>1753.8618240000001</v>
      </c>
      <c r="BG10" s="386">
        <f t="shared" si="5"/>
        <v>105.9074016</v>
      </c>
      <c r="BH10" s="386">
        <f t="shared" si="6"/>
        <v>0</v>
      </c>
      <c r="BI10" s="386">
        <f t="shared" si="7"/>
        <v>0</v>
      </c>
      <c r="BJ10" s="386">
        <f t="shared" si="8"/>
        <v>26.440127999999998</v>
      </c>
      <c r="BK10" s="386">
        <f t="shared" si="9"/>
        <v>0</v>
      </c>
      <c r="BL10" s="386">
        <f t="shared" si="32"/>
        <v>3009.9147936000004</v>
      </c>
      <c r="BM10" s="386">
        <f t="shared" si="33"/>
        <v>0</v>
      </c>
      <c r="BN10" s="386">
        <f t="shared" si="10"/>
        <v>2062.5</v>
      </c>
      <c r="BO10" s="386">
        <f t="shared" si="11"/>
        <v>0</v>
      </c>
      <c r="BP10" s="386">
        <f t="shared" si="12"/>
        <v>910.71551999999997</v>
      </c>
      <c r="BQ10" s="386">
        <f t="shared" si="13"/>
        <v>212.98992000000001</v>
      </c>
      <c r="BR10" s="386">
        <f t="shared" si="14"/>
        <v>1642.2257279999999</v>
      </c>
      <c r="BS10" s="386">
        <f t="shared" si="15"/>
        <v>105.9074016</v>
      </c>
      <c r="BT10" s="386">
        <f t="shared" si="16"/>
        <v>0</v>
      </c>
      <c r="BU10" s="386">
        <f t="shared" si="17"/>
        <v>0</v>
      </c>
      <c r="BV10" s="386">
        <f t="shared" si="18"/>
        <v>27.909023999999999</v>
      </c>
      <c r="BW10" s="386">
        <f t="shared" si="19"/>
        <v>0</v>
      </c>
      <c r="BX10" s="386">
        <f t="shared" si="34"/>
        <v>2899.7475936000001</v>
      </c>
      <c r="BY10" s="386">
        <f t="shared" si="35"/>
        <v>0</v>
      </c>
      <c r="BZ10" s="386">
        <f t="shared" si="36"/>
        <v>187.5</v>
      </c>
      <c r="CA10" s="386">
        <f t="shared" si="37"/>
        <v>0</v>
      </c>
      <c r="CB10" s="386">
        <f t="shared" si="38"/>
        <v>0</v>
      </c>
      <c r="CC10" s="386">
        <f t="shared" si="20"/>
        <v>0</v>
      </c>
      <c r="CD10" s="386">
        <f t="shared" si="21"/>
        <v>-111.63609600000014</v>
      </c>
      <c r="CE10" s="386">
        <f t="shared" si="22"/>
        <v>0</v>
      </c>
      <c r="CF10" s="386">
        <f t="shared" si="23"/>
        <v>0</v>
      </c>
      <c r="CG10" s="386">
        <f t="shared" si="24"/>
        <v>0</v>
      </c>
      <c r="CH10" s="386">
        <f t="shared" si="25"/>
        <v>1.4688960000000006</v>
      </c>
      <c r="CI10" s="386">
        <f t="shared" si="26"/>
        <v>0</v>
      </c>
      <c r="CJ10" s="386">
        <f t="shared" si="39"/>
        <v>-110.16720000000014</v>
      </c>
      <c r="CK10" s="386" t="str">
        <f t="shared" si="40"/>
        <v/>
      </c>
      <c r="CL10" s="386" t="str">
        <f t="shared" si="41"/>
        <v/>
      </c>
      <c r="CM10" s="386" t="str">
        <f t="shared" si="42"/>
        <v/>
      </c>
      <c r="CN10" s="386" t="str">
        <f t="shared" si="43"/>
        <v>0001-00</v>
      </c>
    </row>
    <row r="11" spans="1:92" ht="15.75" thickBot="1" x14ac:dyDescent="0.3">
      <c r="A11" s="376" t="s">
        <v>162</v>
      </c>
      <c r="B11" s="376" t="s">
        <v>163</v>
      </c>
      <c r="C11" s="376" t="s">
        <v>232</v>
      </c>
      <c r="D11" s="376" t="s">
        <v>186</v>
      </c>
      <c r="E11" s="376" t="s">
        <v>166</v>
      </c>
      <c r="F11" s="377" t="s">
        <v>167</v>
      </c>
      <c r="G11" s="376" t="s">
        <v>168</v>
      </c>
      <c r="H11" s="378"/>
      <c r="I11" s="378"/>
      <c r="J11" s="376" t="s">
        <v>169</v>
      </c>
      <c r="K11" s="376" t="s">
        <v>187</v>
      </c>
      <c r="L11" s="376" t="s">
        <v>179</v>
      </c>
      <c r="M11" s="376" t="s">
        <v>172</v>
      </c>
      <c r="N11" s="376" t="s">
        <v>173</v>
      </c>
      <c r="O11" s="379">
        <v>1</v>
      </c>
      <c r="P11" s="384">
        <v>0</v>
      </c>
      <c r="Q11" s="384">
        <v>0</v>
      </c>
      <c r="R11" s="380">
        <v>80</v>
      </c>
      <c r="S11" s="384">
        <v>0</v>
      </c>
      <c r="T11" s="380">
        <v>5000</v>
      </c>
      <c r="U11" s="380">
        <v>0</v>
      </c>
      <c r="V11" s="380">
        <v>1377.97</v>
      </c>
      <c r="W11" s="380">
        <v>0</v>
      </c>
      <c r="X11" s="380">
        <v>0</v>
      </c>
      <c r="Y11" s="380">
        <v>0</v>
      </c>
      <c r="Z11" s="380">
        <v>0</v>
      </c>
      <c r="AA11" s="376" t="s">
        <v>233</v>
      </c>
      <c r="AB11" s="376" t="s">
        <v>234</v>
      </c>
      <c r="AC11" s="376" t="s">
        <v>235</v>
      </c>
      <c r="AD11" s="376" t="s">
        <v>177</v>
      </c>
      <c r="AE11" s="376" t="s">
        <v>187</v>
      </c>
      <c r="AF11" s="376" t="s">
        <v>178</v>
      </c>
      <c r="AG11" s="376" t="s">
        <v>179</v>
      </c>
      <c r="AH11" s="381">
        <v>22.37</v>
      </c>
      <c r="AI11" s="381">
        <v>2912.5</v>
      </c>
      <c r="AJ11" s="376" t="s">
        <v>180</v>
      </c>
      <c r="AK11" s="376" t="s">
        <v>181</v>
      </c>
      <c r="AL11" s="376" t="s">
        <v>182</v>
      </c>
      <c r="AM11" s="376" t="s">
        <v>183</v>
      </c>
      <c r="AN11" s="376" t="s">
        <v>66</v>
      </c>
      <c r="AO11" s="379">
        <v>80</v>
      </c>
      <c r="AP11" s="384">
        <v>1</v>
      </c>
      <c r="AQ11" s="384">
        <v>0</v>
      </c>
      <c r="AR11" s="382" t="s">
        <v>184</v>
      </c>
      <c r="AS11" s="386">
        <f t="shared" si="27"/>
        <v>0</v>
      </c>
      <c r="AT11">
        <f t="shared" si="28"/>
        <v>0</v>
      </c>
      <c r="AU11" s="386" t="str">
        <f>IF(AT11=0,"",IF(AND(AT11=1,M11="F",SUMIF(C2:C201,C11,AS2:AS201)&lt;=1),SUMIF(C2:C201,C11,AS2:AS201),IF(AND(AT11=1,M11="F",SUMIF(C2:C201,C11,AS2:AS201)&gt;1),1,"")))</f>
        <v/>
      </c>
      <c r="AV11" s="386" t="str">
        <f>IF(AT11=0,"",IF(AND(AT11=3,M11="F",SUMIF(C2:C201,C11,AS2:AS201)&lt;=1),SUMIF(C2:C201,C11,AS2:AS201),IF(AND(AT11=3,M11="F",SUMIF(C2:C201,C11,AS2:AS201)&gt;1),1,"")))</f>
        <v/>
      </c>
      <c r="AW11" s="386">
        <f>SUMIF(C2:C201,C11,O2:O201)</f>
        <v>3</v>
      </c>
      <c r="AX11" s="386">
        <f>IF(AND(M11="F",AS11&lt;&gt;0),SUMIF(C2:C201,C11,W2:W201),0)</f>
        <v>0</v>
      </c>
      <c r="AY11" s="386" t="str">
        <f t="shared" si="29"/>
        <v/>
      </c>
      <c r="AZ11" s="386" t="str">
        <f t="shared" si="30"/>
        <v/>
      </c>
      <c r="BA11" s="386">
        <f t="shared" si="31"/>
        <v>0</v>
      </c>
      <c r="BB11" s="386">
        <f t="shared" si="0"/>
        <v>0</v>
      </c>
      <c r="BC11" s="386">
        <f t="shared" si="1"/>
        <v>0</v>
      </c>
      <c r="BD11" s="386">
        <f t="shared" si="2"/>
        <v>0</v>
      </c>
      <c r="BE11" s="386">
        <f t="shared" si="3"/>
        <v>0</v>
      </c>
      <c r="BF11" s="386">
        <f t="shared" si="4"/>
        <v>0</v>
      </c>
      <c r="BG11" s="386">
        <f t="shared" si="5"/>
        <v>0</v>
      </c>
      <c r="BH11" s="386">
        <f t="shared" si="6"/>
        <v>0</v>
      </c>
      <c r="BI11" s="386">
        <f t="shared" si="7"/>
        <v>0</v>
      </c>
      <c r="BJ11" s="386">
        <f t="shared" si="8"/>
        <v>0</v>
      </c>
      <c r="BK11" s="386">
        <f t="shared" si="9"/>
        <v>0</v>
      </c>
      <c r="BL11" s="386">
        <f t="shared" si="32"/>
        <v>0</v>
      </c>
      <c r="BM11" s="386">
        <f t="shared" si="33"/>
        <v>0</v>
      </c>
      <c r="BN11" s="386">
        <f t="shared" si="10"/>
        <v>0</v>
      </c>
      <c r="BO11" s="386">
        <f t="shared" si="11"/>
        <v>0</v>
      </c>
      <c r="BP11" s="386">
        <f t="shared" si="12"/>
        <v>0</v>
      </c>
      <c r="BQ11" s="386">
        <f t="shared" si="13"/>
        <v>0</v>
      </c>
      <c r="BR11" s="386">
        <f t="shared" si="14"/>
        <v>0</v>
      </c>
      <c r="BS11" s="386">
        <f t="shared" si="15"/>
        <v>0</v>
      </c>
      <c r="BT11" s="386">
        <f t="shared" si="16"/>
        <v>0</v>
      </c>
      <c r="BU11" s="386">
        <f t="shared" si="17"/>
        <v>0</v>
      </c>
      <c r="BV11" s="386">
        <f t="shared" si="18"/>
        <v>0</v>
      </c>
      <c r="BW11" s="386">
        <f t="shared" si="19"/>
        <v>0</v>
      </c>
      <c r="BX11" s="386">
        <f t="shared" si="34"/>
        <v>0</v>
      </c>
      <c r="BY11" s="386">
        <f t="shared" si="35"/>
        <v>0</v>
      </c>
      <c r="BZ11" s="386">
        <f t="shared" si="36"/>
        <v>0</v>
      </c>
      <c r="CA11" s="386">
        <f t="shared" si="37"/>
        <v>0</v>
      </c>
      <c r="CB11" s="386">
        <f t="shared" si="38"/>
        <v>0</v>
      </c>
      <c r="CC11" s="386">
        <f t="shared" si="20"/>
        <v>0</v>
      </c>
      <c r="CD11" s="386">
        <f t="shared" si="21"/>
        <v>0</v>
      </c>
      <c r="CE11" s="386">
        <f t="shared" si="22"/>
        <v>0</v>
      </c>
      <c r="CF11" s="386">
        <f t="shared" si="23"/>
        <v>0</v>
      </c>
      <c r="CG11" s="386">
        <f t="shared" si="24"/>
        <v>0</v>
      </c>
      <c r="CH11" s="386">
        <f t="shared" si="25"/>
        <v>0</v>
      </c>
      <c r="CI11" s="386">
        <f t="shared" si="26"/>
        <v>0</v>
      </c>
      <c r="CJ11" s="386">
        <f t="shared" si="39"/>
        <v>0</v>
      </c>
      <c r="CK11" s="386" t="str">
        <f t="shared" si="40"/>
        <v/>
      </c>
      <c r="CL11" s="386" t="str">
        <f t="shared" si="41"/>
        <v/>
      </c>
      <c r="CM11" s="386" t="str">
        <f t="shared" si="42"/>
        <v/>
      </c>
      <c r="CN11" s="386" t="str">
        <f t="shared" si="43"/>
        <v>0001-00</v>
      </c>
    </row>
    <row r="12" spans="1:92" ht="15.75" thickBot="1" x14ac:dyDescent="0.3">
      <c r="A12" s="376" t="s">
        <v>162</v>
      </c>
      <c r="B12" s="376" t="s">
        <v>163</v>
      </c>
      <c r="C12" s="376" t="s">
        <v>236</v>
      </c>
      <c r="D12" s="376" t="s">
        <v>237</v>
      </c>
      <c r="E12" s="376" t="s">
        <v>166</v>
      </c>
      <c r="F12" s="377" t="s">
        <v>167</v>
      </c>
      <c r="G12" s="376" t="s">
        <v>168</v>
      </c>
      <c r="H12" s="378"/>
      <c r="I12" s="378"/>
      <c r="J12" s="376" t="s">
        <v>169</v>
      </c>
      <c r="K12" s="376" t="s">
        <v>238</v>
      </c>
      <c r="L12" s="376" t="s">
        <v>167</v>
      </c>
      <c r="M12" s="376" t="s">
        <v>172</v>
      </c>
      <c r="N12" s="376" t="s">
        <v>173</v>
      </c>
      <c r="O12" s="379">
        <v>1</v>
      </c>
      <c r="P12" s="384">
        <v>0</v>
      </c>
      <c r="Q12" s="384">
        <v>0</v>
      </c>
      <c r="R12" s="380">
        <v>80</v>
      </c>
      <c r="S12" s="384">
        <v>0</v>
      </c>
      <c r="T12" s="380">
        <v>2000</v>
      </c>
      <c r="U12" s="380">
        <v>0</v>
      </c>
      <c r="V12" s="380">
        <v>572.94000000000005</v>
      </c>
      <c r="W12" s="380">
        <v>0</v>
      </c>
      <c r="X12" s="380">
        <v>0</v>
      </c>
      <c r="Y12" s="380">
        <v>0</v>
      </c>
      <c r="Z12" s="380">
        <v>0</v>
      </c>
      <c r="AA12" s="376" t="s">
        <v>239</v>
      </c>
      <c r="AB12" s="376" t="s">
        <v>240</v>
      </c>
      <c r="AC12" s="376" t="s">
        <v>241</v>
      </c>
      <c r="AD12" s="376" t="s">
        <v>242</v>
      </c>
      <c r="AE12" s="376" t="s">
        <v>238</v>
      </c>
      <c r="AF12" s="376" t="s">
        <v>178</v>
      </c>
      <c r="AG12" s="376" t="s">
        <v>179</v>
      </c>
      <c r="AH12" s="381">
        <v>47.51</v>
      </c>
      <c r="AI12" s="379">
        <v>34797</v>
      </c>
      <c r="AJ12" s="376" t="s">
        <v>180</v>
      </c>
      <c r="AK12" s="376" t="s">
        <v>181</v>
      </c>
      <c r="AL12" s="376" t="s">
        <v>182</v>
      </c>
      <c r="AM12" s="376" t="s">
        <v>183</v>
      </c>
      <c r="AN12" s="376" t="s">
        <v>66</v>
      </c>
      <c r="AO12" s="379">
        <v>80</v>
      </c>
      <c r="AP12" s="384">
        <v>1</v>
      </c>
      <c r="AQ12" s="384">
        <v>0</v>
      </c>
      <c r="AR12" s="382" t="s">
        <v>184</v>
      </c>
      <c r="AS12" s="386">
        <f t="shared" si="27"/>
        <v>0</v>
      </c>
      <c r="AT12">
        <f t="shared" si="28"/>
        <v>0</v>
      </c>
      <c r="AU12" s="386" t="str">
        <f>IF(AT12=0,"",IF(AND(AT12=1,M12="F",SUMIF(C2:C201,C12,AS2:AS201)&lt;=1),SUMIF(C2:C201,C12,AS2:AS201),IF(AND(AT12=1,M12="F",SUMIF(C2:C201,C12,AS2:AS201)&gt;1),1,"")))</f>
        <v/>
      </c>
      <c r="AV12" s="386" t="str">
        <f>IF(AT12=0,"",IF(AND(AT12=3,M12="F",SUMIF(C2:C201,C12,AS2:AS201)&lt;=1),SUMIF(C2:C201,C12,AS2:AS201),IF(AND(AT12=3,M12="F",SUMIF(C2:C201,C12,AS2:AS201)&gt;1),1,"")))</f>
        <v/>
      </c>
      <c r="AW12" s="386">
        <f>SUMIF(C2:C201,C12,O2:O201)</f>
        <v>3</v>
      </c>
      <c r="AX12" s="386">
        <f>IF(AND(M12="F",AS12&lt;&gt;0),SUMIF(C2:C201,C12,W2:W201),0)</f>
        <v>0</v>
      </c>
      <c r="AY12" s="386" t="str">
        <f t="shared" si="29"/>
        <v/>
      </c>
      <c r="AZ12" s="386" t="str">
        <f t="shared" si="30"/>
        <v/>
      </c>
      <c r="BA12" s="386">
        <f t="shared" si="31"/>
        <v>0</v>
      </c>
      <c r="BB12" s="386">
        <f t="shared" si="0"/>
        <v>0</v>
      </c>
      <c r="BC12" s="386">
        <f t="shared" si="1"/>
        <v>0</v>
      </c>
      <c r="BD12" s="386">
        <f t="shared" si="2"/>
        <v>0</v>
      </c>
      <c r="BE12" s="386">
        <f t="shared" si="3"/>
        <v>0</v>
      </c>
      <c r="BF12" s="386">
        <f t="shared" si="4"/>
        <v>0</v>
      </c>
      <c r="BG12" s="386">
        <f t="shared" si="5"/>
        <v>0</v>
      </c>
      <c r="BH12" s="386">
        <f t="shared" si="6"/>
        <v>0</v>
      </c>
      <c r="BI12" s="386">
        <f t="shared" si="7"/>
        <v>0</v>
      </c>
      <c r="BJ12" s="386">
        <f t="shared" si="8"/>
        <v>0</v>
      </c>
      <c r="BK12" s="386">
        <f t="shared" si="9"/>
        <v>0</v>
      </c>
      <c r="BL12" s="386">
        <f t="shared" si="32"/>
        <v>0</v>
      </c>
      <c r="BM12" s="386">
        <f t="shared" si="33"/>
        <v>0</v>
      </c>
      <c r="BN12" s="386">
        <f t="shared" si="10"/>
        <v>0</v>
      </c>
      <c r="BO12" s="386">
        <f t="shared" si="11"/>
        <v>0</v>
      </c>
      <c r="BP12" s="386">
        <f t="shared" si="12"/>
        <v>0</v>
      </c>
      <c r="BQ12" s="386">
        <f t="shared" si="13"/>
        <v>0</v>
      </c>
      <c r="BR12" s="386">
        <f t="shared" si="14"/>
        <v>0</v>
      </c>
      <c r="BS12" s="386">
        <f t="shared" si="15"/>
        <v>0</v>
      </c>
      <c r="BT12" s="386">
        <f t="shared" si="16"/>
        <v>0</v>
      </c>
      <c r="BU12" s="386">
        <f t="shared" si="17"/>
        <v>0</v>
      </c>
      <c r="BV12" s="386">
        <f t="shared" si="18"/>
        <v>0</v>
      </c>
      <c r="BW12" s="386">
        <f t="shared" si="19"/>
        <v>0</v>
      </c>
      <c r="BX12" s="386">
        <f t="shared" si="34"/>
        <v>0</v>
      </c>
      <c r="BY12" s="386">
        <f t="shared" si="35"/>
        <v>0</v>
      </c>
      <c r="BZ12" s="386">
        <f t="shared" si="36"/>
        <v>0</v>
      </c>
      <c r="CA12" s="386">
        <f t="shared" si="37"/>
        <v>0</v>
      </c>
      <c r="CB12" s="386">
        <f t="shared" si="38"/>
        <v>0</v>
      </c>
      <c r="CC12" s="386">
        <f t="shared" si="20"/>
        <v>0</v>
      </c>
      <c r="CD12" s="386">
        <f t="shared" si="21"/>
        <v>0</v>
      </c>
      <c r="CE12" s="386">
        <f t="shared" si="22"/>
        <v>0</v>
      </c>
      <c r="CF12" s="386">
        <f t="shared" si="23"/>
        <v>0</v>
      </c>
      <c r="CG12" s="386">
        <f t="shared" si="24"/>
        <v>0</v>
      </c>
      <c r="CH12" s="386">
        <f t="shared" si="25"/>
        <v>0</v>
      </c>
      <c r="CI12" s="386">
        <f t="shared" si="26"/>
        <v>0</v>
      </c>
      <c r="CJ12" s="386">
        <f t="shared" si="39"/>
        <v>0</v>
      </c>
      <c r="CK12" s="386" t="str">
        <f t="shared" si="40"/>
        <v/>
      </c>
      <c r="CL12" s="386" t="str">
        <f t="shared" si="41"/>
        <v/>
      </c>
      <c r="CM12" s="386" t="str">
        <f t="shared" si="42"/>
        <v/>
      </c>
      <c r="CN12" s="386" t="str">
        <f t="shared" si="43"/>
        <v>0001-00</v>
      </c>
    </row>
    <row r="13" spans="1:92" ht="15.75" thickBot="1" x14ac:dyDescent="0.3">
      <c r="A13" s="376" t="s">
        <v>162</v>
      </c>
      <c r="B13" s="376" t="s">
        <v>163</v>
      </c>
      <c r="C13" s="376" t="s">
        <v>243</v>
      </c>
      <c r="D13" s="376" t="s">
        <v>244</v>
      </c>
      <c r="E13" s="376" t="s">
        <v>166</v>
      </c>
      <c r="F13" s="377" t="s">
        <v>167</v>
      </c>
      <c r="G13" s="376" t="s">
        <v>168</v>
      </c>
      <c r="H13" s="378"/>
      <c r="I13" s="378"/>
      <c r="J13" s="376" t="s">
        <v>220</v>
      </c>
      <c r="K13" s="376" t="s">
        <v>245</v>
      </c>
      <c r="L13" s="376" t="s">
        <v>179</v>
      </c>
      <c r="M13" s="376" t="s">
        <v>172</v>
      </c>
      <c r="N13" s="376" t="s">
        <v>173</v>
      </c>
      <c r="O13" s="379">
        <v>1</v>
      </c>
      <c r="P13" s="384">
        <v>0.35</v>
      </c>
      <c r="Q13" s="384">
        <v>0.35</v>
      </c>
      <c r="R13" s="380">
        <v>80</v>
      </c>
      <c r="S13" s="384">
        <v>0.35</v>
      </c>
      <c r="T13" s="380">
        <v>13081.6</v>
      </c>
      <c r="U13" s="380">
        <v>0</v>
      </c>
      <c r="V13" s="380">
        <v>6784.08</v>
      </c>
      <c r="W13" s="380">
        <v>14560</v>
      </c>
      <c r="X13" s="380">
        <v>7358.48</v>
      </c>
      <c r="Y13" s="380">
        <v>14560</v>
      </c>
      <c r="Z13" s="380">
        <v>7686.78</v>
      </c>
      <c r="AA13" s="376" t="s">
        <v>246</v>
      </c>
      <c r="AB13" s="376" t="s">
        <v>247</v>
      </c>
      <c r="AC13" s="376" t="s">
        <v>248</v>
      </c>
      <c r="AD13" s="376" t="s">
        <v>171</v>
      </c>
      <c r="AE13" s="376" t="s">
        <v>245</v>
      </c>
      <c r="AF13" s="376" t="s">
        <v>178</v>
      </c>
      <c r="AG13" s="376" t="s">
        <v>179</v>
      </c>
      <c r="AH13" s="379">
        <v>20</v>
      </c>
      <c r="AI13" s="379">
        <v>264</v>
      </c>
      <c r="AJ13" s="376" t="s">
        <v>180</v>
      </c>
      <c r="AK13" s="376" t="s">
        <v>181</v>
      </c>
      <c r="AL13" s="376" t="s">
        <v>182</v>
      </c>
      <c r="AM13" s="376" t="s">
        <v>183</v>
      </c>
      <c r="AN13" s="376" t="s">
        <v>66</v>
      </c>
      <c r="AO13" s="379">
        <v>80</v>
      </c>
      <c r="AP13" s="384">
        <v>1</v>
      </c>
      <c r="AQ13" s="384">
        <v>0.35</v>
      </c>
      <c r="AR13" s="382" t="s">
        <v>184</v>
      </c>
      <c r="AS13" s="386">
        <f t="shared" si="27"/>
        <v>0.35</v>
      </c>
      <c r="AT13">
        <f t="shared" si="28"/>
        <v>1</v>
      </c>
      <c r="AU13" s="386">
        <f>IF(AT13=0,"",IF(AND(AT13=1,M13="F",SUMIF(C2:C201,C13,AS2:AS201)&lt;=1),SUMIF(C2:C201,C13,AS2:AS201),IF(AND(AT13=1,M13="F",SUMIF(C2:C201,C13,AS2:AS201)&gt;1),1,"")))</f>
        <v>1</v>
      </c>
      <c r="AV13" s="386" t="str">
        <f>IF(AT13=0,"",IF(AND(AT13=3,M13="F",SUMIF(C2:C201,C13,AS2:AS201)&lt;=1),SUMIF(C2:C201,C13,AS2:AS201),IF(AND(AT13=3,M13="F",SUMIF(C2:C201,C13,AS2:AS201)&gt;1),1,"")))</f>
        <v/>
      </c>
      <c r="AW13" s="386">
        <f>SUMIF(C2:C201,C13,O2:O201)</f>
        <v>4</v>
      </c>
      <c r="AX13" s="386">
        <f>IF(AND(M13="F",AS13&lt;&gt;0),SUMIF(C2:C201,C13,W2:W201),0)</f>
        <v>41600</v>
      </c>
      <c r="AY13" s="386">
        <f t="shared" si="29"/>
        <v>14560</v>
      </c>
      <c r="AZ13" s="386" t="str">
        <f t="shared" si="30"/>
        <v/>
      </c>
      <c r="BA13" s="386">
        <f t="shared" si="31"/>
        <v>0</v>
      </c>
      <c r="BB13" s="386">
        <f t="shared" si="0"/>
        <v>4375</v>
      </c>
      <c r="BC13" s="386">
        <f t="shared" si="1"/>
        <v>0</v>
      </c>
      <c r="BD13" s="386">
        <f t="shared" si="2"/>
        <v>902.72</v>
      </c>
      <c r="BE13" s="386">
        <f t="shared" si="3"/>
        <v>211.12</v>
      </c>
      <c r="BF13" s="386">
        <f t="shared" si="4"/>
        <v>1738.4640000000002</v>
      </c>
      <c r="BG13" s="386">
        <f t="shared" si="5"/>
        <v>104.97760000000001</v>
      </c>
      <c r="BH13" s="386">
        <f t="shared" si="6"/>
        <v>0</v>
      </c>
      <c r="BI13" s="386">
        <f t="shared" si="7"/>
        <v>0</v>
      </c>
      <c r="BJ13" s="386">
        <f t="shared" si="8"/>
        <v>26.207999999999998</v>
      </c>
      <c r="BK13" s="386">
        <f t="shared" si="9"/>
        <v>0</v>
      </c>
      <c r="BL13" s="386">
        <f t="shared" si="32"/>
        <v>2983.4896000000003</v>
      </c>
      <c r="BM13" s="386">
        <f t="shared" si="33"/>
        <v>0</v>
      </c>
      <c r="BN13" s="386">
        <f t="shared" si="10"/>
        <v>4812.5</v>
      </c>
      <c r="BO13" s="386">
        <f t="shared" si="11"/>
        <v>0</v>
      </c>
      <c r="BP13" s="386">
        <f t="shared" si="12"/>
        <v>902.72</v>
      </c>
      <c r="BQ13" s="386">
        <f t="shared" si="13"/>
        <v>211.12</v>
      </c>
      <c r="BR13" s="386">
        <f t="shared" si="14"/>
        <v>1627.808</v>
      </c>
      <c r="BS13" s="386">
        <f t="shared" si="15"/>
        <v>104.97760000000001</v>
      </c>
      <c r="BT13" s="386">
        <f t="shared" si="16"/>
        <v>0</v>
      </c>
      <c r="BU13" s="386">
        <f t="shared" si="17"/>
        <v>0</v>
      </c>
      <c r="BV13" s="386">
        <f t="shared" si="18"/>
        <v>27.664000000000001</v>
      </c>
      <c r="BW13" s="386">
        <f t="shared" si="19"/>
        <v>0</v>
      </c>
      <c r="BX13" s="386">
        <f t="shared" si="34"/>
        <v>2874.2896000000005</v>
      </c>
      <c r="BY13" s="386">
        <f t="shared" si="35"/>
        <v>0</v>
      </c>
      <c r="BZ13" s="386">
        <f t="shared" si="36"/>
        <v>437.5</v>
      </c>
      <c r="CA13" s="386">
        <f t="shared" si="37"/>
        <v>0</v>
      </c>
      <c r="CB13" s="386">
        <f t="shared" si="38"/>
        <v>0</v>
      </c>
      <c r="CC13" s="386">
        <f t="shared" si="20"/>
        <v>0</v>
      </c>
      <c r="CD13" s="386">
        <f t="shared" si="21"/>
        <v>-110.65600000000013</v>
      </c>
      <c r="CE13" s="386">
        <f t="shared" si="22"/>
        <v>0</v>
      </c>
      <c r="CF13" s="386">
        <f t="shared" si="23"/>
        <v>0</v>
      </c>
      <c r="CG13" s="386">
        <f t="shared" si="24"/>
        <v>0</v>
      </c>
      <c r="CH13" s="386">
        <f t="shared" si="25"/>
        <v>1.4560000000000006</v>
      </c>
      <c r="CI13" s="386">
        <f t="shared" si="26"/>
        <v>0</v>
      </c>
      <c r="CJ13" s="386">
        <f t="shared" si="39"/>
        <v>-109.20000000000013</v>
      </c>
      <c r="CK13" s="386" t="str">
        <f t="shared" si="40"/>
        <v/>
      </c>
      <c r="CL13" s="386" t="str">
        <f t="shared" si="41"/>
        <v/>
      </c>
      <c r="CM13" s="386" t="str">
        <f t="shared" si="42"/>
        <v/>
      </c>
      <c r="CN13" s="386" t="str">
        <f t="shared" si="43"/>
        <v>0001-00</v>
      </c>
    </row>
    <row r="14" spans="1:92" ht="15.75" thickBot="1" x14ac:dyDescent="0.3">
      <c r="A14" s="376" t="s">
        <v>162</v>
      </c>
      <c r="B14" s="376" t="s">
        <v>163</v>
      </c>
      <c r="C14" s="376" t="s">
        <v>249</v>
      </c>
      <c r="D14" s="376" t="s">
        <v>250</v>
      </c>
      <c r="E14" s="376" t="s">
        <v>166</v>
      </c>
      <c r="F14" s="377" t="s">
        <v>167</v>
      </c>
      <c r="G14" s="376" t="s">
        <v>168</v>
      </c>
      <c r="H14" s="378"/>
      <c r="I14" s="378"/>
      <c r="J14" s="376" t="s">
        <v>169</v>
      </c>
      <c r="K14" s="376" t="s">
        <v>251</v>
      </c>
      <c r="L14" s="376" t="s">
        <v>167</v>
      </c>
      <c r="M14" s="376" t="s">
        <v>172</v>
      </c>
      <c r="N14" s="376" t="s">
        <v>173</v>
      </c>
      <c r="O14" s="379">
        <v>1</v>
      </c>
      <c r="P14" s="384">
        <v>1</v>
      </c>
      <c r="Q14" s="384">
        <v>1</v>
      </c>
      <c r="R14" s="380">
        <v>80</v>
      </c>
      <c r="S14" s="384">
        <v>1</v>
      </c>
      <c r="T14" s="380">
        <v>55071.76</v>
      </c>
      <c r="U14" s="380">
        <v>0</v>
      </c>
      <c r="V14" s="380">
        <v>22701.74</v>
      </c>
      <c r="W14" s="380">
        <v>43854.720000000001</v>
      </c>
      <c r="X14" s="380">
        <v>21486.25</v>
      </c>
      <c r="Y14" s="380">
        <v>43854.720000000001</v>
      </c>
      <c r="Z14" s="380">
        <v>22407.34</v>
      </c>
      <c r="AA14" s="376" t="s">
        <v>252</v>
      </c>
      <c r="AB14" s="376" t="s">
        <v>253</v>
      </c>
      <c r="AC14" s="376" t="s">
        <v>254</v>
      </c>
      <c r="AD14" s="376" t="s">
        <v>255</v>
      </c>
      <c r="AE14" s="376" t="s">
        <v>251</v>
      </c>
      <c r="AF14" s="376" t="s">
        <v>178</v>
      </c>
      <c r="AG14" s="376" t="s">
        <v>179</v>
      </c>
      <c r="AH14" s="381">
        <v>40.159999999999997</v>
      </c>
      <c r="AI14" s="381">
        <v>5953.3</v>
      </c>
      <c r="AJ14" s="376" t="s">
        <v>256</v>
      </c>
      <c r="AK14" s="376" t="s">
        <v>181</v>
      </c>
      <c r="AL14" s="376" t="s">
        <v>182</v>
      </c>
      <c r="AM14" s="376" t="s">
        <v>183</v>
      </c>
      <c r="AN14" s="376" t="s">
        <v>66</v>
      </c>
      <c r="AO14" s="379">
        <v>42</v>
      </c>
      <c r="AP14" s="384">
        <v>1</v>
      </c>
      <c r="AQ14" s="384">
        <v>0.52</v>
      </c>
      <c r="AR14" s="382" t="s">
        <v>184</v>
      </c>
      <c r="AS14" s="386">
        <f t="shared" si="27"/>
        <v>0.52500000000000002</v>
      </c>
      <c r="AT14">
        <f t="shared" si="28"/>
        <v>1</v>
      </c>
      <c r="AU14" s="386">
        <f>IF(AT14=0,"",IF(AND(AT14=1,M14="F",SUMIF(C2:C201,C14,AS2:AS201)&lt;=1),SUMIF(C2:C201,C14,AS2:AS201),IF(AND(AT14=1,M14="F",SUMIF(C2:C201,C14,AS2:AS201)&gt;1),1,"")))</f>
        <v>0.52500000000000002</v>
      </c>
      <c r="AV14" s="386" t="str">
        <f>IF(AT14=0,"",IF(AND(AT14=3,M14="F",SUMIF(C2:C201,C14,AS2:AS201)&lt;=1),SUMIF(C2:C201,C14,AS2:AS201),IF(AND(AT14=3,M14="F",SUMIF(C2:C201,C14,AS2:AS201)&gt;1),1,"")))</f>
        <v/>
      </c>
      <c r="AW14" s="386">
        <f>SUMIF(C2:C201,C14,O2:O201)</f>
        <v>1</v>
      </c>
      <c r="AX14" s="386">
        <f>IF(AND(M14="F",AS14&lt;&gt;0),SUMIF(C2:C201,C14,W2:W201),0)</f>
        <v>43854.720000000001</v>
      </c>
      <c r="AY14" s="386">
        <f t="shared" si="29"/>
        <v>43854.720000000001</v>
      </c>
      <c r="AZ14" s="386" t="str">
        <f t="shared" si="30"/>
        <v/>
      </c>
      <c r="BA14" s="386">
        <f t="shared" si="31"/>
        <v>0</v>
      </c>
      <c r="BB14" s="386">
        <f t="shared" si="0"/>
        <v>10000</v>
      </c>
      <c r="BC14" s="386">
        <f t="shared" si="1"/>
        <v>0</v>
      </c>
      <c r="BD14" s="386">
        <f t="shared" si="2"/>
        <v>2718.9926399999999</v>
      </c>
      <c r="BE14" s="386">
        <f t="shared" si="3"/>
        <v>635.89344000000006</v>
      </c>
      <c r="BF14" s="386">
        <f t="shared" si="4"/>
        <v>5236.2535680000001</v>
      </c>
      <c r="BG14" s="386">
        <f t="shared" si="5"/>
        <v>316.19253120000002</v>
      </c>
      <c r="BH14" s="386">
        <f t="shared" si="6"/>
        <v>0</v>
      </c>
      <c r="BI14" s="386">
        <f t="shared" si="7"/>
        <v>0</v>
      </c>
      <c r="BJ14" s="386">
        <f t="shared" si="8"/>
        <v>78.938496000000001</v>
      </c>
      <c r="BK14" s="386">
        <f t="shared" si="9"/>
        <v>0</v>
      </c>
      <c r="BL14" s="386">
        <f t="shared" si="32"/>
        <v>8986.2706752000013</v>
      </c>
      <c r="BM14" s="386">
        <f t="shared" si="33"/>
        <v>0</v>
      </c>
      <c r="BN14" s="386">
        <f t="shared" si="10"/>
        <v>11000</v>
      </c>
      <c r="BO14" s="386">
        <f t="shared" si="11"/>
        <v>0</v>
      </c>
      <c r="BP14" s="386">
        <f t="shared" si="12"/>
        <v>2718.9926399999999</v>
      </c>
      <c r="BQ14" s="386">
        <f t="shared" si="13"/>
        <v>635.89344000000006</v>
      </c>
      <c r="BR14" s="386">
        <f t="shared" si="14"/>
        <v>4902.9576960000004</v>
      </c>
      <c r="BS14" s="386">
        <f t="shared" si="15"/>
        <v>316.19253120000002</v>
      </c>
      <c r="BT14" s="386">
        <f t="shared" si="16"/>
        <v>0</v>
      </c>
      <c r="BU14" s="386">
        <f t="shared" si="17"/>
        <v>0</v>
      </c>
      <c r="BV14" s="386">
        <f t="shared" si="18"/>
        <v>83.323968000000008</v>
      </c>
      <c r="BW14" s="386">
        <f t="shared" si="19"/>
        <v>0</v>
      </c>
      <c r="BX14" s="386">
        <f t="shared" si="34"/>
        <v>8657.3602752000024</v>
      </c>
      <c r="BY14" s="386">
        <f t="shared" si="35"/>
        <v>0</v>
      </c>
      <c r="BZ14" s="386">
        <f t="shared" si="36"/>
        <v>1000</v>
      </c>
      <c r="CA14" s="386">
        <f t="shared" si="37"/>
        <v>0</v>
      </c>
      <c r="CB14" s="386">
        <f t="shared" si="38"/>
        <v>0</v>
      </c>
      <c r="CC14" s="386">
        <f t="shared" si="20"/>
        <v>0</v>
      </c>
      <c r="CD14" s="386">
        <f t="shared" si="21"/>
        <v>-333.29587200000043</v>
      </c>
      <c r="CE14" s="386">
        <f t="shared" si="22"/>
        <v>0</v>
      </c>
      <c r="CF14" s="386">
        <f t="shared" si="23"/>
        <v>0</v>
      </c>
      <c r="CG14" s="386">
        <f t="shared" si="24"/>
        <v>0</v>
      </c>
      <c r="CH14" s="386">
        <f t="shared" si="25"/>
        <v>4.3854720000000018</v>
      </c>
      <c r="CI14" s="386">
        <f t="shared" si="26"/>
        <v>0</v>
      </c>
      <c r="CJ14" s="386">
        <f t="shared" si="39"/>
        <v>-328.91040000000044</v>
      </c>
      <c r="CK14" s="386" t="str">
        <f t="shared" si="40"/>
        <v/>
      </c>
      <c r="CL14" s="386" t="str">
        <f t="shared" si="41"/>
        <v/>
      </c>
      <c r="CM14" s="386" t="str">
        <f t="shared" si="42"/>
        <v/>
      </c>
      <c r="CN14" s="386" t="str">
        <f t="shared" si="43"/>
        <v>0001-00</v>
      </c>
    </row>
    <row r="15" spans="1:92" ht="15.75" thickBot="1" x14ac:dyDescent="0.3">
      <c r="A15" s="376" t="s">
        <v>162</v>
      </c>
      <c r="B15" s="376" t="s">
        <v>163</v>
      </c>
      <c r="C15" s="376" t="s">
        <v>257</v>
      </c>
      <c r="D15" s="376" t="s">
        <v>258</v>
      </c>
      <c r="E15" s="376" t="s">
        <v>166</v>
      </c>
      <c r="F15" s="377" t="s">
        <v>167</v>
      </c>
      <c r="G15" s="376" t="s">
        <v>168</v>
      </c>
      <c r="H15" s="378"/>
      <c r="I15" s="378"/>
      <c r="J15" s="376" t="s">
        <v>220</v>
      </c>
      <c r="K15" s="376" t="s">
        <v>259</v>
      </c>
      <c r="L15" s="376" t="s">
        <v>167</v>
      </c>
      <c r="M15" s="376" t="s">
        <v>172</v>
      </c>
      <c r="N15" s="376" t="s">
        <v>173</v>
      </c>
      <c r="O15" s="379">
        <v>1</v>
      </c>
      <c r="P15" s="384">
        <v>0.75</v>
      </c>
      <c r="Q15" s="384">
        <v>0.75</v>
      </c>
      <c r="R15" s="380">
        <v>80</v>
      </c>
      <c r="S15" s="384">
        <v>0.75</v>
      </c>
      <c r="T15" s="380">
        <v>96377.29</v>
      </c>
      <c r="U15" s="380">
        <v>0</v>
      </c>
      <c r="V15" s="380">
        <v>28320.86</v>
      </c>
      <c r="W15" s="380">
        <v>96439.2</v>
      </c>
      <c r="X15" s="380">
        <v>29136.34</v>
      </c>
      <c r="Y15" s="380">
        <v>96439.2</v>
      </c>
      <c r="Z15" s="380">
        <v>29350.55</v>
      </c>
      <c r="AA15" s="376" t="s">
        <v>260</v>
      </c>
      <c r="AB15" s="376" t="s">
        <v>261</v>
      </c>
      <c r="AC15" s="376" t="s">
        <v>241</v>
      </c>
      <c r="AD15" s="376" t="s">
        <v>182</v>
      </c>
      <c r="AE15" s="376" t="s">
        <v>259</v>
      </c>
      <c r="AF15" s="376" t="s">
        <v>178</v>
      </c>
      <c r="AG15" s="376" t="s">
        <v>179</v>
      </c>
      <c r="AH15" s="381">
        <v>61.82</v>
      </c>
      <c r="AI15" s="379">
        <v>4977</v>
      </c>
      <c r="AJ15" s="376" t="s">
        <v>180</v>
      </c>
      <c r="AK15" s="376" t="s">
        <v>181</v>
      </c>
      <c r="AL15" s="376" t="s">
        <v>182</v>
      </c>
      <c r="AM15" s="376" t="s">
        <v>183</v>
      </c>
      <c r="AN15" s="376" t="s">
        <v>66</v>
      </c>
      <c r="AO15" s="379">
        <v>80</v>
      </c>
      <c r="AP15" s="384">
        <v>1</v>
      </c>
      <c r="AQ15" s="384">
        <v>0.75</v>
      </c>
      <c r="AR15" s="382" t="s">
        <v>184</v>
      </c>
      <c r="AS15" s="386">
        <f t="shared" si="27"/>
        <v>0.75</v>
      </c>
      <c r="AT15">
        <f t="shared" si="28"/>
        <v>1</v>
      </c>
      <c r="AU15" s="386">
        <f>IF(AT15=0,"",IF(AND(AT15=1,M15="F",SUMIF(C2:C201,C15,AS2:AS201)&lt;=1),SUMIF(C2:C201,C15,AS2:AS201),IF(AND(AT15=1,M15="F",SUMIF(C2:C201,C15,AS2:AS201)&gt;1),1,"")))</f>
        <v>1</v>
      </c>
      <c r="AV15" s="386" t="str">
        <f>IF(AT15=0,"",IF(AND(AT15=3,M15="F",SUMIF(C2:C201,C15,AS2:AS201)&lt;=1),SUMIF(C2:C201,C15,AS2:AS201),IF(AND(AT15=3,M15="F",SUMIF(C2:C201,C15,AS2:AS201)&gt;1),1,"")))</f>
        <v/>
      </c>
      <c r="AW15" s="386">
        <f>SUMIF(C2:C201,C15,O2:O201)</f>
        <v>5</v>
      </c>
      <c r="AX15" s="386">
        <f>IF(AND(M15="F",AS15&lt;&gt;0),SUMIF(C2:C201,C15,W2:W201),0)</f>
        <v>128585.59999999999</v>
      </c>
      <c r="AY15" s="386">
        <f t="shared" si="29"/>
        <v>96439.2</v>
      </c>
      <c r="AZ15" s="386" t="str">
        <f t="shared" si="30"/>
        <v/>
      </c>
      <c r="BA15" s="386">
        <f t="shared" si="31"/>
        <v>0</v>
      </c>
      <c r="BB15" s="386">
        <f t="shared" si="0"/>
        <v>9375</v>
      </c>
      <c r="BC15" s="386">
        <f t="shared" si="1"/>
        <v>0</v>
      </c>
      <c r="BD15" s="386">
        <f t="shared" si="2"/>
        <v>5979.2303999999995</v>
      </c>
      <c r="BE15" s="386">
        <f t="shared" si="3"/>
        <v>1398.3684000000001</v>
      </c>
      <c r="BF15" s="386">
        <f t="shared" si="4"/>
        <v>11514.840480000001</v>
      </c>
      <c r="BG15" s="386">
        <f t="shared" si="5"/>
        <v>695.32663200000002</v>
      </c>
      <c r="BH15" s="386">
        <f t="shared" si="6"/>
        <v>0</v>
      </c>
      <c r="BI15" s="386">
        <f t="shared" si="7"/>
        <v>0</v>
      </c>
      <c r="BJ15" s="386">
        <f t="shared" si="8"/>
        <v>173.59055999999998</v>
      </c>
      <c r="BK15" s="386">
        <f t="shared" si="9"/>
        <v>0</v>
      </c>
      <c r="BL15" s="386">
        <f t="shared" si="32"/>
        <v>19761.356471999999</v>
      </c>
      <c r="BM15" s="386">
        <f t="shared" si="33"/>
        <v>0</v>
      </c>
      <c r="BN15" s="386">
        <f t="shared" si="10"/>
        <v>10312.5</v>
      </c>
      <c r="BO15" s="386">
        <f t="shared" si="11"/>
        <v>0</v>
      </c>
      <c r="BP15" s="386">
        <f t="shared" si="12"/>
        <v>5979.2303999999995</v>
      </c>
      <c r="BQ15" s="386">
        <f t="shared" si="13"/>
        <v>1398.3684000000001</v>
      </c>
      <c r="BR15" s="386">
        <f t="shared" si="14"/>
        <v>10781.902559999999</v>
      </c>
      <c r="BS15" s="386">
        <f t="shared" si="15"/>
        <v>695.32663200000002</v>
      </c>
      <c r="BT15" s="386">
        <f t="shared" si="16"/>
        <v>0</v>
      </c>
      <c r="BU15" s="386">
        <f t="shared" si="17"/>
        <v>0</v>
      </c>
      <c r="BV15" s="386">
        <f t="shared" si="18"/>
        <v>183.23447999999999</v>
      </c>
      <c r="BW15" s="386">
        <f t="shared" si="19"/>
        <v>0</v>
      </c>
      <c r="BX15" s="386">
        <f t="shared" si="34"/>
        <v>19038.062471999998</v>
      </c>
      <c r="BY15" s="386">
        <f t="shared" si="35"/>
        <v>0</v>
      </c>
      <c r="BZ15" s="386">
        <f t="shared" si="36"/>
        <v>937.5</v>
      </c>
      <c r="CA15" s="386">
        <f t="shared" si="37"/>
        <v>0</v>
      </c>
      <c r="CB15" s="386">
        <f t="shared" si="38"/>
        <v>0</v>
      </c>
      <c r="CC15" s="386">
        <f t="shared" si="20"/>
        <v>0</v>
      </c>
      <c r="CD15" s="386">
        <f t="shared" si="21"/>
        <v>-732.93792000000087</v>
      </c>
      <c r="CE15" s="386">
        <f t="shared" si="22"/>
        <v>0</v>
      </c>
      <c r="CF15" s="386">
        <f t="shared" si="23"/>
        <v>0</v>
      </c>
      <c r="CG15" s="386">
        <f t="shared" si="24"/>
        <v>0</v>
      </c>
      <c r="CH15" s="386">
        <f t="shared" si="25"/>
        <v>9.6439200000000049</v>
      </c>
      <c r="CI15" s="386">
        <f t="shared" si="26"/>
        <v>0</v>
      </c>
      <c r="CJ15" s="386">
        <f t="shared" si="39"/>
        <v>-723.29400000000089</v>
      </c>
      <c r="CK15" s="386" t="str">
        <f t="shared" si="40"/>
        <v/>
      </c>
      <c r="CL15" s="386" t="str">
        <f t="shared" si="41"/>
        <v/>
      </c>
      <c r="CM15" s="386" t="str">
        <f t="shared" si="42"/>
        <v/>
      </c>
      <c r="CN15" s="386" t="str">
        <f t="shared" si="43"/>
        <v>0001-00</v>
      </c>
    </row>
    <row r="16" spans="1:92" ht="15.75" thickBot="1" x14ac:dyDescent="0.3">
      <c r="A16" s="376" t="s">
        <v>162</v>
      </c>
      <c r="B16" s="376" t="s">
        <v>163</v>
      </c>
      <c r="C16" s="376" t="s">
        <v>262</v>
      </c>
      <c r="D16" s="376" t="s">
        <v>263</v>
      </c>
      <c r="E16" s="376" t="s">
        <v>166</v>
      </c>
      <c r="F16" s="377" t="s">
        <v>167</v>
      </c>
      <c r="G16" s="376" t="s">
        <v>168</v>
      </c>
      <c r="H16" s="378"/>
      <c r="I16" s="378"/>
      <c r="J16" s="376" t="s">
        <v>264</v>
      </c>
      <c r="K16" s="376" t="s">
        <v>265</v>
      </c>
      <c r="L16" s="376" t="s">
        <v>182</v>
      </c>
      <c r="M16" s="376" t="s">
        <v>172</v>
      </c>
      <c r="N16" s="376" t="s">
        <v>173</v>
      </c>
      <c r="O16" s="379">
        <v>1</v>
      </c>
      <c r="P16" s="384">
        <v>0.22</v>
      </c>
      <c r="Q16" s="384">
        <v>0.22</v>
      </c>
      <c r="R16" s="380">
        <v>80</v>
      </c>
      <c r="S16" s="384">
        <v>0.22</v>
      </c>
      <c r="T16" s="380">
        <v>18387.93</v>
      </c>
      <c r="U16" s="380">
        <v>0</v>
      </c>
      <c r="V16" s="380">
        <v>6541.11</v>
      </c>
      <c r="W16" s="380">
        <v>14995.55</v>
      </c>
      <c r="X16" s="380">
        <v>5822.73</v>
      </c>
      <c r="Y16" s="380">
        <v>14995.55</v>
      </c>
      <c r="Z16" s="380">
        <v>5985.26</v>
      </c>
      <c r="AA16" s="376" t="s">
        <v>266</v>
      </c>
      <c r="AB16" s="376" t="s">
        <v>267</v>
      </c>
      <c r="AC16" s="376" t="s">
        <v>268</v>
      </c>
      <c r="AD16" s="376" t="s">
        <v>182</v>
      </c>
      <c r="AE16" s="376" t="s">
        <v>265</v>
      </c>
      <c r="AF16" s="376" t="s">
        <v>178</v>
      </c>
      <c r="AG16" s="376" t="s">
        <v>179</v>
      </c>
      <c r="AH16" s="381">
        <v>32.770000000000003</v>
      </c>
      <c r="AI16" s="379">
        <v>8538</v>
      </c>
      <c r="AJ16" s="376" t="s">
        <v>180</v>
      </c>
      <c r="AK16" s="376" t="s">
        <v>181</v>
      </c>
      <c r="AL16" s="376" t="s">
        <v>182</v>
      </c>
      <c r="AM16" s="376" t="s">
        <v>183</v>
      </c>
      <c r="AN16" s="376" t="s">
        <v>66</v>
      </c>
      <c r="AO16" s="379">
        <v>80</v>
      </c>
      <c r="AP16" s="384">
        <v>1</v>
      </c>
      <c r="AQ16" s="384">
        <v>0.22</v>
      </c>
      <c r="AR16" s="382" t="s">
        <v>184</v>
      </c>
      <c r="AS16" s="386">
        <f t="shared" si="27"/>
        <v>0.22</v>
      </c>
      <c r="AT16">
        <f t="shared" si="28"/>
        <v>1</v>
      </c>
      <c r="AU16" s="386">
        <f>IF(AT16=0,"",IF(AND(AT16=1,M16="F",SUMIF(C2:C201,C16,AS2:AS201)&lt;=1),SUMIF(C2:C201,C16,AS2:AS201),IF(AND(AT16=1,M16="F",SUMIF(C2:C201,C16,AS2:AS201)&gt;1),1,"")))</f>
        <v>1</v>
      </c>
      <c r="AV16" s="386" t="str">
        <f>IF(AT16=0,"",IF(AND(AT16=3,M16="F",SUMIF(C2:C201,C16,AS2:AS201)&lt;=1),SUMIF(C2:C201,C16,AS2:AS201),IF(AND(AT16=3,M16="F",SUMIF(C2:C201,C16,AS2:AS201)&gt;1),1,"")))</f>
        <v/>
      </c>
      <c r="AW16" s="386">
        <f>SUMIF(C2:C201,C16,O2:O201)</f>
        <v>5</v>
      </c>
      <c r="AX16" s="386">
        <f>IF(AND(M16="F",AS16&lt;&gt;0),SUMIF(C2:C201,C16,W2:W201),0)</f>
        <v>68161.590000000011</v>
      </c>
      <c r="AY16" s="386">
        <f t="shared" si="29"/>
        <v>14995.55</v>
      </c>
      <c r="AZ16" s="386" t="str">
        <f t="shared" si="30"/>
        <v/>
      </c>
      <c r="BA16" s="386">
        <f t="shared" si="31"/>
        <v>0</v>
      </c>
      <c r="BB16" s="386">
        <f t="shared" si="0"/>
        <v>2750</v>
      </c>
      <c r="BC16" s="386">
        <f t="shared" si="1"/>
        <v>0</v>
      </c>
      <c r="BD16" s="386">
        <f t="shared" si="2"/>
        <v>929.72409999999991</v>
      </c>
      <c r="BE16" s="386">
        <f t="shared" si="3"/>
        <v>217.435475</v>
      </c>
      <c r="BF16" s="386">
        <f t="shared" si="4"/>
        <v>1790.46867</v>
      </c>
      <c r="BG16" s="386">
        <f t="shared" si="5"/>
        <v>108.1179155</v>
      </c>
      <c r="BH16" s="386">
        <f t="shared" si="6"/>
        <v>0</v>
      </c>
      <c r="BI16" s="386">
        <f t="shared" si="7"/>
        <v>0</v>
      </c>
      <c r="BJ16" s="386">
        <f t="shared" si="8"/>
        <v>26.991989999999998</v>
      </c>
      <c r="BK16" s="386">
        <f t="shared" si="9"/>
        <v>0</v>
      </c>
      <c r="BL16" s="386">
        <f t="shared" si="32"/>
        <v>3072.7381504999998</v>
      </c>
      <c r="BM16" s="386">
        <f t="shared" si="33"/>
        <v>0</v>
      </c>
      <c r="BN16" s="386">
        <f t="shared" si="10"/>
        <v>3025</v>
      </c>
      <c r="BO16" s="386">
        <f t="shared" si="11"/>
        <v>0</v>
      </c>
      <c r="BP16" s="386">
        <f t="shared" si="12"/>
        <v>929.72409999999991</v>
      </c>
      <c r="BQ16" s="386">
        <f t="shared" si="13"/>
        <v>217.435475</v>
      </c>
      <c r="BR16" s="386">
        <f t="shared" si="14"/>
        <v>1676.5024899999999</v>
      </c>
      <c r="BS16" s="386">
        <f t="shared" si="15"/>
        <v>108.1179155</v>
      </c>
      <c r="BT16" s="386">
        <f t="shared" si="16"/>
        <v>0</v>
      </c>
      <c r="BU16" s="386">
        <f t="shared" si="17"/>
        <v>0</v>
      </c>
      <c r="BV16" s="386">
        <f t="shared" si="18"/>
        <v>28.491544999999999</v>
      </c>
      <c r="BW16" s="386">
        <f t="shared" si="19"/>
        <v>0</v>
      </c>
      <c r="BX16" s="386">
        <f t="shared" si="34"/>
        <v>2960.2715254999994</v>
      </c>
      <c r="BY16" s="386">
        <f t="shared" si="35"/>
        <v>0</v>
      </c>
      <c r="BZ16" s="386">
        <f t="shared" si="36"/>
        <v>275</v>
      </c>
      <c r="CA16" s="386">
        <f t="shared" si="37"/>
        <v>0</v>
      </c>
      <c r="CB16" s="386">
        <f t="shared" si="38"/>
        <v>0</v>
      </c>
      <c r="CC16" s="386">
        <f t="shared" si="20"/>
        <v>0</v>
      </c>
      <c r="CD16" s="386">
        <f t="shared" si="21"/>
        <v>-113.96618000000014</v>
      </c>
      <c r="CE16" s="386">
        <f t="shared" si="22"/>
        <v>0</v>
      </c>
      <c r="CF16" s="386">
        <f t="shared" si="23"/>
        <v>0</v>
      </c>
      <c r="CG16" s="386">
        <f t="shared" si="24"/>
        <v>0</v>
      </c>
      <c r="CH16" s="386">
        <f t="shared" si="25"/>
        <v>1.4995550000000006</v>
      </c>
      <c r="CI16" s="386">
        <f t="shared" si="26"/>
        <v>0</v>
      </c>
      <c r="CJ16" s="386">
        <f t="shared" si="39"/>
        <v>-112.46662500000014</v>
      </c>
      <c r="CK16" s="386" t="str">
        <f t="shared" si="40"/>
        <v/>
      </c>
      <c r="CL16" s="386" t="str">
        <f t="shared" si="41"/>
        <v/>
      </c>
      <c r="CM16" s="386" t="str">
        <f t="shared" si="42"/>
        <v/>
      </c>
      <c r="CN16" s="386" t="str">
        <f t="shared" si="43"/>
        <v>0001-00</v>
      </c>
    </row>
    <row r="17" spans="1:92" ht="15.75" thickBot="1" x14ac:dyDescent="0.3">
      <c r="A17" s="376" t="s">
        <v>162</v>
      </c>
      <c r="B17" s="376" t="s">
        <v>163</v>
      </c>
      <c r="C17" s="376" t="s">
        <v>269</v>
      </c>
      <c r="D17" s="376" t="s">
        <v>270</v>
      </c>
      <c r="E17" s="376" t="s">
        <v>166</v>
      </c>
      <c r="F17" s="377" t="s">
        <v>167</v>
      </c>
      <c r="G17" s="376" t="s">
        <v>168</v>
      </c>
      <c r="H17" s="378"/>
      <c r="I17" s="378"/>
      <c r="J17" s="376" t="s">
        <v>220</v>
      </c>
      <c r="K17" s="376" t="s">
        <v>271</v>
      </c>
      <c r="L17" s="376" t="s">
        <v>167</v>
      </c>
      <c r="M17" s="376" t="s">
        <v>172</v>
      </c>
      <c r="N17" s="376" t="s">
        <v>173</v>
      </c>
      <c r="O17" s="379">
        <v>1</v>
      </c>
      <c r="P17" s="384">
        <v>0.35</v>
      </c>
      <c r="Q17" s="384">
        <v>0.35</v>
      </c>
      <c r="R17" s="380">
        <v>80</v>
      </c>
      <c r="S17" s="384">
        <v>0.35</v>
      </c>
      <c r="T17" s="380">
        <v>51349.81</v>
      </c>
      <c r="U17" s="380">
        <v>0</v>
      </c>
      <c r="V17" s="380">
        <v>14925.36</v>
      </c>
      <c r="W17" s="380">
        <v>46679.360000000001</v>
      </c>
      <c r="X17" s="380">
        <v>13940.05</v>
      </c>
      <c r="Y17" s="380">
        <v>46679.360000000001</v>
      </c>
      <c r="Z17" s="380">
        <v>14027.46</v>
      </c>
      <c r="AA17" s="376" t="s">
        <v>272</v>
      </c>
      <c r="AB17" s="376" t="s">
        <v>273</v>
      </c>
      <c r="AC17" s="376" t="s">
        <v>274</v>
      </c>
      <c r="AD17" s="376" t="s">
        <v>275</v>
      </c>
      <c r="AE17" s="376" t="s">
        <v>271</v>
      </c>
      <c r="AF17" s="376" t="s">
        <v>178</v>
      </c>
      <c r="AG17" s="376" t="s">
        <v>179</v>
      </c>
      <c r="AH17" s="381">
        <v>64.12</v>
      </c>
      <c r="AI17" s="381">
        <v>43348.5</v>
      </c>
      <c r="AJ17" s="376" t="s">
        <v>180</v>
      </c>
      <c r="AK17" s="376" t="s">
        <v>181</v>
      </c>
      <c r="AL17" s="376" t="s">
        <v>182</v>
      </c>
      <c r="AM17" s="376" t="s">
        <v>183</v>
      </c>
      <c r="AN17" s="376" t="s">
        <v>66</v>
      </c>
      <c r="AO17" s="379">
        <v>80</v>
      </c>
      <c r="AP17" s="384">
        <v>1</v>
      </c>
      <c r="AQ17" s="384">
        <v>0.35</v>
      </c>
      <c r="AR17" s="382" t="s">
        <v>184</v>
      </c>
      <c r="AS17" s="386">
        <f t="shared" si="27"/>
        <v>0.35</v>
      </c>
      <c r="AT17">
        <f t="shared" si="28"/>
        <v>1</v>
      </c>
      <c r="AU17" s="386">
        <f>IF(AT17=0,"",IF(AND(AT17=1,M17="F",SUMIF(C2:C201,C17,AS2:AS201)&lt;=1),SUMIF(C2:C201,C17,AS2:AS201),IF(AND(AT17=1,M17="F",SUMIF(C2:C201,C17,AS2:AS201)&gt;1),1,"")))</f>
        <v>1</v>
      </c>
      <c r="AV17" s="386" t="str">
        <f>IF(AT17=0,"",IF(AND(AT17=3,M17="F",SUMIF(C2:C201,C17,AS2:AS201)&lt;=1),SUMIF(C2:C201,C17,AS2:AS201),IF(AND(AT17=3,M17="F",SUMIF(C2:C201,C17,AS2:AS201)&gt;1),1,"")))</f>
        <v/>
      </c>
      <c r="AW17" s="386">
        <f>SUMIF(C2:C201,C17,O2:O201)</f>
        <v>4</v>
      </c>
      <c r="AX17" s="386">
        <f>IF(AND(M17="F",AS17&lt;&gt;0),SUMIF(C2:C201,C17,W2:W201),0)</f>
        <v>133369.59999999998</v>
      </c>
      <c r="AY17" s="386">
        <f t="shared" si="29"/>
        <v>46679.360000000001</v>
      </c>
      <c r="AZ17" s="386" t="str">
        <f t="shared" si="30"/>
        <v/>
      </c>
      <c r="BA17" s="386">
        <f t="shared" si="31"/>
        <v>0</v>
      </c>
      <c r="BB17" s="386">
        <f t="shared" si="0"/>
        <v>4375</v>
      </c>
      <c r="BC17" s="386">
        <f t="shared" si="1"/>
        <v>0</v>
      </c>
      <c r="BD17" s="386">
        <f t="shared" si="2"/>
        <v>2894.12032</v>
      </c>
      <c r="BE17" s="386">
        <f t="shared" si="3"/>
        <v>676.85072000000002</v>
      </c>
      <c r="BF17" s="386">
        <f t="shared" si="4"/>
        <v>5573.5155840000007</v>
      </c>
      <c r="BG17" s="386">
        <f t="shared" si="5"/>
        <v>336.5581856</v>
      </c>
      <c r="BH17" s="386">
        <f t="shared" si="6"/>
        <v>0</v>
      </c>
      <c r="BI17" s="386">
        <f t="shared" si="7"/>
        <v>0</v>
      </c>
      <c r="BJ17" s="386">
        <f t="shared" si="8"/>
        <v>84.022847999999996</v>
      </c>
      <c r="BK17" s="386">
        <f t="shared" si="9"/>
        <v>0</v>
      </c>
      <c r="BL17" s="386">
        <f t="shared" si="32"/>
        <v>9565.0676576000023</v>
      </c>
      <c r="BM17" s="386">
        <f t="shared" si="33"/>
        <v>0</v>
      </c>
      <c r="BN17" s="386">
        <f t="shared" si="10"/>
        <v>4812.5</v>
      </c>
      <c r="BO17" s="386">
        <f t="shared" si="11"/>
        <v>0</v>
      </c>
      <c r="BP17" s="386">
        <f t="shared" si="12"/>
        <v>2894.12032</v>
      </c>
      <c r="BQ17" s="386">
        <f t="shared" si="13"/>
        <v>676.85072000000002</v>
      </c>
      <c r="BR17" s="386">
        <f t="shared" si="14"/>
        <v>5218.7524480000002</v>
      </c>
      <c r="BS17" s="386">
        <f t="shared" si="15"/>
        <v>336.5581856</v>
      </c>
      <c r="BT17" s="386">
        <f t="shared" si="16"/>
        <v>0</v>
      </c>
      <c r="BU17" s="386">
        <f t="shared" si="17"/>
        <v>0</v>
      </c>
      <c r="BV17" s="386">
        <f t="shared" si="18"/>
        <v>88.690784000000008</v>
      </c>
      <c r="BW17" s="386">
        <f t="shared" si="19"/>
        <v>0</v>
      </c>
      <c r="BX17" s="386">
        <f t="shared" si="34"/>
        <v>9214.9724576000008</v>
      </c>
      <c r="BY17" s="386">
        <f t="shared" si="35"/>
        <v>0</v>
      </c>
      <c r="BZ17" s="386">
        <f t="shared" si="36"/>
        <v>437.5</v>
      </c>
      <c r="CA17" s="386">
        <f t="shared" si="37"/>
        <v>0</v>
      </c>
      <c r="CB17" s="386">
        <f t="shared" si="38"/>
        <v>0</v>
      </c>
      <c r="CC17" s="386">
        <f t="shared" si="20"/>
        <v>0</v>
      </c>
      <c r="CD17" s="386">
        <f t="shared" si="21"/>
        <v>-354.76313600000043</v>
      </c>
      <c r="CE17" s="386">
        <f t="shared" si="22"/>
        <v>0</v>
      </c>
      <c r="CF17" s="386">
        <f t="shared" si="23"/>
        <v>0</v>
      </c>
      <c r="CG17" s="386">
        <f t="shared" si="24"/>
        <v>0</v>
      </c>
      <c r="CH17" s="386">
        <f t="shared" si="25"/>
        <v>4.6679360000000019</v>
      </c>
      <c r="CI17" s="386">
        <f t="shared" si="26"/>
        <v>0</v>
      </c>
      <c r="CJ17" s="386">
        <f t="shared" si="39"/>
        <v>-350.09520000000043</v>
      </c>
      <c r="CK17" s="386" t="str">
        <f t="shared" si="40"/>
        <v/>
      </c>
      <c r="CL17" s="386" t="str">
        <f t="shared" si="41"/>
        <v/>
      </c>
      <c r="CM17" s="386" t="str">
        <f t="shared" si="42"/>
        <v/>
      </c>
      <c r="CN17" s="386" t="str">
        <f t="shared" si="43"/>
        <v>0001-00</v>
      </c>
    </row>
    <row r="18" spans="1:92" ht="15.75" thickBot="1" x14ac:dyDescent="0.3">
      <c r="A18" s="376" t="s">
        <v>162</v>
      </c>
      <c r="B18" s="376" t="s">
        <v>163</v>
      </c>
      <c r="C18" s="376" t="s">
        <v>276</v>
      </c>
      <c r="D18" s="376" t="s">
        <v>186</v>
      </c>
      <c r="E18" s="376" t="s">
        <v>166</v>
      </c>
      <c r="F18" s="377" t="s">
        <v>167</v>
      </c>
      <c r="G18" s="376" t="s">
        <v>168</v>
      </c>
      <c r="H18" s="378"/>
      <c r="I18" s="378"/>
      <c r="J18" s="376" t="s">
        <v>169</v>
      </c>
      <c r="K18" s="376" t="s">
        <v>187</v>
      </c>
      <c r="L18" s="376" t="s">
        <v>179</v>
      </c>
      <c r="M18" s="376" t="s">
        <v>172</v>
      </c>
      <c r="N18" s="376" t="s">
        <v>173</v>
      </c>
      <c r="O18" s="379">
        <v>1</v>
      </c>
      <c r="P18" s="384">
        <v>0</v>
      </c>
      <c r="Q18" s="384">
        <v>0</v>
      </c>
      <c r="R18" s="380">
        <v>80</v>
      </c>
      <c r="S18" s="384">
        <v>0</v>
      </c>
      <c r="T18" s="380">
        <v>5000</v>
      </c>
      <c r="U18" s="380">
        <v>0</v>
      </c>
      <c r="V18" s="380">
        <v>1372.46</v>
      </c>
      <c r="W18" s="380">
        <v>0</v>
      </c>
      <c r="X18" s="380">
        <v>0</v>
      </c>
      <c r="Y18" s="380">
        <v>0</v>
      </c>
      <c r="Z18" s="380">
        <v>0</v>
      </c>
      <c r="AA18" s="376" t="s">
        <v>277</v>
      </c>
      <c r="AB18" s="376" t="s">
        <v>278</v>
      </c>
      <c r="AC18" s="376" t="s">
        <v>279</v>
      </c>
      <c r="AD18" s="376" t="s">
        <v>280</v>
      </c>
      <c r="AE18" s="376" t="s">
        <v>187</v>
      </c>
      <c r="AF18" s="376" t="s">
        <v>178</v>
      </c>
      <c r="AG18" s="376" t="s">
        <v>179</v>
      </c>
      <c r="AH18" s="381">
        <v>22.06</v>
      </c>
      <c r="AI18" s="381">
        <v>14267.5</v>
      </c>
      <c r="AJ18" s="376" t="s">
        <v>180</v>
      </c>
      <c r="AK18" s="376" t="s">
        <v>181</v>
      </c>
      <c r="AL18" s="376" t="s">
        <v>182</v>
      </c>
      <c r="AM18" s="376" t="s">
        <v>183</v>
      </c>
      <c r="AN18" s="376" t="s">
        <v>66</v>
      </c>
      <c r="AO18" s="379">
        <v>80</v>
      </c>
      <c r="AP18" s="384">
        <v>1</v>
      </c>
      <c r="AQ18" s="384">
        <v>0</v>
      </c>
      <c r="AR18" s="382" t="s">
        <v>184</v>
      </c>
      <c r="AS18" s="386">
        <f t="shared" si="27"/>
        <v>0</v>
      </c>
      <c r="AT18">
        <f t="shared" si="28"/>
        <v>0</v>
      </c>
      <c r="AU18" s="386" t="str">
        <f>IF(AT18=0,"",IF(AND(AT18=1,M18="F",SUMIF(C2:C201,C18,AS2:AS201)&lt;=1),SUMIF(C2:C201,C18,AS2:AS201),IF(AND(AT18=1,M18="F",SUMIF(C2:C201,C18,AS2:AS201)&gt;1),1,"")))</f>
        <v/>
      </c>
      <c r="AV18" s="386" t="str">
        <f>IF(AT18=0,"",IF(AND(AT18=3,M18="F",SUMIF(C2:C201,C18,AS2:AS201)&lt;=1),SUMIF(C2:C201,C18,AS2:AS201),IF(AND(AT18=3,M18="F",SUMIF(C2:C201,C18,AS2:AS201)&gt;1),1,"")))</f>
        <v/>
      </c>
      <c r="AW18" s="386">
        <f>SUMIF(C2:C201,C18,O2:O201)</f>
        <v>3</v>
      </c>
      <c r="AX18" s="386">
        <f>IF(AND(M18="F",AS18&lt;&gt;0),SUMIF(C2:C201,C18,W2:W201),0)</f>
        <v>0</v>
      </c>
      <c r="AY18" s="386" t="str">
        <f t="shared" si="29"/>
        <v/>
      </c>
      <c r="AZ18" s="386" t="str">
        <f t="shared" si="30"/>
        <v/>
      </c>
      <c r="BA18" s="386">
        <f t="shared" si="31"/>
        <v>0</v>
      </c>
      <c r="BB18" s="386">
        <f t="shared" si="0"/>
        <v>0</v>
      </c>
      <c r="BC18" s="386">
        <f t="shared" si="1"/>
        <v>0</v>
      </c>
      <c r="BD18" s="386">
        <f t="shared" si="2"/>
        <v>0</v>
      </c>
      <c r="BE18" s="386">
        <f t="shared" si="3"/>
        <v>0</v>
      </c>
      <c r="BF18" s="386">
        <f t="shared" si="4"/>
        <v>0</v>
      </c>
      <c r="BG18" s="386">
        <f t="shared" si="5"/>
        <v>0</v>
      </c>
      <c r="BH18" s="386">
        <f t="shared" si="6"/>
        <v>0</v>
      </c>
      <c r="BI18" s="386">
        <f t="shared" si="7"/>
        <v>0</v>
      </c>
      <c r="BJ18" s="386">
        <f t="shared" si="8"/>
        <v>0</v>
      </c>
      <c r="BK18" s="386">
        <f t="shared" si="9"/>
        <v>0</v>
      </c>
      <c r="BL18" s="386">
        <f t="shared" si="32"/>
        <v>0</v>
      </c>
      <c r="BM18" s="386">
        <f t="shared" si="33"/>
        <v>0</v>
      </c>
      <c r="BN18" s="386">
        <f t="shared" si="10"/>
        <v>0</v>
      </c>
      <c r="BO18" s="386">
        <f t="shared" si="11"/>
        <v>0</v>
      </c>
      <c r="BP18" s="386">
        <f t="shared" si="12"/>
        <v>0</v>
      </c>
      <c r="BQ18" s="386">
        <f t="shared" si="13"/>
        <v>0</v>
      </c>
      <c r="BR18" s="386">
        <f t="shared" si="14"/>
        <v>0</v>
      </c>
      <c r="BS18" s="386">
        <f t="shared" si="15"/>
        <v>0</v>
      </c>
      <c r="BT18" s="386">
        <f t="shared" si="16"/>
        <v>0</v>
      </c>
      <c r="BU18" s="386">
        <f t="shared" si="17"/>
        <v>0</v>
      </c>
      <c r="BV18" s="386">
        <f t="shared" si="18"/>
        <v>0</v>
      </c>
      <c r="BW18" s="386">
        <f t="shared" si="19"/>
        <v>0</v>
      </c>
      <c r="BX18" s="386">
        <f t="shared" si="34"/>
        <v>0</v>
      </c>
      <c r="BY18" s="386">
        <f t="shared" si="35"/>
        <v>0</v>
      </c>
      <c r="BZ18" s="386">
        <f t="shared" si="36"/>
        <v>0</v>
      </c>
      <c r="CA18" s="386">
        <f t="shared" si="37"/>
        <v>0</v>
      </c>
      <c r="CB18" s="386">
        <f t="shared" si="38"/>
        <v>0</v>
      </c>
      <c r="CC18" s="386">
        <f t="shared" si="20"/>
        <v>0</v>
      </c>
      <c r="CD18" s="386">
        <f t="shared" si="21"/>
        <v>0</v>
      </c>
      <c r="CE18" s="386">
        <f t="shared" si="22"/>
        <v>0</v>
      </c>
      <c r="CF18" s="386">
        <f t="shared" si="23"/>
        <v>0</v>
      </c>
      <c r="CG18" s="386">
        <f t="shared" si="24"/>
        <v>0</v>
      </c>
      <c r="CH18" s="386">
        <f t="shared" si="25"/>
        <v>0</v>
      </c>
      <c r="CI18" s="386">
        <f t="shared" si="26"/>
        <v>0</v>
      </c>
      <c r="CJ18" s="386">
        <f t="shared" si="39"/>
        <v>0</v>
      </c>
      <c r="CK18" s="386" t="str">
        <f t="shared" si="40"/>
        <v/>
      </c>
      <c r="CL18" s="386" t="str">
        <f t="shared" si="41"/>
        <v/>
      </c>
      <c r="CM18" s="386" t="str">
        <f t="shared" si="42"/>
        <v/>
      </c>
      <c r="CN18" s="386" t="str">
        <f t="shared" si="43"/>
        <v>0001-00</v>
      </c>
    </row>
    <row r="19" spans="1:92" ht="15.75" thickBot="1" x14ac:dyDescent="0.3">
      <c r="A19" s="376" t="s">
        <v>162</v>
      </c>
      <c r="B19" s="376" t="s">
        <v>163</v>
      </c>
      <c r="C19" s="376" t="s">
        <v>281</v>
      </c>
      <c r="D19" s="376" t="s">
        <v>165</v>
      </c>
      <c r="E19" s="376" t="s">
        <v>166</v>
      </c>
      <c r="F19" s="377" t="s">
        <v>167</v>
      </c>
      <c r="G19" s="376" t="s">
        <v>168</v>
      </c>
      <c r="H19" s="378"/>
      <c r="I19" s="378"/>
      <c r="J19" s="376" t="s">
        <v>169</v>
      </c>
      <c r="K19" s="376" t="s">
        <v>193</v>
      </c>
      <c r="L19" s="376" t="s">
        <v>194</v>
      </c>
      <c r="M19" s="376" t="s">
        <v>172</v>
      </c>
      <c r="N19" s="376" t="s">
        <v>173</v>
      </c>
      <c r="O19" s="379">
        <v>1</v>
      </c>
      <c r="P19" s="384">
        <v>0</v>
      </c>
      <c r="Q19" s="384">
        <v>0</v>
      </c>
      <c r="R19" s="380">
        <v>80</v>
      </c>
      <c r="S19" s="384">
        <v>0</v>
      </c>
      <c r="T19" s="380">
        <v>5000</v>
      </c>
      <c r="U19" s="380">
        <v>0</v>
      </c>
      <c r="V19" s="380">
        <v>1349.17</v>
      </c>
      <c r="W19" s="380">
        <v>0</v>
      </c>
      <c r="X19" s="380">
        <v>0</v>
      </c>
      <c r="Y19" s="380">
        <v>0</v>
      </c>
      <c r="Z19" s="380">
        <v>0</v>
      </c>
      <c r="AA19" s="376" t="s">
        <v>282</v>
      </c>
      <c r="AB19" s="376" t="s">
        <v>283</v>
      </c>
      <c r="AC19" s="376" t="s">
        <v>284</v>
      </c>
      <c r="AD19" s="376" t="s">
        <v>285</v>
      </c>
      <c r="AE19" s="376" t="s">
        <v>193</v>
      </c>
      <c r="AF19" s="376" t="s">
        <v>178</v>
      </c>
      <c r="AG19" s="376" t="s">
        <v>179</v>
      </c>
      <c r="AH19" s="381">
        <v>30.09</v>
      </c>
      <c r="AI19" s="381">
        <v>5278.8</v>
      </c>
      <c r="AJ19" s="376" t="s">
        <v>180</v>
      </c>
      <c r="AK19" s="376" t="s">
        <v>181</v>
      </c>
      <c r="AL19" s="376" t="s">
        <v>182</v>
      </c>
      <c r="AM19" s="376" t="s">
        <v>183</v>
      </c>
      <c r="AN19" s="376" t="s">
        <v>66</v>
      </c>
      <c r="AO19" s="379">
        <v>80</v>
      </c>
      <c r="AP19" s="384">
        <v>1</v>
      </c>
      <c r="AQ19" s="384">
        <v>0</v>
      </c>
      <c r="AR19" s="382" t="s">
        <v>184</v>
      </c>
      <c r="AS19" s="386">
        <f t="shared" si="27"/>
        <v>0</v>
      </c>
      <c r="AT19">
        <f t="shared" si="28"/>
        <v>0</v>
      </c>
      <c r="AU19" s="386" t="str">
        <f>IF(AT19=0,"",IF(AND(AT19=1,M19="F",SUMIF(C2:C201,C19,AS2:AS201)&lt;=1),SUMIF(C2:C201,C19,AS2:AS201),IF(AND(AT19=1,M19="F",SUMIF(C2:C201,C19,AS2:AS201)&gt;1),1,"")))</f>
        <v/>
      </c>
      <c r="AV19" s="386" t="str">
        <f>IF(AT19=0,"",IF(AND(AT19=3,M19="F",SUMIF(C2:C201,C19,AS2:AS201)&lt;=1),SUMIF(C2:C201,C19,AS2:AS201),IF(AND(AT19=3,M19="F",SUMIF(C2:C201,C19,AS2:AS201)&gt;1),1,"")))</f>
        <v/>
      </c>
      <c r="AW19" s="386">
        <f>SUMIF(C2:C201,C19,O2:O201)</f>
        <v>3</v>
      </c>
      <c r="AX19" s="386">
        <f>IF(AND(M19="F",AS19&lt;&gt;0),SUMIF(C2:C201,C19,W2:W201),0)</f>
        <v>0</v>
      </c>
      <c r="AY19" s="386" t="str">
        <f t="shared" si="29"/>
        <v/>
      </c>
      <c r="AZ19" s="386" t="str">
        <f t="shared" si="30"/>
        <v/>
      </c>
      <c r="BA19" s="386">
        <f t="shared" si="31"/>
        <v>0</v>
      </c>
      <c r="BB19" s="386">
        <f t="shared" si="0"/>
        <v>0</v>
      </c>
      <c r="BC19" s="386">
        <f t="shared" si="1"/>
        <v>0</v>
      </c>
      <c r="BD19" s="386">
        <f t="shared" si="2"/>
        <v>0</v>
      </c>
      <c r="BE19" s="386">
        <f t="shared" si="3"/>
        <v>0</v>
      </c>
      <c r="BF19" s="386">
        <f t="shared" si="4"/>
        <v>0</v>
      </c>
      <c r="BG19" s="386">
        <f t="shared" si="5"/>
        <v>0</v>
      </c>
      <c r="BH19" s="386">
        <f t="shared" si="6"/>
        <v>0</v>
      </c>
      <c r="BI19" s="386">
        <f t="shared" si="7"/>
        <v>0</v>
      </c>
      <c r="BJ19" s="386">
        <f t="shared" si="8"/>
        <v>0</v>
      </c>
      <c r="BK19" s="386">
        <f t="shared" si="9"/>
        <v>0</v>
      </c>
      <c r="BL19" s="386">
        <f t="shared" si="32"/>
        <v>0</v>
      </c>
      <c r="BM19" s="386">
        <f t="shared" si="33"/>
        <v>0</v>
      </c>
      <c r="BN19" s="386">
        <f t="shared" si="10"/>
        <v>0</v>
      </c>
      <c r="BO19" s="386">
        <f t="shared" si="11"/>
        <v>0</v>
      </c>
      <c r="BP19" s="386">
        <f t="shared" si="12"/>
        <v>0</v>
      </c>
      <c r="BQ19" s="386">
        <f t="shared" si="13"/>
        <v>0</v>
      </c>
      <c r="BR19" s="386">
        <f t="shared" si="14"/>
        <v>0</v>
      </c>
      <c r="BS19" s="386">
        <f t="shared" si="15"/>
        <v>0</v>
      </c>
      <c r="BT19" s="386">
        <f t="shared" si="16"/>
        <v>0</v>
      </c>
      <c r="BU19" s="386">
        <f t="shared" si="17"/>
        <v>0</v>
      </c>
      <c r="BV19" s="386">
        <f t="shared" si="18"/>
        <v>0</v>
      </c>
      <c r="BW19" s="386">
        <f t="shared" si="19"/>
        <v>0</v>
      </c>
      <c r="BX19" s="386">
        <f t="shared" si="34"/>
        <v>0</v>
      </c>
      <c r="BY19" s="386">
        <f t="shared" si="35"/>
        <v>0</v>
      </c>
      <c r="BZ19" s="386">
        <f t="shared" si="36"/>
        <v>0</v>
      </c>
      <c r="CA19" s="386">
        <f t="shared" si="37"/>
        <v>0</v>
      </c>
      <c r="CB19" s="386">
        <f t="shared" si="38"/>
        <v>0</v>
      </c>
      <c r="CC19" s="386">
        <f t="shared" si="20"/>
        <v>0</v>
      </c>
      <c r="CD19" s="386">
        <f t="shared" si="21"/>
        <v>0</v>
      </c>
      <c r="CE19" s="386">
        <f t="shared" si="22"/>
        <v>0</v>
      </c>
      <c r="CF19" s="386">
        <f t="shared" si="23"/>
        <v>0</v>
      </c>
      <c r="CG19" s="386">
        <f t="shared" si="24"/>
        <v>0</v>
      </c>
      <c r="CH19" s="386">
        <f t="shared" si="25"/>
        <v>0</v>
      </c>
      <c r="CI19" s="386">
        <f t="shared" si="26"/>
        <v>0</v>
      </c>
      <c r="CJ19" s="386">
        <f t="shared" si="39"/>
        <v>0</v>
      </c>
      <c r="CK19" s="386" t="str">
        <f t="shared" si="40"/>
        <v/>
      </c>
      <c r="CL19" s="386" t="str">
        <f t="shared" si="41"/>
        <v/>
      </c>
      <c r="CM19" s="386" t="str">
        <f t="shared" si="42"/>
        <v/>
      </c>
      <c r="CN19" s="386" t="str">
        <f t="shared" si="43"/>
        <v>0001-00</v>
      </c>
    </row>
    <row r="20" spans="1:92" ht="15.75" thickBot="1" x14ac:dyDescent="0.3">
      <c r="A20" s="376" t="s">
        <v>162</v>
      </c>
      <c r="B20" s="376" t="s">
        <v>163</v>
      </c>
      <c r="C20" s="376" t="s">
        <v>286</v>
      </c>
      <c r="D20" s="376" t="s">
        <v>165</v>
      </c>
      <c r="E20" s="376" t="s">
        <v>166</v>
      </c>
      <c r="F20" s="377" t="s">
        <v>167</v>
      </c>
      <c r="G20" s="376" t="s">
        <v>168</v>
      </c>
      <c r="H20" s="378"/>
      <c r="I20" s="378"/>
      <c r="J20" s="376" t="s">
        <v>169</v>
      </c>
      <c r="K20" s="376" t="s">
        <v>206</v>
      </c>
      <c r="L20" s="376" t="s">
        <v>198</v>
      </c>
      <c r="M20" s="376" t="s">
        <v>172</v>
      </c>
      <c r="N20" s="376" t="s">
        <v>173</v>
      </c>
      <c r="O20" s="379">
        <v>1</v>
      </c>
      <c r="P20" s="384">
        <v>0</v>
      </c>
      <c r="Q20" s="384">
        <v>0</v>
      </c>
      <c r="R20" s="380">
        <v>80</v>
      </c>
      <c r="S20" s="384">
        <v>0</v>
      </c>
      <c r="T20" s="380">
        <v>5000</v>
      </c>
      <c r="U20" s="380">
        <v>0</v>
      </c>
      <c r="V20" s="380">
        <v>1333.63</v>
      </c>
      <c r="W20" s="380">
        <v>0</v>
      </c>
      <c r="X20" s="380">
        <v>0</v>
      </c>
      <c r="Y20" s="380">
        <v>0</v>
      </c>
      <c r="Z20" s="380">
        <v>0</v>
      </c>
      <c r="AA20" s="376" t="s">
        <v>287</v>
      </c>
      <c r="AB20" s="376" t="s">
        <v>288</v>
      </c>
      <c r="AC20" s="376" t="s">
        <v>289</v>
      </c>
      <c r="AD20" s="376" t="s">
        <v>290</v>
      </c>
      <c r="AE20" s="376" t="s">
        <v>206</v>
      </c>
      <c r="AF20" s="376" t="s">
        <v>178</v>
      </c>
      <c r="AG20" s="376" t="s">
        <v>179</v>
      </c>
      <c r="AH20" s="381">
        <v>32.93</v>
      </c>
      <c r="AI20" s="381">
        <v>21252.799999999999</v>
      </c>
      <c r="AJ20" s="376" t="s">
        <v>180</v>
      </c>
      <c r="AK20" s="376" t="s">
        <v>181</v>
      </c>
      <c r="AL20" s="376" t="s">
        <v>182</v>
      </c>
      <c r="AM20" s="376" t="s">
        <v>183</v>
      </c>
      <c r="AN20" s="376" t="s">
        <v>66</v>
      </c>
      <c r="AO20" s="379">
        <v>80</v>
      </c>
      <c r="AP20" s="384">
        <v>1</v>
      </c>
      <c r="AQ20" s="384">
        <v>0</v>
      </c>
      <c r="AR20" s="382" t="s">
        <v>184</v>
      </c>
      <c r="AS20" s="386">
        <f t="shared" si="27"/>
        <v>0</v>
      </c>
      <c r="AT20">
        <f t="shared" si="28"/>
        <v>0</v>
      </c>
      <c r="AU20" s="386" t="str">
        <f>IF(AT20=0,"",IF(AND(AT20=1,M20="F",SUMIF(C2:C201,C20,AS2:AS201)&lt;=1),SUMIF(C2:C201,C20,AS2:AS201),IF(AND(AT20=1,M20="F",SUMIF(C2:C201,C20,AS2:AS201)&gt;1),1,"")))</f>
        <v/>
      </c>
      <c r="AV20" s="386" t="str">
        <f>IF(AT20=0,"",IF(AND(AT20=3,M20="F",SUMIF(C2:C201,C20,AS2:AS201)&lt;=1),SUMIF(C2:C201,C20,AS2:AS201),IF(AND(AT20=3,M20="F",SUMIF(C2:C201,C20,AS2:AS201)&gt;1),1,"")))</f>
        <v/>
      </c>
      <c r="AW20" s="386">
        <f>SUMIF(C2:C201,C20,O2:O201)</f>
        <v>3</v>
      </c>
      <c r="AX20" s="386">
        <f>IF(AND(M20="F",AS20&lt;&gt;0),SUMIF(C2:C201,C20,W2:W201),0)</f>
        <v>0</v>
      </c>
      <c r="AY20" s="386" t="str">
        <f t="shared" si="29"/>
        <v/>
      </c>
      <c r="AZ20" s="386" t="str">
        <f t="shared" si="30"/>
        <v/>
      </c>
      <c r="BA20" s="386">
        <f t="shared" si="31"/>
        <v>0</v>
      </c>
      <c r="BB20" s="386">
        <f t="shared" si="0"/>
        <v>0</v>
      </c>
      <c r="BC20" s="386">
        <f t="shared" si="1"/>
        <v>0</v>
      </c>
      <c r="BD20" s="386">
        <f t="shared" si="2"/>
        <v>0</v>
      </c>
      <c r="BE20" s="386">
        <f t="shared" si="3"/>
        <v>0</v>
      </c>
      <c r="BF20" s="386">
        <f t="shared" si="4"/>
        <v>0</v>
      </c>
      <c r="BG20" s="386">
        <f t="shared" si="5"/>
        <v>0</v>
      </c>
      <c r="BH20" s="386">
        <f t="shared" si="6"/>
        <v>0</v>
      </c>
      <c r="BI20" s="386">
        <f t="shared" si="7"/>
        <v>0</v>
      </c>
      <c r="BJ20" s="386">
        <f t="shared" si="8"/>
        <v>0</v>
      </c>
      <c r="BK20" s="386">
        <f t="shared" si="9"/>
        <v>0</v>
      </c>
      <c r="BL20" s="386">
        <f t="shared" si="32"/>
        <v>0</v>
      </c>
      <c r="BM20" s="386">
        <f t="shared" si="33"/>
        <v>0</v>
      </c>
      <c r="BN20" s="386">
        <f t="shared" si="10"/>
        <v>0</v>
      </c>
      <c r="BO20" s="386">
        <f t="shared" si="11"/>
        <v>0</v>
      </c>
      <c r="BP20" s="386">
        <f t="shared" si="12"/>
        <v>0</v>
      </c>
      <c r="BQ20" s="386">
        <f t="shared" si="13"/>
        <v>0</v>
      </c>
      <c r="BR20" s="386">
        <f t="shared" si="14"/>
        <v>0</v>
      </c>
      <c r="BS20" s="386">
        <f t="shared" si="15"/>
        <v>0</v>
      </c>
      <c r="BT20" s="386">
        <f t="shared" si="16"/>
        <v>0</v>
      </c>
      <c r="BU20" s="386">
        <f t="shared" si="17"/>
        <v>0</v>
      </c>
      <c r="BV20" s="386">
        <f t="shared" si="18"/>
        <v>0</v>
      </c>
      <c r="BW20" s="386">
        <f t="shared" si="19"/>
        <v>0</v>
      </c>
      <c r="BX20" s="386">
        <f t="shared" si="34"/>
        <v>0</v>
      </c>
      <c r="BY20" s="386">
        <f t="shared" si="35"/>
        <v>0</v>
      </c>
      <c r="BZ20" s="386">
        <f t="shared" si="36"/>
        <v>0</v>
      </c>
      <c r="CA20" s="386">
        <f t="shared" si="37"/>
        <v>0</v>
      </c>
      <c r="CB20" s="386">
        <f t="shared" si="38"/>
        <v>0</v>
      </c>
      <c r="CC20" s="386">
        <f t="shared" si="20"/>
        <v>0</v>
      </c>
      <c r="CD20" s="386">
        <f t="shared" si="21"/>
        <v>0</v>
      </c>
      <c r="CE20" s="386">
        <f t="shared" si="22"/>
        <v>0</v>
      </c>
      <c r="CF20" s="386">
        <f t="shared" si="23"/>
        <v>0</v>
      </c>
      <c r="CG20" s="386">
        <f t="shared" si="24"/>
        <v>0</v>
      </c>
      <c r="CH20" s="386">
        <f t="shared" si="25"/>
        <v>0</v>
      </c>
      <c r="CI20" s="386">
        <f t="shared" si="26"/>
        <v>0</v>
      </c>
      <c r="CJ20" s="386">
        <f t="shared" si="39"/>
        <v>0</v>
      </c>
      <c r="CK20" s="386" t="str">
        <f t="shared" si="40"/>
        <v/>
      </c>
      <c r="CL20" s="386" t="str">
        <f t="shared" si="41"/>
        <v/>
      </c>
      <c r="CM20" s="386" t="str">
        <f t="shared" si="42"/>
        <v/>
      </c>
      <c r="CN20" s="386" t="str">
        <f t="shared" si="43"/>
        <v>0001-00</v>
      </c>
    </row>
    <row r="21" spans="1:92" ht="15.75" thickBot="1" x14ac:dyDescent="0.3">
      <c r="A21" s="376" t="s">
        <v>162</v>
      </c>
      <c r="B21" s="376" t="s">
        <v>163</v>
      </c>
      <c r="C21" s="376" t="s">
        <v>291</v>
      </c>
      <c r="D21" s="376" t="s">
        <v>292</v>
      </c>
      <c r="E21" s="376" t="s">
        <v>166</v>
      </c>
      <c r="F21" s="377" t="s">
        <v>167</v>
      </c>
      <c r="G21" s="376" t="s">
        <v>168</v>
      </c>
      <c r="H21" s="378"/>
      <c r="I21" s="378"/>
      <c r="J21" s="376" t="s">
        <v>169</v>
      </c>
      <c r="K21" s="376" t="s">
        <v>293</v>
      </c>
      <c r="L21" s="376" t="s">
        <v>171</v>
      </c>
      <c r="M21" s="376" t="s">
        <v>172</v>
      </c>
      <c r="N21" s="376" t="s">
        <v>173</v>
      </c>
      <c r="O21" s="379">
        <v>1</v>
      </c>
      <c r="P21" s="384">
        <v>1</v>
      </c>
      <c r="Q21" s="384">
        <v>1</v>
      </c>
      <c r="R21" s="380">
        <v>80</v>
      </c>
      <c r="S21" s="384">
        <v>1</v>
      </c>
      <c r="T21" s="380">
        <v>2400</v>
      </c>
      <c r="U21" s="380">
        <v>0</v>
      </c>
      <c r="V21" s="380">
        <v>1039.32</v>
      </c>
      <c r="W21" s="380">
        <v>62400</v>
      </c>
      <c r="X21" s="380">
        <v>25286.38</v>
      </c>
      <c r="Y21" s="380">
        <v>62400</v>
      </c>
      <c r="Z21" s="380">
        <v>26068.38</v>
      </c>
      <c r="AA21" s="376" t="s">
        <v>294</v>
      </c>
      <c r="AB21" s="376" t="s">
        <v>295</v>
      </c>
      <c r="AC21" s="376" t="s">
        <v>296</v>
      </c>
      <c r="AD21" s="376" t="s">
        <v>171</v>
      </c>
      <c r="AE21" s="376" t="s">
        <v>293</v>
      </c>
      <c r="AF21" s="376" t="s">
        <v>178</v>
      </c>
      <c r="AG21" s="376" t="s">
        <v>179</v>
      </c>
      <c r="AH21" s="379">
        <v>30</v>
      </c>
      <c r="AI21" s="381">
        <v>4770.5</v>
      </c>
      <c r="AJ21" s="376" t="s">
        <v>180</v>
      </c>
      <c r="AK21" s="376" t="s">
        <v>181</v>
      </c>
      <c r="AL21" s="376" t="s">
        <v>182</v>
      </c>
      <c r="AM21" s="376" t="s">
        <v>183</v>
      </c>
      <c r="AN21" s="376" t="s">
        <v>66</v>
      </c>
      <c r="AO21" s="379">
        <v>80</v>
      </c>
      <c r="AP21" s="384">
        <v>1</v>
      </c>
      <c r="AQ21" s="384">
        <v>1</v>
      </c>
      <c r="AR21" s="382" t="s">
        <v>184</v>
      </c>
      <c r="AS21" s="386">
        <f t="shared" si="27"/>
        <v>1</v>
      </c>
      <c r="AT21">
        <f t="shared" si="28"/>
        <v>1</v>
      </c>
      <c r="AU21" s="386">
        <f>IF(AT21=0,"",IF(AND(AT21=1,M21="F",SUMIF(C2:C201,C21,AS2:AS201)&lt;=1),SUMIF(C2:C201,C21,AS2:AS201),IF(AND(AT21=1,M21="F",SUMIF(C2:C201,C21,AS2:AS201)&gt;1),1,"")))</f>
        <v>1</v>
      </c>
      <c r="AV21" s="386" t="str">
        <f>IF(AT21=0,"",IF(AND(AT21=3,M21="F",SUMIF(C2:C201,C21,AS2:AS201)&lt;=1),SUMIF(C2:C201,C21,AS2:AS201),IF(AND(AT21=3,M21="F",SUMIF(C2:C201,C21,AS2:AS201)&gt;1),1,"")))</f>
        <v/>
      </c>
      <c r="AW21" s="386">
        <f>SUMIF(C2:C201,C21,O2:O201)</f>
        <v>1</v>
      </c>
      <c r="AX21" s="386">
        <f>IF(AND(M21="F",AS21&lt;&gt;0),SUMIF(C2:C201,C21,W2:W201),0)</f>
        <v>62400</v>
      </c>
      <c r="AY21" s="386">
        <f t="shared" si="29"/>
        <v>62400</v>
      </c>
      <c r="AZ21" s="386" t="str">
        <f t="shared" si="30"/>
        <v/>
      </c>
      <c r="BA21" s="386">
        <f t="shared" si="31"/>
        <v>0</v>
      </c>
      <c r="BB21" s="386">
        <f t="shared" si="0"/>
        <v>12500</v>
      </c>
      <c r="BC21" s="386">
        <f t="shared" si="1"/>
        <v>0</v>
      </c>
      <c r="BD21" s="386">
        <f t="shared" si="2"/>
        <v>3868.8</v>
      </c>
      <c r="BE21" s="386">
        <f t="shared" si="3"/>
        <v>904.80000000000007</v>
      </c>
      <c r="BF21" s="386">
        <f t="shared" si="4"/>
        <v>7450.56</v>
      </c>
      <c r="BG21" s="386">
        <f t="shared" si="5"/>
        <v>449.904</v>
      </c>
      <c r="BH21" s="386">
        <f t="shared" si="6"/>
        <v>0</v>
      </c>
      <c r="BI21" s="386">
        <f t="shared" si="7"/>
        <v>0</v>
      </c>
      <c r="BJ21" s="386">
        <f t="shared" si="8"/>
        <v>112.32</v>
      </c>
      <c r="BK21" s="386">
        <f t="shared" si="9"/>
        <v>0</v>
      </c>
      <c r="BL21" s="386">
        <f t="shared" si="32"/>
        <v>12786.384</v>
      </c>
      <c r="BM21" s="386">
        <f t="shared" si="33"/>
        <v>0</v>
      </c>
      <c r="BN21" s="386">
        <f t="shared" si="10"/>
        <v>13750</v>
      </c>
      <c r="BO21" s="386">
        <f t="shared" si="11"/>
        <v>0</v>
      </c>
      <c r="BP21" s="386">
        <f t="shared" si="12"/>
        <v>3868.8</v>
      </c>
      <c r="BQ21" s="386">
        <f t="shared" si="13"/>
        <v>904.80000000000007</v>
      </c>
      <c r="BR21" s="386">
        <f t="shared" si="14"/>
        <v>6976.32</v>
      </c>
      <c r="BS21" s="386">
        <f t="shared" si="15"/>
        <v>449.904</v>
      </c>
      <c r="BT21" s="386">
        <f t="shared" si="16"/>
        <v>0</v>
      </c>
      <c r="BU21" s="386">
        <f t="shared" si="17"/>
        <v>0</v>
      </c>
      <c r="BV21" s="386">
        <f t="shared" si="18"/>
        <v>118.56</v>
      </c>
      <c r="BW21" s="386">
        <f t="shared" si="19"/>
        <v>0</v>
      </c>
      <c r="BX21" s="386">
        <f t="shared" si="34"/>
        <v>12318.384</v>
      </c>
      <c r="BY21" s="386">
        <f t="shared" si="35"/>
        <v>0</v>
      </c>
      <c r="BZ21" s="386">
        <f t="shared" si="36"/>
        <v>1250</v>
      </c>
      <c r="CA21" s="386">
        <f t="shared" si="37"/>
        <v>0</v>
      </c>
      <c r="CB21" s="386">
        <f t="shared" si="38"/>
        <v>0</v>
      </c>
      <c r="CC21" s="386">
        <f t="shared" si="20"/>
        <v>0</v>
      </c>
      <c r="CD21" s="386">
        <f t="shared" si="21"/>
        <v>-474.24000000000058</v>
      </c>
      <c r="CE21" s="386">
        <f t="shared" si="22"/>
        <v>0</v>
      </c>
      <c r="CF21" s="386">
        <f t="shared" si="23"/>
        <v>0</v>
      </c>
      <c r="CG21" s="386">
        <f t="shared" si="24"/>
        <v>0</v>
      </c>
      <c r="CH21" s="386">
        <f t="shared" si="25"/>
        <v>6.2400000000000029</v>
      </c>
      <c r="CI21" s="386">
        <f t="shared" si="26"/>
        <v>0</v>
      </c>
      <c r="CJ21" s="386">
        <f t="shared" si="39"/>
        <v>-468.00000000000057</v>
      </c>
      <c r="CK21" s="386" t="str">
        <f t="shared" si="40"/>
        <v/>
      </c>
      <c r="CL21" s="386" t="str">
        <f t="shared" si="41"/>
        <v/>
      </c>
      <c r="CM21" s="386" t="str">
        <f t="shared" si="42"/>
        <v/>
      </c>
      <c r="CN21" s="386" t="str">
        <f t="shared" si="43"/>
        <v>0001-00</v>
      </c>
    </row>
    <row r="22" spans="1:92" ht="15.75" thickBot="1" x14ac:dyDescent="0.3">
      <c r="A22" s="376" t="s">
        <v>162</v>
      </c>
      <c r="B22" s="376" t="s">
        <v>163</v>
      </c>
      <c r="C22" s="376" t="s">
        <v>297</v>
      </c>
      <c r="D22" s="376" t="s">
        <v>165</v>
      </c>
      <c r="E22" s="376" t="s">
        <v>166</v>
      </c>
      <c r="F22" s="377" t="s">
        <v>167</v>
      </c>
      <c r="G22" s="376" t="s">
        <v>168</v>
      </c>
      <c r="H22" s="378"/>
      <c r="I22" s="378"/>
      <c r="J22" s="376" t="s">
        <v>169</v>
      </c>
      <c r="K22" s="376" t="s">
        <v>193</v>
      </c>
      <c r="L22" s="376" t="s">
        <v>194</v>
      </c>
      <c r="M22" s="376" t="s">
        <v>172</v>
      </c>
      <c r="N22" s="376" t="s">
        <v>173</v>
      </c>
      <c r="O22" s="379">
        <v>1</v>
      </c>
      <c r="P22" s="384">
        <v>0</v>
      </c>
      <c r="Q22" s="384">
        <v>0</v>
      </c>
      <c r="R22" s="380">
        <v>80</v>
      </c>
      <c r="S22" s="384">
        <v>0</v>
      </c>
      <c r="T22" s="380">
        <v>7000</v>
      </c>
      <c r="U22" s="380">
        <v>0</v>
      </c>
      <c r="V22" s="380">
        <v>1798.53</v>
      </c>
      <c r="W22" s="380">
        <v>0</v>
      </c>
      <c r="X22" s="380">
        <v>0</v>
      </c>
      <c r="Y22" s="380">
        <v>0</v>
      </c>
      <c r="Z22" s="380">
        <v>0</v>
      </c>
      <c r="AA22" s="376" t="s">
        <v>298</v>
      </c>
      <c r="AB22" s="376" t="s">
        <v>299</v>
      </c>
      <c r="AC22" s="376" t="s">
        <v>300</v>
      </c>
      <c r="AD22" s="376" t="s">
        <v>198</v>
      </c>
      <c r="AE22" s="376" t="s">
        <v>193</v>
      </c>
      <c r="AF22" s="376" t="s">
        <v>178</v>
      </c>
      <c r="AG22" s="376" t="s">
        <v>179</v>
      </c>
      <c r="AH22" s="381">
        <v>27.25</v>
      </c>
      <c r="AI22" s="381">
        <v>25841.3</v>
      </c>
      <c r="AJ22" s="376" t="s">
        <v>180</v>
      </c>
      <c r="AK22" s="376" t="s">
        <v>181</v>
      </c>
      <c r="AL22" s="376" t="s">
        <v>182</v>
      </c>
      <c r="AM22" s="376" t="s">
        <v>183</v>
      </c>
      <c r="AN22" s="376" t="s">
        <v>66</v>
      </c>
      <c r="AO22" s="379">
        <v>80</v>
      </c>
      <c r="AP22" s="384">
        <v>1</v>
      </c>
      <c r="AQ22" s="384">
        <v>0</v>
      </c>
      <c r="AR22" s="382" t="s">
        <v>184</v>
      </c>
      <c r="AS22" s="386">
        <f t="shared" si="27"/>
        <v>0</v>
      </c>
      <c r="AT22">
        <f t="shared" si="28"/>
        <v>0</v>
      </c>
      <c r="AU22" s="386" t="str">
        <f>IF(AT22=0,"",IF(AND(AT22=1,M22="F",SUMIF(C2:C201,C22,AS2:AS201)&lt;=1),SUMIF(C2:C201,C22,AS2:AS201),IF(AND(AT22=1,M22="F",SUMIF(C2:C201,C22,AS2:AS201)&gt;1),1,"")))</f>
        <v/>
      </c>
      <c r="AV22" s="386" t="str">
        <f>IF(AT22=0,"",IF(AND(AT22=3,M22="F",SUMIF(C2:C201,C22,AS2:AS201)&lt;=1),SUMIF(C2:C201,C22,AS2:AS201),IF(AND(AT22=3,M22="F",SUMIF(C2:C201,C22,AS2:AS201)&gt;1),1,"")))</f>
        <v/>
      </c>
      <c r="AW22" s="386">
        <f>SUMIF(C2:C201,C22,O2:O201)</f>
        <v>3</v>
      </c>
      <c r="AX22" s="386">
        <f>IF(AND(M22="F",AS22&lt;&gt;0),SUMIF(C2:C201,C22,W2:W201),0)</f>
        <v>0</v>
      </c>
      <c r="AY22" s="386" t="str">
        <f t="shared" si="29"/>
        <v/>
      </c>
      <c r="AZ22" s="386" t="str">
        <f t="shared" si="30"/>
        <v/>
      </c>
      <c r="BA22" s="386">
        <f t="shared" si="31"/>
        <v>0</v>
      </c>
      <c r="BB22" s="386">
        <f t="shared" si="0"/>
        <v>0</v>
      </c>
      <c r="BC22" s="386">
        <f t="shared" si="1"/>
        <v>0</v>
      </c>
      <c r="BD22" s="386">
        <f t="shared" si="2"/>
        <v>0</v>
      </c>
      <c r="BE22" s="386">
        <f t="shared" si="3"/>
        <v>0</v>
      </c>
      <c r="BF22" s="386">
        <f t="shared" si="4"/>
        <v>0</v>
      </c>
      <c r="BG22" s="386">
        <f t="shared" si="5"/>
        <v>0</v>
      </c>
      <c r="BH22" s="386">
        <f t="shared" si="6"/>
        <v>0</v>
      </c>
      <c r="BI22" s="386">
        <f t="shared" si="7"/>
        <v>0</v>
      </c>
      <c r="BJ22" s="386">
        <f t="shared" si="8"/>
        <v>0</v>
      </c>
      <c r="BK22" s="386">
        <f t="shared" si="9"/>
        <v>0</v>
      </c>
      <c r="BL22" s="386">
        <f t="shared" si="32"/>
        <v>0</v>
      </c>
      <c r="BM22" s="386">
        <f t="shared" si="33"/>
        <v>0</v>
      </c>
      <c r="BN22" s="386">
        <f t="shared" si="10"/>
        <v>0</v>
      </c>
      <c r="BO22" s="386">
        <f t="shared" si="11"/>
        <v>0</v>
      </c>
      <c r="BP22" s="386">
        <f t="shared" si="12"/>
        <v>0</v>
      </c>
      <c r="BQ22" s="386">
        <f t="shared" si="13"/>
        <v>0</v>
      </c>
      <c r="BR22" s="386">
        <f t="shared" si="14"/>
        <v>0</v>
      </c>
      <c r="BS22" s="386">
        <f t="shared" si="15"/>
        <v>0</v>
      </c>
      <c r="BT22" s="386">
        <f t="shared" si="16"/>
        <v>0</v>
      </c>
      <c r="BU22" s="386">
        <f t="shared" si="17"/>
        <v>0</v>
      </c>
      <c r="BV22" s="386">
        <f t="shared" si="18"/>
        <v>0</v>
      </c>
      <c r="BW22" s="386">
        <f t="shared" si="19"/>
        <v>0</v>
      </c>
      <c r="BX22" s="386">
        <f t="shared" si="34"/>
        <v>0</v>
      </c>
      <c r="BY22" s="386">
        <f t="shared" si="35"/>
        <v>0</v>
      </c>
      <c r="BZ22" s="386">
        <f t="shared" si="36"/>
        <v>0</v>
      </c>
      <c r="CA22" s="386">
        <f t="shared" si="37"/>
        <v>0</v>
      </c>
      <c r="CB22" s="386">
        <f t="shared" si="38"/>
        <v>0</v>
      </c>
      <c r="CC22" s="386">
        <f t="shared" si="20"/>
        <v>0</v>
      </c>
      <c r="CD22" s="386">
        <f t="shared" si="21"/>
        <v>0</v>
      </c>
      <c r="CE22" s="386">
        <f t="shared" si="22"/>
        <v>0</v>
      </c>
      <c r="CF22" s="386">
        <f t="shared" si="23"/>
        <v>0</v>
      </c>
      <c r="CG22" s="386">
        <f t="shared" si="24"/>
        <v>0</v>
      </c>
      <c r="CH22" s="386">
        <f t="shared" si="25"/>
        <v>0</v>
      </c>
      <c r="CI22" s="386">
        <f t="shared" si="26"/>
        <v>0</v>
      </c>
      <c r="CJ22" s="386">
        <f t="shared" si="39"/>
        <v>0</v>
      </c>
      <c r="CK22" s="386" t="str">
        <f t="shared" si="40"/>
        <v/>
      </c>
      <c r="CL22" s="386" t="str">
        <f t="shared" si="41"/>
        <v/>
      </c>
      <c r="CM22" s="386" t="str">
        <f t="shared" si="42"/>
        <v/>
      </c>
      <c r="CN22" s="386" t="str">
        <f t="shared" si="43"/>
        <v>0001-00</v>
      </c>
    </row>
    <row r="23" spans="1:92" ht="15.75" thickBot="1" x14ac:dyDescent="0.3">
      <c r="A23" s="376" t="s">
        <v>162</v>
      </c>
      <c r="B23" s="376" t="s">
        <v>163</v>
      </c>
      <c r="C23" s="376" t="s">
        <v>301</v>
      </c>
      <c r="D23" s="376" t="s">
        <v>258</v>
      </c>
      <c r="E23" s="376" t="s">
        <v>166</v>
      </c>
      <c r="F23" s="377" t="s">
        <v>167</v>
      </c>
      <c r="G23" s="376" t="s">
        <v>168</v>
      </c>
      <c r="H23" s="378"/>
      <c r="I23" s="378"/>
      <c r="J23" s="376" t="s">
        <v>169</v>
      </c>
      <c r="K23" s="376" t="s">
        <v>259</v>
      </c>
      <c r="L23" s="376" t="s">
        <v>167</v>
      </c>
      <c r="M23" s="376" t="s">
        <v>172</v>
      </c>
      <c r="N23" s="376" t="s">
        <v>173</v>
      </c>
      <c r="O23" s="379">
        <v>1</v>
      </c>
      <c r="P23" s="384">
        <v>0</v>
      </c>
      <c r="Q23" s="384">
        <v>0</v>
      </c>
      <c r="R23" s="380">
        <v>80</v>
      </c>
      <c r="S23" s="384">
        <v>0</v>
      </c>
      <c r="T23" s="380">
        <v>7000</v>
      </c>
      <c r="U23" s="380">
        <v>0</v>
      </c>
      <c r="V23" s="380">
        <v>1724.82</v>
      </c>
      <c r="W23" s="380">
        <v>0</v>
      </c>
      <c r="X23" s="380">
        <v>0</v>
      </c>
      <c r="Y23" s="380">
        <v>0</v>
      </c>
      <c r="Z23" s="380">
        <v>0</v>
      </c>
      <c r="AA23" s="376" t="s">
        <v>302</v>
      </c>
      <c r="AB23" s="376" t="s">
        <v>303</v>
      </c>
      <c r="AC23" s="376" t="s">
        <v>304</v>
      </c>
      <c r="AD23" s="376" t="s">
        <v>181</v>
      </c>
      <c r="AE23" s="376" t="s">
        <v>259</v>
      </c>
      <c r="AF23" s="376" t="s">
        <v>178</v>
      </c>
      <c r="AG23" s="376" t="s">
        <v>179</v>
      </c>
      <c r="AH23" s="381">
        <v>62.16</v>
      </c>
      <c r="AI23" s="379">
        <v>46278</v>
      </c>
      <c r="AJ23" s="376" t="s">
        <v>180</v>
      </c>
      <c r="AK23" s="376" t="s">
        <v>181</v>
      </c>
      <c r="AL23" s="376" t="s">
        <v>182</v>
      </c>
      <c r="AM23" s="376" t="s">
        <v>183</v>
      </c>
      <c r="AN23" s="376" t="s">
        <v>66</v>
      </c>
      <c r="AO23" s="379">
        <v>80</v>
      </c>
      <c r="AP23" s="384">
        <v>1</v>
      </c>
      <c r="AQ23" s="384">
        <v>0</v>
      </c>
      <c r="AR23" s="382" t="s">
        <v>184</v>
      </c>
      <c r="AS23" s="386">
        <f t="shared" si="27"/>
        <v>0</v>
      </c>
      <c r="AT23">
        <f t="shared" si="28"/>
        <v>0</v>
      </c>
      <c r="AU23" s="386" t="str">
        <f>IF(AT23=0,"",IF(AND(AT23=1,M23="F",SUMIF(C2:C201,C23,AS2:AS201)&lt;=1),SUMIF(C2:C201,C23,AS2:AS201),IF(AND(AT23=1,M23="F",SUMIF(C2:C201,C23,AS2:AS201)&gt;1),1,"")))</f>
        <v/>
      </c>
      <c r="AV23" s="386" t="str">
        <f>IF(AT23=0,"",IF(AND(AT23=3,M23="F",SUMIF(C2:C201,C23,AS2:AS201)&lt;=1),SUMIF(C2:C201,C23,AS2:AS201),IF(AND(AT23=3,M23="F",SUMIF(C2:C201,C23,AS2:AS201)&gt;1),1,"")))</f>
        <v/>
      </c>
      <c r="AW23" s="386">
        <f>SUMIF(C2:C201,C23,O2:O201)</f>
        <v>2</v>
      </c>
      <c r="AX23" s="386">
        <f>IF(AND(M23="F",AS23&lt;&gt;0),SUMIF(C2:C201,C23,W2:W201),0)</f>
        <v>0</v>
      </c>
      <c r="AY23" s="386" t="str">
        <f t="shared" si="29"/>
        <v/>
      </c>
      <c r="AZ23" s="386" t="str">
        <f t="shared" si="30"/>
        <v/>
      </c>
      <c r="BA23" s="386">
        <f t="shared" si="31"/>
        <v>0</v>
      </c>
      <c r="BB23" s="386">
        <f t="shared" si="0"/>
        <v>0</v>
      </c>
      <c r="BC23" s="386">
        <f t="shared" si="1"/>
        <v>0</v>
      </c>
      <c r="BD23" s="386">
        <f t="shared" si="2"/>
        <v>0</v>
      </c>
      <c r="BE23" s="386">
        <f t="shared" si="3"/>
        <v>0</v>
      </c>
      <c r="BF23" s="386">
        <f t="shared" si="4"/>
        <v>0</v>
      </c>
      <c r="BG23" s="386">
        <f t="shared" si="5"/>
        <v>0</v>
      </c>
      <c r="BH23" s="386">
        <f t="shared" si="6"/>
        <v>0</v>
      </c>
      <c r="BI23" s="386">
        <f t="shared" si="7"/>
        <v>0</v>
      </c>
      <c r="BJ23" s="386">
        <f t="shared" si="8"/>
        <v>0</v>
      </c>
      <c r="BK23" s="386">
        <f t="shared" si="9"/>
        <v>0</v>
      </c>
      <c r="BL23" s="386">
        <f t="shared" si="32"/>
        <v>0</v>
      </c>
      <c r="BM23" s="386">
        <f t="shared" si="33"/>
        <v>0</v>
      </c>
      <c r="BN23" s="386">
        <f t="shared" si="10"/>
        <v>0</v>
      </c>
      <c r="BO23" s="386">
        <f t="shared" si="11"/>
        <v>0</v>
      </c>
      <c r="BP23" s="386">
        <f t="shared" si="12"/>
        <v>0</v>
      </c>
      <c r="BQ23" s="386">
        <f t="shared" si="13"/>
        <v>0</v>
      </c>
      <c r="BR23" s="386">
        <f t="shared" si="14"/>
        <v>0</v>
      </c>
      <c r="BS23" s="386">
        <f t="shared" si="15"/>
        <v>0</v>
      </c>
      <c r="BT23" s="386">
        <f t="shared" si="16"/>
        <v>0</v>
      </c>
      <c r="BU23" s="386">
        <f t="shared" si="17"/>
        <v>0</v>
      </c>
      <c r="BV23" s="386">
        <f t="shared" si="18"/>
        <v>0</v>
      </c>
      <c r="BW23" s="386">
        <f t="shared" si="19"/>
        <v>0</v>
      </c>
      <c r="BX23" s="386">
        <f t="shared" si="34"/>
        <v>0</v>
      </c>
      <c r="BY23" s="386">
        <f t="shared" si="35"/>
        <v>0</v>
      </c>
      <c r="BZ23" s="386">
        <f t="shared" si="36"/>
        <v>0</v>
      </c>
      <c r="CA23" s="386">
        <f t="shared" si="37"/>
        <v>0</v>
      </c>
      <c r="CB23" s="386">
        <f t="shared" si="38"/>
        <v>0</v>
      </c>
      <c r="CC23" s="386">
        <f t="shared" si="20"/>
        <v>0</v>
      </c>
      <c r="CD23" s="386">
        <f t="shared" si="21"/>
        <v>0</v>
      </c>
      <c r="CE23" s="386">
        <f t="shared" si="22"/>
        <v>0</v>
      </c>
      <c r="CF23" s="386">
        <f t="shared" si="23"/>
        <v>0</v>
      </c>
      <c r="CG23" s="386">
        <f t="shared" si="24"/>
        <v>0</v>
      </c>
      <c r="CH23" s="386">
        <f t="shared" si="25"/>
        <v>0</v>
      </c>
      <c r="CI23" s="386">
        <f t="shared" si="26"/>
        <v>0</v>
      </c>
      <c r="CJ23" s="386">
        <f t="shared" si="39"/>
        <v>0</v>
      </c>
      <c r="CK23" s="386" t="str">
        <f t="shared" si="40"/>
        <v/>
      </c>
      <c r="CL23" s="386" t="str">
        <f t="shared" si="41"/>
        <v/>
      </c>
      <c r="CM23" s="386" t="str">
        <f t="shared" si="42"/>
        <v/>
      </c>
      <c r="CN23" s="386" t="str">
        <f t="shared" si="43"/>
        <v>0001-00</v>
      </c>
    </row>
    <row r="24" spans="1:92" ht="15.75" thickBot="1" x14ac:dyDescent="0.3">
      <c r="A24" s="376" t="s">
        <v>162</v>
      </c>
      <c r="B24" s="376" t="s">
        <v>163</v>
      </c>
      <c r="C24" s="376" t="s">
        <v>305</v>
      </c>
      <c r="D24" s="376" t="s">
        <v>306</v>
      </c>
      <c r="E24" s="376" t="s">
        <v>166</v>
      </c>
      <c r="F24" s="377" t="s">
        <v>167</v>
      </c>
      <c r="G24" s="376" t="s">
        <v>168</v>
      </c>
      <c r="H24" s="378"/>
      <c r="I24" s="378"/>
      <c r="J24" s="376" t="s">
        <v>264</v>
      </c>
      <c r="K24" s="376" t="s">
        <v>307</v>
      </c>
      <c r="L24" s="376" t="s">
        <v>167</v>
      </c>
      <c r="M24" s="376" t="s">
        <v>172</v>
      </c>
      <c r="N24" s="376" t="s">
        <v>173</v>
      </c>
      <c r="O24" s="379">
        <v>1</v>
      </c>
      <c r="P24" s="384">
        <v>0.26</v>
      </c>
      <c r="Q24" s="384">
        <v>0.26</v>
      </c>
      <c r="R24" s="380">
        <v>80</v>
      </c>
      <c r="S24" s="384">
        <v>0.26</v>
      </c>
      <c r="T24" s="380">
        <v>20921.509999999998</v>
      </c>
      <c r="U24" s="380">
        <v>0</v>
      </c>
      <c r="V24" s="380">
        <v>7621.32</v>
      </c>
      <c r="W24" s="380">
        <v>17029.79</v>
      </c>
      <c r="X24" s="380">
        <v>6739.56</v>
      </c>
      <c r="Y24" s="380">
        <v>17029.79</v>
      </c>
      <c r="Z24" s="380">
        <v>6936.84</v>
      </c>
      <c r="AA24" s="376" t="s">
        <v>308</v>
      </c>
      <c r="AB24" s="376" t="s">
        <v>309</v>
      </c>
      <c r="AC24" s="376" t="s">
        <v>310</v>
      </c>
      <c r="AD24" s="376" t="s">
        <v>311</v>
      </c>
      <c r="AE24" s="376" t="s">
        <v>307</v>
      </c>
      <c r="AF24" s="376" t="s">
        <v>178</v>
      </c>
      <c r="AG24" s="376" t="s">
        <v>179</v>
      </c>
      <c r="AH24" s="381">
        <v>31.49</v>
      </c>
      <c r="AI24" s="379">
        <v>6145</v>
      </c>
      <c r="AJ24" s="376" t="s">
        <v>180</v>
      </c>
      <c r="AK24" s="376" t="s">
        <v>181</v>
      </c>
      <c r="AL24" s="376" t="s">
        <v>182</v>
      </c>
      <c r="AM24" s="376" t="s">
        <v>183</v>
      </c>
      <c r="AN24" s="376" t="s">
        <v>66</v>
      </c>
      <c r="AO24" s="379">
        <v>80</v>
      </c>
      <c r="AP24" s="384">
        <v>1</v>
      </c>
      <c r="AQ24" s="384">
        <v>0.26</v>
      </c>
      <c r="AR24" s="382" t="s">
        <v>184</v>
      </c>
      <c r="AS24" s="386">
        <f t="shared" si="27"/>
        <v>0.26</v>
      </c>
      <c r="AT24">
        <f t="shared" si="28"/>
        <v>1</v>
      </c>
      <c r="AU24" s="386">
        <f>IF(AT24=0,"",IF(AND(AT24=1,M24="F",SUMIF(C2:C201,C24,AS2:AS201)&lt;=1),SUMIF(C2:C201,C24,AS2:AS201),IF(AND(AT24=1,M24="F",SUMIF(C2:C201,C24,AS2:AS201)&gt;1),1,"")))</f>
        <v>1</v>
      </c>
      <c r="AV24" s="386" t="str">
        <f>IF(AT24=0,"",IF(AND(AT24=3,M24="F",SUMIF(C2:C201,C24,AS2:AS201)&lt;=1),SUMIF(C2:C201,C24,AS2:AS201),IF(AND(AT24=3,M24="F",SUMIF(C2:C201,C24,AS2:AS201)&gt;1),1,"")))</f>
        <v/>
      </c>
      <c r="AW24" s="386">
        <f>SUMIF(C2:C201,C24,O2:O201)</f>
        <v>5</v>
      </c>
      <c r="AX24" s="386">
        <f>IF(AND(M24="F",AS24&lt;&gt;0),SUMIF(C2:C201,C24,W2:W201),0)</f>
        <v>65499.180000000008</v>
      </c>
      <c r="AY24" s="386">
        <f t="shared" si="29"/>
        <v>17029.79</v>
      </c>
      <c r="AZ24" s="386" t="str">
        <f t="shared" si="30"/>
        <v/>
      </c>
      <c r="BA24" s="386">
        <f t="shared" si="31"/>
        <v>0</v>
      </c>
      <c r="BB24" s="386">
        <f t="shared" si="0"/>
        <v>3250</v>
      </c>
      <c r="BC24" s="386">
        <f t="shared" si="1"/>
        <v>0</v>
      </c>
      <c r="BD24" s="386">
        <f t="shared" si="2"/>
        <v>1055.84698</v>
      </c>
      <c r="BE24" s="386">
        <f t="shared" si="3"/>
        <v>246.93195500000002</v>
      </c>
      <c r="BF24" s="386">
        <f t="shared" si="4"/>
        <v>2033.3569260000002</v>
      </c>
      <c r="BG24" s="386">
        <f t="shared" si="5"/>
        <v>122.78478590000002</v>
      </c>
      <c r="BH24" s="386">
        <f t="shared" si="6"/>
        <v>0</v>
      </c>
      <c r="BI24" s="386">
        <f t="shared" si="7"/>
        <v>0</v>
      </c>
      <c r="BJ24" s="386">
        <f t="shared" si="8"/>
        <v>30.653622000000002</v>
      </c>
      <c r="BK24" s="386">
        <f t="shared" si="9"/>
        <v>0</v>
      </c>
      <c r="BL24" s="386">
        <f t="shared" si="32"/>
        <v>3489.5742688999999</v>
      </c>
      <c r="BM24" s="386">
        <f t="shared" si="33"/>
        <v>0</v>
      </c>
      <c r="BN24" s="386">
        <f t="shared" si="10"/>
        <v>3575</v>
      </c>
      <c r="BO24" s="386">
        <f t="shared" si="11"/>
        <v>0</v>
      </c>
      <c r="BP24" s="386">
        <f t="shared" si="12"/>
        <v>1055.84698</v>
      </c>
      <c r="BQ24" s="386">
        <f t="shared" si="13"/>
        <v>246.93195500000002</v>
      </c>
      <c r="BR24" s="386">
        <f t="shared" si="14"/>
        <v>1903.9305220000001</v>
      </c>
      <c r="BS24" s="386">
        <f t="shared" si="15"/>
        <v>122.78478590000002</v>
      </c>
      <c r="BT24" s="386">
        <f t="shared" si="16"/>
        <v>0</v>
      </c>
      <c r="BU24" s="386">
        <f t="shared" si="17"/>
        <v>0</v>
      </c>
      <c r="BV24" s="386">
        <f t="shared" si="18"/>
        <v>32.356601000000005</v>
      </c>
      <c r="BW24" s="386">
        <f t="shared" si="19"/>
        <v>0</v>
      </c>
      <c r="BX24" s="386">
        <f t="shared" si="34"/>
        <v>3361.8508438999997</v>
      </c>
      <c r="BY24" s="386">
        <f t="shared" si="35"/>
        <v>0</v>
      </c>
      <c r="BZ24" s="386">
        <f t="shared" si="36"/>
        <v>325</v>
      </c>
      <c r="CA24" s="386">
        <f t="shared" si="37"/>
        <v>0</v>
      </c>
      <c r="CB24" s="386">
        <f t="shared" si="38"/>
        <v>0</v>
      </c>
      <c r="CC24" s="386">
        <f t="shared" si="20"/>
        <v>0</v>
      </c>
      <c r="CD24" s="386">
        <f t="shared" si="21"/>
        <v>-129.42640400000016</v>
      </c>
      <c r="CE24" s="386">
        <f t="shared" si="22"/>
        <v>0</v>
      </c>
      <c r="CF24" s="386">
        <f t="shared" si="23"/>
        <v>0</v>
      </c>
      <c r="CG24" s="386">
        <f t="shared" si="24"/>
        <v>0</v>
      </c>
      <c r="CH24" s="386">
        <f t="shared" si="25"/>
        <v>1.7029790000000009</v>
      </c>
      <c r="CI24" s="386">
        <f t="shared" si="26"/>
        <v>0</v>
      </c>
      <c r="CJ24" s="386">
        <f t="shared" si="39"/>
        <v>-127.72342500000016</v>
      </c>
      <c r="CK24" s="386" t="str">
        <f t="shared" si="40"/>
        <v/>
      </c>
      <c r="CL24" s="386" t="str">
        <f t="shared" si="41"/>
        <v/>
      </c>
      <c r="CM24" s="386" t="str">
        <f t="shared" si="42"/>
        <v/>
      </c>
      <c r="CN24" s="386" t="str">
        <f t="shared" si="43"/>
        <v>0001-00</v>
      </c>
    </row>
    <row r="25" spans="1:92" ht="15.75" thickBot="1" x14ac:dyDescent="0.3">
      <c r="A25" s="376" t="s">
        <v>162</v>
      </c>
      <c r="B25" s="376" t="s">
        <v>163</v>
      </c>
      <c r="C25" s="376" t="s">
        <v>312</v>
      </c>
      <c r="D25" s="376" t="s">
        <v>313</v>
      </c>
      <c r="E25" s="376" t="s">
        <v>166</v>
      </c>
      <c r="F25" s="377" t="s">
        <v>167</v>
      </c>
      <c r="G25" s="376" t="s">
        <v>168</v>
      </c>
      <c r="H25" s="378"/>
      <c r="I25" s="378"/>
      <c r="J25" s="376" t="s">
        <v>169</v>
      </c>
      <c r="K25" s="376" t="s">
        <v>314</v>
      </c>
      <c r="L25" s="376" t="s">
        <v>167</v>
      </c>
      <c r="M25" s="376" t="s">
        <v>172</v>
      </c>
      <c r="N25" s="376" t="s">
        <v>315</v>
      </c>
      <c r="O25" s="379">
        <v>0</v>
      </c>
      <c r="P25" s="384">
        <v>1</v>
      </c>
      <c r="Q25" s="384">
        <v>0</v>
      </c>
      <c r="R25" s="380">
        <v>0</v>
      </c>
      <c r="S25" s="384">
        <v>0</v>
      </c>
      <c r="T25" s="380">
        <v>0</v>
      </c>
      <c r="U25" s="380">
        <v>0</v>
      </c>
      <c r="V25" s="380">
        <v>0</v>
      </c>
      <c r="W25" s="380">
        <v>545299.17000000004</v>
      </c>
      <c r="X25" s="380">
        <v>220585.64</v>
      </c>
      <c r="Y25" s="380">
        <v>545299.17000000004</v>
      </c>
      <c r="Z25" s="380">
        <v>220585.64</v>
      </c>
      <c r="AA25" s="378"/>
      <c r="AB25" s="376" t="s">
        <v>45</v>
      </c>
      <c r="AC25" s="376" t="s">
        <v>45</v>
      </c>
      <c r="AD25" s="378"/>
      <c r="AE25" s="378"/>
      <c r="AF25" s="378"/>
      <c r="AG25" s="378"/>
      <c r="AH25" s="379">
        <v>0</v>
      </c>
      <c r="AI25" s="379">
        <v>0</v>
      </c>
      <c r="AJ25" s="378"/>
      <c r="AK25" s="378"/>
      <c r="AL25" s="376" t="s">
        <v>182</v>
      </c>
      <c r="AM25" s="378"/>
      <c r="AN25" s="378"/>
      <c r="AO25" s="379">
        <v>0</v>
      </c>
      <c r="AP25" s="384">
        <v>0</v>
      </c>
      <c r="AQ25" s="384">
        <v>0</v>
      </c>
      <c r="AR25" s="383"/>
      <c r="AS25" s="386">
        <f t="shared" si="27"/>
        <v>0</v>
      </c>
      <c r="AT25">
        <f t="shared" si="28"/>
        <v>0</v>
      </c>
      <c r="AU25" s="386" t="str">
        <f>IF(AT25=0,"",IF(AND(AT25=1,M25="F",SUMIF(C2:C201,C25,AS2:AS201)&lt;=1),SUMIF(C2:C201,C25,AS2:AS201),IF(AND(AT25=1,M25="F",SUMIF(C2:C201,C25,AS2:AS201)&gt;1),1,"")))</f>
        <v/>
      </c>
      <c r="AV25" s="386" t="str">
        <f>IF(AT25=0,"",IF(AND(AT25=3,M25="F",SUMIF(C2:C201,C25,AS2:AS201)&lt;=1),SUMIF(C2:C201,C25,AS2:AS201),IF(AND(AT25=3,M25="F",SUMIF(C2:C201,C25,AS2:AS201)&gt;1),1,"")))</f>
        <v/>
      </c>
      <c r="AW25" s="386">
        <f>SUMIF(C2:C201,C25,O2:O201)</f>
        <v>0</v>
      </c>
      <c r="AX25" s="386">
        <f>IF(AND(M25="F",AS25&lt;&gt;0),SUMIF(C2:C201,C25,W2:W201),0)</f>
        <v>0</v>
      </c>
      <c r="AY25" s="386" t="str">
        <f t="shared" si="29"/>
        <v/>
      </c>
      <c r="AZ25" s="386" t="str">
        <f t="shared" si="30"/>
        <v/>
      </c>
      <c r="BA25" s="386">
        <f t="shared" si="31"/>
        <v>0</v>
      </c>
      <c r="BB25" s="386">
        <f t="shared" si="0"/>
        <v>0</v>
      </c>
      <c r="BC25" s="386">
        <f t="shared" si="1"/>
        <v>0</v>
      </c>
      <c r="BD25" s="386">
        <f t="shared" si="2"/>
        <v>0</v>
      </c>
      <c r="BE25" s="386">
        <f t="shared" si="3"/>
        <v>0</v>
      </c>
      <c r="BF25" s="386">
        <f t="shared" si="4"/>
        <v>0</v>
      </c>
      <c r="BG25" s="386">
        <f t="shared" si="5"/>
        <v>0</v>
      </c>
      <c r="BH25" s="386">
        <f t="shared" si="6"/>
        <v>0</v>
      </c>
      <c r="BI25" s="386">
        <f t="shared" si="7"/>
        <v>0</v>
      </c>
      <c r="BJ25" s="386">
        <f t="shared" si="8"/>
        <v>0</v>
      </c>
      <c r="BK25" s="386">
        <f t="shared" si="9"/>
        <v>0</v>
      </c>
      <c r="BL25" s="386">
        <f t="shared" si="32"/>
        <v>0</v>
      </c>
      <c r="BM25" s="386">
        <f t="shared" si="33"/>
        <v>0</v>
      </c>
      <c r="BN25" s="386">
        <f t="shared" si="10"/>
        <v>0</v>
      </c>
      <c r="BO25" s="386">
        <f t="shared" si="11"/>
        <v>0</v>
      </c>
      <c r="BP25" s="386">
        <f t="shared" si="12"/>
        <v>0</v>
      </c>
      <c r="BQ25" s="386">
        <f t="shared" si="13"/>
        <v>0</v>
      </c>
      <c r="BR25" s="386">
        <f t="shared" si="14"/>
        <v>0</v>
      </c>
      <c r="BS25" s="386">
        <f t="shared" si="15"/>
        <v>0</v>
      </c>
      <c r="BT25" s="386">
        <f t="shared" si="16"/>
        <v>0</v>
      </c>
      <c r="BU25" s="386">
        <f t="shared" si="17"/>
        <v>0</v>
      </c>
      <c r="BV25" s="386">
        <f t="shared" si="18"/>
        <v>0</v>
      </c>
      <c r="BW25" s="386">
        <f t="shared" si="19"/>
        <v>0</v>
      </c>
      <c r="BX25" s="386">
        <f t="shared" si="34"/>
        <v>0</v>
      </c>
      <c r="BY25" s="386">
        <f t="shared" si="35"/>
        <v>0</v>
      </c>
      <c r="BZ25" s="386">
        <f t="shared" si="36"/>
        <v>0</v>
      </c>
      <c r="CA25" s="386">
        <f t="shared" si="37"/>
        <v>0</v>
      </c>
      <c r="CB25" s="386">
        <f t="shared" si="38"/>
        <v>0</v>
      </c>
      <c r="CC25" s="386">
        <f t="shared" si="20"/>
        <v>0</v>
      </c>
      <c r="CD25" s="386">
        <f t="shared" si="21"/>
        <v>0</v>
      </c>
      <c r="CE25" s="386">
        <f t="shared" si="22"/>
        <v>0</v>
      </c>
      <c r="CF25" s="386">
        <f t="shared" si="23"/>
        <v>0</v>
      </c>
      <c r="CG25" s="386">
        <f t="shared" si="24"/>
        <v>0</v>
      </c>
      <c r="CH25" s="386">
        <f t="shared" si="25"/>
        <v>0</v>
      </c>
      <c r="CI25" s="386">
        <f t="shared" si="26"/>
        <v>0</v>
      </c>
      <c r="CJ25" s="386">
        <f t="shared" si="39"/>
        <v>0</v>
      </c>
      <c r="CK25" s="386" t="str">
        <f t="shared" si="40"/>
        <v/>
      </c>
      <c r="CL25" s="386">
        <f t="shared" si="41"/>
        <v>0</v>
      </c>
      <c r="CM25" s="386">
        <f t="shared" si="42"/>
        <v>0</v>
      </c>
      <c r="CN25" s="386" t="str">
        <f t="shared" si="43"/>
        <v>0001-00</v>
      </c>
    </row>
    <row r="26" spans="1:92" ht="15.75" thickBot="1" x14ac:dyDescent="0.3">
      <c r="A26" s="376" t="s">
        <v>162</v>
      </c>
      <c r="B26" s="376" t="s">
        <v>163</v>
      </c>
      <c r="C26" s="376" t="s">
        <v>316</v>
      </c>
      <c r="D26" s="376" t="s">
        <v>317</v>
      </c>
      <c r="E26" s="376" t="s">
        <v>166</v>
      </c>
      <c r="F26" s="377" t="s">
        <v>167</v>
      </c>
      <c r="G26" s="376" t="s">
        <v>168</v>
      </c>
      <c r="H26" s="378"/>
      <c r="I26" s="378"/>
      <c r="J26" s="376" t="s">
        <v>169</v>
      </c>
      <c r="K26" s="376" t="s">
        <v>318</v>
      </c>
      <c r="L26" s="376" t="s">
        <v>167</v>
      </c>
      <c r="M26" s="376" t="s">
        <v>172</v>
      </c>
      <c r="N26" s="376" t="s">
        <v>173</v>
      </c>
      <c r="O26" s="379">
        <v>1</v>
      </c>
      <c r="P26" s="384">
        <v>1</v>
      </c>
      <c r="Q26" s="384">
        <v>1</v>
      </c>
      <c r="R26" s="380">
        <v>80</v>
      </c>
      <c r="S26" s="384">
        <v>1</v>
      </c>
      <c r="T26" s="380">
        <v>49410.28</v>
      </c>
      <c r="U26" s="380">
        <v>0</v>
      </c>
      <c r="V26" s="380">
        <v>19506.830000000002</v>
      </c>
      <c r="W26" s="380">
        <v>46098</v>
      </c>
      <c r="X26" s="380">
        <v>21945.919999999998</v>
      </c>
      <c r="Y26" s="380">
        <v>46098</v>
      </c>
      <c r="Z26" s="380">
        <v>22850.18</v>
      </c>
      <c r="AA26" s="376" t="s">
        <v>319</v>
      </c>
      <c r="AB26" s="376" t="s">
        <v>320</v>
      </c>
      <c r="AC26" s="376" t="s">
        <v>321</v>
      </c>
      <c r="AD26" s="376" t="s">
        <v>322</v>
      </c>
      <c r="AE26" s="376" t="s">
        <v>318</v>
      </c>
      <c r="AF26" s="376" t="s">
        <v>178</v>
      </c>
      <c r="AG26" s="376" t="s">
        <v>179</v>
      </c>
      <c r="AH26" s="381">
        <v>35.46</v>
      </c>
      <c r="AI26" s="379">
        <v>15700</v>
      </c>
      <c r="AJ26" s="376" t="s">
        <v>256</v>
      </c>
      <c r="AK26" s="376" t="s">
        <v>181</v>
      </c>
      <c r="AL26" s="376" t="s">
        <v>182</v>
      </c>
      <c r="AM26" s="376" t="s">
        <v>183</v>
      </c>
      <c r="AN26" s="376" t="s">
        <v>66</v>
      </c>
      <c r="AO26" s="379">
        <v>50</v>
      </c>
      <c r="AP26" s="384">
        <v>1</v>
      </c>
      <c r="AQ26" s="384">
        <v>0.62</v>
      </c>
      <c r="AR26" s="382" t="s">
        <v>184</v>
      </c>
      <c r="AS26" s="386">
        <f t="shared" si="27"/>
        <v>0.625</v>
      </c>
      <c r="AT26">
        <f t="shared" si="28"/>
        <v>1</v>
      </c>
      <c r="AU26" s="386">
        <f>IF(AT26=0,"",IF(AND(AT26=1,M26="F",SUMIF(C2:C201,C26,AS2:AS201)&lt;=1),SUMIF(C2:C201,C26,AS2:AS201),IF(AND(AT26=1,M26="F",SUMIF(C2:C201,C26,AS2:AS201)&gt;1),1,"")))</f>
        <v>0.625</v>
      </c>
      <c r="AV26" s="386" t="str">
        <f>IF(AT26=0,"",IF(AND(AT26=3,M26="F",SUMIF(C2:C201,C26,AS2:AS201)&lt;=1),SUMIF(C2:C201,C26,AS2:AS201),IF(AND(AT26=3,M26="F",SUMIF(C2:C201,C26,AS2:AS201)&gt;1),1,"")))</f>
        <v/>
      </c>
      <c r="AW26" s="386">
        <f>SUMIF(C2:C201,C26,O2:O201)</f>
        <v>1</v>
      </c>
      <c r="AX26" s="386">
        <f>IF(AND(M26="F",AS26&lt;&gt;0),SUMIF(C2:C201,C26,W2:W201),0)</f>
        <v>46098</v>
      </c>
      <c r="AY26" s="386">
        <f t="shared" si="29"/>
        <v>46098</v>
      </c>
      <c r="AZ26" s="386" t="str">
        <f t="shared" si="30"/>
        <v/>
      </c>
      <c r="BA26" s="386">
        <f t="shared" si="31"/>
        <v>0</v>
      </c>
      <c r="BB26" s="386">
        <f t="shared" si="0"/>
        <v>10000</v>
      </c>
      <c r="BC26" s="386">
        <f t="shared" si="1"/>
        <v>0</v>
      </c>
      <c r="BD26" s="386">
        <f t="shared" si="2"/>
        <v>2858.076</v>
      </c>
      <c r="BE26" s="386">
        <f t="shared" si="3"/>
        <v>668.42100000000005</v>
      </c>
      <c r="BF26" s="386">
        <f t="shared" si="4"/>
        <v>5504.1012000000001</v>
      </c>
      <c r="BG26" s="386">
        <f t="shared" si="5"/>
        <v>332.36658</v>
      </c>
      <c r="BH26" s="386">
        <f t="shared" si="6"/>
        <v>0</v>
      </c>
      <c r="BI26" s="386">
        <f t="shared" si="7"/>
        <v>0</v>
      </c>
      <c r="BJ26" s="386">
        <f t="shared" si="8"/>
        <v>82.976399999999998</v>
      </c>
      <c r="BK26" s="386">
        <f t="shared" si="9"/>
        <v>0</v>
      </c>
      <c r="BL26" s="386">
        <f t="shared" si="32"/>
        <v>9445.9411799999998</v>
      </c>
      <c r="BM26" s="386">
        <f t="shared" si="33"/>
        <v>0</v>
      </c>
      <c r="BN26" s="386">
        <f t="shared" si="10"/>
        <v>11000</v>
      </c>
      <c r="BO26" s="386">
        <f t="shared" si="11"/>
        <v>0</v>
      </c>
      <c r="BP26" s="386">
        <f t="shared" si="12"/>
        <v>2858.076</v>
      </c>
      <c r="BQ26" s="386">
        <f t="shared" si="13"/>
        <v>668.42100000000005</v>
      </c>
      <c r="BR26" s="386">
        <f t="shared" si="14"/>
        <v>5153.7564000000002</v>
      </c>
      <c r="BS26" s="386">
        <f t="shared" si="15"/>
        <v>332.36658</v>
      </c>
      <c r="BT26" s="386">
        <f t="shared" si="16"/>
        <v>0</v>
      </c>
      <c r="BU26" s="386">
        <f t="shared" si="17"/>
        <v>0</v>
      </c>
      <c r="BV26" s="386">
        <f t="shared" si="18"/>
        <v>87.586200000000005</v>
      </c>
      <c r="BW26" s="386">
        <f t="shared" si="19"/>
        <v>0</v>
      </c>
      <c r="BX26" s="386">
        <f t="shared" si="34"/>
        <v>9100.206180000001</v>
      </c>
      <c r="BY26" s="386">
        <f t="shared" si="35"/>
        <v>0</v>
      </c>
      <c r="BZ26" s="386">
        <f t="shared" si="36"/>
        <v>1000</v>
      </c>
      <c r="CA26" s="386">
        <f t="shared" si="37"/>
        <v>0</v>
      </c>
      <c r="CB26" s="386">
        <f t="shared" si="38"/>
        <v>0</v>
      </c>
      <c r="CC26" s="386">
        <f t="shared" si="20"/>
        <v>0</v>
      </c>
      <c r="CD26" s="386">
        <f t="shared" si="21"/>
        <v>-350.34480000000042</v>
      </c>
      <c r="CE26" s="386">
        <f t="shared" si="22"/>
        <v>0</v>
      </c>
      <c r="CF26" s="386">
        <f t="shared" si="23"/>
        <v>0</v>
      </c>
      <c r="CG26" s="386">
        <f t="shared" si="24"/>
        <v>0</v>
      </c>
      <c r="CH26" s="386">
        <f t="shared" si="25"/>
        <v>4.6098000000000017</v>
      </c>
      <c r="CI26" s="386">
        <f t="shared" si="26"/>
        <v>0</v>
      </c>
      <c r="CJ26" s="386">
        <f t="shared" si="39"/>
        <v>-345.73500000000041</v>
      </c>
      <c r="CK26" s="386" t="str">
        <f t="shared" si="40"/>
        <v/>
      </c>
      <c r="CL26" s="386" t="str">
        <f t="shared" si="41"/>
        <v/>
      </c>
      <c r="CM26" s="386" t="str">
        <f t="shared" si="42"/>
        <v/>
      </c>
      <c r="CN26" s="386" t="str">
        <f t="shared" si="43"/>
        <v>0001-00</v>
      </c>
    </row>
    <row r="27" spans="1:92" ht="15.75" thickBot="1" x14ac:dyDescent="0.3">
      <c r="A27" s="376" t="s">
        <v>162</v>
      </c>
      <c r="B27" s="376" t="s">
        <v>163</v>
      </c>
      <c r="C27" s="376" t="s">
        <v>323</v>
      </c>
      <c r="D27" s="376" t="s">
        <v>324</v>
      </c>
      <c r="E27" s="376" t="s">
        <v>166</v>
      </c>
      <c r="F27" s="377" t="s">
        <v>167</v>
      </c>
      <c r="G27" s="376" t="s">
        <v>168</v>
      </c>
      <c r="H27" s="378"/>
      <c r="I27" s="378"/>
      <c r="J27" s="376" t="s">
        <v>169</v>
      </c>
      <c r="K27" s="376" t="s">
        <v>325</v>
      </c>
      <c r="L27" s="376" t="s">
        <v>167</v>
      </c>
      <c r="M27" s="376" t="s">
        <v>172</v>
      </c>
      <c r="N27" s="376" t="s">
        <v>173</v>
      </c>
      <c r="O27" s="379">
        <v>1</v>
      </c>
      <c r="P27" s="384">
        <v>0</v>
      </c>
      <c r="Q27" s="384">
        <v>0</v>
      </c>
      <c r="R27" s="380">
        <v>80</v>
      </c>
      <c r="S27" s="384">
        <v>0</v>
      </c>
      <c r="T27" s="380">
        <v>5000</v>
      </c>
      <c r="U27" s="380">
        <v>0</v>
      </c>
      <c r="V27" s="380">
        <v>1353.85</v>
      </c>
      <c r="W27" s="380">
        <v>0</v>
      </c>
      <c r="X27" s="380">
        <v>0</v>
      </c>
      <c r="Y27" s="380">
        <v>0</v>
      </c>
      <c r="Z27" s="380">
        <v>0</v>
      </c>
      <c r="AA27" s="376" t="s">
        <v>326</v>
      </c>
      <c r="AB27" s="376" t="s">
        <v>327</v>
      </c>
      <c r="AC27" s="376" t="s">
        <v>328</v>
      </c>
      <c r="AD27" s="376" t="s">
        <v>198</v>
      </c>
      <c r="AE27" s="376" t="s">
        <v>325</v>
      </c>
      <c r="AF27" s="376" t="s">
        <v>178</v>
      </c>
      <c r="AG27" s="376" t="s">
        <v>179</v>
      </c>
      <c r="AH27" s="381">
        <v>27.78</v>
      </c>
      <c r="AI27" s="381">
        <v>12821.7</v>
      </c>
      <c r="AJ27" s="376" t="s">
        <v>180</v>
      </c>
      <c r="AK27" s="376" t="s">
        <v>181</v>
      </c>
      <c r="AL27" s="376" t="s">
        <v>182</v>
      </c>
      <c r="AM27" s="376" t="s">
        <v>183</v>
      </c>
      <c r="AN27" s="376" t="s">
        <v>66</v>
      </c>
      <c r="AO27" s="379">
        <v>80</v>
      </c>
      <c r="AP27" s="384">
        <v>1</v>
      </c>
      <c r="AQ27" s="384">
        <v>0</v>
      </c>
      <c r="AR27" s="382" t="s">
        <v>184</v>
      </c>
      <c r="AS27" s="386">
        <f t="shared" si="27"/>
        <v>0</v>
      </c>
      <c r="AT27">
        <f t="shared" si="28"/>
        <v>0</v>
      </c>
      <c r="AU27" s="386" t="str">
        <f>IF(AT27=0,"",IF(AND(AT27=1,M27="F",SUMIF(C2:C201,C27,AS2:AS201)&lt;=1),SUMIF(C2:C201,C27,AS2:AS201),IF(AND(AT27=1,M27="F",SUMIF(C2:C201,C27,AS2:AS201)&gt;1),1,"")))</f>
        <v/>
      </c>
      <c r="AV27" s="386" t="str">
        <f>IF(AT27=0,"",IF(AND(AT27=3,M27="F",SUMIF(C2:C201,C27,AS2:AS201)&lt;=1),SUMIF(C2:C201,C27,AS2:AS201),IF(AND(AT27=3,M27="F",SUMIF(C2:C201,C27,AS2:AS201)&gt;1),1,"")))</f>
        <v/>
      </c>
      <c r="AW27" s="386">
        <f>SUMIF(C2:C201,C27,O2:O201)</f>
        <v>3</v>
      </c>
      <c r="AX27" s="386">
        <f>IF(AND(M27="F",AS27&lt;&gt;0),SUMIF(C2:C201,C27,W2:W201),0)</f>
        <v>0</v>
      </c>
      <c r="AY27" s="386" t="str">
        <f t="shared" si="29"/>
        <v/>
      </c>
      <c r="AZ27" s="386" t="str">
        <f t="shared" si="30"/>
        <v/>
      </c>
      <c r="BA27" s="386">
        <f t="shared" si="31"/>
        <v>0</v>
      </c>
      <c r="BB27" s="386">
        <f t="shared" si="0"/>
        <v>0</v>
      </c>
      <c r="BC27" s="386">
        <f t="shared" si="1"/>
        <v>0</v>
      </c>
      <c r="BD27" s="386">
        <f t="shared" si="2"/>
        <v>0</v>
      </c>
      <c r="BE27" s="386">
        <f t="shared" si="3"/>
        <v>0</v>
      </c>
      <c r="BF27" s="386">
        <f t="shared" si="4"/>
        <v>0</v>
      </c>
      <c r="BG27" s="386">
        <f t="shared" si="5"/>
        <v>0</v>
      </c>
      <c r="BH27" s="386">
        <f t="shared" si="6"/>
        <v>0</v>
      </c>
      <c r="BI27" s="386">
        <f t="shared" si="7"/>
        <v>0</v>
      </c>
      <c r="BJ27" s="386">
        <f t="shared" si="8"/>
        <v>0</v>
      </c>
      <c r="BK27" s="386">
        <f t="shared" si="9"/>
        <v>0</v>
      </c>
      <c r="BL27" s="386">
        <f t="shared" si="32"/>
        <v>0</v>
      </c>
      <c r="BM27" s="386">
        <f t="shared" si="33"/>
        <v>0</v>
      </c>
      <c r="BN27" s="386">
        <f t="shared" si="10"/>
        <v>0</v>
      </c>
      <c r="BO27" s="386">
        <f t="shared" si="11"/>
        <v>0</v>
      </c>
      <c r="BP27" s="386">
        <f t="shared" si="12"/>
        <v>0</v>
      </c>
      <c r="BQ27" s="386">
        <f t="shared" si="13"/>
        <v>0</v>
      </c>
      <c r="BR27" s="386">
        <f t="shared" si="14"/>
        <v>0</v>
      </c>
      <c r="BS27" s="386">
        <f t="shared" si="15"/>
        <v>0</v>
      </c>
      <c r="BT27" s="386">
        <f t="shared" si="16"/>
        <v>0</v>
      </c>
      <c r="BU27" s="386">
        <f t="shared" si="17"/>
        <v>0</v>
      </c>
      <c r="BV27" s="386">
        <f t="shared" si="18"/>
        <v>0</v>
      </c>
      <c r="BW27" s="386">
        <f t="shared" si="19"/>
        <v>0</v>
      </c>
      <c r="BX27" s="386">
        <f t="shared" si="34"/>
        <v>0</v>
      </c>
      <c r="BY27" s="386">
        <f t="shared" si="35"/>
        <v>0</v>
      </c>
      <c r="BZ27" s="386">
        <f t="shared" si="36"/>
        <v>0</v>
      </c>
      <c r="CA27" s="386">
        <f t="shared" si="37"/>
        <v>0</v>
      </c>
      <c r="CB27" s="386">
        <f t="shared" si="38"/>
        <v>0</v>
      </c>
      <c r="CC27" s="386">
        <f t="shared" si="20"/>
        <v>0</v>
      </c>
      <c r="CD27" s="386">
        <f t="shared" si="21"/>
        <v>0</v>
      </c>
      <c r="CE27" s="386">
        <f t="shared" si="22"/>
        <v>0</v>
      </c>
      <c r="CF27" s="386">
        <f t="shared" si="23"/>
        <v>0</v>
      </c>
      <c r="CG27" s="386">
        <f t="shared" si="24"/>
        <v>0</v>
      </c>
      <c r="CH27" s="386">
        <f t="shared" si="25"/>
        <v>0</v>
      </c>
      <c r="CI27" s="386">
        <f t="shared" si="26"/>
        <v>0</v>
      </c>
      <c r="CJ27" s="386">
        <f t="shared" si="39"/>
        <v>0</v>
      </c>
      <c r="CK27" s="386" t="str">
        <f t="shared" si="40"/>
        <v/>
      </c>
      <c r="CL27" s="386" t="str">
        <f t="shared" si="41"/>
        <v/>
      </c>
      <c r="CM27" s="386" t="str">
        <f t="shared" si="42"/>
        <v/>
      </c>
      <c r="CN27" s="386" t="str">
        <f t="shared" si="43"/>
        <v>0001-00</v>
      </c>
    </row>
    <row r="28" spans="1:92" ht="15.75" thickBot="1" x14ac:dyDescent="0.3">
      <c r="A28" s="376" t="s">
        <v>162</v>
      </c>
      <c r="B28" s="376" t="s">
        <v>163</v>
      </c>
      <c r="C28" s="376" t="s">
        <v>329</v>
      </c>
      <c r="D28" s="376" t="s">
        <v>250</v>
      </c>
      <c r="E28" s="376" t="s">
        <v>166</v>
      </c>
      <c r="F28" s="377" t="s">
        <v>167</v>
      </c>
      <c r="G28" s="376" t="s">
        <v>168</v>
      </c>
      <c r="H28" s="378"/>
      <c r="I28" s="378"/>
      <c r="J28" s="376" t="s">
        <v>169</v>
      </c>
      <c r="K28" s="376" t="s">
        <v>251</v>
      </c>
      <c r="L28" s="376" t="s">
        <v>167</v>
      </c>
      <c r="M28" s="376" t="s">
        <v>172</v>
      </c>
      <c r="N28" s="376" t="s">
        <v>173</v>
      </c>
      <c r="O28" s="379">
        <v>1</v>
      </c>
      <c r="P28" s="384">
        <v>1</v>
      </c>
      <c r="Q28" s="384">
        <v>1</v>
      </c>
      <c r="R28" s="380">
        <v>80</v>
      </c>
      <c r="S28" s="384">
        <v>1</v>
      </c>
      <c r="T28" s="380">
        <v>81145.600000000006</v>
      </c>
      <c r="U28" s="380">
        <v>0</v>
      </c>
      <c r="V28" s="380">
        <v>28362.38</v>
      </c>
      <c r="W28" s="380">
        <v>81224</v>
      </c>
      <c r="X28" s="380">
        <v>29143.58</v>
      </c>
      <c r="Y28" s="380">
        <v>81224</v>
      </c>
      <c r="Z28" s="380">
        <v>29784.400000000001</v>
      </c>
      <c r="AA28" s="376" t="s">
        <v>330</v>
      </c>
      <c r="AB28" s="376" t="s">
        <v>331</v>
      </c>
      <c r="AC28" s="376" t="s">
        <v>332</v>
      </c>
      <c r="AD28" s="376" t="s">
        <v>333</v>
      </c>
      <c r="AE28" s="376" t="s">
        <v>251</v>
      </c>
      <c r="AF28" s="376" t="s">
        <v>178</v>
      </c>
      <c r="AG28" s="376" t="s">
        <v>179</v>
      </c>
      <c r="AH28" s="381">
        <v>39.049999999999997</v>
      </c>
      <c r="AI28" s="379">
        <v>4697</v>
      </c>
      <c r="AJ28" s="376" t="s">
        <v>180</v>
      </c>
      <c r="AK28" s="376" t="s">
        <v>181</v>
      </c>
      <c r="AL28" s="376" t="s">
        <v>182</v>
      </c>
      <c r="AM28" s="376" t="s">
        <v>183</v>
      </c>
      <c r="AN28" s="376" t="s">
        <v>66</v>
      </c>
      <c r="AO28" s="379">
        <v>80</v>
      </c>
      <c r="AP28" s="384">
        <v>1</v>
      </c>
      <c r="AQ28" s="384">
        <v>1</v>
      </c>
      <c r="AR28" s="382" t="s">
        <v>184</v>
      </c>
      <c r="AS28" s="386">
        <f t="shared" si="27"/>
        <v>1</v>
      </c>
      <c r="AT28">
        <f t="shared" si="28"/>
        <v>1</v>
      </c>
      <c r="AU28" s="386">
        <f>IF(AT28=0,"",IF(AND(AT28=1,M28="F",SUMIF(C2:C201,C28,AS2:AS201)&lt;=1),SUMIF(C2:C201,C28,AS2:AS201),IF(AND(AT28=1,M28="F",SUMIF(C2:C201,C28,AS2:AS201)&gt;1),1,"")))</f>
        <v>1</v>
      </c>
      <c r="AV28" s="386" t="str">
        <f>IF(AT28=0,"",IF(AND(AT28=3,M28="F",SUMIF(C2:C201,C28,AS2:AS201)&lt;=1),SUMIF(C2:C201,C28,AS2:AS201),IF(AND(AT28=3,M28="F",SUMIF(C2:C201,C28,AS2:AS201)&gt;1),1,"")))</f>
        <v/>
      </c>
      <c r="AW28" s="386">
        <f>SUMIF(C2:C201,C28,O2:O201)</f>
        <v>1</v>
      </c>
      <c r="AX28" s="386">
        <f>IF(AND(M28="F",AS28&lt;&gt;0),SUMIF(C2:C201,C28,W2:W201),0)</f>
        <v>81224</v>
      </c>
      <c r="AY28" s="386">
        <f t="shared" si="29"/>
        <v>81224</v>
      </c>
      <c r="AZ28" s="386" t="str">
        <f t="shared" si="30"/>
        <v/>
      </c>
      <c r="BA28" s="386">
        <f t="shared" si="31"/>
        <v>0</v>
      </c>
      <c r="BB28" s="386">
        <f t="shared" si="0"/>
        <v>12500</v>
      </c>
      <c r="BC28" s="386">
        <f t="shared" si="1"/>
        <v>0</v>
      </c>
      <c r="BD28" s="386">
        <f t="shared" si="2"/>
        <v>5035.8879999999999</v>
      </c>
      <c r="BE28" s="386">
        <f t="shared" si="3"/>
        <v>1177.748</v>
      </c>
      <c r="BF28" s="386">
        <f t="shared" si="4"/>
        <v>9698.1455999999998</v>
      </c>
      <c r="BG28" s="386">
        <f t="shared" si="5"/>
        <v>585.62504000000001</v>
      </c>
      <c r="BH28" s="386">
        <f t="shared" si="6"/>
        <v>0</v>
      </c>
      <c r="BI28" s="386">
        <f t="shared" si="7"/>
        <v>0</v>
      </c>
      <c r="BJ28" s="386">
        <f t="shared" si="8"/>
        <v>146.20320000000001</v>
      </c>
      <c r="BK28" s="386">
        <f t="shared" si="9"/>
        <v>0</v>
      </c>
      <c r="BL28" s="386">
        <f t="shared" si="32"/>
        <v>16643.609840000001</v>
      </c>
      <c r="BM28" s="386">
        <f t="shared" si="33"/>
        <v>0</v>
      </c>
      <c r="BN28" s="386">
        <f t="shared" si="10"/>
        <v>13750</v>
      </c>
      <c r="BO28" s="386">
        <f t="shared" si="11"/>
        <v>0</v>
      </c>
      <c r="BP28" s="386">
        <f t="shared" si="12"/>
        <v>5035.8879999999999</v>
      </c>
      <c r="BQ28" s="386">
        <f t="shared" si="13"/>
        <v>1177.748</v>
      </c>
      <c r="BR28" s="386">
        <f t="shared" si="14"/>
        <v>9080.8431999999993</v>
      </c>
      <c r="BS28" s="386">
        <f t="shared" si="15"/>
        <v>585.62504000000001</v>
      </c>
      <c r="BT28" s="386">
        <f t="shared" si="16"/>
        <v>0</v>
      </c>
      <c r="BU28" s="386">
        <f t="shared" si="17"/>
        <v>0</v>
      </c>
      <c r="BV28" s="386">
        <f t="shared" si="18"/>
        <v>154.32560000000001</v>
      </c>
      <c r="BW28" s="386">
        <f t="shared" si="19"/>
        <v>0</v>
      </c>
      <c r="BX28" s="386">
        <f t="shared" si="34"/>
        <v>16034.429840000001</v>
      </c>
      <c r="BY28" s="386">
        <f t="shared" si="35"/>
        <v>0</v>
      </c>
      <c r="BZ28" s="386">
        <f t="shared" si="36"/>
        <v>1250</v>
      </c>
      <c r="CA28" s="386">
        <f t="shared" si="37"/>
        <v>0</v>
      </c>
      <c r="CB28" s="386">
        <f t="shared" si="38"/>
        <v>0</v>
      </c>
      <c r="CC28" s="386">
        <f t="shared" si="20"/>
        <v>0</v>
      </c>
      <c r="CD28" s="386">
        <f t="shared" si="21"/>
        <v>-617.30240000000083</v>
      </c>
      <c r="CE28" s="386">
        <f t="shared" si="22"/>
        <v>0</v>
      </c>
      <c r="CF28" s="386">
        <f t="shared" si="23"/>
        <v>0</v>
      </c>
      <c r="CG28" s="386">
        <f t="shared" si="24"/>
        <v>0</v>
      </c>
      <c r="CH28" s="386">
        <f t="shared" si="25"/>
        <v>8.1224000000000043</v>
      </c>
      <c r="CI28" s="386">
        <f t="shared" si="26"/>
        <v>0</v>
      </c>
      <c r="CJ28" s="386">
        <f t="shared" si="39"/>
        <v>-609.18000000000086</v>
      </c>
      <c r="CK28" s="386" t="str">
        <f t="shared" si="40"/>
        <v/>
      </c>
      <c r="CL28" s="386" t="str">
        <f t="shared" si="41"/>
        <v/>
      </c>
      <c r="CM28" s="386" t="str">
        <f t="shared" si="42"/>
        <v/>
      </c>
      <c r="CN28" s="386" t="str">
        <f t="shared" si="43"/>
        <v>0001-00</v>
      </c>
    </row>
    <row r="29" spans="1:92" ht="15.75" thickBot="1" x14ac:dyDescent="0.3">
      <c r="A29" s="376" t="s">
        <v>162</v>
      </c>
      <c r="B29" s="376" t="s">
        <v>163</v>
      </c>
      <c r="C29" s="376" t="s">
        <v>334</v>
      </c>
      <c r="D29" s="376" t="s">
        <v>335</v>
      </c>
      <c r="E29" s="376" t="s">
        <v>166</v>
      </c>
      <c r="F29" s="377" t="s">
        <v>167</v>
      </c>
      <c r="G29" s="376" t="s">
        <v>168</v>
      </c>
      <c r="H29" s="378"/>
      <c r="I29" s="378"/>
      <c r="J29" s="376" t="s">
        <v>220</v>
      </c>
      <c r="K29" s="376" t="s">
        <v>336</v>
      </c>
      <c r="L29" s="376" t="s">
        <v>167</v>
      </c>
      <c r="M29" s="376" t="s">
        <v>172</v>
      </c>
      <c r="N29" s="376" t="s">
        <v>173</v>
      </c>
      <c r="O29" s="379">
        <v>1</v>
      </c>
      <c r="P29" s="384">
        <v>0.2</v>
      </c>
      <c r="Q29" s="384">
        <v>0.2</v>
      </c>
      <c r="R29" s="380">
        <v>80</v>
      </c>
      <c r="S29" s="384">
        <v>0.2</v>
      </c>
      <c r="T29" s="380">
        <v>33944.18</v>
      </c>
      <c r="U29" s="380">
        <v>0</v>
      </c>
      <c r="V29" s="380">
        <v>9569.07</v>
      </c>
      <c r="W29" s="380">
        <v>28021.759999999998</v>
      </c>
      <c r="X29" s="380">
        <v>8241.93</v>
      </c>
      <c r="Y29" s="380">
        <v>28021.759999999998</v>
      </c>
      <c r="Z29" s="380">
        <v>8281.77</v>
      </c>
      <c r="AA29" s="376" t="s">
        <v>337</v>
      </c>
      <c r="AB29" s="376" t="s">
        <v>338</v>
      </c>
      <c r="AC29" s="376" t="s">
        <v>339</v>
      </c>
      <c r="AD29" s="376" t="s">
        <v>340</v>
      </c>
      <c r="AE29" s="376" t="s">
        <v>336</v>
      </c>
      <c r="AF29" s="376" t="s">
        <v>178</v>
      </c>
      <c r="AG29" s="376" t="s">
        <v>179</v>
      </c>
      <c r="AH29" s="381">
        <v>67.36</v>
      </c>
      <c r="AI29" s="381">
        <v>22058.7</v>
      </c>
      <c r="AJ29" s="376" t="s">
        <v>180</v>
      </c>
      <c r="AK29" s="376" t="s">
        <v>181</v>
      </c>
      <c r="AL29" s="376" t="s">
        <v>182</v>
      </c>
      <c r="AM29" s="376" t="s">
        <v>183</v>
      </c>
      <c r="AN29" s="376" t="s">
        <v>66</v>
      </c>
      <c r="AO29" s="379">
        <v>80</v>
      </c>
      <c r="AP29" s="384">
        <v>1</v>
      </c>
      <c r="AQ29" s="384">
        <v>0.2</v>
      </c>
      <c r="AR29" s="382" t="s">
        <v>184</v>
      </c>
      <c r="AS29" s="386">
        <f t="shared" si="27"/>
        <v>0.2</v>
      </c>
      <c r="AT29">
        <f t="shared" si="28"/>
        <v>1</v>
      </c>
      <c r="AU29" s="386">
        <f>IF(AT29=0,"",IF(AND(AT29=1,M29="F",SUMIF(C2:C201,C29,AS2:AS201)&lt;=1),SUMIF(C2:C201,C29,AS2:AS201),IF(AND(AT29=1,M29="F",SUMIF(C2:C201,C29,AS2:AS201)&gt;1),1,"")))</f>
        <v>1</v>
      </c>
      <c r="AV29" s="386" t="str">
        <f>IF(AT29=0,"",IF(AND(AT29=3,M29="F",SUMIF(C2:C201,C29,AS2:AS201)&lt;=1),SUMIF(C2:C201,C29,AS2:AS201),IF(AND(AT29=3,M29="F",SUMIF(C2:C201,C29,AS2:AS201)&gt;1),1,"")))</f>
        <v/>
      </c>
      <c r="AW29" s="386">
        <f>SUMIF(C2:C201,C29,O2:O201)</f>
        <v>4</v>
      </c>
      <c r="AX29" s="386">
        <f>IF(AND(M29="F",AS29&lt;&gt;0),SUMIF(C2:C201,C29,W2:W201),0)</f>
        <v>140108.79999999999</v>
      </c>
      <c r="AY29" s="386">
        <f t="shared" si="29"/>
        <v>28021.759999999998</v>
      </c>
      <c r="AZ29" s="386" t="str">
        <f t="shared" si="30"/>
        <v/>
      </c>
      <c r="BA29" s="386">
        <f t="shared" si="31"/>
        <v>0</v>
      </c>
      <c r="BB29" s="386">
        <f t="shared" si="0"/>
        <v>2500</v>
      </c>
      <c r="BC29" s="386">
        <f t="shared" si="1"/>
        <v>0</v>
      </c>
      <c r="BD29" s="386">
        <f t="shared" si="2"/>
        <v>1737.3491199999999</v>
      </c>
      <c r="BE29" s="386">
        <f t="shared" si="3"/>
        <v>406.31551999999999</v>
      </c>
      <c r="BF29" s="386">
        <f t="shared" si="4"/>
        <v>3345.7981439999999</v>
      </c>
      <c r="BG29" s="386">
        <f t="shared" si="5"/>
        <v>202.03688959999999</v>
      </c>
      <c r="BH29" s="386">
        <f t="shared" si="6"/>
        <v>0</v>
      </c>
      <c r="BI29" s="386">
        <f t="shared" si="7"/>
        <v>0</v>
      </c>
      <c r="BJ29" s="386">
        <f t="shared" si="8"/>
        <v>50.439167999999995</v>
      </c>
      <c r="BK29" s="386">
        <f t="shared" si="9"/>
        <v>0</v>
      </c>
      <c r="BL29" s="386">
        <f t="shared" si="32"/>
        <v>5741.9388415999993</v>
      </c>
      <c r="BM29" s="386">
        <f t="shared" si="33"/>
        <v>0</v>
      </c>
      <c r="BN29" s="386">
        <f t="shared" si="10"/>
        <v>2750</v>
      </c>
      <c r="BO29" s="386">
        <f t="shared" si="11"/>
        <v>0</v>
      </c>
      <c r="BP29" s="386">
        <f t="shared" si="12"/>
        <v>1737.3491199999999</v>
      </c>
      <c r="BQ29" s="386">
        <f t="shared" si="13"/>
        <v>406.31551999999999</v>
      </c>
      <c r="BR29" s="386">
        <f t="shared" si="14"/>
        <v>3132.8327679999998</v>
      </c>
      <c r="BS29" s="386">
        <f t="shared" si="15"/>
        <v>202.03688959999999</v>
      </c>
      <c r="BT29" s="386">
        <f t="shared" si="16"/>
        <v>0</v>
      </c>
      <c r="BU29" s="386">
        <f t="shared" si="17"/>
        <v>0</v>
      </c>
      <c r="BV29" s="386">
        <f t="shared" si="18"/>
        <v>53.241343999999998</v>
      </c>
      <c r="BW29" s="386">
        <f t="shared" si="19"/>
        <v>0</v>
      </c>
      <c r="BX29" s="386">
        <f t="shared" si="34"/>
        <v>5531.7756415999993</v>
      </c>
      <c r="BY29" s="386">
        <f t="shared" si="35"/>
        <v>0</v>
      </c>
      <c r="BZ29" s="386">
        <f t="shared" si="36"/>
        <v>250</v>
      </c>
      <c r="CA29" s="386">
        <f t="shared" si="37"/>
        <v>0</v>
      </c>
      <c r="CB29" s="386">
        <f t="shared" si="38"/>
        <v>0</v>
      </c>
      <c r="CC29" s="386">
        <f t="shared" si="20"/>
        <v>0</v>
      </c>
      <c r="CD29" s="386">
        <f t="shared" si="21"/>
        <v>-212.96537600000025</v>
      </c>
      <c r="CE29" s="386">
        <f t="shared" si="22"/>
        <v>0</v>
      </c>
      <c r="CF29" s="386">
        <f t="shared" si="23"/>
        <v>0</v>
      </c>
      <c r="CG29" s="386">
        <f t="shared" si="24"/>
        <v>0</v>
      </c>
      <c r="CH29" s="386">
        <f t="shared" si="25"/>
        <v>2.8021760000000011</v>
      </c>
      <c r="CI29" s="386">
        <f t="shared" si="26"/>
        <v>0</v>
      </c>
      <c r="CJ29" s="386">
        <f t="shared" si="39"/>
        <v>-210.16320000000024</v>
      </c>
      <c r="CK29" s="386" t="str">
        <f t="shared" si="40"/>
        <v/>
      </c>
      <c r="CL29" s="386" t="str">
        <f t="shared" si="41"/>
        <v/>
      </c>
      <c r="CM29" s="386" t="str">
        <f t="shared" si="42"/>
        <v/>
      </c>
      <c r="CN29" s="386" t="str">
        <f t="shared" si="43"/>
        <v>0001-00</v>
      </c>
    </row>
    <row r="30" spans="1:92" ht="15.75" thickBot="1" x14ac:dyDescent="0.3">
      <c r="A30" s="376" t="s">
        <v>162</v>
      </c>
      <c r="B30" s="376" t="s">
        <v>163</v>
      </c>
      <c r="C30" s="376" t="s">
        <v>341</v>
      </c>
      <c r="D30" s="376" t="s">
        <v>342</v>
      </c>
      <c r="E30" s="376" t="s">
        <v>166</v>
      </c>
      <c r="F30" s="377" t="s">
        <v>167</v>
      </c>
      <c r="G30" s="376" t="s">
        <v>168</v>
      </c>
      <c r="H30" s="378"/>
      <c r="I30" s="378"/>
      <c r="J30" s="376" t="s">
        <v>169</v>
      </c>
      <c r="K30" s="376" t="s">
        <v>343</v>
      </c>
      <c r="L30" s="376" t="s">
        <v>167</v>
      </c>
      <c r="M30" s="376" t="s">
        <v>172</v>
      </c>
      <c r="N30" s="376" t="s">
        <v>173</v>
      </c>
      <c r="O30" s="379">
        <v>1</v>
      </c>
      <c r="P30" s="384">
        <v>1</v>
      </c>
      <c r="Q30" s="384">
        <v>1</v>
      </c>
      <c r="R30" s="380">
        <v>80</v>
      </c>
      <c r="S30" s="384">
        <v>1</v>
      </c>
      <c r="T30" s="380">
        <v>117556.7</v>
      </c>
      <c r="U30" s="380">
        <v>0</v>
      </c>
      <c r="V30" s="380">
        <v>35434.54</v>
      </c>
      <c r="W30" s="380">
        <v>117556.7</v>
      </c>
      <c r="X30" s="380">
        <v>36588.519999999997</v>
      </c>
      <c r="Y30" s="380">
        <v>117556.7</v>
      </c>
      <c r="Z30" s="380">
        <v>36956.839999999997</v>
      </c>
      <c r="AA30" s="376" t="s">
        <v>344</v>
      </c>
      <c r="AB30" s="376" t="s">
        <v>345</v>
      </c>
      <c r="AC30" s="376" t="s">
        <v>242</v>
      </c>
      <c r="AD30" s="376" t="s">
        <v>290</v>
      </c>
      <c r="AE30" s="376" t="s">
        <v>343</v>
      </c>
      <c r="AF30" s="376" t="s">
        <v>178</v>
      </c>
      <c r="AG30" s="376" t="s">
        <v>285</v>
      </c>
      <c r="AH30" s="381">
        <v>117556.7</v>
      </c>
      <c r="AI30" s="381">
        <v>52042.9</v>
      </c>
      <c r="AJ30" s="376" t="s">
        <v>346</v>
      </c>
      <c r="AK30" s="376" t="s">
        <v>181</v>
      </c>
      <c r="AL30" s="376" t="s">
        <v>182</v>
      </c>
      <c r="AM30" s="376" t="s">
        <v>182</v>
      </c>
      <c r="AN30" s="376" t="s">
        <v>66</v>
      </c>
      <c r="AO30" s="379">
        <v>80</v>
      </c>
      <c r="AP30" s="384">
        <v>1</v>
      </c>
      <c r="AQ30" s="384">
        <v>1</v>
      </c>
      <c r="AR30" s="382" t="s">
        <v>184</v>
      </c>
      <c r="AS30" s="386">
        <f t="shared" si="27"/>
        <v>1</v>
      </c>
      <c r="AT30">
        <f t="shared" si="28"/>
        <v>3</v>
      </c>
      <c r="AU30" s="386" t="str">
        <f>IF(AT30=0,"",IF(AND(AT30=1,M30="F",SUMIF(C2:C201,C30,AS2:AS201)&lt;=1),SUMIF(C2:C201,C30,AS2:AS201),IF(AND(AT30=1,M30="F",SUMIF(C2:C201,C30,AS2:AS201)&gt;1),1,"")))</f>
        <v/>
      </c>
      <c r="AV30" s="386">
        <f>IF(AT30=0,"",IF(AND(AT30=3,M30="F",SUMIF(C2:C201,C30,AS2:AS201)&lt;=1),SUMIF(C2:C201,C30,AS2:AS201),IF(AND(AT30=3,M30="F",SUMIF(C2:C201,C30,AS2:AS201)&gt;1),1,"")))</f>
        <v>1</v>
      </c>
      <c r="AW30" s="386">
        <f>SUMIF(C2:C201,C30,O2:O201)</f>
        <v>1</v>
      </c>
      <c r="AX30" s="386">
        <f>IF(AND(M30="F",AS30&lt;&gt;0),SUMIF(C2:C201,C30,W2:W201),0)</f>
        <v>117556.7</v>
      </c>
      <c r="AY30" s="386" t="str">
        <f t="shared" si="29"/>
        <v/>
      </c>
      <c r="AZ30" s="386">
        <f t="shared" si="30"/>
        <v>117556.7</v>
      </c>
      <c r="BA30" s="386">
        <f t="shared" si="31"/>
        <v>0</v>
      </c>
      <c r="BB30" s="386">
        <f t="shared" si="0"/>
        <v>0</v>
      </c>
      <c r="BC30" s="386">
        <f t="shared" si="1"/>
        <v>12500</v>
      </c>
      <c r="BD30" s="386">
        <f t="shared" si="2"/>
        <v>7288.5153999999993</v>
      </c>
      <c r="BE30" s="386">
        <f t="shared" si="3"/>
        <v>1704.57215</v>
      </c>
      <c r="BF30" s="386">
        <f t="shared" si="4"/>
        <v>14036.269980000001</v>
      </c>
      <c r="BG30" s="386">
        <f t="shared" si="5"/>
        <v>847.58380699999998</v>
      </c>
      <c r="BH30" s="386">
        <f t="shared" si="6"/>
        <v>0</v>
      </c>
      <c r="BI30" s="386">
        <f t="shared" si="7"/>
        <v>0</v>
      </c>
      <c r="BJ30" s="386">
        <f t="shared" si="8"/>
        <v>211.60205999999999</v>
      </c>
      <c r="BK30" s="386">
        <f t="shared" si="9"/>
        <v>0</v>
      </c>
      <c r="BL30" s="386">
        <f t="shared" si="32"/>
        <v>0</v>
      </c>
      <c r="BM30" s="386">
        <f t="shared" si="33"/>
        <v>24088.543397000001</v>
      </c>
      <c r="BN30" s="386">
        <f t="shared" si="10"/>
        <v>0</v>
      </c>
      <c r="BO30" s="386">
        <f t="shared" si="11"/>
        <v>13750</v>
      </c>
      <c r="BP30" s="386">
        <f t="shared" si="12"/>
        <v>7288.5153999999993</v>
      </c>
      <c r="BQ30" s="386">
        <f t="shared" si="13"/>
        <v>1704.57215</v>
      </c>
      <c r="BR30" s="386">
        <f t="shared" si="14"/>
        <v>13142.839059999998</v>
      </c>
      <c r="BS30" s="386">
        <f t="shared" si="15"/>
        <v>847.58380699999998</v>
      </c>
      <c r="BT30" s="386">
        <f t="shared" si="16"/>
        <v>0</v>
      </c>
      <c r="BU30" s="386">
        <f t="shared" si="17"/>
        <v>0</v>
      </c>
      <c r="BV30" s="386">
        <f t="shared" si="18"/>
        <v>223.35773</v>
      </c>
      <c r="BW30" s="386">
        <f t="shared" si="19"/>
        <v>0</v>
      </c>
      <c r="BX30" s="386">
        <f t="shared" si="34"/>
        <v>0</v>
      </c>
      <c r="BY30" s="386">
        <f t="shared" si="35"/>
        <v>23206.868146999997</v>
      </c>
      <c r="BZ30" s="386">
        <f t="shared" si="36"/>
        <v>0</v>
      </c>
      <c r="CA30" s="386">
        <f t="shared" si="37"/>
        <v>1250</v>
      </c>
      <c r="CB30" s="386">
        <f t="shared" si="38"/>
        <v>0</v>
      </c>
      <c r="CC30" s="386">
        <f t="shared" si="20"/>
        <v>0</v>
      </c>
      <c r="CD30" s="386">
        <f t="shared" si="21"/>
        <v>-893.43092000000115</v>
      </c>
      <c r="CE30" s="386">
        <f t="shared" si="22"/>
        <v>0</v>
      </c>
      <c r="CF30" s="386">
        <f t="shared" si="23"/>
        <v>0</v>
      </c>
      <c r="CG30" s="386">
        <f t="shared" si="24"/>
        <v>0</v>
      </c>
      <c r="CH30" s="386">
        <f t="shared" si="25"/>
        <v>11.755670000000006</v>
      </c>
      <c r="CI30" s="386">
        <f t="shared" si="26"/>
        <v>0</v>
      </c>
      <c r="CJ30" s="386">
        <f t="shared" si="39"/>
        <v>0</v>
      </c>
      <c r="CK30" s="386">
        <f t="shared" si="40"/>
        <v>-881.67525000000114</v>
      </c>
      <c r="CL30" s="386" t="str">
        <f t="shared" si="41"/>
        <v/>
      </c>
      <c r="CM30" s="386" t="str">
        <f t="shared" si="42"/>
        <v/>
      </c>
      <c r="CN30" s="386" t="str">
        <f t="shared" si="43"/>
        <v>0001-00</v>
      </c>
    </row>
    <row r="31" spans="1:92" ht="15.75" thickBot="1" x14ac:dyDescent="0.3">
      <c r="A31" s="376" t="s">
        <v>162</v>
      </c>
      <c r="B31" s="376" t="s">
        <v>163</v>
      </c>
      <c r="C31" s="376" t="s">
        <v>347</v>
      </c>
      <c r="D31" s="376" t="s">
        <v>165</v>
      </c>
      <c r="E31" s="376" t="s">
        <v>166</v>
      </c>
      <c r="F31" s="377" t="s">
        <v>167</v>
      </c>
      <c r="G31" s="376" t="s">
        <v>168</v>
      </c>
      <c r="H31" s="378"/>
      <c r="I31" s="378"/>
      <c r="J31" s="376" t="s">
        <v>169</v>
      </c>
      <c r="K31" s="376" t="s">
        <v>193</v>
      </c>
      <c r="L31" s="376" t="s">
        <v>194</v>
      </c>
      <c r="M31" s="376" t="s">
        <v>172</v>
      </c>
      <c r="N31" s="376" t="s">
        <v>173</v>
      </c>
      <c r="O31" s="379">
        <v>1</v>
      </c>
      <c r="P31" s="384">
        <v>1</v>
      </c>
      <c r="Q31" s="384">
        <v>1</v>
      </c>
      <c r="R31" s="380">
        <v>80</v>
      </c>
      <c r="S31" s="384">
        <v>1</v>
      </c>
      <c r="T31" s="380">
        <v>15908.63</v>
      </c>
      <c r="U31" s="380">
        <v>0</v>
      </c>
      <c r="V31" s="380">
        <v>5972.96</v>
      </c>
      <c r="W31" s="380">
        <v>56742.400000000001</v>
      </c>
      <c r="X31" s="380">
        <v>24127.06</v>
      </c>
      <c r="Y31" s="380">
        <v>56742.400000000001</v>
      </c>
      <c r="Z31" s="380">
        <v>24951.5</v>
      </c>
      <c r="AA31" s="376" t="s">
        <v>348</v>
      </c>
      <c r="AB31" s="376" t="s">
        <v>349</v>
      </c>
      <c r="AC31" s="376" t="s">
        <v>350</v>
      </c>
      <c r="AD31" s="376" t="s">
        <v>171</v>
      </c>
      <c r="AE31" s="376" t="s">
        <v>193</v>
      </c>
      <c r="AF31" s="376" t="s">
        <v>178</v>
      </c>
      <c r="AG31" s="376" t="s">
        <v>179</v>
      </c>
      <c r="AH31" s="381">
        <v>27.28</v>
      </c>
      <c r="AI31" s="381">
        <v>1196.2</v>
      </c>
      <c r="AJ31" s="376" t="s">
        <v>180</v>
      </c>
      <c r="AK31" s="376" t="s">
        <v>181</v>
      </c>
      <c r="AL31" s="376" t="s">
        <v>182</v>
      </c>
      <c r="AM31" s="376" t="s">
        <v>183</v>
      </c>
      <c r="AN31" s="376" t="s">
        <v>66</v>
      </c>
      <c r="AO31" s="379">
        <v>80</v>
      </c>
      <c r="AP31" s="384">
        <v>1</v>
      </c>
      <c r="AQ31" s="384">
        <v>1</v>
      </c>
      <c r="AR31" s="382" t="s">
        <v>184</v>
      </c>
      <c r="AS31" s="386">
        <f t="shared" si="27"/>
        <v>1</v>
      </c>
      <c r="AT31">
        <f t="shared" si="28"/>
        <v>1</v>
      </c>
      <c r="AU31" s="386">
        <f>IF(AT31=0,"",IF(AND(AT31=1,M31="F",SUMIF(C2:C201,C31,AS2:AS201)&lt;=1),SUMIF(C2:C201,C31,AS2:AS201),IF(AND(AT31=1,M31="F",SUMIF(C2:C201,C31,AS2:AS201)&gt;1),1,"")))</f>
        <v>1</v>
      </c>
      <c r="AV31" s="386" t="str">
        <f>IF(AT31=0,"",IF(AND(AT31=3,M31="F",SUMIF(C2:C201,C31,AS2:AS201)&lt;=1),SUMIF(C2:C201,C31,AS2:AS201),IF(AND(AT31=3,M31="F",SUMIF(C2:C201,C31,AS2:AS201)&gt;1),1,"")))</f>
        <v/>
      </c>
      <c r="AW31" s="386">
        <f>SUMIF(C2:C201,C31,O2:O201)</f>
        <v>4</v>
      </c>
      <c r="AX31" s="386">
        <f>IF(AND(M31="F",AS31&lt;&gt;0),SUMIF(C2:C201,C31,W2:W201),0)</f>
        <v>56742.400000000001</v>
      </c>
      <c r="AY31" s="386">
        <f t="shared" si="29"/>
        <v>56742.400000000001</v>
      </c>
      <c r="AZ31" s="386" t="str">
        <f t="shared" si="30"/>
        <v/>
      </c>
      <c r="BA31" s="386">
        <f t="shared" si="31"/>
        <v>0</v>
      </c>
      <c r="BB31" s="386">
        <f t="shared" si="0"/>
        <v>12500</v>
      </c>
      <c r="BC31" s="386">
        <f t="shared" si="1"/>
        <v>0</v>
      </c>
      <c r="BD31" s="386">
        <f t="shared" si="2"/>
        <v>3518.0288</v>
      </c>
      <c r="BE31" s="386">
        <f t="shared" si="3"/>
        <v>822.76480000000004</v>
      </c>
      <c r="BF31" s="386">
        <f t="shared" si="4"/>
        <v>6775.0425600000008</v>
      </c>
      <c r="BG31" s="386">
        <f t="shared" si="5"/>
        <v>409.11270400000001</v>
      </c>
      <c r="BH31" s="386">
        <f t="shared" si="6"/>
        <v>0</v>
      </c>
      <c r="BI31" s="386">
        <f t="shared" si="7"/>
        <v>0</v>
      </c>
      <c r="BJ31" s="386">
        <f t="shared" si="8"/>
        <v>102.13632</v>
      </c>
      <c r="BK31" s="386">
        <f t="shared" si="9"/>
        <v>0</v>
      </c>
      <c r="BL31" s="386">
        <f t="shared" si="32"/>
        <v>11627.085184</v>
      </c>
      <c r="BM31" s="386">
        <f t="shared" si="33"/>
        <v>0</v>
      </c>
      <c r="BN31" s="386">
        <f t="shared" si="10"/>
        <v>13750</v>
      </c>
      <c r="BO31" s="386">
        <f t="shared" si="11"/>
        <v>0</v>
      </c>
      <c r="BP31" s="386">
        <f t="shared" si="12"/>
        <v>3518.0288</v>
      </c>
      <c r="BQ31" s="386">
        <f t="shared" si="13"/>
        <v>822.76480000000004</v>
      </c>
      <c r="BR31" s="386">
        <f t="shared" si="14"/>
        <v>6343.8003200000003</v>
      </c>
      <c r="BS31" s="386">
        <f t="shared" si="15"/>
        <v>409.11270400000001</v>
      </c>
      <c r="BT31" s="386">
        <f t="shared" si="16"/>
        <v>0</v>
      </c>
      <c r="BU31" s="386">
        <f t="shared" si="17"/>
        <v>0</v>
      </c>
      <c r="BV31" s="386">
        <f t="shared" si="18"/>
        <v>107.81056000000001</v>
      </c>
      <c r="BW31" s="386">
        <f t="shared" si="19"/>
        <v>0</v>
      </c>
      <c r="BX31" s="386">
        <f t="shared" si="34"/>
        <v>11201.517183999998</v>
      </c>
      <c r="BY31" s="386">
        <f t="shared" si="35"/>
        <v>0</v>
      </c>
      <c r="BZ31" s="386">
        <f t="shared" si="36"/>
        <v>1250</v>
      </c>
      <c r="CA31" s="386">
        <f t="shared" si="37"/>
        <v>0</v>
      </c>
      <c r="CB31" s="386">
        <f t="shared" si="38"/>
        <v>0</v>
      </c>
      <c r="CC31" s="386">
        <f t="shared" si="20"/>
        <v>0</v>
      </c>
      <c r="CD31" s="386">
        <f t="shared" si="21"/>
        <v>-431.24224000000055</v>
      </c>
      <c r="CE31" s="386">
        <f t="shared" si="22"/>
        <v>0</v>
      </c>
      <c r="CF31" s="386">
        <f t="shared" si="23"/>
        <v>0</v>
      </c>
      <c r="CG31" s="386">
        <f t="shared" si="24"/>
        <v>0</v>
      </c>
      <c r="CH31" s="386">
        <f t="shared" si="25"/>
        <v>5.6742400000000028</v>
      </c>
      <c r="CI31" s="386">
        <f t="shared" si="26"/>
        <v>0</v>
      </c>
      <c r="CJ31" s="386">
        <f t="shared" si="39"/>
        <v>-425.56800000000055</v>
      </c>
      <c r="CK31" s="386" t="str">
        <f t="shared" si="40"/>
        <v/>
      </c>
      <c r="CL31" s="386" t="str">
        <f t="shared" si="41"/>
        <v/>
      </c>
      <c r="CM31" s="386" t="str">
        <f t="shared" si="42"/>
        <v/>
      </c>
      <c r="CN31" s="386" t="str">
        <f t="shared" si="43"/>
        <v>0001-00</v>
      </c>
    </row>
    <row r="32" spans="1:92" ht="15.75" thickBot="1" x14ac:dyDescent="0.3">
      <c r="A32" s="376" t="s">
        <v>162</v>
      </c>
      <c r="B32" s="376" t="s">
        <v>163</v>
      </c>
      <c r="C32" s="376" t="s">
        <v>351</v>
      </c>
      <c r="D32" s="376" t="s">
        <v>352</v>
      </c>
      <c r="E32" s="376" t="s">
        <v>166</v>
      </c>
      <c r="F32" s="377" t="s">
        <v>167</v>
      </c>
      <c r="G32" s="376" t="s">
        <v>168</v>
      </c>
      <c r="H32" s="378"/>
      <c r="I32" s="378"/>
      <c r="J32" s="376" t="s">
        <v>220</v>
      </c>
      <c r="K32" s="376" t="s">
        <v>353</v>
      </c>
      <c r="L32" s="376" t="s">
        <v>222</v>
      </c>
      <c r="M32" s="376" t="s">
        <v>172</v>
      </c>
      <c r="N32" s="376" t="s">
        <v>173</v>
      </c>
      <c r="O32" s="379">
        <v>1</v>
      </c>
      <c r="P32" s="384">
        <v>0.15</v>
      </c>
      <c r="Q32" s="384">
        <v>0.15</v>
      </c>
      <c r="R32" s="380">
        <v>80</v>
      </c>
      <c r="S32" s="384">
        <v>0.15</v>
      </c>
      <c r="T32" s="380">
        <v>21759.81</v>
      </c>
      <c r="U32" s="380">
        <v>0</v>
      </c>
      <c r="V32" s="380">
        <v>6337.21</v>
      </c>
      <c r="W32" s="380">
        <v>15740.4</v>
      </c>
      <c r="X32" s="380">
        <v>5100.3599999999997</v>
      </c>
      <c r="Y32" s="380">
        <v>15740.4</v>
      </c>
      <c r="Z32" s="380">
        <v>5169.8</v>
      </c>
      <c r="AA32" s="376" t="s">
        <v>354</v>
      </c>
      <c r="AB32" s="376" t="s">
        <v>355</v>
      </c>
      <c r="AC32" s="376" t="s">
        <v>213</v>
      </c>
      <c r="AD32" s="376" t="s">
        <v>231</v>
      </c>
      <c r="AE32" s="376" t="s">
        <v>353</v>
      </c>
      <c r="AF32" s="376" t="s">
        <v>178</v>
      </c>
      <c r="AG32" s="376" t="s">
        <v>179</v>
      </c>
      <c r="AH32" s="381">
        <v>50.45</v>
      </c>
      <c r="AI32" s="381">
        <v>22028.5</v>
      </c>
      <c r="AJ32" s="376" t="s">
        <v>180</v>
      </c>
      <c r="AK32" s="376" t="s">
        <v>181</v>
      </c>
      <c r="AL32" s="376" t="s">
        <v>182</v>
      </c>
      <c r="AM32" s="376" t="s">
        <v>183</v>
      </c>
      <c r="AN32" s="376" t="s">
        <v>66</v>
      </c>
      <c r="AO32" s="379">
        <v>80</v>
      </c>
      <c r="AP32" s="384">
        <v>1</v>
      </c>
      <c r="AQ32" s="384">
        <v>0.15</v>
      </c>
      <c r="AR32" s="382" t="s">
        <v>184</v>
      </c>
      <c r="AS32" s="386">
        <f t="shared" si="27"/>
        <v>0.15</v>
      </c>
      <c r="AT32">
        <f t="shared" si="28"/>
        <v>1</v>
      </c>
      <c r="AU32" s="386">
        <f>IF(AT32=0,"",IF(AND(AT32=1,M32="F",SUMIF(C2:C201,C32,AS2:AS201)&lt;=1),SUMIF(C2:C201,C32,AS2:AS201),IF(AND(AT32=1,M32="F",SUMIF(C2:C201,C32,AS2:AS201)&gt;1),1,"")))</f>
        <v>1</v>
      </c>
      <c r="AV32" s="386" t="str">
        <f>IF(AT32=0,"",IF(AND(AT32=3,M32="F",SUMIF(C2:C201,C32,AS2:AS201)&lt;=1),SUMIF(C2:C201,C32,AS2:AS201),IF(AND(AT32=3,M32="F",SUMIF(C2:C201,C32,AS2:AS201)&gt;1),1,"")))</f>
        <v/>
      </c>
      <c r="AW32" s="386">
        <f>SUMIF(C2:C201,C32,O2:O201)</f>
        <v>5</v>
      </c>
      <c r="AX32" s="386">
        <f>IF(AND(M32="F",AS32&lt;&gt;0),SUMIF(C2:C201,C32,W2:W201),0)</f>
        <v>104936</v>
      </c>
      <c r="AY32" s="386">
        <f t="shared" si="29"/>
        <v>15740.4</v>
      </c>
      <c r="AZ32" s="386" t="str">
        <f t="shared" si="30"/>
        <v/>
      </c>
      <c r="BA32" s="386">
        <f t="shared" si="31"/>
        <v>0</v>
      </c>
      <c r="BB32" s="386">
        <f t="shared" si="0"/>
        <v>1875</v>
      </c>
      <c r="BC32" s="386">
        <f t="shared" si="1"/>
        <v>0</v>
      </c>
      <c r="BD32" s="386">
        <f t="shared" si="2"/>
        <v>975.90480000000002</v>
      </c>
      <c r="BE32" s="386">
        <f t="shared" si="3"/>
        <v>228.23580000000001</v>
      </c>
      <c r="BF32" s="386">
        <f t="shared" si="4"/>
        <v>1879.4037600000001</v>
      </c>
      <c r="BG32" s="386">
        <f t="shared" si="5"/>
        <v>113.48828400000001</v>
      </c>
      <c r="BH32" s="386">
        <f t="shared" si="6"/>
        <v>0</v>
      </c>
      <c r="BI32" s="386">
        <f t="shared" si="7"/>
        <v>0</v>
      </c>
      <c r="BJ32" s="386">
        <f t="shared" si="8"/>
        <v>28.332719999999998</v>
      </c>
      <c r="BK32" s="386">
        <f t="shared" si="9"/>
        <v>0</v>
      </c>
      <c r="BL32" s="386">
        <f t="shared" si="32"/>
        <v>3225.3653639999998</v>
      </c>
      <c r="BM32" s="386">
        <f t="shared" si="33"/>
        <v>0</v>
      </c>
      <c r="BN32" s="386">
        <f t="shared" si="10"/>
        <v>2062.5</v>
      </c>
      <c r="BO32" s="386">
        <f t="shared" si="11"/>
        <v>0</v>
      </c>
      <c r="BP32" s="386">
        <f t="shared" si="12"/>
        <v>975.90480000000002</v>
      </c>
      <c r="BQ32" s="386">
        <f t="shared" si="13"/>
        <v>228.23580000000001</v>
      </c>
      <c r="BR32" s="386">
        <f t="shared" si="14"/>
        <v>1759.7767199999998</v>
      </c>
      <c r="BS32" s="386">
        <f t="shared" si="15"/>
        <v>113.48828400000001</v>
      </c>
      <c r="BT32" s="386">
        <f t="shared" si="16"/>
        <v>0</v>
      </c>
      <c r="BU32" s="386">
        <f t="shared" si="17"/>
        <v>0</v>
      </c>
      <c r="BV32" s="386">
        <f t="shared" si="18"/>
        <v>29.906759999999998</v>
      </c>
      <c r="BW32" s="386">
        <f t="shared" si="19"/>
        <v>0</v>
      </c>
      <c r="BX32" s="386">
        <f t="shared" si="34"/>
        <v>3107.3123639999994</v>
      </c>
      <c r="BY32" s="386">
        <f t="shared" si="35"/>
        <v>0</v>
      </c>
      <c r="BZ32" s="386">
        <f t="shared" si="36"/>
        <v>187.5</v>
      </c>
      <c r="CA32" s="386">
        <f t="shared" si="37"/>
        <v>0</v>
      </c>
      <c r="CB32" s="386">
        <f t="shared" si="38"/>
        <v>0</v>
      </c>
      <c r="CC32" s="386">
        <f t="shared" si="20"/>
        <v>0</v>
      </c>
      <c r="CD32" s="386">
        <f t="shared" si="21"/>
        <v>-119.62704000000015</v>
      </c>
      <c r="CE32" s="386">
        <f t="shared" si="22"/>
        <v>0</v>
      </c>
      <c r="CF32" s="386">
        <f t="shared" si="23"/>
        <v>0</v>
      </c>
      <c r="CG32" s="386">
        <f t="shared" si="24"/>
        <v>0</v>
      </c>
      <c r="CH32" s="386">
        <f t="shared" si="25"/>
        <v>1.5740400000000008</v>
      </c>
      <c r="CI32" s="386">
        <f t="shared" si="26"/>
        <v>0</v>
      </c>
      <c r="CJ32" s="386">
        <f t="shared" si="39"/>
        <v>-118.05300000000015</v>
      </c>
      <c r="CK32" s="386" t="str">
        <f t="shared" si="40"/>
        <v/>
      </c>
      <c r="CL32" s="386" t="str">
        <f t="shared" si="41"/>
        <v/>
      </c>
      <c r="CM32" s="386" t="str">
        <f t="shared" si="42"/>
        <v/>
      </c>
      <c r="CN32" s="386" t="str">
        <f t="shared" si="43"/>
        <v>0001-00</v>
      </c>
    </row>
    <row r="33" spans="1:92" ht="15.75" thickBot="1" x14ac:dyDescent="0.3">
      <c r="A33" s="376" t="s">
        <v>162</v>
      </c>
      <c r="B33" s="376" t="s">
        <v>163</v>
      </c>
      <c r="C33" s="376" t="s">
        <v>356</v>
      </c>
      <c r="D33" s="376" t="s">
        <v>165</v>
      </c>
      <c r="E33" s="376" t="s">
        <v>166</v>
      </c>
      <c r="F33" s="377" t="s">
        <v>167</v>
      </c>
      <c r="G33" s="376" t="s">
        <v>168</v>
      </c>
      <c r="H33" s="378"/>
      <c r="I33" s="378"/>
      <c r="J33" s="376" t="s">
        <v>169</v>
      </c>
      <c r="K33" s="376" t="s">
        <v>206</v>
      </c>
      <c r="L33" s="376" t="s">
        <v>198</v>
      </c>
      <c r="M33" s="376" t="s">
        <v>172</v>
      </c>
      <c r="N33" s="376" t="s">
        <v>173</v>
      </c>
      <c r="O33" s="379">
        <v>1</v>
      </c>
      <c r="P33" s="384">
        <v>0</v>
      </c>
      <c r="Q33" s="384">
        <v>0</v>
      </c>
      <c r="R33" s="380">
        <v>80</v>
      </c>
      <c r="S33" s="384">
        <v>0</v>
      </c>
      <c r="T33" s="380">
        <v>5000</v>
      </c>
      <c r="U33" s="380">
        <v>0</v>
      </c>
      <c r="V33" s="380">
        <v>1339.45</v>
      </c>
      <c r="W33" s="380">
        <v>0</v>
      </c>
      <c r="X33" s="380">
        <v>0</v>
      </c>
      <c r="Y33" s="380">
        <v>0</v>
      </c>
      <c r="Z33" s="380">
        <v>0</v>
      </c>
      <c r="AA33" s="376" t="s">
        <v>357</v>
      </c>
      <c r="AB33" s="376" t="s">
        <v>358</v>
      </c>
      <c r="AC33" s="376" t="s">
        <v>359</v>
      </c>
      <c r="AD33" s="376" t="s">
        <v>198</v>
      </c>
      <c r="AE33" s="376" t="s">
        <v>206</v>
      </c>
      <c r="AF33" s="376" t="s">
        <v>178</v>
      </c>
      <c r="AG33" s="376" t="s">
        <v>179</v>
      </c>
      <c r="AH33" s="381">
        <v>34.21</v>
      </c>
      <c r="AI33" s="379">
        <v>20870</v>
      </c>
      <c r="AJ33" s="376" t="s">
        <v>180</v>
      </c>
      <c r="AK33" s="376" t="s">
        <v>181</v>
      </c>
      <c r="AL33" s="376" t="s">
        <v>182</v>
      </c>
      <c r="AM33" s="376" t="s">
        <v>183</v>
      </c>
      <c r="AN33" s="376" t="s">
        <v>66</v>
      </c>
      <c r="AO33" s="379">
        <v>80</v>
      </c>
      <c r="AP33" s="384">
        <v>1</v>
      </c>
      <c r="AQ33" s="384">
        <v>0</v>
      </c>
      <c r="AR33" s="382" t="s">
        <v>184</v>
      </c>
      <c r="AS33" s="386">
        <f t="shared" si="27"/>
        <v>0</v>
      </c>
      <c r="AT33">
        <f t="shared" si="28"/>
        <v>0</v>
      </c>
      <c r="AU33" s="386" t="str">
        <f>IF(AT33=0,"",IF(AND(AT33=1,M33="F",SUMIF(C2:C201,C33,AS2:AS201)&lt;=1),SUMIF(C2:C201,C33,AS2:AS201),IF(AND(AT33=1,M33="F",SUMIF(C2:C201,C33,AS2:AS201)&gt;1),1,"")))</f>
        <v/>
      </c>
      <c r="AV33" s="386" t="str">
        <f>IF(AT33=0,"",IF(AND(AT33=3,M33="F",SUMIF(C2:C201,C33,AS2:AS201)&lt;=1),SUMIF(C2:C201,C33,AS2:AS201),IF(AND(AT33=3,M33="F",SUMIF(C2:C201,C33,AS2:AS201)&gt;1),1,"")))</f>
        <v/>
      </c>
      <c r="AW33" s="386">
        <f>SUMIF(C2:C201,C33,O2:O201)</f>
        <v>3</v>
      </c>
      <c r="AX33" s="386">
        <f>IF(AND(M33="F",AS33&lt;&gt;0),SUMIF(C2:C201,C33,W2:W201),0)</f>
        <v>0</v>
      </c>
      <c r="AY33" s="386" t="str">
        <f t="shared" si="29"/>
        <v/>
      </c>
      <c r="AZ33" s="386" t="str">
        <f t="shared" si="30"/>
        <v/>
      </c>
      <c r="BA33" s="386">
        <f t="shared" si="31"/>
        <v>0</v>
      </c>
      <c r="BB33" s="386">
        <f t="shared" si="0"/>
        <v>0</v>
      </c>
      <c r="BC33" s="386">
        <f t="shared" si="1"/>
        <v>0</v>
      </c>
      <c r="BD33" s="386">
        <f t="shared" si="2"/>
        <v>0</v>
      </c>
      <c r="BE33" s="386">
        <f t="shared" si="3"/>
        <v>0</v>
      </c>
      <c r="BF33" s="386">
        <f t="shared" si="4"/>
        <v>0</v>
      </c>
      <c r="BG33" s="386">
        <f t="shared" si="5"/>
        <v>0</v>
      </c>
      <c r="BH33" s="386">
        <f t="shared" si="6"/>
        <v>0</v>
      </c>
      <c r="BI33" s="386">
        <f t="shared" si="7"/>
        <v>0</v>
      </c>
      <c r="BJ33" s="386">
        <f t="shared" si="8"/>
        <v>0</v>
      </c>
      <c r="BK33" s="386">
        <f t="shared" si="9"/>
        <v>0</v>
      </c>
      <c r="BL33" s="386">
        <f t="shared" si="32"/>
        <v>0</v>
      </c>
      <c r="BM33" s="386">
        <f t="shared" si="33"/>
        <v>0</v>
      </c>
      <c r="BN33" s="386">
        <f t="shared" si="10"/>
        <v>0</v>
      </c>
      <c r="BO33" s="386">
        <f t="shared" si="11"/>
        <v>0</v>
      </c>
      <c r="BP33" s="386">
        <f t="shared" si="12"/>
        <v>0</v>
      </c>
      <c r="BQ33" s="386">
        <f t="shared" si="13"/>
        <v>0</v>
      </c>
      <c r="BR33" s="386">
        <f t="shared" si="14"/>
        <v>0</v>
      </c>
      <c r="BS33" s="386">
        <f t="shared" si="15"/>
        <v>0</v>
      </c>
      <c r="BT33" s="386">
        <f t="shared" si="16"/>
        <v>0</v>
      </c>
      <c r="BU33" s="386">
        <f t="shared" si="17"/>
        <v>0</v>
      </c>
      <c r="BV33" s="386">
        <f t="shared" si="18"/>
        <v>0</v>
      </c>
      <c r="BW33" s="386">
        <f t="shared" si="19"/>
        <v>0</v>
      </c>
      <c r="BX33" s="386">
        <f t="shared" si="34"/>
        <v>0</v>
      </c>
      <c r="BY33" s="386">
        <f t="shared" si="35"/>
        <v>0</v>
      </c>
      <c r="BZ33" s="386">
        <f t="shared" si="36"/>
        <v>0</v>
      </c>
      <c r="CA33" s="386">
        <f t="shared" si="37"/>
        <v>0</v>
      </c>
      <c r="CB33" s="386">
        <f t="shared" si="38"/>
        <v>0</v>
      </c>
      <c r="CC33" s="386">
        <f t="shared" si="20"/>
        <v>0</v>
      </c>
      <c r="CD33" s="386">
        <f t="shared" si="21"/>
        <v>0</v>
      </c>
      <c r="CE33" s="386">
        <f t="shared" si="22"/>
        <v>0</v>
      </c>
      <c r="CF33" s="386">
        <f t="shared" si="23"/>
        <v>0</v>
      </c>
      <c r="CG33" s="386">
        <f t="shared" si="24"/>
        <v>0</v>
      </c>
      <c r="CH33" s="386">
        <f t="shared" si="25"/>
        <v>0</v>
      </c>
      <c r="CI33" s="386">
        <f t="shared" si="26"/>
        <v>0</v>
      </c>
      <c r="CJ33" s="386">
        <f t="shared" si="39"/>
        <v>0</v>
      </c>
      <c r="CK33" s="386" t="str">
        <f t="shared" si="40"/>
        <v/>
      </c>
      <c r="CL33" s="386" t="str">
        <f t="shared" si="41"/>
        <v/>
      </c>
      <c r="CM33" s="386" t="str">
        <f t="shared" si="42"/>
        <v/>
      </c>
      <c r="CN33" s="386" t="str">
        <f t="shared" si="43"/>
        <v>0001-00</v>
      </c>
    </row>
    <row r="34" spans="1:92" ht="15.75" thickBot="1" x14ac:dyDescent="0.3">
      <c r="A34" s="376" t="s">
        <v>162</v>
      </c>
      <c r="B34" s="376" t="s">
        <v>163</v>
      </c>
      <c r="C34" s="376" t="s">
        <v>360</v>
      </c>
      <c r="D34" s="376" t="s">
        <v>292</v>
      </c>
      <c r="E34" s="376" t="s">
        <v>166</v>
      </c>
      <c r="F34" s="377" t="s">
        <v>167</v>
      </c>
      <c r="G34" s="376" t="s">
        <v>168</v>
      </c>
      <c r="H34" s="378"/>
      <c r="I34" s="378"/>
      <c r="J34" s="376" t="s">
        <v>169</v>
      </c>
      <c r="K34" s="376" t="s">
        <v>293</v>
      </c>
      <c r="L34" s="376" t="s">
        <v>171</v>
      </c>
      <c r="M34" s="376" t="s">
        <v>255</v>
      </c>
      <c r="N34" s="376" t="s">
        <v>173</v>
      </c>
      <c r="O34" s="379">
        <v>0</v>
      </c>
      <c r="P34" s="384">
        <v>1</v>
      </c>
      <c r="Q34" s="384">
        <v>1</v>
      </c>
      <c r="R34" s="380">
        <v>80</v>
      </c>
      <c r="S34" s="384">
        <v>1</v>
      </c>
      <c r="T34" s="380">
        <v>43861.64</v>
      </c>
      <c r="U34" s="380">
        <v>0</v>
      </c>
      <c r="V34" s="380">
        <v>18861.53</v>
      </c>
      <c r="W34" s="380">
        <v>52000</v>
      </c>
      <c r="X34" s="380">
        <v>23400</v>
      </c>
      <c r="Y34" s="380">
        <v>52000</v>
      </c>
      <c r="Z34" s="380">
        <v>24232</v>
      </c>
      <c r="AA34" s="378"/>
      <c r="AB34" s="376" t="s">
        <v>45</v>
      </c>
      <c r="AC34" s="376" t="s">
        <v>45</v>
      </c>
      <c r="AD34" s="378"/>
      <c r="AE34" s="378"/>
      <c r="AF34" s="378"/>
      <c r="AG34" s="378"/>
      <c r="AH34" s="379">
        <v>0</v>
      </c>
      <c r="AI34" s="379">
        <v>0</v>
      </c>
      <c r="AJ34" s="378"/>
      <c r="AK34" s="378"/>
      <c r="AL34" s="376" t="s">
        <v>182</v>
      </c>
      <c r="AM34" s="378"/>
      <c r="AN34" s="378"/>
      <c r="AO34" s="379">
        <v>0</v>
      </c>
      <c r="AP34" s="384">
        <v>0</v>
      </c>
      <c r="AQ34" s="384">
        <v>0</v>
      </c>
      <c r="AR34" s="383"/>
      <c r="AS34" s="386">
        <f t="shared" si="27"/>
        <v>0</v>
      </c>
      <c r="AT34">
        <f t="shared" si="28"/>
        <v>0</v>
      </c>
      <c r="AU34" s="386" t="str">
        <f>IF(AT34=0,"",IF(AND(AT34=1,M34="F",SUMIF(C2:C201,C34,AS2:AS201)&lt;=1),SUMIF(C2:C201,C34,AS2:AS201),IF(AND(AT34=1,M34="F",SUMIF(C2:C201,C34,AS2:AS201)&gt;1),1,"")))</f>
        <v/>
      </c>
      <c r="AV34" s="386" t="str">
        <f>IF(AT34=0,"",IF(AND(AT34=3,M34="F",SUMIF(C2:C201,C34,AS2:AS201)&lt;=1),SUMIF(C2:C201,C34,AS2:AS201),IF(AND(AT34=3,M34="F",SUMIF(C2:C201,C34,AS2:AS201)&gt;1),1,"")))</f>
        <v/>
      </c>
      <c r="AW34" s="386">
        <f>SUMIF(C2:C201,C34,O2:O201)</f>
        <v>0</v>
      </c>
      <c r="AX34" s="386">
        <f>IF(AND(M34="F",AS34&lt;&gt;0),SUMIF(C2:C201,C34,W2:W201),0)</f>
        <v>0</v>
      </c>
      <c r="AY34" s="386" t="str">
        <f t="shared" si="29"/>
        <v/>
      </c>
      <c r="AZ34" s="386" t="str">
        <f t="shared" si="30"/>
        <v/>
      </c>
      <c r="BA34" s="386">
        <f t="shared" si="31"/>
        <v>0</v>
      </c>
      <c r="BB34" s="386">
        <f t="shared" ref="BB34:BB65" si="44">IF(AND(AT34=1,AK34="E",AU34&gt;=0.75,AW34=1),Health,IF(AND(AT34=1,AK34="E",AU34&gt;=0.75),Health*P34,IF(AND(AT34=1,AK34="E",AU34&gt;=0.5,AW34=1),PTHealth,IF(AND(AT34=1,AK34="E",AU34&gt;=0.5),PTHealth*P34,0))))</f>
        <v>0</v>
      </c>
      <c r="BC34" s="386">
        <f t="shared" ref="BC34:BC65" si="45">IF(AND(AT34=3,AK34="E",AV34&gt;=0.75,AW34=1),Health,IF(AND(AT34=3,AK34="E",AV34&gt;=0.75),Health*P34,IF(AND(AT34=3,AK34="E",AV34&gt;=0.5,AW34=1),PTHealth,IF(AND(AT34=3,AK34="E",AV34&gt;=0.5),PTHealth*P34,0))))</f>
        <v>0</v>
      </c>
      <c r="BD34" s="386">
        <f t="shared" ref="BD34:BD65" si="46">IF(AND(AT34&lt;&gt;0,AX34&gt;=MAXSSDI),SSDI*MAXSSDI*P34,IF(AT34&lt;&gt;0,SSDI*W34,0))</f>
        <v>0</v>
      </c>
      <c r="BE34" s="386">
        <f t="shared" ref="BE34:BE65" si="47">IF(AT34&lt;&gt;0,SSHI*W34,0)</f>
        <v>0</v>
      </c>
      <c r="BF34" s="386">
        <f t="shared" ref="BF34:BF65" si="48">IF(AND(AT34&lt;&gt;0,AN34&lt;&gt;"NE"),VLOOKUP(AN34,Retirement_Rates,3,FALSE)*W34,0)</f>
        <v>0</v>
      </c>
      <c r="BG34" s="386">
        <f t="shared" ref="BG34:BG65" si="49">IF(AND(AT34&lt;&gt;0,AJ34&lt;&gt;"PF"),Life*W34,0)</f>
        <v>0</v>
      </c>
      <c r="BH34" s="386">
        <f t="shared" ref="BH34:BH65" si="50">IF(AND(AT34&lt;&gt;0,AM34="Y"),UI*W34,0)</f>
        <v>0</v>
      </c>
      <c r="BI34" s="386">
        <f t="shared" ref="BI34:BI65" si="51">IF(AND(AT34&lt;&gt;0,N34&lt;&gt;"NR"),DHR*W34,0)</f>
        <v>0</v>
      </c>
      <c r="BJ34" s="386">
        <f t="shared" ref="BJ34:BJ65" si="52">IF(AT34&lt;&gt;0,WC*W34,0)</f>
        <v>0</v>
      </c>
      <c r="BK34" s="386">
        <f t="shared" ref="BK34:BK65" si="53">IF(OR(AND(AT34&lt;&gt;0,AJ34&lt;&gt;"PF",AN34&lt;&gt;"NE",AG34&lt;&gt;"A"),AND(AL34="E",OR(AT34=1,AT34=3))),Sick*W34,0)</f>
        <v>0</v>
      </c>
      <c r="BL34" s="386">
        <f t="shared" si="32"/>
        <v>0</v>
      </c>
      <c r="BM34" s="386">
        <f t="shared" si="33"/>
        <v>0</v>
      </c>
      <c r="BN34" s="386">
        <f t="shared" ref="BN34:BN65" si="54">IF(AND(AT34=1,AK34="E",AU34&gt;=0.75,AW34=1),HealthBY,IF(AND(AT34=1,AK34="E",AU34&gt;=0.75),HealthBY*P34,IF(AND(AT34=1,AK34="E",AU34&gt;=0.5,AW34=1),PTHealthBY,IF(AND(AT34=1,AK34="E",AU34&gt;=0.5),PTHealthBY*P34,0))))</f>
        <v>0</v>
      </c>
      <c r="BO34" s="386">
        <f t="shared" ref="BO34:BO65" si="55">IF(AND(AT34=3,AK34="E",AV34&gt;=0.75,AW34=1),HealthBY,IF(AND(AT34=3,AK34="E",AV34&gt;=0.75),HealthBY*P34,IF(AND(AT34=3,AK34="E",AV34&gt;=0.5,AW34=1),PTHealthBY,IF(AND(AT34=3,AK34="E",AV34&gt;=0.5),PTHealthBY*P34,0))))</f>
        <v>0</v>
      </c>
      <c r="BP34" s="386">
        <f t="shared" ref="BP34:BP65" si="56">IF(AND(AT34&lt;&gt;0,(AX34+BA34)&gt;=MAXSSDIBY),SSDIBY*MAXSSDIBY*P34,IF(AT34&lt;&gt;0,SSDIBY*W34,0))</f>
        <v>0</v>
      </c>
      <c r="BQ34" s="386">
        <f t="shared" ref="BQ34:BQ65" si="57">IF(AT34&lt;&gt;0,SSHIBY*W34,0)</f>
        <v>0</v>
      </c>
      <c r="BR34" s="386">
        <f t="shared" ref="BR34:BR65" si="58">IF(AND(AT34&lt;&gt;0,AN34&lt;&gt;"NE"),VLOOKUP(AN34,Retirement_Rates,4,FALSE)*W34,0)</f>
        <v>0</v>
      </c>
      <c r="BS34" s="386">
        <f t="shared" ref="BS34:BS65" si="59">IF(AND(AT34&lt;&gt;0,AJ34&lt;&gt;"PF"),LifeBY*W34,0)</f>
        <v>0</v>
      </c>
      <c r="BT34" s="386">
        <f t="shared" ref="BT34:BT65" si="60">IF(AND(AT34&lt;&gt;0,AM34="Y"),UIBY*W34,0)</f>
        <v>0</v>
      </c>
      <c r="BU34" s="386">
        <f t="shared" ref="BU34:BU65" si="61">IF(AND(AT34&lt;&gt;0,N34&lt;&gt;"NR"),DHRBY*W34,0)</f>
        <v>0</v>
      </c>
      <c r="BV34" s="386">
        <f t="shared" ref="BV34:BV65" si="62">IF(AT34&lt;&gt;0,WCBY*W34,0)</f>
        <v>0</v>
      </c>
      <c r="BW34" s="386">
        <f t="shared" ref="BW34:BW65" si="63">IF(OR(AND(AT34&lt;&gt;0,AJ34&lt;&gt;"PF",AN34&lt;&gt;"NE",AG34&lt;&gt;"A"),AND(AL34="E",OR(AT34=1,AT34=3))),SickBY*W34,0)</f>
        <v>0</v>
      </c>
      <c r="BX34" s="386">
        <f t="shared" si="34"/>
        <v>0</v>
      </c>
      <c r="BY34" s="386">
        <f t="shared" si="35"/>
        <v>0</v>
      </c>
      <c r="BZ34" s="386">
        <f t="shared" si="36"/>
        <v>0</v>
      </c>
      <c r="CA34" s="386">
        <f t="shared" si="37"/>
        <v>0</v>
      </c>
      <c r="CB34" s="386">
        <f t="shared" si="38"/>
        <v>0</v>
      </c>
      <c r="CC34" s="386">
        <f t="shared" ref="CC34:CC65" si="64">IF(AT34&lt;&gt;0,SSHICHG*Y34,0)</f>
        <v>0</v>
      </c>
      <c r="CD34" s="386">
        <f t="shared" ref="CD34:CD65" si="65">IF(AND(AT34&lt;&gt;0,AN34&lt;&gt;"NE"),VLOOKUP(AN34,Retirement_Rates,5,FALSE)*Y34,0)</f>
        <v>0</v>
      </c>
      <c r="CE34" s="386">
        <f t="shared" ref="CE34:CE65" si="66">IF(AND(AT34&lt;&gt;0,AJ34&lt;&gt;"PF"),LifeCHG*Y34,0)</f>
        <v>0</v>
      </c>
      <c r="CF34" s="386">
        <f t="shared" ref="CF34:CF65" si="67">IF(AND(AT34&lt;&gt;0,AM34="Y"),UICHG*Y34,0)</f>
        <v>0</v>
      </c>
      <c r="CG34" s="386">
        <f t="shared" ref="CG34:CG65" si="68">IF(AND(AT34&lt;&gt;0,N34&lt;&gt;"NR"),DHRCHG*Y34,0)</f>
        <v>0</v>
      </c>
      <c r="CH34" s="386">
        <f t="shared" ref="CH34:CH65" si="69">IF(AT34&lt;&gt;0,WCCHG*Y34,0)</f>
        <v>0</v>
      </c>
      <c r="CI34" s="386">
        <f t="shared" ref="CI34:CI65" si="70">IF(OR(AND(AT34&lt;&gt;0,AJ34&lt;&gt;"PF",AN34&lt;&gt;"NE",AG34&lt;&gt;"A"),AND(AL34="E",OR(AT34=1,AT34=3))),SickCHG*Y34,0)</f>
        <v>0</v>
      </c>
      <c r="CJ34" s="386">
        <f t="shared" si="39"/>
        <v>0</v>
      </c>
      <c r="CK34" s="386" t="str">
        <f t="shared" si="40"/>
        <v/>
      </c>
      <c r="CL34" s="386" t="str">
        <f t="shared" si="41"/>
        <v/>
      </c>
      <c r="CM34" s="386" t="str">
        <f t="shared" si="42"/>
        <v/>
      </c>
      <c r="CN34" s="386" t="str">
        <f t="shared" si="43"/>
        <v>0001-00</v>
      </c>
    </row>
    <row r="35" spans="1:92" ht="15.75" thickBot="1" x14ac:dyDescent="0.3">
      <c r="A35" s="376" t="s">
        <v>162</v>
      </c>
      <c r="B35" s="376" t="s">
        <v>163</v>
      </c>
      <c r="C35" s="376" t="s">
        <v>361</v>
      </c>
      <c r="D35" s="376" t="s">
        <v>165</v>
      </c>
      <c r="E35" s="376" t="s">
        <v>166</v>
      </c>
      <c r="F35" s="377" t="s">
        <v>167</v>
      </c>
      <c r="G35" s="376" t="s">
        <v>168</v>
      </c>
      <c r="H35" s="378"/>
      <c r="I35" s="378"/>
      <c r="J35" s="376" t="s">
        <v>169</v>
      </c>
      <c r="K35" s="376" t="s">
        <v>170</v>
      </c>
      <c r="L35" s="376" t="s">
        <v>171</v>
      </c>
      <c r="M35" s="376" t="s">
        <v>172</v>
      </c>
      <c r="N35" s="376" t="s">
        <v>173</v>
      </c>
      <c r="O35" s="379">
        <v>1</v>
      </c>
      <c r="P35" s="384">
        <v>0</v>
      </c>
      <c r="Q35" s="384">
        <v>0</v>
      </c>
      <c r="R35" s="380">
        <v>80</v>
      </c>
      <c r="S35" s="384">
        <v>0</v>
      </c>
      <c r="T35" s="380">
        <v>2000</v>
      </c>
      <c r="U35" s="380">
        <v>0</v>
      </c>
      <c r="V35" s="380">
        <v>584.29999999999995</v>
      </c>
      <c r="W35" s="380">
        <v>0</v>
      </c>
      <c r="X35" s="380">
        <v>0</v>
      </c>
      <c r="Y35" s="380">
        <v>0</v>
      </c>
      <c r="Z35" s="380">
        <v>0</v>
      </c>
      <c r="AA35" s="376" t="s">
        <v>362</v>
      </c>
      <c r="AB35" s="376" t="s">
        <v>363</v>
      </c>
      <c r="AC35" s="376" t="s">
        <v>364</v>
      </c>
      <c r="AD35" s="376" t="s">
        <v>290</v>
      </c>
      <c r="AE35" s="376" t="s">
        <v>170</v>
      </c>
      <c r="AF35" s="376" t="s">
        <v>178</v>
      </c>
      <c r="AG35" s="376" t="s">
        <v>179</v>
      </c>
      <c r="AH35" s="381">
        <v>42.03</v>
      </c>
      <c r="AI35" s="381">
        <v>34061.800000000003</v>
      </c>
      <c r="AJ35" s="376" t="s">
        <v>180</v>
      </c>
      <c r="AK35" s="376" t="s">
        <v>181</v>
      </c>
      <c r="AL35" s="376" t="s">
        <v>182</v>
      </c>
      <c r="AM35" s="376" t="s">
        <v>183</v>
      </c>
      <c r="AN35" s="376" t="s">
        <v>66</v>
      </c>
      <c r="AO35" s="379">
        <v>80</v>
      </c>
      <c r="AP35" s="384">
        <v>1</v>
      </c>
      <c r="AQ35" s="384">
        <v>0</v>
      </c>
      <c r="AR35" s="382" t="s">
        <v>184</v>
      </c>
      <c r="AS35" s="386">
        <f t="shared" si="27"/>
        <v>0</v>
      </c>
      <c r="AT35">
        <f t="shared" si="28"/>
        <v>0</v>
      </c>
      <c r="AU35" s="386" t="str">
        <f>IF(AT35=0,"",IF(AND(AT35=1,M35="F",SUMIF(C2:C201,C35,AS2:AS201)&lt;=1),SUMIF(C2:C201,C35,AS2:AS201),IF(AND(AT35=1,M35="F",SUMIF(C2:C201,C35,AS2:AS201)&gt;1),1,"")))</f>
        <v/>
      </c>
      <c r="AV35" s="386" t="str">
        <f>IF(AT35=0,"",IF(AND(AT35=3,M35="F",SUMIF(C2:C201,C35,AS2:AS201)&lt;=1),SUMIF(C2:C201,C35,AS2:AS201),IF(AND(AT35=3,M35="F",SUMIF(C2:C201,C35,AS2:AS201)&gt;1),1,"")))</f>
        <v/>
      </c>
      <c r="AW35" s="386">
        <f>SUMIF(C2:C201,C35,O2:O201)</f>
        <v>3</v>
      </c>
      <c r="AX35" s="386">
        <f>IF(AND(M35="F",AS35&lt;&gt;0),SUMIF(C2:C201,C35,W2:W201),0)</f>
        <v>0</v>
      </c>
      <c r="AY35" s="386" t="str">
        <f t="shared" si="29"/>
        <v/>
      </c>
      <c r="AZ35" s="386" t="str">
        <f t="shared" si="30"/>
        <v/>
      </c>
      <c r="BA35" s="386">
        <f t="shared" si="31"/>
        <v>0</v>
      </c>
      <c r="BB35" s="386">
        <f t="shared" si="44"/>
        <v>0</v>
      </c>
      <c r="BC35" s="386">
        <f t="shared" si="45"/>
        <v>0</v>
      </c>
      <c r="BD35" s="386">
        <f t="shared" si="46"/>
        <v>0</v>
      </c>
      <c r="BE35" s="386">
        <f t="shared" si="47"/>
        <v>0</v>
      </c>
      <c r="BF35" s="386">
        <f t="shared" si="48"/>
        <v>0</v>
      </c>
      <c r="BG35" s="386">
        <f t="shared" si="49"/>
        <v>0</v>
      </c>
      <c r="BH35" s="386">
        <f t="shared" si="50"/>
        <v>0</v>
      </c>
      <c r="BI35" s="386">
        <f t="shared" si="51"/>
        <v>0</v>
      </c>
      <c r="BJ35" s="386">
        <f t="shared" si="52"/>
        <v>0</v>
      </c>
      <c r="BK35" s="386">
        <f t="shared" si="53"/>
        <v>0</v>
      </c>
      <c r="BL35" s="386">
        <f t="shared" si="32"/>
        <v>0</v>
      </c>
      <c r="BM35" s="386">
        <f t="shared" si="33"/>
        <v>0</v>
      </c>
      <c r="BN35" s="386">
        <f t="shared" si="54"/>
        <v>0</v>
      </c>
      <c r="BO35" s="386">
        <f t="shared" si="55"/>
        <v>0</v>
      </c>
      <c r="BP35" s="386">
        <f t="shared" si="56"/>
        <v>0</v>
      </c>
      <c r="BQ35" s="386">
        <f t="shared" si="57"/>
        <v>0</v>
      </c>
      <c r="BR35" s="386">
        <f t="shared" si="58"/>
        <v>0</v>
      </c>
      <c r="BS35" s="386">
        <f t="shared" si="59"/>
        <v>0</v>
      </c>
      <c r="BT35" s="386">
        <f t="shared" si="60"/>
        <v>0</v>
      </c>
      <c r="BU35" s="386">
        <f t="shared" si="61"/>
        <v>0</v>
      </c>
      <c r="BV35" s="386">
        <f t="shared" si="62"/>
        <v>0</v>
      </c>
      <c r="BW35" s="386">
        <f t="shared" si="63"/>
        <v>0</v>
      </c>
      <c r="BX35" s="386">
        <f t="shared" si="34"/>
        <v>0</v>
      </c>
      <c r="BY35" s="386">
        <f t="shared" si="35"/>
        <v>0</v>
      </c>
      <c r="BZ35" s="386">
        <f t="shared" si="36"/>
        <v>0</v>
      </c>
      <c r="CA35" s="386">
        <f t="shared" si="37"/>
        <v>0</v>
      </c>
      <c r="CB35" s="386">
        <f t="shared" si="38"/>
        <v>0</v>
      </c>
      <c r="CC35" s="386">
        <f t="shared" si="64"/>
        <v>0</v>
      </c>
      <c r="CD35" s="386">
        <f t="shared" si="65"/>
        <v>0</v>
      </c>
      <c r="CE35" s="386">
        <f t="shared" si="66"/>
        <v>0</v>
      </c>
      <c r="CF35" s="386">
        <f t="shared" si="67"/>
        <v>0</v>
      </c>
      <c r="CG35" s="386">
        <f t="shared" si="68"/>
        <v>0</v>
      </c>
      <c r="CH35" s="386">
        <f t="shared" si="69"/>
        <v>0</v>
      </c>
      <c r="CI35" s="386">
        <f t="shared" si="70"/>
        <v>0</v>
      </c>
      <c r="CJ35" s="386">
        <f t="shared" si="39"/>
        <v>0</v>
      </c>
      <c r="CK35" s="386" t="str">
        <f t="shared" si="40"/>
        <v/>
      </c>
      <c r="CL35" s="386" t="str">
        <f t="shared" si="41"/>
        <v/>
      </c>
      <c r="CM35" s="386" t="str">
        <f t="shared" si="42"/>
        <v/>
      </c>
      <c r="CN35" s="386" t="str">
        <f t="shared" si="43"/>
        <v>0001-00</v>
      </c>
    </row>
    <row r="36" spans="1:92" ht="15.75" thickBot="1" x14ac:dyDescent="0.3">
      <c r="A36" s="376" t="s">
        <v>162</v>
      </c>
      <c r="B36" s="376" t="s">
        <v>163</v>
      </c>
      <c r="C36" s="376" t="s">
        <v>365</v>
      </c>
      <c r="D36" s="376" t="s">
        <v>165</v>
      </c>
      <c r="E36" s="376" t="s">
        <v>166</v>
      </c>
      <c r="F36" s="377" t="s">
        <v>167</v>
      </c>
      <c r="G36" s="376" t="s">
        <v>168</v>
      </c>
      <c r="H36" s="378"/>
      <c r="I36" s="378"/>
      <c r="J36" s="376" t="s">
        <v>169</v>
      </c>
      <c r="K36" s="376" t="s">
        <v>193</v>
      </c>
      <c r="L36" s="376" t="s">
        <v>194</v>
      </c>
      <c r="M36" s="376" t="s">
        <v>172</v>
      </c>
      <c r="N36" s="376" t="s">
        <v>173</v>
      </c>
      <c r="O36" s="379">
        <v>1</v>
      </c>
      <c r="P36" s="384">
        <v>0</v>
      </c>
      <c r="Q36" s="384">
        <v>0</v>
      </c>
      <c r="R36" s="380">
        <v>80</v>
      </c>
      <c r="S36" s="384">
        <v>0</v>
      </c>
      <c r="T36" s="380">
        <v>7000</v>
      </c>
      <c r="U36" s="380">
        <v>0</v>
      </c>
      <c r="V36" s="380">
        <v>1785.37</v>
      </c>
      <c r="W36" s="380">
        <v>0</v>
      </c>
      <c r="X36" s="380">
        <v>0</v>
      </c>
      <c r="Y36" s="380">
        <v>0</v>
      </c>
      <c r="Z36" s="380">
        <v>0</v>
      </c>
      <c r="AA36" s="376" t="s">
        <v>366</v>
      </c>
      <c r="AB36" s="376" t="s">
        <v>367</v>
      </c>
      <c r="AC36" s="376" t="s">
        <v>368</v>
      </c>
      <c r="AD36" s="376" t="s">
        <v>290</v>
      </c>
      <c r="AE36" s="376" t="s">
        <v>193</v>
      </c>
      <c r="AF36" s="376" t="s">
        <v>178</v>
      </c>
      <c r="AG36" s="376" t="s">
        <v>179</v>
      </c>
      <c r="AH36" s="381">
        <v>29.37</v>
      </c>
      <c r="AI36" s="381">
        <v>51911.6</v>
      </c>
      <c r="AJ36" s="376" t="s">
        <v>180</v>
      </c>
      <c r="AK36" s="376" t="s">
        <v>181</v>
      </c>
      <c r="AL36" s="376" t="s">
        <v>182</v>
      </c>
      <c r="AM36" s="376" t="s">
        <v>183</v>
      </c>
      <c r="AN36" s="376" t="s">
        <v>66</v>
      </c>
      <c r="AO36" s="379">
        <v>80</v>
      </c>
      <c r="AP36" s="384">
        <v>1</v>
      </c>
      <c r="AQ36" s="384">
        <v>0</v>
      </c>
      <c r="AR36" s="382" t="s">
        <v>184</v>
      </c>
      <c r="AS36" s="386">
        <f t="shared" si="27"/>
        <v>0</v>
      </c>
      <c r="AT36">
        <f t="shared" si="28"/>
        <v>0</v>
      </c>
      <c r="AU36" s="386" t="str">
        <f>IF(AT36=0,"",IF(AND(AT36=1,M36="F",SUMIF(C2:C201,C36,AS2:AS201)&lt;=1),SUMIF(C2:C201,C36,AS2:AS201),IF(AND(AT36=1,M36="F",SUMIF(C2:C201,C36,AS2:AS201)&gt;1),1,"")))</f>
        <v/>
      </c>
      <c r="AV36" s="386" t="str">
        <f>IF(AT36=0,"",IF(AND(AT36=3,M36="F",SUMIF(C2:C201,C36,AS2:AS201)&lt;=1),SUMIF(C2:C201,C36,AS2:AS201),IF(AND(AT36=3,M36="F",SUMIF(C2:C201,C36,AS2:AS201)&gt;1),1,"")))</f>
        <v/>
      </c>
      <c r="AW36" s="386">
        <f>SUMIF(C2:C201,C36,O2:O201)</f>
        <v>3</v>
      </c>
      <c r="AX36" s="386">
        <f>IF(AND(M36="F",AS36&lt;&gt;0),SUMIF(C2:C201,C36,W2:W201),0)</f>
        <v>0</v>
      </c>
      <c r="AY36" s="386" t="str">
        <f t="shared" si="29"/>
        <v/>
      </c>
      <c r="AZ36" s="386" t="str">
        <f t="shared" si="30"/>
        <v/>
      </c>
      <c r="BA36" s="386">
        <f t="shared" si="31"/>
        <v>0</v>
      </c>
      <c r="BB36" s="386">
        <f t="shared" si="44"/>
        <v>0</v>
      </c>
      <c r="BC36" s="386">
        <f t="shared" si="45"/>
        <v>0</v>
      </c>
      <c r="BD36" s="386">
        <f t="shared" si="46"/>
        <v>0</v>
      </c>
      <c r="BE36" s="386">
        <f t="shared" si="47"/>
        <v>0</v>
      </c>
      <c r="BF36" s="386">
        <f t="shared" si="48"/>
        <v>0</v>
      </c>
      <c r="BG36" s="386">
        <f t="shared" si="49"/>
        <v>0</v>
      </c>
      <c r="BH36" s="386">
        <f t="shared" si="50"/>
        <v>0</v>
      </c>
      <c r="BI36" s="386">
        <f t="shared" si="51"/>
        <v>0</v>
      </c>
      <c r="BJ36" s="386">
        <f t="shared" si="52"/>
        <v>0</v>
      </c>
      <c r="BK36" s="386">
        <f t="shared" si="53"/>
        <v>0</v>
      </c>
      <c r="BL36" s="386">
        <f t="shared" si="32"/>
        <v>0</v>
      </c>
      <c r="BM36" s="386">
        <f t="shared" si="33"/>
        <v>0</v>
      </c>
      <c r="BN36" s="386">
        <f t="shared" si="54"/>
        <v>0</v>
      </c>
      <c r="BO36" s="386">
        <f t="shared" si="55"/>
        <v>0</v>
      </c>
      <c r="BP36" s="386">
        <f t="shared" si="56"/>
        <v>0</v>
      </c>
      <c r="BQ36" s="386">
        <f t="shared" si="57"/>
        <v>0</v>
      </c>
      <c r="BR36" s="386">
        <f t="shared" si="58"/>
        <v>0</v>
      </c>
      <c r="BS36" s="386">
        <f t="shared" si="59"/>
        <v>0</v>
      </c>
      <c r="BT36" s="386">
        <f t="shared" si="60"/>
        <v>0</v>
      </c>
      <c r="BU36" s="386">
        <f t="shared" si="61"/>
        <v>0</v>
      </c>
      <c r="BV36" s="386">
        <f t="shared" si="62"/>
        <v>0</v>
      </c>
      <c r="BW36" s="386">
        <f t="shared" si="63"/>
        <v>0</v>
      </c>
      <c r="BX36" s="386">
        <f t="shared" si="34"/>
        <v>0</v>
      </c>
      <c r="BY36" s="386">
        <f t="shared" si="35"/>
        <v>0</v>
      </c>
      <c r="BZ36" s="386">
        <f t="shared" si="36"/>
        <v>0</v>
      </c>
      <c r="CA36" s="386">
        <f t="shared" si="37"/>
        <v>0</v>
      </c>
      <c r="CB36" s="386">
        <f t="shared" si="38"/>
        <v>0</v>
      </c>
      <c r="CC36" s="386">
        <f t="shared" si="64"/>
        <v>0</v>
      </c>
      <c r="CD36" s="386">
        <f t="shared" si="65"/>
        <v>0</v>
      </c>
      <c r="CE36" s="386">
        <f t="shared" si="66"/>
        <v>0</v>
      </c>
      <c r="CF36" s="386">
        <f t="shared" si="67"/>
        <v>0</v>
      </c>
      <c r="CG36" s="386">
        <f t="shared" si="68"/>
        <v>0</v>
      </c>
      <c r="CH36" s="386">
        <f t="shared" si="69"/>
        <v>0</v>
      </c>
      <c r="CI36" s="386">
        <f t="shared" si="70"/>
        <v>0</v>
      </c>
      <c r="CJ36" s="386">
        <f t="shared" si="39"/>
        <v>0</v>
      </c>
      <c r="CK36" s="386" t="str">
        <f t="shared" si="40"/>
        <v/>
      </c>
      <c r="CL36" s="386" t="str">
        <f t="shared" si="41"/>
        <v/>
      </c>
      <c r="CM36" s="386" t="str">
        <f t="shared" si="42"/>
        <v/>
      </c>
      <c r="CN36" s="386" t="str">
        <f t="shared" si="43"/>
        <v>0001-00</v>
      </c>
    </row>
    <row r="37" spans="1:92" ht="15.75" thickBot="1" x14ac:dyDescent="0.3">
      <c r="A37" s="376" t="s">
        <v>162</v>
      </c>
      <c r="B37" s="376" t="s">
        <v>163</v>
      </c>
      <c r="C37" s="376" t="s">
        <v>369</v>
      </c>
      <c r="D37" s="376" t="s">
        <v>165</v>
      </c>
      <c r="E37" s="376" t="s">
        <v>166</v>
      </c>
      <c r="F37" s="377" t="s">
        <v>167</v>
      </c>
      <c r="G37" s="376" t="s">
        <v>168</v>
      </c>
      <c r="H37" s="378"/>
      <c r="I37" s="378"/>
      <c r="J37" s="376" t="s">
        <v>169</v>
      </c>
      <c r="K37" s="376" t="s">
        <v>206</v>
      </c>
      <c r="L37" s="376" t="s">
        <v>198</v>
      </c>
      <c r="M37" s="376" t="s">
        <v>172</v>
      </c>
      <c r="N37" s="376" t="s">
        <v>173</v>
      </c>
      <c r="O37" s="379">
        <v>1</v>
      </c>
      <c r="P37" s="384">
        <v>0</v>
      </c>
      <c r="Q37" s="384">
        <v>0</v>
      </c>
      <c r="R37" s="380">
        <v>80</v>
      </c>
      <c r="S37" s="384">
        <v>0</v>
      </c>
      <c r="T37" s="380">
        <v>5000</v>
      </c>
      <c r="U37" s="380">
        <v>0</v>
      </c>
      <c r="V37" s="380">
        <v>1349.51</v>
      </c>
      <c r="W37" s="380">
        <v>0</v>
      </c>
      <c r="X37" s="380">
        <v>0</v>
      </c>
      <c r="Y37" s="380">
        <v>0</v>
      </c>
      <c r="Z37" s="380">
        <v>0</v>
      </c>
      <c r="AA37" s="376" t="s">
        <v>370</v>
      </c>
      <c r="AB37" s="376" t="s">
        <v>371</v>
      </c>
      <c r="AC37" s="376" t="s">
        <v>372</v>
      </c>
      <c r="AD37" s="376" t="s">
        <v>198</v>
      </c>
      <c r="AE37" s="376" t="s">
        <v>193</v>
      </c>
      <c r="AF37" s="376" t="s">
        <v>178</v>
      </c>
      <c r="AG37" s="376" t="s">
        <v>179</v>
      </c>
      <c r="AH37" s="381">
        <v>29.84</v>
      </c>
      <c r="AI37" s="381">
        <v>13371.8</v>
      </c>
      <c r="AJ37" s="376" t="s">
        <v>180</v>
      </c>
      <c r="AK37" s="376" t="s">
        <v>181</v>
      </c>
      <c r="AL37" s="376" t="s">
        <v>182</v>
      </c>
      <c r="AM37" s="376" t="s">
        <v>183</v>
      </c>
      <c r="AN37" s="376" t="s">
        <v>66</v>
      </c>
      <c r="AO37" s="379">
        <v>80</v>
      </c>
      <c r="AP37" s="384">
        <v>1</v>
      </c>
      <c r="AQ37" s="384">
        <v>0</v>
      </c>
      <c r="AR37" s="382" t="s">
        <v>184</v>
      </c>
      <c r="AS37" s="386">
        <f t="shared" si="27"/>
        <v>0</v>
      </c>
      <c r="AT37">
        <f t="shared" si="28"/>
        <v>0</v>
      </c>
      <c r="AU37" s="386" t="str">
        <f>IF(AT37=0,"",IF(AND(AT37=1,M37="F",SUMIF(C2:C201,C37,AS2:AS201)&lt;=1),SUMIF(C2:C201,C37,AS2:AS201),IF(AND(AT37=1,M37="F",SUMIF(C2:C201,C37,AS2:AS201)&gt;1),1,"")))</f>
        <v/>
      </c>
      <c r="AV37" s="386" t="str">
        <f>IF(AT37=0,"",IF(AND(AT37=3,M37="F",SUMIF(C2:C201,C37,AS2:AS201)&lt;=1),SUMIF(C2:C201,C37,AS2:AS201),IF(AND(AT37=3,M37="F",SUMIF(C2:C201,C37,AS2:AS201)&gt;1),1,"")))</f>
        <v/>
      </c>
      <c r="AW37" s="386">
        <f>SUMIF(C2:C201,C37,O2:O201)</f>
        <v>3</v>
      </c>
      <c r="AX37" s="386">
        <f>IF(AND(M37="F",AS37&lt;&gt;0),SUMIF(C2:C201,C37,W2:W201),0)</f>
        <v>0</v>
      </c>
      <c r="AY37" s="386" t="str">
        <f t="shared" si="29"/>
        <v/>
      </c>
      <c r="AZ37" s="386" t="str">
        <f t="shared" si="30"/>
        <v/>
      </c>
      <c r="BA37" s="386">
        <f t="shared" si="31"/>
        <v>0</v>
      </c>
      <c r="BB37" s="386">
        <f t="shared" si="44"/>
        <v>0</v>
      </c>
      <c r="BC37" s="386">
        <f t="shared" si="45"/>
        <v>0</v>
      </c>
      <c r="BD37" s="386">
        <f t="shared" si="46"/>
        <v>0</v>
      </c>
      <c r="BE37" s="386">
        <f t="shared" si="47"/>
        <v>0</v>
      </c>
      <c r="BF37" s="386">
        <f t="shared" si="48"/>
        <v>0</v>
      </c>
      <c r="BG37" s="386">
        <f t="shared" si="49"/>
        <v>0</v>
      </c>
      <c r="BH37" s="386">
        <f t="shared" si="50"/>
        <v>0</v>
      </c>
      <c r="BI37" s="386">
        <f t="shared" si="51"/>
        <v>0</v>
      </c>
      <c r="BJ37" s="386">
        <f t="shared" si="52"/>
        <v>0</v>
      </c>
      <c r="BK37" s="386">
        <f t="shared" si="53"/>
        <v>0</v>
      </c>
      <c r="BL37" s="386">
        <f t="shared" si="32"/>
        <v>0</v>
      </c>
      <c r="BM37" s="386">
        <f t="shared" si="33"/>
        <v>0</v>
      </c>
      <c r="BN37" s="386">
        <f t="shared" si="54"/>
        <v>0</v>
      </c>
      <c r="BO37" s="386">
        <f t="shared" si="55"/>
        <v>0</v>
      </c>
      <c r="BP37" s="386">
        <f t="shared" si="56"/>
        <v>0</v>
      </c>
      <c r="BQ37" s="386">
        <f t="shared" si="57"/>
        <v>0</v>
      </c>
      <c r="BR37" s="386">
        <f t="shared" si="58"/>
        <v>0</v>
      </c>
      <c r="BS37" s="386">
        <f t="shared" si="59"/>
        <v>0</v>
      </c>
      <c r="BT37" s="386">
        <f t="shared" si="60"/>
        <v>0</v>
      </c>
      <c r="BU37" s="386">
        <f t="shared" si="61"/>
        <v>0</v>
      </c>
      <c r="BV37" s="386">
        <f t="shared" si="62"/>
        <v>0</v>
      </c>
      <c r="BW37" s="386">
        <f t="shared" si="63"/>
        <v>0</v>
      </c>
      <c r="BX37" s="386">
        <f t="shared" si="34"/>
        <v>0</v>
      </c>
      <c r="BY37" s="386">
        <f t="shared" si="35"/>
        <v>0</v>
      </c>
      <c r="BZ37" s="386">
        <f t="shared" si="36"/>
        <v>0</v>
      </c>
      <c r="CA37" s="386">
        <f t="shared" si="37"/>
        <v>0</v>
      </c>
      <c r="CB37" s="386">
        <f t="shared" si="38"/>
        <v>0</v>
      </c>
      <c r="CC37" s="386">
        <f t="shared" si="64"/>
        <v>0</v>
      </c>
      <c r="CD37" s="386">
        <f t="shared" si="65"/>
        <v>0</v>
      </c>
      <c r="CE37" s="386">
        <f t="shared" si="66"/>
        <v>0</v>
      </c>
      <c r="CF37" s="386">
        <f t="shared" si="67"/>
        <v>0</v>
      </c>
      <c r="CG37" s="386">
        <f t="shared" si="68"/>
        <v>0</v>
      </c>
      <c r="CH37" s="386">
        <f t="shared" si="69"/>
        <v>0</v>
      </c>
      <c r="CI37" s="386">
        <f t="shared" si="70"/>
        <v>0</v>
      </c>
      <c r="CJ37" s="386">
        <f t="shared" si="39"/>
        <v>0</v>
      </c>
      <c r="CK37" s="386" t="str">
        <f t="shared" si="40"/>
        <v/>
      </c>
      <c r="CL37" s="386" t="str">
        <f t="shared" si="41"/>
        <v/>
      </c>
      <c r="CM37" s="386" t="str">
        <f t="shared" si="42"/>
        <v/>
      </c>
      <c r="CN37" s="386" t="str">
        <f t="shared" si="43"/>
        <v>0001-00</v>
      </c>
    </row>
    <row r="38" spans="1:92" ht="15.75" thickBot="1" x14ac:dyDescent="0.3">
      <c r="A38" s="376" t="s">
        <v>162</v>
      </c>
      <c r="B38" s="376" t="s">
        <v>163</v>
      </c>
      <c r="C38" s="376" t="s">
        <v>361</v>
      </c>
      <c r="D38" s="376" t="s">
        <v>165</v>
      </c>
      <c r="E38" s="376" t="s">
        <v>166</v>
      </c>
      <c r="F38" s="377" t="s">
        <v>167</v>
      </c>
      <c r="G38" s="376" t="s">
        <v>373</v>
      </c>
      <c r="H38" s="378"/>
      <c r="I38" s="378"/>
      <c r="J38" s="376" t="s">
        <v>169</v>
      </c>
      <c r="K38" s="376" t="s">
        <v>170</v>
      </c>
      <c r="L38" s="376" t="s">
        <v>171</v>
      </c>
      <c r="M38" s="376" t="s">
        <v>172</v>
      </c>
      <c r="N38" s="376" t="s">
        <v>173</v>
      </c>
      <c r="O38" s="379">
        <v>1</v>
      </c>
      <c r="P38" s="384">
        <v>1</v>
      </c>
      <c r="Q38" s="384">
        <v>1</v>
      </c>
      <c r="R38" s="380">
        <v>80</v>
      </c>
      <c r="S38" s="384">
        <v>1</v>
      </c>
      <c r="T38" s="380">
        <v>84672.09</v>
      </c>
      <c r="U38" s="380">
        <v>0</v>
      </c>
      <c r="V38" s="380">
        <v>27423.42</v>
      </c>
      <c r="W38" s="380">
        <v>87422.399999999994</v>
      </c>
      <c r="X38" s="380">
        <v>30413.7</v>
      </c>
      <c r="Y38" s="380">
        <v>87422.399999999994</v>
      </c>
      <c r="Z38" s="380">
        <v>31008.03</v>
      </c>
      <c r="AA38" s="376" t="s">
        <v>362</v>
      </c>
      <c r="AB38" s="376" t="s">
        <v>363</v>
      </c>
      <c r="AC38" s="376" t="s">
        <v>364</v>
      </c>
      <c r="AD38" s="376" t="s">
        <v>290</v>
      </c>
      <c r="AE38" s="376" t="s">
        <v>170</v>
      </c>
      <c r="AF38" s="376" t="s">
        <v>178</v>
      </c>
      <c r="AG38" s="376" t="s">
        <v>179</v>
      </c>
      <c r="AH38" s="381">
        <v>42.03</v>
      </c>
      <c r="AI38" s="381">
        <v>34061.800000000003</v>
      </c>
      <c r="AJ38" s="376" t="s">
        <v>180</v>
      </c>
      <c r="AK38" s="376" t="s">
        <v>181</v>
      </c>
      <c r="AL38" s="376" t="s">
        <v>182</v>
      </c>
      <c r="AM38" s="376" t="s">
        <v>183</v>
      </c>
      <c r="AN38" s="376" t="s">
        <v>66</v>
      </c>
      <c r="AO38" s="379">
        <v>80</v>
      </c>
      <c r="AP38" s="384">
        <v>1</v>
      </c>
      <c r="AQ38" s="384">
        <v>1</v>
      </c>
      <c r="AR38" s="382" t="s">
        <v>184</v>
      </c>
      <c r="AS38" s="386">
        <f t="shared" si="27"/>
        <v>1</v>
      </c>
      <c r="AT38">
        <f t="shared" si="28"/>
        <v>1</v>
      </c>
      <c r="AU38" s="386">
        <f>IF(AT38=0,"",IF(AND(AT38=1,M38="F",SUMIF(C2:C201,C38,AS2:AS201)&lt;=1),SUMIF(C2:C201,C38,AS2:AS201),IF(AND(AT38=1,M38="F",SUMIF(C2:C201,C38,AS2:AS201)&gt;1),1,"")))</f>
        <v>1</v>
      </c>
      <c r="AV38" s="386" t="str">
        <f>IF(AT38=0,"",IF(AND(AT38=3,M38="F",SUMIF(C2:C201,C38,AS2:AS201)&lt;=1),SUMIF(C2:C201,C38,AS2:AS201),IF(AND(AT38=3,M38="F",SUMIF(C2:C201,C38,AS2:AS201)&gt;1),1,"")))</f>
        <v/>
      </c>
      <c r="AW38" s="386">
        <f>SUMIF(C2:C201,C38,O2:O201)</f>
        <v>3</v>
      </c>
      <c r="AX38" s="386">
        <f>IF(AND(M38="F",AS38&lt;&gt;0),SUMIF(C2:C201,C38,W2:W201),0)</f>
        <v>87422.399999999994</v>
      </c>
      <c r="AY38" s="386">
        <f t="shared" si="29"/>
        <v>87422.399999999994</v>
      </c>
      <c r="AZ38" s="386" t="str">
        <f t="shared" si="30"/>
        <v/>
      </c>
      <c r="BA38" s="386">
        <f t="shared" si="31"/>
        <v>0</v>
      </c>
      <c r="BB38" s="386">
        <f t="shared" si="44"/>
        <v>12500</v>
      </c>
      <c r="BC38" s="386">
        <f t="shared" si="45"/>
        <v>0</v>
      </c>
      <c r="BD38" s="386">
        <f t="shared" si="46"/>
        <v>5420.1887999999999</v>
      </c>
      <c r="BE38" s="386">
        <f t="shared" si="47"/>
        <v>1267.6248000000001</v>
      </c>
      <c r="BF38" s="386">
        <f t="shared" si="48"/>
        <v>10438.234559999999</v>
      </c>
      <c r="BG38" s="386">
        <f t="shared" si="49"/>
        <v>630.31550400000003</v>
      </c>
      <c r="BH38" s="386">
        <f t="shared" si="50"/>
        <v>0</v>
      </c>
      <c r="BI38" s="386">
        <f t="shared" si="51"/>
        <v>0</v>
      </c>
      <c r="BJ38" s="386">
        <f t="shared" si="52"/>
        <v>157.36031999999997</v>
      </c>
      <c r="BK38" s="386">
        <f t="shared" si="53"/>
        <v>0</v>
      </c>
      <c r="BL38" s="386">
        <f t="shared" si="32"/>
        <v>17913.723983999997</v>
      </c>
      <c r="BM38" s="386">
        <f t="shared" si="33"/>
        <v>0</v>
      </c>
      <c r="BN38" s="386">
        <f t="shared" si="54"/>
        <v>13750</v>
      </c>
      <c r="BO38" s="386">
        <f t="shared" si="55"/>
        <v>0</v>
      </c>
      <c r="BP38" s="386">
        <f t="shared" si="56"/>
        <v>5420.1887999999999</v>
      </c>
      <c r="BQ38" s="386">
        <f t="shared" si="57"/>
        <v>1267.6248000000001</v>
      </c>
      <c r="BR38" s="386">
        <f t="shared" si="58"/>
        <v>9773.8243199999997</v>
      </c>
      <c r="BS38" s="386">
        <f t="shared" si="59"/>
        <v>630.31550400000003</v>
      </c>
      <c r="BT38" s="386">
        <f t="shared" si="60"/>
        <v>0</v>
      </c>
      <c r="BU38" s="386">
        <f t="shared" si="61"/>
        <v>0</v>
      </c>
      <c r="BV38" s="386">
        <f t="shared" si="62"/>
        <v>166.10255999999998</v>
      </c>
      <c r="BW38" s="386">
        <f t="shared" si="63"/>
        <v>0</v>
      </c>
      <c r="BX38" s="386">
        <f t="shared" si="34"/>
        <v>17258.055983999999</v>
      </c>
      <c r="BY38" s="386">
        <f t="shared" si="35"/>
        <v>0</v>
      </c>
      <c r="BZ38" s="386">
        <f t="shared" si="36"/>
        <v>1250</v>
      </c>
      <c r="CA38" s="386">
        <f t="shared" si="37"/>
        <v>0</v>
      </c>
      <c r="CB38" s="386">
        <f t="shared" si="38"/>
        <v>0</v>
      </c>
      <c r="CC38" s="386">
        <f t="shared" si="64"/>
        <v>0</v>
      </c>
      <c r="CD38" s="386">
        <f t="shared" si="65"/>
        <v>-664.41024000000084</v>
      </c>
      <c r="CE38" s="386">
        <f t="shared" si="66"/>
        <v>0</v>
      </c>
      <c r="CF38" s="386">
        <f t="shared" si="67"/>
        <v>0</v>
      </c>
      <c r="CG38" s="386">
        <f t="shared" si="68"/>
        <v>0</v>
      </c>
      <c r="CH38" s="386">
        <f t="shared" si="69"/>
        <v>8.7422400000000042</v>
      </c>
      <c r="CI38" s="386">
        <f t="shared" si="70"/>
        <v>0</v>
      </c>
      <c r="CJ38" s="386">
        <f t="shared" si="39"/>
        <v>-655.6680000000008</v>
      </c>
      <c r="CK38" s="386" t="str">
        <f t="shared" si="40"/>
        <v/>
      </c>
      <c r="CL38" s="386" t="str">
        <f t="shared" si="41"/>
        <v/>
      </c>
      <c r="CM38" s="386" t="str">
        <f t="shared" si="42"/>
        <v/>
      </c>
      <c r="CN38" s="386" t="str">
        <f t="shared" si="43"/>
        <v>0001-00</v>
      </c>
    </row>
    <row r="39" spans="1:92" ht="15.75" thickBot="1" x14ac:dyDescent="0.3">
      <c r="A39" s="376" t="s">
        <v>162</v>
      </c>
      <c r="B39" s="376" t="s">
        <v>163</v>
      </c>
      <c r="C39" s="376" t="s">
        <v>365</v>
      </c>
      <c r="D39" s="376" t="s">
        <v>165</v>
      </c>
      <c r="E39" s="376" t="s">
        <v>166</v>
      </c>
      <c r="F39" s="377" t="s">
        <v>167</v>
      </c>
      <c r="G39" s="376" t="s">
        <v>373</v>
      </c>
      <c r="H39" s="378"/>
      <c r="I39" s="378"/>
      <c r="J39" s="376" t="s">
        <v>169</v>
      </c>
      <c r="K39" s="376" t="s">
        <v>193</v>
      </c>
      <c r="L39" s="376" t="s">
        <v>194</v>
      </c>
      <c r="M39" s="376" t="s">
        <v>172</v>
      </c>
      <c r="N39" s="376" t="s">
        <v>173</v>
      </c>
      <c r="O39" s="379">
        <v>1</v>
      </c>
      <c r="P39" s="384">
        <v>1</v>
      </c>
      <c r="Q39" s="384">
        <v>1</v>
      </c>
      <c r="R39" s="380">
        <v>80</v>
      </c>
      <c r="S39" s="384">
        <v>1</v>
      </c>
      <c r="T39" s="380">
        <v>57033.63</v>
      </c>
      <c r="U39" s="380">
        <v>0</v>
      </c>
      <c r="V39" s="380">
        <v>22716.080000000002</v>
      </c>
      <c r="W39" s="380">
        <v>61089.599999999999</v>
      </c>
      <c r="X39" s="380">
        <v>25017.84</v>
      </c>
      <c r="Y39" s="380">
        <v>61089.599999999999</v>
      </c>
      <c r="Z39" s="380">
        <v>25809.67</v>
      </c>
      <c r="AA39" s="376" t="s">
        <v>366</v>
      </c>
      <c r="AB39" s="376" t="s">
        <v>367</v>
      </c>
      <c r="AC39" s="376" t="s">
        <v>368</v>
      </c>
      <c r="AD39" s="376" t="s">
        <v>290</v>
      </c>
      <c r="AE39" s="376" t="s">
        <v>193</v>
      </c>
      <c r="AF39" s="376" t="s">
        <v>178</v>
      </c>
      <c r="AG39" s="376" t="s">
        <v>179</v>
      </c>
      <c r="AH39" s="381">
        <v>29.37</v>
      </c>
      <c r="AI39" s="381">
        <v>51911.6</v>
      </c>
      <c r="AJ39" s="376" t="s">
        <v>180</v>
      </c>
      <c r="AK39" s="376" t="s">
        <v>181</v>
      </c>
      <c r="AL39" s="376" t="s">
        <v>182</v>
      </c>
      <c r="AM39" s="376" t="s">
        <v>183</v>
      </c>
      <c r="AN39" s="376" t="s">
        <v>66</v>
      </c>
      <c r="AO39" s="379">
        <v>80</v>
      </c>
      <c r="AP39" s="384">
        <v>1</v>
      </c>
      <c r="AQ39" s="384">
        <v>1</v>
      </c>
      <c r="AR39" s="382" t="s">
        <v>184</v>
      </c>
      <c r="AS39" s="386">
        <f t="shared" si="27"/>
        <v>1</v>
      </c>
      <c r="AT39">
        <f t="shared" si="28"/>
        <v>1</v>
      </c>
      <c r="AU39" s="386">
        <f>IF(AT39=0,"",IF(AND(AT39=1,M39="F",SUMIF(C2:C201,C39,AS2:AS201)&lt;=1),SUMIF(C2:C201,C39,AS2:AS201),IF(AND(AT39=1,M39="F",SUMIF(C2:C201,C39,AS2:AS201)&gt;1),1,"")))</f>
        <v>1</v>
      </c>
      <c r="AV39" s="386" t="str">
        <f>IF(AT39=0,"",IF(AND(AT39=3,M39="F",SUMIF(C2:C201,C39,AS2:AS201)&lt;=1),SUMIF(C2:C201,C39,AS2:AS201),IF(AND(AT39=3,M39="F",SUMIF(C2:C201,C39,AS2:AS201)&gt;1),1,"")))</f>
        <v/>
      </c>
      <c r="AW39" s="386">
        <f>SUMIF(C2:C201,C39,O2:O201)</f>
        <v>3</v>
      </c>
      <c r="AX39" s="386">
        <f>IF(AND(M39="F",AS39&lt;&gt;0),SUMIF(C2:C201,C39,W2:W201),0)</f>
        <v>61089.599999999999</v>
      </c>
      <c r="AY39" s="386">
        <f t="shared" si="29"/>
        <v>61089.599999999999</v>
      </c>
      <c r="AZ39" s="386" t="str">
        <f t="shared" si="30"/>
        <v/>
      </c>
      <c r="BA39" s="386">
        <f t="shared" si="31"/>
        <v>0</v>
      </c>
      <c r="BB39" s="386">
        <f t="shared" si="44"/>
        <v>12500</v>
      </c>
      <c r="BC39" s="386">
        <f t="shared" si="45"/>
        <v>0</v>
      </c>
      <c r="BD39" s="386">
        <f t="shared" si="46"/>
        <v>3787.5551999999998</v>
      </c>
      <c r="BE39" s="386">
        <f t="shared" si="47"/>
        <v>885.79920000000004</v>
      </c>
      <c r="BF39" s="386">
        <f t="shared" si="48"/>
        <v>7294.0982400000003</v>
      </c>
      <c r="BG39" s="386">
        <f t="shared" si="49"/>
        <v>440.45601600000003</v>
      </c>
      <c r="BH39" s="386">
        <f t="shared" si="50"/>
        <v>0</v>
      </c>
      <c r="BI39" s="386">
        <f t="shared" si="51"/>
        <v>0</v>
      </c>
      <c r="BJ39" s="386">
        <f t="shared" si="52"/>
        <v>109.96127999999999</v>
      </c>
      <c r="BK39" s="386">
        <f t="shared" si="53"/>
        <v>0</v>
      </c>
      <c r="BL39" s="386">
        <f t="shared" si="32"/>
        <v>12517.869935999999</v>
      </c>
      <c r="BM39" s="386">
        <f t="shared" si="33"/>
        <v>0</v>
      </c>
      <c r="BN39" s="386">
        <f t="shared" si="54"/>
        <v>13750</v>
      </c>
      <c r="BO39" s="386">
        <f t="shared" si="55"/>
        <v>0</v>
      </c>
      <c r="BP39" s="386">
        <f t="shared" si="56"/>
        <v>3787.5551999999998</v>
      </c>
      <c r="BQ39" s="386">
        <f t="shared" si="57"/>
        <v>885.79920000000004</v>
      </c>
      <c r="BR39" s="386">
        <f t="shared" si="58"/>
        <v>6829.8172799999993</v>
      </c>
      <c r="BS39" s="386">
        <f t="shared" si="59"/>
        <v>440.45601600000003</v>
      </c>
      <c r="BT39" s="386">
        <f t="shared" si="60"/>
        <v>0</v>
      </c>
      <c r="BU39" s="386">
        <f t="shared" si="61"/>
        <v>0</v>
      </c>
      <c r="BV39" s="386">
        <f t="shared" si="62"/>
        <v>116.07024</v>
      </c>
      <c r="BW39" s="386">
        <f t="shared" si="63"/>
        <v>0</v>
      </c>
      <c r="BX39" s="386">
        <f t="shared" si="34"/>
        <v>12059.697935999999</v>
      </c>
      <c r="BY39" s="386">
        <f t="shared" si="35"/>
        <v>0</v>
      </c>
      <c r="BZ39" s="386">
        <f t="shared" si="36"/>
        <v>1250</v>
      </c>
      <c r="CA39" s="386">
        <f t="shared" si="37"/>
        <v>0</v>
      </c>
      <c r="CB39" s="386">
        <f t="shared" si="38"/>
        <v>0</v>
      </c>
      <c r="CC39" s="386">
        <f t="shared" si="64"/>
        <v>0</v>
      </c>
      <c r="CD39" s="386">
        <f t="shared" si="65"/>
        <v>-464.28096000000056</v>
      </c>
      <c r="CE39" s="386">
        <f t="shared" si="66"/>
        <v>0</v>
      </c>
      <c r="CF39" s="386">
        <f t="shared" si="67"/>
        <v>0</v>
      </c>
      <c r="CG39" s="386">
        <f t="shared" si="68"/>
        <v>0</v>
      </c>
      <c r="CH39" s="386">
        <f t="shared" si="69"/>
        <v>6.1089600000000024</v>
      </c>
      <c r="CI39" s="386">
        <f t="shared" si="70"/>
        <v>0</v>
      </c>
      <c r="CJ39" s="386">
        <f t="shared" si="39"/>
        <v>-458.17200000000054</v>
      </c>
      <c r="CK39" s="386" t="str">
        <f t="shared" si="40"/>
        <v/>
      </c>
      <c r="CL39" s="386" t="str">
        <f t="shared" si="41"/>
        <v/>
      </c>
      <c r="CM39" s="386" t="str">
        <f t="shared" si="42"/>
        <v/>
      </c>
      <c r="CN39" s="386" t="str">
        <f t="shared" si="43"/>
        <v>0001-00</v>
      </c>
    </row>
    <row r="40" spans="1:92" ht="15.75" thickBot="1" x14ac:dyDescent="0.3">
      <c r="A40" s="376" t="s">
        <v>162</v>
      </c>
      <c r="B40" s="376" t="s">
        <v>163</v>
      </c>
      <c r="C40" s="376" t="s">
        <v>369</v>
      </c>
      <c r="D40" s="376" t="s">
        <v>165</v>
      </c>
      <c r="E40" s="376" t="s">
        <v>166</v>
      </c>
      <c r="F40" s="377" t="s">
        <v>167</v>
      </c>
      <c r="G40" s="376" t="s">
        <v>373</v>
      </c>
      <c r="H40" s="378"/>
      <c r="I40" s="378"/>
      <c r="J40" s="376" t="s">
        <v>169</v>
      </c>
      <c r="K40" s="376" t="s">
        <v>206</v>
      </c>
      <c r="L40" s="376" t="s">
        <v>198</v>
      </c>
      <c r="M40" s="376" t="s">
        <v>172</v>
      </c>
      <c r="N40" s="376" t="s">
        <v>173</v>
      </c>
      <c r="O40" s="379">
        <v>1</v>
      </c>
      <c r="P40" s="384">
        <v>1</v>
      </c>
      <c r="Q40" s="384">
        <v>1</v>
      </c>
      <c r="R40" s="380">
        <v>80</v>
      </c>
      <c r="S40" s="384">
        <v>1</v>
      </c>
      <c r="T40" s="380">
        <v>58796</v>
      </c>
      <c r="U40" s="380">
        <v>0</v>
      </c>
      <c r="V40" s="380">
        <v>23020.28</v>
      </c>
      <c r="W40" s="380">
        <v>62067.199999999997</v>
      </c>
      <c r="X40" s="380">
        <v>25218.17</v>
      </c>
      <c r="Y40" s="380">
        <v>62067.199999999997</v>
      </c>
      <c r="Z40" s="380">
        <v>26002.66</v>
      </c>
      <c r="AA40" s="376" t="s">
        <v>370</v>
      </c>
      <c r="AB40" s="376" t="s">
        <v>371</v>
      </c>
      <c r="AC40" s="376" t="s">
        <v>372</v>
      </c>
      <c r="AD40" s="376" t="s">
        <v>198</v>
      </c>
      <c r="AE40" s="376" t="s">
        <v>193</v>
      </c>
      <c r="AF40" s="376" t="s">
        <v>178</v>
      </c>
      <c r="AG40" s="376" t="s">
        <v>179</v>
      </c>
      <c r="AH40" s="381">
        <v>29.84</v>
      </c>
      <c r="AI40" s="381">
        <v>13371.8</v>
      </c>
      <c r="AJ40" s="376" t="s">
        <v>180</v>
      </c>
      <c r="AK40" s="376" t="s">
        <v>181</v>
      </c>
      <c r="AL40" s="376" t="s">
        <v>182</v>
      </c>
      <c r="AM40" s="376" t="s">
        <v>183</v>
      </c>
      <c r="AN40" s="376" t="s">
        <v>66</v>
      </c>
      <c r="AO40" s="379">
        <v>80</v>
      </c>
      <c r="AP40" s="384">
        <v>1</v>
      </c>
      <c r="AQ40" s="384">
        <v>1</v>
      </c>
      <c r="AR40" s="382" t="s">
        <v>184</v>
      </c>
      <c r="AS40" s="386">
        <f t="shared" si="27"/>
        <v>1</v>
      </c>
      <c r="AT40">
        <f t="shared" si="28"/>
        <v>1</v>
      </c>
      <c r="AU40" s="386">
        <f>IF(AT40=0,"",IF(AND(AT40=1,M40="F",SUMIF(C2:C201,C40,AS2:AS201)&lt;=1),SUMIF(C2:C201,C40,AS2:AS201),IF(AND(AT40=1,M40="F",SUMIF(C2:C201,C40,AS2:AS201)&gt;1),1,"")))</f>
        <v>1</v>
      </c>
      <c r="AV40" s="386" t="str">
        <f>IF(AT40=0,"",IF(AND(AT40=3,M40="F",SUMIF(C2:C201,C40,AS2:AS201)&lt;=1),SUMIF(C2:C201,C40,AS2:AS201),IF(AND(AT40=3,M40="F",SUMIF(C2:C201,C40,AS2:AS201)&gt;1),1,"")))</f>
        <v/>
      </c>
      <c r="AW40" s="386">
        <f>SUMIF(C2:C201,C40,O2:O201)</f>
        <v>3</v>
      </c>
      <c r="AX40" s="386">
        <f>IF(AND(M40="F",AS40&lt;&gt;0),SUMIF(C2:C201,C40,W2:W201),0)</f>
        <v>62067.199999999997</v>
      </c>
      <c r="AY40" s="386">
        <f t="shared" si="29"/>
        <v>62067.199999999997</v>
      </c>
      <c r="AZ40" s="386" t="str">
        <f t="shared" si="30"/>
        <v/>
      </c>
      <c r="BA40" s="386">
        <f t="shared" si="31"/>
        <v>0</v>
      </c>
      <c r="BB40" s="386">
        <f t="shared" si="44"/>
        <v>12500</v>
      </c>
      <c r="BC40" s="386">
        <f t="shared" si="45"/>
        <v>0</v>
      </c>
      <c r="BD40" s="386">
        <f t="shared" si="46"/>
        <v>3848.1663999999996</v>
      </c>
      <c r="BE40" s="386">
        <f t="shared" si="47"/>
        <v>899.97440000000006</v>
      </c>
      <c r="BF40" s="386">
        <f t="shared" si="48"/>
        <v>7410.8236800000004</v>
      </c>
      <c r="BG40" s="386">
        <f t="shared" si="49"/>
        <v>447.50451199999998</v>
      </c>
      <c r="BH40" s="386">
        <f t="shared" si="50"/>
        <v>0</v>
      </c>
      <c r="BI40" s="386">
        <f t="shared" si="51"/>
        <v>0</v>
      </c>
      <c r="BJ40" s="386">
        <f t="shared" si="52"/>
        <v>111.72095999999999</v>
      </c>
      <c r="BK40" s="386">
        <f t="shared" si="53"/>
        <v>0</v>
      </c>
      <c r="BL40" s="386">
        <f t="shared" si="32"/>
        <v>12718.189951999999</v>
      </c>
      <c r="BM40" s="386">
        <f t="shared" si="33"/>
        <v>0</v>
      </c>
      <c r="BN40" s="386">
        <f t="shared" si="54"/>
        <v>13750</v>
      </c>
      <c r="BO40" s="386">
        <f t="shared" si="55"/>
        <v>0</v>
      </c>
      <c r="BP40" s="386">
        <f t="shared" si="56"/>
        <v>3848.1663999999996</v>
      </c>
      <c r="BQ40" s="386">
        <f t="shared" si="57"/>
        <v>899.97440000000006</v>
      </c>
      <c r="BR40" s="386">
        <f t="shared" si="58"/>
        <v>6939.1129599999995</v>
      </c>
      <c r="BS40" s="386">
        <f t="shared" si="59"/>
        <v>447.50451199999998</v>
      </c>
      <c r="BT40" s="386">
        <f t="shared" si="60"/>
        <v>0</v>
      </c>
      <c r="BU40" s="386">
        <f t="shared" si="61"/>
        <v>0</v>
      </c>
      <c r="BV40" s="386">
        <f t="shared" si="62"/>
        <v>117.92768</v>
      </c>
      <c r="BW40" s="386">
        <f t="shared" si="63"/>
        <v>0</v>
      </c>
      <c r="BX40" s="386">
        <f t="shared" si="34"/>
        <v>12252.685952</v>
      </c>
      <c r="BY40" s="386">
        <f t="shared" si="35"/>
        <v>0</v>
      </c>
      <c r="BZ40" s="386">
        <f t="shared" si="36"/>
        <v>1250</v>
      </c>
      <c r="CA40" s="386">
        <f t="shared" si="37"/>
        <v>0</v>
      </c>
      <c r="CB40" s="386">
        <f t="shared" si="38"/>
        <v>0</v>
      </c>
      <c r="CC40" s="386">
        <f t="shared" si="64"/>
        <v>0</v>
      </c>
      <c r="CD40" s="386">
        <f t="shared" si="65"/>
        <v>-471.71072000000055</v>
      </c>
      <c r="CE40" s="386">
        <f t="shared" si="66"/>
        <v>0</v>
      </c>
      <c r="CF40" s="386">
        <f t="shared" si="67"/>
        <v>0</v>
      </c>
      <c r="CG40" s="386">
        <f t="shared" si="68"/>
        <v>0</v>
      </c>
      <c r="CH40" s="386">
        <f t="shared" si="69"/>
        <v>6.2067200000000025</v>
      </c>
      <c r="CI40" s="386">
        <f t="shared" si="70"/>
        <v>0</v>
      </c>
      <c r="CJ40" s="386">
        <f t="shared" si="39"/>
        <v>-465.50400000000053</v>
      </c>
      <c r="CK40" s="386" t="str">
        <f t="shared" si="40"/>
        <v/>
      </c>
      <c r="CL40" s="386" t="str">
        <f t="shared" si="41"/>
        <v/>
      </c>
      <c r="CM40" s="386" t="str">
        <f t="shared" si="42"/>
        <v/>
      </c>
      <c r="CN40" s="386" t="str">
        <f t="shared" si="43"/>
        <v>0001-00</v>
      </c>
    </row>
    <row r="41" spans="1:92" ht="15.75" thickBot="1" x14ac:dyDescent="0.3">
      <c r="A41" s="376" t="s">
        <v>162</v>
      </c>
      <c r="B41" s="376" t="s">
        <v>163</v>
      </c>
      <c r="C41" s="376" t="s">
        <v>164</v>
      </c>
      <c r="D41" s="376" t="s">
        <v>165</v>
      </c>
      <c r="E41" s="376" t="s">
        <v>166</v>
      </c>
      <c r="F41" s="377" t="s">
        <v>167</v>
      </c>
      <c r="G41" s="376" t="s">
        <v>373</v>
      </c>
      <c r="H41" s="378"/>
      <c r="I41" s="378"/>
      <c r="J41" s="376" t="s">
        <v>169</v>
      </c>
      <c r="K41" s="376" t="s">
        <v>170</v>
      </c>
      <c r="L41" s="376" t="s">
        <v>171</v>
      </c>
      <c r="M41" s="376" t="s">
        <v>172</v>
      </c>
      <c r="N41" s="376" t="s">
        <v>173</v>
      </c>
      <c r="O41" s="379">
        <v>1</v>
      </c>
      <c r="P41" s="384">
        <v>1</v>
      </c>
      <c r="Q41" s="384">
        <v>1</v>
      </c>
      <c r="R41" s="380">
        <v>80</v>
      </c>
      <c r="S41" s="384">
        <v>1</v>
      </c>
      <c r="T41" s="380">
        <v>69371.11</v>
      </c>
      <c r="U41" s="380">
        <v>0</v>
      </c>
      <c r="V41" s="380">
        <v>25369.119999999999</v>
      </c>
      <c r="W41" s="380">
        <v>73299.199999999997</v>
      </c>
      <c r="X41" s="380">
        <v>27519.71</v>
      </c>
      <c r="Y41" s="380">
        <v>73299.199999999997</v>
      </c>
      <c r="Z41" s="380">
        <v>28219.97</v>
      </c>
      <c r="AA41" s="376" t="s">
        <v>174</v>
      </c>
      <c r="AB41" s="376" t="s">
        <v>175</v>
      </c>
      <c r="AC41" s="376" t="s">
        <v>176</v>
      </c>
      <c r="AD41" s="376" t="s">
        <v>177</v>
      </c>
      <c r="AE41" s="376" t="s">
        <v>170</v>
      </c>
      <c r="AF41" s="376" t="s">
        <v>178</v>
      </c>
      <c r="AG41" s="376" t="s">
        <v>179</v>
      </c>
      <c r="AH41" s="381">
        <v>35.24</v>
      </c>
      <c r="AI41" s="381">
        <v>61196.3</v>
      </c>
      <c r="AJ41" s="376" t="s">
        <v>180</v>
      </c>
      <c r="AK41" s="376" t="s">
        <v>181</v>
      </c>
      <c r="AL41" s="376" t="s">
        <v>182</v>
      </c>
      <c r="AM41" s="376" t="s">
        <v>183</v>
      </c>
      <c r="AN41" s="376" t="s">
        <v>66</v>
      </c>
      <c r="AO41" s="379">
        <v>80</v>
      </c>
      <c r="AP41" s="384">
        <v>1</v>
      </c>
      <c r="AQ41" s="384">
        <v>1</v>
      </c>
      <c r="AR41" s="382" t="s">
        <v>184</v>
      </c>
      <c r="AS41" s="386">
        <f t="shared" si="27"/>
        <v>1</v>
      </c>
      <c r="AT41">
        <f t="shared" si="28"/>
        <v>1</v>
      </c>
      <c r="AU41" s="386">
        <f>IF(AT41=0,"",IF(AND(AT41=1,M41="F",SUMIF(C2:C201,C41,AS2:AS201)&lt;=1),SUMIF(C2:C201,C41,AS2:AS201),IF(AND(AT41=1,M41="F",SUMIF(C2:C201,C41,AS2:AS201)&gt;1),1,"")))</f>
        <v>1</v>
      </c>
      <c r="AV41" s="386" t="str">
        <f>IF(AT41=0,"",IF(AND(AT41=3,M41="F",SUMIF(C2:C201,C41,AS2:AS201)&lt;=1),SUMIF(C2:C201,C41,AS2:AS201),IF(AND(AT41=3,M41="F",SUMIF(C2:C201,C41,AS2:AS201)&gt;1),1,"")))</f>
        <v/>
      </c>
      <c r="AW41" s="386">
        <f>SUMIF(C2:C201,C41,O2:O201)</f>
        <v>3</v>
      </c>
      <c r="AX41" s="386">
        <f>IF(AND(M41="F",AS41&lt;&gt;0),SUMIF(C2:C201,C41,W2:W201),0)</f>
        <v>73299.199999999997</v>
      </c>
      <c r="AY41" s="386">
        <f t="shared" si="29"/>
        <v>73299.199999999997</v>
      </c>
      <c r="AZ41" s="386" t="str">
        <f t="shared" si="30"/>
        <v/>
      </c>
      <c r="BA41" s="386">
        <f t="shared" si="31"/>
        <v>0</v>
      </c>
      <c r="BB41" s="386">
        <f t="shared" si="44"/>
        <v>12500</v>
      </c>
      <c r="BC41" s="386">
        <f t="shared" si="45"/>
        <v>0</v>
      </c>
      <c r="BD41" s="386">
        <f t="shared" si="46"/>
        <v>4544.5504000000001</v>
      </c>
      <c r="BE41" s="386">
        <f t="shared" si="47"/>
        <v>1062.8384000000001</v>
      </c>
      <c r="BF41" s="386">
        <f t="shared" si="48"/>
        <v>8751.9244799999997</v>
      </c>
      <c r="BG41" s="386">
        <f t="shared" si="49"/>
        <v>528.48723199999995</v>
      </c>
      <c r="BH41" s="386">
        <f t="shared" si="50"/>
        <v>0</v>
      </c>
      <c r="BI41" s="386">
        <f t="shared" si="51"/>
        <v>0</v>
      </c>
      <c r="BJ41" s="386">
        <f t="shared" si="52"/>
        <v>131.93856</v>
      </c>
      <c r="BK41" s="386">
        <f t="shared" si="53"/>
        <v>0</v>
      </c>
      <c r="BL41" s="386">
        <f t="shared" si="32"/>
        <v>15019.739072</v>
      </c>
      <c r="BM41" s="386">
        <f t="shared" si="33"/>
        <v>0</v>
      </c>
      <c r="BN41" s="386">
        <f t="shared" si="54"/>
        <v>13750</v>
      </c>
      <c r="BO41" s="386">
        <f t="shared" si="55"/>
        <v>0</v>
      </c>
      <c r="BP41" s="386">
        <f t="shared" si="56"/>
        <v>4544.5504000000001</v>
      </c>
      <c r="BQ41" s="386">
        <f t="shared" si="57"/>
        <v>1062.8384000000001</v>
      </c>
      <c r="BR41" s="386">
        <f t="shared" si="58"/>
        <v>8194.8505599999989</v>
      </c>
      <c r="BS41" s="386">
        <f t="shared" si="59"/>
        <v>528.48723199999995</v>
      </c>
      <c r="BT41" s="386">
        <f t="shared" si="60"/>
        <v>0</v>
      </c>
      <c r="BU41" s="386">
        <f t="shared" si="61"/>
        <v>0</v>
      </c>
      <c r="BV41" s="386">
        <f t="shared" si="62"/>
        <v>139.26847999999998</v>
      </c>
      <c r="BW41" s="386">
        <f t="shared" si="63"/>
        <v>0</v>
      </c>
      <c r="BX41" s="386">
        <f t="shared" si="34"/>
        <v>14469.995072</v>
      </c>
      <c r="BY41" s="386">
        <f t="shared" si="35"/>
        <v>0</v>
      </c>
      <c r="BZ41" s="386">
        <f t="shared" si="36"/>
        <v>1250</v>
      </c>
      <c r="CA41" s="386">
        <f t="shared" si="37"/>
        <v>0</v>
      </c>
      <c r="CB41" s="386">
        <f t="shared" si="38"/>
        <v>0</v>
      </c>
      <c r="CC41" s="386">
        <f t="shared" si="64"/>
        <v>0</v>
      </c>
      <c r="CD41" s="386">
        <f t="shared" si="65"/>
        <v>-557.07392000000073</v>
      </c>
      <c r="CE41" s="386">
        <f t="shared" si="66"/>
        <v>0</v>
      </c>
      <c r="CF41" s="386">
        <f t="shared" si="67"/>
        <v>0</v>
      </c>
      <c r="CG41" s="386">
        <f t="shared" si="68"/>
        <v>0</v>
      </c>
      <c r="CH41" s="386">
        <f t="shared" si="69"/>
        <v>7.3299200000000031</v>
      </c>
      <c r="CI41" s="386">
        <f t="shared" si="70"/>
        <v>0</v>
      </c>
      <c r="CJ41" s="386">
        <f t="shared" si="39"/>
        <v>-549.74400000000071</v>
      </c>
      <c r="CK41" s="386" t="str">
        <f t="shared" si="40"/>
        <v/>
      </c>
      <c r="CL41" s="386" t="str">
        <f t="shared" si="41"/>
        <v/>
      </c>
      <c r="CM41" s="386" t="str">
        <f t="shared" si="42"/>
        <v/>
      </c>
      <c r="CN41" s="386" t="str">
        <f t="shared" si="43"/>
        <v>0001-00</v>
      </c>
    </row>
    <row r="42" spans="1:92" ht="15.75" thickBot="1" x14ac:dyDescent="0.3">
      <c r="A42" s="376" t="s">
        <v>162</v>
      </c>
      <c r="B42" s="376" t="s">
        <v>163</v>
      </c>
      <c r="C42" s="376" t="s">
        <v>185</v>
      </c>
      <c r="D42" s="376" t="s">
        <v>186</v>
      </c>
      <c r="E42" s="376" t="s">
        <v>166</v>
      </c>
      <c r="F42" s="377" t="s">
        <v>167</v>
      </c>
      <c r="G42" s="376" t="s">
        <v>373</v>
      </c>
      <c r="H42" s="378"/>
      <c r="I42" s="378"/>
      <c r="J42" s="376" t="s">
        <v>169</v>
      </c>
      <c r="K42" s="376" t="s">
        <v>187</v>
      </c>
      <c r="L42" s="376" t="s">
        <v>179</v>
      </c>
      <c r="M42" s="376" t="s">
        <v>172</v>
      </c>
      <c r="N42" s="376" t="s">
        <v>173</v>
      </c>
      <c r="O42" s="379">
        <v>1</v>
      </c>
      <c r="P42" s="384">
        <v>1</v>
      </c>
      <c r="Q42" s="384">
        <v>1</v>
      </c>
      <c r="R42" s="380">
        <v>80</v>
      </c>
      <c r="S42" s="384">
        <v>1</v>
      </c>
      <c r="T42" s="380">
        <v>41112.800000000003</v>
      </c>
      <c r="U42" s="380">
        <v>0</v>
      </c>
      <c r="V42" s="380">
        <v>19633.66</v>
      </c>
      <c r="W42" s="380">
        <v>46529.599999999999</v>
      </c>
      <c r="X42" s="380">
        <v>22034.35</v>
      </c>
      <c r="Y42" s="380">
        <v>46529.599999999999</v>
      </c>
      <c r="Z42" s="380">
        <v>22935.37</v>
      </c>
      <c r="AA42" s="376" t="s">
        <v>188</v>
      </c>
      <c r="AB42" s="376" t="s">
        <v>189</v>
      </c>
      <c r="AC42" s="376" t="s">
        <v>190</v>
      </c>
      <c r="AD42" s="376" t="s">
        <v>191</v>
      </c>
      <c r="AE42" s="376" t="s">
        <v>187</v>
      </c>
      <c r="AF42" s="376" t="s">
        <v>178</v>
      </c>
      <c r="AG42" s="376" t="s">
        <v>179</v>
      </c>
      <c r="AH42" s="381">
        <v>22.37</v>
      </c>
      <c r="AI42" s="379">
        <v>3643</v>
      </c>
      <c r="AJ42" s="376" t="s">
        <v>180</v>
      </c>
      <c r="AK42" s="376" t="s">
        <v>181</v>
      </c>
      <c r="AL42" s="376" t="s">
        <v>182</v>
      </c>
      <c r="AM42" s="376" t="s">
        <v>183</v>
      </c>
      <c r="AN42" s="376" t="s">
        <v>66</v>
      </c>
      <c r="AO42" s="379">
        <v>80</v>
      </c>
      <c r="AP42" s="384">
        <v>1</v>
      </c>
      <c r="AQ42" s="384">
        <v>1</v>
      </c>
      <c r="AR42" s="382" t="s">
        <v>184</v>
      </c>
      <c r="AS42" s="386">
        <f t="shared" si="27"/>
        <v>1</v>
      </c>
      <c r="AT42">
        <f t="shared" si="28"/>
        <v>1</v>
      </c>
      <c r="AU42" s="386">
        <f>IF(AT42=0,"",IF(AND(AT42=1,M42="F",SUMIF(C2:C201,C42,AS2:AS201)&lt;=1),SUMIF(C2:C201,C42,AS2:AS201),IF(AND(AT42=1,M42="F",SUMIF(C2:C201,C42,AS2:AS201)&gt;1),1,"")))</f>
        <v>1</v>
      </c>
      <c r="AV42" s="386" t="str">
        <f>IF(AT42=0,"",IF(AND(AT42=3,M42="F",SUMIF(C2:C201,C42,AS2:AS201)&lt;=1),SUMIF(C2:C201,C42,AS2:AS201),IF(AND(AT42=3,M42="F",SUMIF(C2:C201,C42,AS2:AS201)&gt;1),1,"")))</f>
        <v/>
      </c>
      <c r="AW42" s="386">
        <f>SUMIF(C2:C201,C42,O2:O201)</f>
        <v>3</v>
      </c>
      <c r="AX42" s="386">
        <f>IF(AND(M42="F",AS42&lt;&gt;0),SUMIF(C2:C201,C42,W2:W201),0)</f>
        <v>46529.599999999999</v>
      </c>
      <c r="AY42" s="386">
        <f t="shared" si="29"/>
        <v>46529.599999999999</v>
      </c>
      <c r="AZ42" s="386" t="str">
        <f t="shared" si="30"/>
        <v/>
      </c>
      <c r="BA42" s="386">
        <f t="shared" si="31"/>
        <v>0</v>
      </c>
      <c r="BB42" s="386">
        <f t="shared" si="44"/>
        <v>12500</v>
      </c>
      <c r="BC42" s="386">
        <f t="shared" si="45"/>
        <v>0</v>
      </c>
      <c r="BD42" s="386">
        <f t="shared" si="46"/>
        <v>2884.8352</v>
      </c>
      <c r="BE42" s="386">
        <f t="shared" si="47"/>
        <v>674.67920000000004</v>
      </c>
      <c r="BF42" s="386">
        <f t="shared" si="48"/>
        <v>5555.6342400000003</v>
      </c>
      <c r="BG42" s="386">
        <f t="shared" si="49"/>
        <v>335.47841599999998</v>
      </c>
      <c r="BH42" s="386">
        <f t="shared" si="50"/>
        <v>0</v>
      </c>
      <c r="BI42" s="386">
        <f t="shared" si="51"/>
        <v>0</v>
      </c>
      <c r="BJ42" s="386">
        <f t="shared" si="52"/>
        <v>83.75327999999999</v>
      </c>
      <c r="BK42" s="386">
        <f t="shared" si="53"/>
        <v>0</v>
      </c>
      <c r="BL42" s="386">
        <f t="shared" si="32"/>
        <v>9534.3803360000002</v>
      </c>
      <c r="BM42" s="386">
        <f t="shared" si="33"/>
        <v>0</v>
      </c>
      <c r="BN42" s="386">
        <f t="shared" si="54"/>
        <v>13750</v>
      </c>
      <c r="BO42" s="386">
        <f t="shared" si="55"/>
        <v>0</v>
      </c>
      <c r="BP42" s="386">
        <f t="shared" si="56"/>
        <v>2884.8352</v>
      </c>
      <c r="BQ42" s="386">
        <f t="shared" si="57"/>
        <v>674.67920000000004</v>
      </c>
      <c r="BR42" s="386">
        <f t="shared" si="58"/>
        <v>5202.0092799999993</v>
      </c>
      <c r="BS42" s="386">
        <f t="shared" si="59"/>
        <v>335.47841599999998</v>
      </c>
      <c r="BT42" s="386">
        <f t="shared" si="60"/>
        <v>0</v>
      </c>
      <c r="BU42" s="386">
        <f t="shared" si="61"/>
        <v>0</v>
      </c>
      <c r="BV42" s="386">
        <f t="shared" si="62"/>
        <v>88.406239999999997</v>
      </c>
      <c r="BW42" s="386">
        <f t="shared" si="63"/>
        <v>0</v>
      </c>
      <c r="BX42" s="386">
        <f t="shared" si="34"/>
        <v>9185.4083359999986</v>
      </c>
      <c r="BY42" s="386">
        <f t="shared" si="35"/>
        <v>0</v>
      </c>
      <c r="BZ42" s="386">
        <f t="shared" si="36"/>
        <v>1250</v>
      </c>
      <c r="CA42" s="386">
        <f t="shared" si="37"/>
        <v>0</v>
      </c>
      <c r="CB42" s="386">
        <f t="shared" si="38"/>
        <v>0</v>
      </c>
      <c r="CC42" s="386">
        <f t="shared" si="64"/>
        <v>0</v>
      </c>
      <c r="CD42" s="386">
        <f t="shared" si="65"/>
        <v>-353.62496000000044</v>
      </c>
      <c r="CE42" s="386">
        <f t="shared" si="66"/>
        <v>0</v>
      </c>
      <c r="CF42" s="386">
        <f t="shared" si="67"/>
        <v>0</v>
      </c>
      <c r="CG42" s="386">
        <f t="shared" si="68"/>
        <v>0</v>
      </c>
      <c r="CH42" s="386">
        <f t="shared" si="69"/>
        <v>4.652960000000002</v>
      </c>
      <c r="CI42" s="386">
        <f t="shared" si="70"/>
        <v>0</v>
      </c>
      <c r="CJ42" s="386">
        <f t="shared" si="39"/>
        <v>-348.97200000000043</v>
      </c>
      <c r="CK42" s="386" t="str">
        <f t="shared" si="40"/>
        <v/>
      </c>
      <c r="CL42" s="386" t="str">
        <f t="shared" si="41"/>
        <v/>
      </c>
      <c r="CM42" s="386" t="str">
        <f t="shared" si="42"/>
        <v/>
      </c>
      <c r="CN42" s="386" t="str">
        <f t="shared" si="43"/>
        <v>0001-00</v>
      </c>
    </row>
    <row r="43" spans="1:92" ht="15.75" thickBot="1" x14ac:dyDescent="0.3">
      <c r="A43" s="376" t="s">
        <v>162</v>
      </c>
      <c r="B43" s="376" t="s">
        <v>163</v>
      </c>
      <c r="C43" s="376" t="s">
        <v>192</v>
      </c>
      <c r="D43" s="376" t="s">
        <v>165</v>
      </c>
      <c r="E43" s="376" t="s">
        <v>166</v>
      </c>
      <c r="F43" s="377" t="s">
        <v>167</v>
      </c>
      <c r="G43" s="376" t="s">
        <v>373</v>
      </c>
      <c r="H43" s="378"/>
      <c r="I43" s="378"/>
      <c r="J43" s="376" t="s">
        <v>169</v>
      </c>
      <c r="K43" s="376" t="s">
        <v>193</v>
      </c>
      <c r="L43" s="376" t="s">
        <v>194</v>
      </c>
      <c r="M43" s="376" t="s">
        <v>172</v>
      </c>
      <c r="N43" s="376" t="s">
        <v>173</v>
      </c>
      <c r="O43" s="379">
        <v>1</v>
      </c>
      <c r="P43" s="384">
        <v>1</v>
      </c>
      <c r="Q43" s="384">
        <v>1</v>
      </c>
      <c r="R43" s="380">
        <v>80</v>
      </c>
      <c r="S43" s="384">
        <v>1</v>
      </c>
      <c r="T43" s="380">
        <v>69906.429999999993</v>
      </c>
      <c r="U43" s="380">
        <v>0</v>
      </c>
      <c r="V43" s="380">
        <v>24261.63</v>
      </c>
      <c r="W43" s="380">
        <v>73299.199999999997</v>
      </c>
      <c r="X43" s="380">
        <v>27519.71</v>
      </c>
      <c r="Y43" s="380">
        <v>73299.199999999997</v>
      </c>
      <c r="Z43" s="380">
        <v>28219.97</v>
      </c>
      <c r="AA43" s="376" t="s">
        <v>195</v>
      </c>
      <c r="AB43" s="376" t="s">
        <v>196</v>
      </c>
      <c r="AC43" s="376" t="s">
        <v>197</v>
      </c>
      <c r="AD43" s="376" t="s">
        <v>198</v>
      </c>
      <c r="AE43" s="376" t="s">
        <v>193</v>
      </c>
      <c r="AF43" s="376" t="s">
        <v>178</v>
      </c>
      <c r="AG43" s="376" t="s">
        <v>179</v>
      </c>
      <c r="AH43" s="381">
        <v>35.24</v>
      </c>
      <c r="AI43" s="379">
        <v>7236</v>
      </c>
      <c r="AJ43" s="376" t="s">
        <v>180</v>
      </c>
      <c r="AK43" s="376" t="s">
        <v>181</v>
      </c>
      <c r="AL43" s="376" t="s">
        <v>182</v>
      </c>
      <c r="AM43" s="376" t="s">
        <v>183</v>
      </c>
      <c r="AN43" s="376" t="s">
        <v>66</v>
      </c>
      <c r="AO43" s="379">
        <v>80</v>
      </c>
      <c r="AP43" s="384">
        <v>1</v>
      </c>
      <c r="AQ43" s="384">
        <v>1</v>
      </c>
      <c r="AR43" s="382" t="s">
        <v>184</v>
      </c>
      <c r="AS43" s="386">
        <f t="shared" si="27"/>
        <v>1</v>
      </c>
      <c r="AT43">
        <f t="shared" si="28"/>
        <v>1</v>
      </c>
      <c r="AU43" s="386">
        <f>IF(AT43=0,"",IF(AND(AT43=1,M43="F",SUMIF(C2:C201,C43,AS2:AS201)&lt;=1),SUMIF(C2:C201,C43,AS2:AS201),IF(AND(AT43=1,M43="F",SUMIF(C2:C201,C43,AS2:AS201)&gt;1),1,"")))</f>
        <v>1</v>
      </c>
      <c r="AV43" s="386" t="str">
        <f>IF(AT43=0,"",IF(AND(AT43=3,M43="F",SUMIF(C2:C201,C43,AS2:AS201)&lt;=1),SUMIF(C2:C201,C43,AS2:AS201),IF(AND(AT43=3,M43="F",SUMIF(C2:C201,C43,AS2:AS201)&gt;1),1,"")))</f>
        <v/>
      </c>
      <c r="AW43" s="386">
        <f>SUMIF(C2:C201,C43,O2:O201)</f>
        <v>3</v>
      </c>
      <c r="AX43" s="386">
        <f>IF(AND(M43="F",AS43&lt;&gt;0),SUMIF(C2:C201,C43,W2:W201),0)</f>
        <v>73299.199999999997</v>
      </c>
      <c r="AY43" s="386">
        <f t="shared" si="29"/>
        <v>73299.199999999997</v>
      </c>
      <c r="AZ43" s="386" t="str">
        <f t="shared" si="30"/>
        <v/>
      </c>
      <c r="BA43" s="386">
        <f t="shared" si="31"/>
        <v>0</v>
      </c>
      <c r="BB43" s="386">
        <f t="shared" si="44"/>
        <v>12500</v>
      </c>
      <c r="BC43" s="386">
        <f t="shared" si="45"/>
        <v>0</v>
      </c>
      <c r="BD43" s="386">
        <f t="shared" si="46"/>
        <v>4544.5504000000001</v>
      </c>
      <c r="BE43" s="386">
        <f t="shared" si="47"/>
        <v>1062.8384000000001</v>
      </c>
      <c r="BF43" s="386">
        <f t="shared" si="48"/>
        <v>8751.9244799999997</v>
      </c>
      <c r="BG43" s="386">
        <f t="shared" si="49"/>
        <v>528.48723199999995</v>
      </c>
      <c r="BH43" s="386">
        <f t="shared" si="50"/>
        <v>0</v>
      </c>
      <c r="BI43" s="386">
        <f t="shared" si="51"/>
        <v>0</v>
      </c>
      <c r="BJ43" s="386">
        <f t="shared" si="52"/>
        <v>131.93856</v>
      </c>
      <c r="BK43" s="386">
        <f t="shared" si="53"/>
        <v>0</v>
      </c>
      <c r="BL43" s="386">
        <f t="shared" si="32"/>
        <v>15019.739072</v>
      </c>
      <c r="BM43" s="386">
        <f t="shared" si="33"/>
        <v>0</v>
      </c>
      <c r="BN43" s="386">
        <f t="shared" si="54"/>
        <v>13750</v>
      </c>
      <c r="BO43" s="386">
        <f t="shared" si="55"/>
        <v>0</v>
      </c>
      <c r="BP43" s="386">
        <f t="shared" si="56"/>
        <v>4544.5504000000001</v>
      </c>
      <c r="BQ43" s="386">
        <f t="shared" si="57"/>
        <v>1062.8384000000001</v>
      </c>
      <c r="BR43" s="386">
        <f t="shared" si="58"/>
        <v>8194.8505599999989</v>
      </c>
      <c r="BS43" s="386">
        <f t="shared" si="59"/>
        <v>528.48723199999995</v>
      </c>
      <c r="BT43" s="386">
        <f t="shared" si="60"/>
        <v>0</v>
      </c>
      <c r="BU43" s="386">
        <f t="shared" si="61"/>
        <v>0</v>
      </c>
      <c r="BV43" s="386">
        <f t="shared" si="62"/>
        <v>139.26847999999998</v>
      </c>
      <c r="BW43" s="386">
        <f t="shared" si="63"/>
        <v>0</v>
      </c>
      <c r="BX43" s="386">
        <f t="shared" si="34"/>
        <v>14469.995072</v>
      </c>
      <c r="BY43" s="386">
        <f t="shared" si="35"/>
        <v>0</v>
      </c>
      <c r="BZ43" s="386">
        <f t="shared" si="36"/>
        <v>1250</v>
      </c>
      <c r="CA43" s="386">
        <f t="shared" si="37"/>
        <v>0</v>
      </c>
      <c r="CB43" s="386">
        <f t="shared" si="38"/>
        <v>0</v>
      </c>
      <c r="CC43" s="386">
        <f t="shared" si="64"/>
        <v>0</v>
      </c>
      <c r="CD43" s="386">
        <f t="shared" si="65"/>
        <v>-557.07392000000073</v>
      </c>
      <c r="CE43" s="386">
        <f t="shared" si="66"/>
        <v>0</v>
      </c>
      <c r="CF43" s="386">
        <f t="shared" si="67"/>
        <v>0</v>
      </c>
      <c r="CG43" s="386">
        <f t="shared" si="68"/>
        <v>0</v>
      </c>
      <c r="CH43" s="386">
        <f t="shared" si="69"/>
        <v>7.3299200000000031</v>
      </c>
      <c r="CI43" s="386">
        <f t="shared" si="70"/>
        <v>0</v>
      </c>
      <c r="CJ43" s="386">
        <f t="shared" si="39"/>
        <v>-549.74400000000071</v>
      </c>
      <c r="CK43" s="386" t="str">
        <f t="shared" si="40"/>
        <v/>
      </c>
      <c r="CL43" s="386" t="str">
        <f t="shared" si="41"/>
        <v/>
      </c>
      <c r="CM43" s="386" t="str">
        <f t="shared" si="42"/>
        <v/>
      </c>
      <c r="CN43" s="386" t="str">
        <f t="shared" si="43"/>
        <v>0001-00</v>
      </c>
    </row>
    <row r="44" spans="1:92" ht="15.75" thickBot="1" x14ac:dyDescent="0.3">
      <c r="A44" s="376" t="s">
        <v>162</v>
      </c>
      <c r="B44" s="376" t="s">
        <v>163</v>
      </c>
      <c r="C44" s="376" t="s">
        <v>199</v>
      </c>
      <c r="D44" s="376" t="s">
        <v>200</v>
      </c>
      <c r="E44" s="376" t="s">
        <v>166</v>
      </c>
      <c r="F44" s="377" t="s">
        <v>167</v>
      </c>
      <c r="G44" s="376" t="s">
        <v>373</v>
      </c>
      <c r="H44" s="378"/>
      <c r="I44" s="378"/>
      <c r="J44" s="376" t="s">
        <v>169</v>
      </c>
      <c r="K44" s="376" t="s">
        <v>201</v>
      </c>
      <c r="L44" s="376" t="s">
        <v>167</v>
      </c>
      <c r="M44" s="376" t="s">
        <v>172</v>
      </c>
      <c r="N44" s="376" t="s">
        <v>173</v>
      </c>
      <c r="O44" s="379">
        <v>1</v>
      </c>
      <c r="P44" s="384">
        <v>1</v>
      </c>
      <c r="Q44" s="384">
        <v>1</v>
      </c>
      <c r="R44" s="380">
        <v>80</v>
      </c>
      <c r="S44" s="384">
        <v>1</v>
      </c>
      <c r="T44" s="380">
        <v>87987.56</v>
      </c>
      <c r="U44" s="380">
        <v>0</v>
      </c>
      <c r="V44" s="380">
        <v>29036.46</v>
      </c>
      <c r="W44" s="380">
        <v>92684.800000000003</v>
      </c>
      <c r="X44" s="380">
        <v>31492.01</v>
      </c>
      <c r="Y44" s="380">
        <v>92684.800000000003</v>
      </c>
      <c r="Z44" s="380">
        <v>32046.880000000001</v>
      </c>
      <c r="AA44" s="376" t="s">
        <v>202</v>
      </c>
      <c r="AB44" s="376" t="s">
        <v>203</v>
      </c>
      <c r="AC44" s="376" t="s">
        <v>204</v>
      </c>
      <c r="AD44" s="376" t="s">
        <v>172</v>
      </c>
      <c r="AE44" s="376" t="s">
        <v>201</v>
      </c>
      <c r="AF44" s="376" t="s">
        <v>178</v>
      </c>
      <c r="AG44" s="376" t="s">
        <v>179</v>
      </c>
      <c r="AH44" s="381">
        <v>44.56</v>
      </c>
      <c r="AI44" s="379">
        <v>31956</v>
      </c>
      <c r="AJ44" s="376" t="s">
        <v>180</v>
      </c>
      <c r="AK44" s="376" t="s">
        <v>181</v>
      </c>
      <c r="AL44" s="376" t="s">
        <v>182</v>
      </c>
      <c r="AM44" s="376" t="s">
        <v>183</v>
      </c>
      <c r="AN44" s="376" t="s">
        <v>66</v>
      </c>
      <c r="AO44" s="379">
        <v>80</v>
      </c>
      <c r="AP44" s="384">
        <v>1</v>
      </c>
      <c r="AQ44" s="384">
        <v>1</v>
      </c>
      <c r="AR44" s="382" t="s">
        <v>184</v>
      </c>
      <c r="AS44" s="386">
        <f t="shared" si="27"/>
        <v>1</v>
      </c>
      <c r="AT44">
        <f t="shared" si="28"/>
        <v>1</v>
      </c>
      <c r="AU44" s="386">
        <f>IF(AT44=0,"",IF(AND(AT44=1,M44="F",SUMIF(C2:C201,C44,AS2:AS201)&lt;=1),SUMIF(C2:C201,C44,AS2:AS201),IF(AND(AT44=1,M44="F",SUMIF(C2:C201,C44,AS2:AS201)&gt;1),1,"")))</f>
        <v>1</v>
      </c>
      <c r="AV44" s="386" t="str">
        <f>IF(AT44=0,"",IF(AND(AT44=3,M44="F",SUMIF(C2:C201,C44,AS2:AS201)&lt;=1),SUMIF(C2:C201,C44,AS2:AS201),IF(AND(AT44=3,M44="F",SUMIF(C2:C201,C44,AS2:AS201)&gt;1),1,"")))</f>
        <v/>
      </c>
      <c r="AW44" s="386">
        <f>SUMIF(C2:C201,C44,O2:O201)</f>
        <v>3</v>
      </c>
      <c r="AX44" s="386">
        <f>IF(AND(M44="F",AS44&lt;&gt;0),SUMIF(C2:C201,C44,W2:W201),0)</f>
        <v>92684.800000000003</v>
      </c>
      <c r="AY44" s="386">
        <f t="shared" si="29"/>
        <v>92684.800000000003</v>
      </c>
      <c r="AZ44" s="386" t="str">
        <f t="shared" si="30"/>
        <v/>
      </c>
      <c r="BA44" s="386">
        <f t="shared" si="31"/>
        <v>0</v>
      </c>
      <c r="BB44" s="386">
        <f t="shared" si="44"/>
        <v>12500</v>
      </c>
      <c r="BC44" s="386">
        <f t="shared" si="45"/>
        <v>0</v>
      </c>
      <c r="BD44" s="386">
        <f t="shared" si="46"/>
        <v>5746.4575999999997</v>
      </c>
      <c r="BE44" s="386">
        <f t="shared" si="47"/>
        <v>1343.9296000000002</v>
      </c>
      <c r="BF44" s="386">
        <f t="shared" si="48"/>
        <v>11066.565120000001</v>
      </c>
      <c r="BG44" s="386">
        <f t="shared" si="49"/>
        <v>668.25740800000005</v>
      </c>
      <c r="BH44" s="386">
        <f t="shared" si="50"/>
        <v>0</v>
      </c>
      <c r="BI44" s="386">
        <f t="shared" si="51"/>
        <v>0</v>
      </c>
      <c r="BJ44" s="386">
        <f t="shared" si="52"/>
        <v>166.83264</v>
      </c>
      <c r="BK44" s="386">
        <f t="shared" si="53"/>
        <v>0</v>
      </c>
      <c r="BL44" s="386">
        <f t="shared" si="32"/>
        <v>18992.042368000002</v>
      </c>
      <c r="BM44" s="386">
        <f t="shared" si="33"/>
        <v>0</v>
      </c>
      <c r="BN44" s="386">
        <f t="shared" si="54"/>
        <v>13750</v>
      </c>
      <c r="BO44" s="386">
        <f t="shared" si="55"/>
        <v>0</v>
      </c>
      <c r="BP44" s="386">
        <f t="shared" si="56"/>
        <v>5746.4575999999997</v>
      </c>
      <c r="BQ44" s="386">
        <f t="shared" si="57"/>
        <v>1343.9296000000002</v>
      </c>
      <c r="BR44" s="386">
        <f t="shared" si="58"/>
        <v>10362.16064</v>
      </c>
      <c r="BS44" s="386">
        <f t="shared" si="59"/>
        <v>668.25740800000005</v>
      </c>
      <c r="BT44" s="386">
        <f t="shared" si="60"/>
        <v>0</v>
      </c>
      <c r="BU44" s="386">
        <f t="shared" si="61"/>
        <v>0</v>
      </c>
      <c r="BV44" s="386">
        <f t="shared" si="62"/>
        <v>176.10112000000001</v>
      </c>
      <c r="BW44" s="386">
        <f t="shared" si="63"/>
        <v>0</v>
      </c>
      <c r="BX44" s="386">
        <f t="shared" si="34"/>
        <v>18296.906368</v>
      </c>
      <c r="BY44" s="386">
        <f t="shared" si="35"/>
        <v>0</v>
      </c>
      <c r="BZ44" s="386">
        <f t="shared" si="36"/>
        <v>1250</v>
      </c>
      <c r="CA44" s="386">
        <f t="shared" si="37"/>
        <v>0</v>
      </c>
      <c r="CB44" s="386">
        <f t="shared" si="38"/>
        <v>0</v>
      </c>
      <c r="CC44" s="386">
        <f t="shared" si="64"/>
        <v>0</v>
      </c>
      <c r="CD44" s="386">
        <f t="shared" si="65"/>
        <v>-704.40448000000094</v>
      </c>
      <c r="CE44" s="386">
        <f t="shared" si="66"/>
        <v>0</v>
      </c>
      <c r="CF44" s="386">
        <f t="shared" si="67"/>
        <v>0</v>
      </c>
      <c r="CG44" s="386">
        <f t="shared" si="68"/>
        <v>0</v>
      </c>
      <c r="CH44" s="386">
        <f t="shared" si="69"/>
        <v>9.2684800000000038</v>
      </c>
      <c r="CI44" s="386">
        <f t="shared" si="70"/>
        <v>0</v>
      </c>
      <c r="CJ44" s="386">
        <f t="shared" si="39"/>
        <v>-695.13600000000099</v>
      </c>
      <c r="CK44" s="386" t="str">
        <f t="shared" si="40"/>
        <v/>
      </c>
      <c r="CL44" s="386" t="str">
        <f t="shared" si="41"/>
        <v/>
      </c>
      <c r="CM44" s="386" t="str">
        <f t="shared" si="42"/>
        <v/>
      </c>
      <c r="CN44" s="386" t="str">
        <f t="shared" si="43"/>
        <v>0001-00</v>
      </c>
    </row>
    <row r="45" spans="1:92" ht="15.75" thickBot="1" x14ac:dyDescent="0.3">
      <c r="A45" s="376" t="s">
        <v>162</v>
      </c>
      <c r="B45" s="376" t="s">
        <v>163</v>
      </c>
      <c r="C45" s="376" t="s">
        <v>205</v>
      </c>
      <c r="D45" s="376" t="s">
        <v>165</v>
      </c>
      <c r="E45" s="376" t="s">
        <v>166</v>
      </c>
      <c r="F45" s="377" t="s">
        <v>167</v>
      </c>
      <c r="G45" s="376" t="s">
        <v>373</v>
      </c>
      <c r="H45" s="378"/>
      <c r="I45" s="378"/>
      <c r="J45" s="376" t="s">
        <v>169</v>
      </c>
      <c r="K45" s="376" t="s">
        <v>206</v>
      </c>
      <c r="L45" s="376" t="s">
        <v>198</v>
      </c>
      <c r="M45" s="376" t="s">
        <v>172</v>
      </c>
      <c r="N45" s="376" t="s">
        <v>173</v>
      </c>
      <c r="O45" s="379">
        <v>1</v>
      </c>
      <c r="P45" s="384">
        <v>1</v>
      </c>
      <c r="Q45" s="384">
        <v>1</v>
      </c>
      <c r="R45" s="380">
        <v>80</v>
      </c>
      <c r="S45" s="384">
        <v>1</v>
      </c>
      <c r="T45" s="380">
        <v>64916</v>
      </c>
      <c r="U45" s="380">
        <v>0</v>
      </c>
      <c r="V45" s="380">
        <v>24151.09</v>
      </c>
      <c r="W45" s="380">
        <v>69014.399999999994</v>
      </c>
      <c r="X45" s="380">
        <v>26641.71</v>
      </c>
      <c r="Y45" s="380">
        <v>69014.399999999994</v>
      </c>
      <c r="Z45" s="380">
        <v>27374.1</v>
      </c>
      <c r="AA45" s="376" t="s">
        <v>207</v>
      </c>
      <c r="AB45" s="376" t="s">
        <v>208</v>
      </c>
      <c r="AC45" s="376" t="s">
        <v>209</v>
      </c>
      <c r="AD45" s="376" t="s">
        <v>177</v>
      </c>
      <c r="AE45" s="376" t="s">
        <v>206</v>
      </c>
      <c r="AF45" s="376" t="s">
        <v>178</v>
      </c>
      <c r="AG45" s="376" t="s">
        <v>179</v>
      </c>
      <c r="AH45" s="381">
        <v>33.18</v>
      </c>
      <c r="AI45" s="381">
        <v>16914.5</v>
      </c>
      <c r="AJ45" s="376" t="s">
        <v>180</v>
      </c>
      <c r="AK45" s="376" t="s">
        <v>181</v>
      </c>
      <c r="AL45" s="376" t="s">
        <v>182</v>
      </c>
      <c r="AM45" s="376" t="s">
        <v>183</v>
      </c>
      <c r="AN45" s="376" t="s">
        <v>66</v>
      </c>
      <c r="AO45" s="379">
        <v>80</v>
      </c>
      <c r="AP45" s="384">
        <v>1</v>
      </c>
      <c r="AQ45" s="384">
        <v>1</v>
      </c>
      <c r="AR45" s="382" t="s">
        <v>184</v>
      </c>
      <c r="AS45" s="386">
        <f t="shared" si="27"/>
        <v>1</v>
      </c>
      <c r="AT45">
        <f t="shared" si="28"/>
        <v>1</v>
      </c>
      <c r="AU45" s="386">
        <f>IF(AT45=0,"",IF(AND(AT45=1,M45="F",SUMIF(C2:C201,C45,AS2:AS201)&lt;=1),SUMIF(C2:C201,C45,AS2:AS201),IF(AND(AT45=1,M45="F",SUMIF(C2:C201,C45,AS2:AS201)&gt;1),1,"")))</f>
        <v>1</v>
      </c>
      <c r="AV45" s="386" t="str">
        <f>IF(AT45=0,"",IF(AND(AT45=3,M45="F",SUMIF(C2:C201,C45,AS2:AS201)&lt;=1),SUMIF(C2:C201,C45,AS2:AS201),IF(AND(AT45=3,M45="F",SUMIF(C2:C201,C45,AS2:AS201)&gt;1),1,"")))</f>
        <v/>
      </c>
      <c r="AW45" s="386">
        <f>SUMIF(C2:C201,C45,O2:O201)</f>
        <v>3</v>
      </c>
      <c r="AX45" s="386">
        <f>IF(AND(M45="F",AS45&lt;&gt;0),SUMIF(C2:C201,C45,W2:W201),0)</f>
        <v>69014.399999999994</v>
      </c>
      <c r="AY45" s="386">
        <f t="shared" si="29"/>
        <v>69014.399999999994</v>
      </c>
      <c r="AZ45" s="386" t="str">
        <f t="shared" si="30"/>
        <v/>
      </c>
      <c r="BA45" s="386">
        <f t="shared" si="31"/>
        <v>0</v>
      </c>
      <c r="BB45" s="386">
        <f t="shared" si="44"/>
        <v>12500</v>
      </c>
      <c r="BC45" s="386">
        <f t="shared" si="45"/>
        <v>0</v>
      </c>
      <c r="BD45" s="386">
        <f t="shared" si="46"/>
        <v>4278.8927999999996</v>
      </c>
      <c r="BE45" s="386">
        <f t="shared" si="47"/>
        <v>1000.7088</v>
      </c>
      <c r="BF45" s="386">
        <f t="shared" si="48"/>
        <v>8240.3193599999995</v>
      </c>
      <c r="BG45" s="386">
        <f t="shared" si="49"/>
        <v>497.59382399999998</v>
      </c>
      <c r="BH45" s="386">
        <f t="shared" si="50"/>
        <v>0</v>
      </c>
      <c r="BI45" s="386">
        <f t="shared" si="51"/>
        <v>0</v>
      </c>
      <c r="BJ45" s="386">
        <f t="shared" si="52"/>
        <v>124.22591999999999</v>
      </c>
      <c r="BK45" s="386">
        <f t="shared" si="53"/>
        <v>0</v>
      </c>
      <c r="BL45" s="386">
        <f t="shared" si="32"/>
        <v>14141.740704</v>
      </c>
      <c r="BM45" s="386">
        <f t="shared" si="33"/>
        <v>0</v>
      </c>
      <c r="BN45" s="386">
        <f t="shared" si="54"/>
        <v>13750</v>
      </c>
      <c r="BO45" s="386">
        <f t="shared" si="55"/>
        <v>0</v>
      </c>
      <c r="BP45" s="386">
        <f t="shared" si="56"/>
        <v>4278.8927999999996</v>
      </c>
      <c r="BQ45" s="386">
        <f t="shared" si="57"/>
        <v>1000.7088</v>
      </c>
      <c r="BR45" s="386">
        <f t="shared" si="58"/>
        <v>7715.8099199999988</v>
      </c>
      <c r="BS45" s="386">
        <f t="shared" si="59"/>
        <v>497.59382399999998</v>
      </c>
      <c r="BT45" s="386">
        <f t="shared" si="60"/>
        <v>0</v>
      </c>
      <c r="BU45" s="386">
        <f t="shared" si="61"/>
        <v>0</v>
      </c>
      <c r="BV45" s="386">
        <f t="shared" si="62"/>
        <v>131.12735999999998</v>
      </c>
      <c r="BW45" s="386">
        <f t="shared" si="63"/>
        <v>0</v>
      </c>
      <c r="BX45" s="386">
        <f t="shared" si="34"/>
        <v>13624.132703999998</v>
      </c>
      <c r="BY45" s="386">
        <f t="shared" si="35"/>
        <v>0</v>
      </c>
      <c r="BZ45" s="386">
        <f t="shared" si="36"/>
        <v>1250</v>
      </c>
      <c r="CA45" s="386">
        <f t="shared" si="37"/>
        <v>0</v>
      </c>
      <c r="CB45" s="386">
        <f t="shared" si="38"/>
        <v>0</v>
      </c>
      <c r="CC45" s="386">
        <f t="shared" si="64"/>
        <v>0</v>
      </c>
      <c r="CD45" s="386">
        <f t="shared" si="65"/>
        <v>-524.50944000000061</v>
      </c>
      <c r="CE45" s="386">
        <f t="shared" si="66"/>
        <v>0</v>
      </c>
      <c r="CF45" s="386">
        <f t="shared" si="67"/>
        <v>0</v>
      </c>
      <c r="CG45" s="386">
        <f t="shared" si="68"/>
        <v>0</v>
      </c>
      <c r="CH45" s="386">
        <f t="shared" si="69"/>
        <v>6.9014400000000027</v>
      </c>
      <c r="CI45" s="386">
        <f t="shared" si="70"/>
        <v>0</v>
      </c>
      <c r="CJ45" s="386">
        <f t="shared" si="39"/>
        <v>-517.60800000000063</v>
      </c>
      <c r="CK45" s="386" t="str">
        <f t="shared" si="40"/>
        <v/>
      </c>
      <c r="CL45" s="386" t="str">
        <f t="shared" si="41"/>
        <v/>
      </c>
      <c r="CM45" s="386" t="str">
        <f t="shared" si="42"/>
        <v/>
      </c>
      <c r="CN45" s="386" t="str">
        <f t="shared" si="43"/>
        <v>0001-00</v>
      </c>
    </row>
    <row r="46" spans="1:92" ht="15.75" thickBot="1" x14ac:dyDescent="0.3">
      <c r="A46" s="376" t="s">
        <v>162</v>
      </c>
      <c r="B46" s="376" t="s">
        <v>163</v>
      </c>
      <c r="C46" s="376" t="s">
        <v>210</v>
      </c>
      <c r="D46" s="376" t="s">
        <v>165</v>
      </c>
      <c r="E46" s="376" t="s">
        <v>166</v>
      </c>
      <c r="F46" s="377" t="s">
        <v>167</v>
      </c>
      <c r="G46" s="376" t="s">
        <v>373</v>
      </c>
      <c r="H46" s="378"/>
      <c r="I46" s="378"/>
      <c r="J46" s="376" t="s">
        <v>169</v>
      </c>
      <c r="K46" s="376" t="s">
        <v>206</v>
      </c>
      <c r="L46" s="376" t="s">
        <v>198</v>
      </c>
      <c r="M46" s="376" t="s">
        <v>172</v>
      </c>
      <c r="N46" s="376" t="s">
        <v>173</v>
      </c>
      <c r="O46" s="379">
        <v>1</v>
      </c>
      <c r="P46" s="384">
        <v>1</v>
      </c>
      <c r="Q46" s="384">
        <v>1</v>
      </c>
      <c r="R46" s="380">
        <v>80</v>
      </c>
      <c r="S46" s="384">
        <v>1</v>
      </c>
      <c r="T46" s="380">
        <v>71264</v>
      </c>
      <c r="U46" s="380">
        <v>0</v>
      </c>
      <c r="V46" s="380">
        <v>25526.73</v>
      </c>
      <c r="W46" s="380">
        <v>75441.600000000006</v>
      </c>
      <c r="X46" s="380">
        <v>27958.71</v>
      </c>
      <c r="Y46" s="380">
        <v>75441.600000000006</v>
      </c>
      <c r="Z46" s="380">
        <v>28642.9</v>
      </c>
      <c r="AA46" s="376" t="s">
        <v>211</v>
      </c>
      <c r="AB46" s="376" t="s">
        <v>212</v>
      </c>
      <c r="AC46" s="376" t="s">
        <v>213</v>
      </c>
      <c r="AD46" s="376" t="s">
        <v>198</v>
      </c>
      <c r="AE46" s="376" t="s">
        <v>206</v>
      </c>
      <c r="AF46" s="376" t="s">
        <v>178</v>
      </c>
      <c r="AG46" s="376" t="s">
        <v>179</v>
      </c>
      <c r="AH46" s="381">
        <v>36.270000000000003</v>
      </c>
      <c r="AI46" s="381">
        <v>25865.7</v>
      </c>
      <c r="AJ46" s="376" t="s">
        <v>180</v>
      </c>
      <c r="AK46" s="376" t="s">
        <v>181</v>
      </c>
      <c r="AL46" s="376" t="s">
        <v>182</v>
      </c>
      <c r="AM46" s="376" t="s">
        <v>183</v>
      </c>
      <c r="AN46" s="376" t="s">
        <v>66</v>
      </c>
      <c r="AO46" s="379">
        <v>80</v>
      </c>
      <c r="AP46" s="384">
        <v>1</v>
      </c>
      <c r="AQ46" s="384">
        <v>1</v>
      </c>
      <c r="AR46" s="382" t="s">
        <v>184</v>
      </c>
      <c r="AS46" s="386">
        <f t="shared" si="27"/>
        <v>1</v>
      </c>
      <c r="AT46">
        <f t="shared" si="28"/>
        <v>1</v>
      </c>
      <c r="AU46" s="386">
        <f>IF(AT46=0,"",IF(AND(AT46=1,M46="F",SUMIF(C2:C201,C46,AS2:AS201)&lt;=1),SUMIF(C2:C201,C46,AS2:AS201),IF(AND(AT46=1,M46="F",SUMIF(C2:C201,C46,AS2:AS201)&gt;1),1,"")))</f>
        <v>1</v>
      </c>
      <c r="AV46" s="386" t="str">
        <f>IF(AT46=0,"",IF(AND(AT46=3,M46="F",SUMIF(C2:C201,C46,AS2:AS201)&lt;=1),SUMIF(C2:C201,C46,AS2:AS201),IF(AND(AT46=3,M46="F",SUMIF(C2:C201,C46,AS2:AS201)&gt;1),1,"")))</f>
        <v/>
      </c>
      <c r="AW46" s="386">
        <f>SUMIF(C2:C201,C46,O2:O201)</f>
        <v>3</v>
      </c>
      <c r="AX46" s="386">
        <f>IF(AND(M46="F",AS46&lt;&gt;0),SUMIF(C2:C201,C46,W2:W201),0)</f>
        <v>75441.600000000006</v>
      </c>
      <c r="AY46" s="386">
        <f t="shared" si="29"/>
        <v>75441.600000000006</v>
      </c>
      <c r="AZ46" s="386" t="str">
        <f t="shared" si="30"/>
        <v/>
      </c>
      <c r="BA46" s="386">
        <f t="shared" si="31"/>
        <v>0</v>
      </c>
      <c r="BB46" s="386">
        <f t="shared" si="44"/>
        <v>12500</v>
      </c>
      <c r="BC46" s="386">
        <f t="shared" si="45"/>
        <v>0</v>
      </c>
      <c r="BD46" s="386">
        <f t="shared" si="46"/>
        <v>4677.3792000000003</v>
      </c>
      <c r="BE46" s="386">
        <f t="shared" si="47"/>
        <v>1093.9032000000002</v>
      </c>
      <c r="BF46" s="386">
        <f t="shared" si="48"/>
        <v>9007.7270400000016</v>
      </c>
      <c r="BG46" s="386">
        <f t="shared" si="49"/>
        <v>543.93393600000002</v>
      </c>
      <c r="BH46" s="386">
        <f t="shared" si="50"/>
        <v>0</v>
      </c>
      <c r="BI46" s="386">
        <f t="shared" si="51"/>
        <v>0</v>
      </c>
      <c r="BJ46" s="386">
        <f t="shared" si="52"/>
        <v>135.79488000000001</v>
      </c>
      <c r="BK46" s="386">
        <f t="shared" si="53"/>
        <v>0</v>
      </c>
      <c r="BL46" s="386">
        <f t="shared" si="32"/>
        <v>15458.738256000001</v>
      </c>
      <c r="BM46" s="386">
        <f t="shared" si="33"/>
        <v>0</v>
      </c>
      <c r="BN46" s="386">
        <f t="shared" si="54"/>
        <v>13750</v>
      </c>
      <c r="BO46" s="386">
        <f t="shared" si="55"/>
        <v>0</v>
      </c>
      <c r="BP46" s="386">
        <f t="shared" si="56"/>
        <v>4677.3792000000003</v>
      </c>
      <c r="BQ46" s="386">
        <f t="shared" si="57"/>
        <v>1093.9032000000002</v>
      </c>
      <c r="BR46" s="386">
        <f t="shared" si="58"/>
        <v>8434.3708800000004</v>
      </c>
      <c r="BS46" s="386">
        <f t="shared" si="59"/>
        <v>543.93393600000002</v>
      </c>
      <c r="BT46" s="386">
        <f t="shared" si="60"/>
        <v>0</v>
      </c>
      <c r="BU46" s="386">
        <f t="shared" si="61"/>
        <v>0</v>
      </c>
      <c r="BV46" s="386">
        <f t="shared" si="62"/>
        <v>143.33904000000001</v>
      </c>
      <c r="BW46" s="386">
        <f t="shared" si="63"/>
        <v>0</v>
      </c>
      <c r="BX46" s="386">
        <f t="shared" si="34"/>
        <v>14892.926256000001</v>
      </c>
      <c r="BY46" s="386">
        <f t="shared" si="35"/>
        <v>0</v>
      </c>
      <c r="BZ46" s="386">
        <f t="shared" si="36"/>
        <v>1250</v>
      </c>
      <c r="CA46" s="386">
        <f t="shared" si="37"/>
        <v>0</v>
      </c>
      <c r="CB46" s="386">
        <f t="shared" si="38"/>
        <v>0</v>
      </c>
      <c r="CC46" s="386">
        <f t="shared" si="64"/>
        <v>0</v>
      </c>
      <c r="CD46" s="386">
        <f t="shared" si="65"/>
        <v>-573.35616000000073</v>
      </c>
      <c r="CE46" s="386">
        <f t="shared" si="66"/>
        <v>0</v>
      </c>
      <c r="CF46" s="386">
        <f t="shared" si="67"/>
        <v>0</v>
      </c>
      <c r="CG46" s="386">
        <f t="shared" si="68"/>
        <v>0</v>
      </c>
      <c r="CH46" s="386">
        <f t="shared" si="69"/>
        <v>7.5441600000000042</v>
      </c>
      <c r="CI46" s="386">
        <f t="shared" si="70"/>
        <v>0</v>
      </c>
      <c r="CJ46" s="386">
        <f t="shared" si="39"/>
        <v>-565.81200000000069</v>
      </c>
      <c r="CK46" s="386" t="str">
        <f t="shared" si="40"/>
        <v/>
      </c>
      <c r="CL46" s="386" t="str">
        <f t="shared" si="41"/>
        <v/>
      </c>
      <c r="CM46" s="386" t="str">
        <f t="shared" si="42"/>
        <v/>
      </c>
      <c r="CN46" s="386" t="str">
        <f t="shared" si="43"/>
        <v>0001-00</v>
      </c>
    </row>
    <row r="47" spans="1:92" ht="15.75" thickBot="1" x14ac:dyDescent="0.3">
      <c r="A47" s="376" t="s">
        <v>162</v>
      </c>
      <c r="B47" s="376" t="s">
        <v>163</v>
      </c>
      <c r="C47" s="376" t="s">
        <v>214</v>
      </c>
      <c r="D47" s="376" t="s">
        <v>165</v>
      </c>
      <c r="E47" s="376" t="s">
        <v>166</v>
      </c>
      <c r="F47" s="377" t="s">
        <v>167</v>
      </c>
      <c r="G47" s="376" t="s">
        <v>373</v>
      </c>
      <c r="H47" s="378"/>
      <c r="I47" s="378"/>
      <c r="J47" s="376" t="s">
        <v>169</v>
      </c>
      <c r="K47" s="376" t="s">
        <v>206</v>
      </c>
      <c r="L47" s="376" t="s">
        <v>198</v>
      </c>
      <c r="M47" s="376" t="s">
        <v>172</v>
      </c>
      <c r="N47" s="376" t="s">
        <v>173</v>
      </c>
      <c r="O47" s="379">
        <v>1</v>
      </c>
      <c r="P47" s="384">
        <v>1</v>
      </c>
      <c r="Q47" s="384">
        <v>1</v>
      </c>
      <c r="R47" s="380">
        <v>80</v>
      </c>
      <c r="S47" s="384">
        <v>1</v>
      </c>
      <c r="T47" s="380">
        <v>71446.61</v>
      </c>
      <c r="U47" s="380">
        <v>0</v>
      </c>
      <c r="V47" s="380">
        <v>24510.799999999999</v>
      </c>
      <c r="W47" s="380">
        <v>75441.600000000006</v>
      </c>
      <c r="X47" s="380">
        <v>27958.71</v>
      </c>
      <c r="Y47" s="380">
        <v>75441.600000000006</v>
      </c>
      <c r="Z47" s="380">
        <v>28642.9</v>
      </c>
      <c r="AA47" s="376" t="s">
        <v>215</v>
      </c>
      <c r="AB47" s="376" t="s">
        <v>216</v>
      </c>
      <c r="AC47" s="376" t="s">
        <v>217</v>
      </c>
      <c r="AD47" s="376" t="s">
        <v>171</v>
      </c>
      <c r="AE47" s="376" t="s">
        <v>206</v>
      </c>
      <c r="AF47" s="376" t="s">
        <v>178</v>
      </c>
      <c r="AG47" s="376" t="s">
        <v>179</v>
      </c>
      <c r="AH47" s="381">
        <v>36.270000000000003</v>
      </c>
      <c r="AI47" s="381">
        <v>17640.5</v>
      </c>
      <c r="AJ47" s="376" t="s">
        <v>180</v>
      </c>
      <c r="AK47" s="376" t="s">
        <v>181</v>
      </c>
      <c r="AL47" s="376" t="s">
        <v>182</v>
      </c>
      <c r="AM47" s="376" t="s">
        <v>183</v>
      </c>
      <c r="AN47" s="376" t="s">
        <v>66</v>
      </c>
      <c r="AO47" s="379">
        <v>80</v>
      </c>
      <c r="AP47" s="384">
        <v>1</v>
      </c>
      <c r="AQ47" s="384">
        <v>1</v>
      </c>
      <c r="AR47" s="382" t="s">
        <v>184</v>
      </c>
      <c r="AS47" s="386">
        <f t="shared" si="27"/>
        <v>1</v>
      </c>
      <c r="AT47">
        <f t="shared" si="28"/>
        <v>1</v>
      </c>
      <c r="AU47" s="386">
        <f>IF(AT47=0,"",IF(AND(AT47=1,M47="F",SUMIF(C2:C201,C47,AS2:AS201)&lt;=1),SUMIF(C2:C201,C47,AS2:AS201),IF(AND(AT47=1,M47="F",SUMIF(C2:C201,C47,AS2:AS201)&gt;1),1,"")))</f>
        <v>1</v>
      </c>
      <c r="AV47" s="386" t="str">
        <f>IF(AT47=0,"",IF(AND(AT47=3,M47="F",SUMIF(C2:C201,C47,AS2:AS201)&lt;=1),SUMIF(C2:C201,C47,AS2:AS201),IF(AND(AT47=3,M47="F",SUMIF(C2:C201,C47,AS2:AS201)&gt;1),1,"")))</f>
        <v/>
      </c>
      <c r="AW47" s="386">
        <f>SUMIF(C2:C201,C47,O2:O201)</f>
        <v>3</v>
      </c>
      <c r="AX47" s="386">
        <f>IF(AND(M47="F",AS47&lt;&gt;0),SUMIF(C2:C201,C47,W2:W201),0)</f>
        <v>75441.600000000006</v>
      </c>
      <c r="AY47" s="386">
        <f t="shared" si="29"/>
        <v>75441.600000000006</v>
      </c>
      <c r="AZ47" s="386" t="str">
        <f t="shared" si="30"/>
        <v/>
      </c>
      <c r="BA47" s="386">
        <f t="shared" si="31"/>
        <v>0</v>
      </c>
      <c r="BB47" s="386">
        <f t="shared" si="44"/>
        <v>12500</v>
      </c>
      <c r="BC47" s="386">
        <f t="shared" si="45"/>
        <v>0</v>
      </c>
      <c r="BD47" s="386">
        <f t="shared" si="46"/>
        <v>4677.3792000000003</v>
      </c>
      <c r="BE47" s="386">
        <f t="shared" si="47"/>
        <v>1093.9032000000002</v>
      </c>
      <c r="BF47" s="386">
        <f t="shared" si="48"/>
        <v>9007.7270400000016</v>
      </c>
      <c r="BG47" s="386">
        <f t="shared" si="49"/>
        <v>543.93393600000002</v>
      </c>
      <c r="BH47" s="386">
        <f t="shared" si="50"/>
        <v>0</v>
      </c>
      <c r="BI47" s="386">
        <f t="shared" si="51"/>
        <v>0</v>
      </c>
      <c r="BJ47" s="386">
        <f t="shared" si="52"/>
        <v>135.79488000000001</v>
      </c>
      <c r="BK47" s="386">
        <f t="shared" si="53"/>
        <v>0</v>
      </c>
      <c r="BL47" s="386">
        <f t="shared" si="32"/>
        <v>15458.738256000001</v>
      </c>
      <c r="BM47" s="386">
        <f t="shared" si="33"/>
        <v>0</v>
      </c>
      <c r="BN47" s="386">
        <f t="shared" si="54"/>
        <v>13750</v>
      </c>
      <c r="BO47" s="386">
        <f t="shared" si="55"/>
        <v>0</v>
      </c>
      <c r="BP47" s="386">
        <f t="shared" si="56"/>
        <v>4677.3792000000003</v>
      </c>
      <c r="BQ47" s="386">
        <f t="shared" si="57"/>
        <v>1093.9032000000002</v>
      </c>
      <c r="BR47" s="386">
        <f t="shared" si="58"/>
        <v>8434.3708800000004</v>
      </c>
      <c r="BS47" s="386">
        <f t="shared" si="59"/>
        <v>543.93393600000002</v>
      </c>
      <c r="BT47" s="386">
        <f t="shared" si="60"/>
        <v>0</v>
      </c>
      <c r="BU47" s="386">
        <f t="shared" si="61"/>
        <v>0</v>
      </c>
      <c r="BV47" s="386">
        <f t="shared" si="62"/>
        <v>143.33904000000001</v>
      </c>
      <c r="BW47" s="386">
        <f t="shared" si="63"/>
        <v>0</v>
      </c>
      <c r="BX47" s="386">
        <f t="shared" si="34"/>
        <v>14892.926256000001</v>
      </c>
      <c r="BY47" s="386">
        <f t="shared" si="35"/>
        <v>0</v>
      </c>
      <c r="BZ47" s="386">
        <f t="shared" si="36"/>
        <v>1250</v>
      </c>
      <c r="CA47" s="386">
        <f t="shared" si="37"/>
        <v>0</v>
      </c>
      <c r="CB47" s="386">
        <f t="shared" si="38"/>
        <v>0</v>
      </c>
      <c r="CC47" s="386">
        <f t="shared" si="64"/>
        <v>0</v>
      </c>
      <c r="CD47" s="386">
        <f t="shared" si="65"/>
        <v>-573.35616000000073</v>
      </c>
      <c r="CE47" s="386">
        <f t="shared" si="66"/>
        <v>0</v>
      </c>
      <c r="CF47" s="386">
        <f t="shared" si="67"/>
        <v>0</v>
      </c>
      <c r="CG47" s="386">
        <f t="shared" si="68"/>
        <v>0</v>
      </c>
      <c r="CH47" s="386">
        <f t="shared" si="69"/>
        <v>7.5441600000000042</v>
      </c>
      <c r="CI47" s="386">
        <f t="shared" si="70"/>
        <v>0</v>
      </c>
      <c r="CJ47" s="386">
        <f t="shared" si="39"/>
        <v>-565.81200000000069</v>
      </c>
      <c r="CK47" s="386" t="str">
        <f t="shared" si="40"/>
        <v/>
      </c>
      <c r="CL47" s="386" t="str">
        <f t="shared" si="41"/>
        <v/>
      </c>
      <c r="CM47" s="386" t="str">
        <f t="shared" si="42"/>
        <v/>
      </c>
      <c r="CN47" s="386" t="str">
        <f t="shared" si="43"/>
        <v>0001-00</v>
      </c>
    </row>
    <row r="48" spans="1:92" ht="15.75" thickBot="1" x14ac:dyDescent="0.3">
      <c r="A48" s="376" t="s">
        <v>162</v>
      </c>
      <c r="B48" s="376" t="s">
        <v>163</v>
      </c>
      <c r="C48" s="376" t="s">
        <v>218</v>
      </c>
      <c r="D48" s="376" t="s">
        <v>219</v>
      </c>
      <c r="E48" s="376" t="s">
        <v>166</v>
      </c>
      <c r="F48" s="377" t="s">
        <v>167</v>
      </c>
      <c r="G48" s="376" t="s">
        <v>373</v>
      </c>
      <c r="H48" s="378"/>
      <c r="I48" s="378"/>
      <c r="J48" s="376" t="s">
        <v>220</v>
      </c>
      <c r="K48" s="376" t="s">
        <v>221</v>
      </c>
      <c r="L48" s="376" t="s">
        <v>222</v>
      </c>
      <c r="M48" s="376" t="s">
        <v>172</v>
      </c>
      <c r="N48" s="376" t="s">
        <v>173</v>
      </c>
      <c r="O48" s="379">
        <v>1</v>
      </c>
      <c r="P48" s="384">
        <v>0.15</v>
      </c>
      <c r="Q48" s="384">
        <v>0.15</v>
      </c>
      <c r="R48" s="380">
        <v>80</v>
      </c>
      <c r="S48" s="384">
        <v>0.15</v>
      </c>
      <c r="T48" s="380">
        <v>11723.03</v>
      </c>
      <c r="U48" s="380">
        <v>0</v>
      </c>
      <c r="V48" s="380">
        <v>4140.05</v>
      </c>
      <c r="W48" s="380">
        <v>12164.88</v>
      </c>
      <c r="X48" s="380">
        <v>4367.7</v>
      </c>
      <c r="Y48" s="380">
        <v>12164.88</v>
      </c>
      <c r="Z48" s="380">
        <v>4463.96</v>
      </c>
      <c r="AA48" s="376" t="s">
        <v>223</v>
      </c>
      <c r="AB48" s="376" t="s">
        <v>189</v>
      </c>
      <c r="AC48" s="376" t="s">
        <v>224</v>
      </c>
      <c r="AD48" s="376" t="s">
        <v>225</v>
      </c>
      <c r="AE48" s="376" t="s">
        <v>221</v>
      </c>
      <c r="AF48" s="376" t="s">
        <v>178</v>
      </c>
      <c r="AG48" s="376" t="s">
        <v>179</v>
      </c>
      <c r="AH48" s="381">
        <v>38.99</v>
      </c>
      <c r="AI48" s="381">
        <v>19300.7</v>
      </c>
      <c r="AJ48" s="376" t="s">
        <v>180</v>
      </c>
      <c r="AK48" s="376" t="s">
        <v>181</v>
      </c>
      <c r="AL48" s="376" t="s">
        <v>182</v>
      </c>
      <c r="AM48" s="376" t="s">
        <v>183</v>
      </c>
      <c r="AN48" s="376" t="s">
        <v>66</v>
      </c>
      <c r="AO48" s="379">
        <v>80</v>
      </c>
      <c r="AP48" s="384">
        <v>1</v>
      </c>
      <c r="AQ48" s="384">
        <v>0.15</v>
      </c>
      <c r="AR48" s="382" t="s">
        <v>184</v>
      </c>
      <c r="AS48" s="386">
        <f t="shared" si="27"/>
        <v>0.15</v>
      </c>
      <c r="AT48">
        <f t="shared" si="28"/>
        <v>1</v>
      </c>
      <c r="AU48" s="386">
        <f>IF(AT48=0,"",IF(AND(AT48=1,M48="F",SUMIF(C2:C201,C48,AS2:AS201)&lt;=1),SUMIF(C2:C201,C48,AS2:AS201),IF(AND(AT48=1,M48="F",SUMIF(C2:C201,C48,AS2:AS201)&gt;1),1,"")))</f>
        <v>1</v>
      </c>
      <c r="AV48" s="386" t="str">
        <f>IF(AT48=0,"",IF(AND(AT48=3,M48="F",SUMIF(C2:C201,C48,AS2:AS201)&lt;=1),SUMIF(C2:C201,C48,AS2:AS201),IF(AND(AT48=3,M48="F",SUMIF(C2:C201,C48,AS2:AS201)&gt;1),1,"")))</f>
        <v/>
      </c>
      <c r="AW48" s="386">
        <f>SUMIF(C2:C201,C48,O2:O201)</f>
        <v>4</v>
      </c>
      <c r="AX48" s="386">
        <f>IF(AND(M48="F",AS48&lt;&gt;0),SUMIF(C2:C201,C48,W2:W201),0)</f>
        <v>81099.199999999997</v>
      </c>
      <c r="AY48" s="386">
        <f t="shared" si="29"/>
        <v>12164.88</v>
      </c>
      <c r="AZ48" s="386" t="str">
        <f t="shared" si="30"/>
        <v/>
      </c>
      <c r="BA48" s="386">
        <f t="shared" si="31"/>
        <v>0</v>
      </c>
      <c r="BB48" s="386">
        <f t="shared" si="44"/>
        <v>1875</v>
      </c>
      <c r="BC48" s="386">
        <f t="shared" si="45"/>
        <v>0</v>
      </c>
      <c r="BD48" s="386">
        <f t="shared" si="46"/>
        <v>754.22255999999993</v>
      </c>
      <c r="BE48" s="386">
        <f t="shared" si="47"/>
        <v>176.39076</v>
      </c>
      <c r="BF48" s="386">
        <f t="shared" si="48"/>
        <v>1452.486672</v>
      </c>
      <c r="BG48" s="386">
        <f t="shared" si="49"/>
        <v>87.708784800000004</v>
      </c>
      <c r="BH48" s="386">
        <f t="shared" si="50"/>
        <v>0</v>
      </c>
      <c r="BI48" s="386">
        <f t="shared" si="51"/>
        <v>0</v>
      </c>
      <c r="BJ48" s="386">
        <f t="shared" si="52"/>
        <v>21.896783999999997</v>
      </c>
      <c r="BK48" s="386">
        <f t="shared" si="53"/>
        <v>0</v>
      </c>
      <c r="BL48" s="386">
        <f t="shared" si="32"/>
        <v>2492.7055608000001</v>
      </c>
      <c r="BM48" s="386">
        <f t="shared" si="33"/>
        <v>0</v>
      </c>
      <c r="BN48" s="386">
        <f t="shared" si="54"/>
        <v>2062.5</v>
      </c>
      <c r="BO48" s="386">
        <f t="shared" si="55"/>
        <v>0</v>
      </c>
      <c r="BP48" s="386">
        <f t="shared" si="56"/>
        <v>754.22255999999993</v>
      </c>
      <c r="BQ48" s="386">
        <f t="shared" si="57"/>
        <v>176.39076</v>
      </c>
      <c r="BR48" s="386">
        <f t="shared" si="58"/>
        <v>1360.0335839999998</v>
      </c>
      <c r="BS48" s="386">
        <f t="shared" si="59"/>
        <v>87.708784800000004</v>
      </c>
      <c r="BT48" s="386">
        <f t="shared" si="60"/>
        <v>0</v>
      </c>
      <c r="BU48" s="386">
        <f t="shared" si="61"/>
        <v>0</v>
      </c>
      <c r="BV48" s="386">
        <f t="shared" si="62"/>
        <v>23.113271999999998</v>
      </c>
      <c r="BW48" s="386">
        <f t="shared" si="63"/>
        <v>0</v>
      </c>
      <c r="BX48" s="386">
        <f t="shared" si="34"/>
        <v>2401.4689607999999</v>
      </c>
      <c r="BY48" s="386">
        <f t="shared" si="35"/>
        <v>0</v>
      </c>
      <c r="BZ48" s="386">
        <f t="shared" si="36"/>
        <v>187.5</v>
      </c>
      <c r="CA48" s="386">
        <f t="shared" si="37"/>
        <v>0</v>
      </c>
      <c r="CB48" s="386">
        <f t="shared" si="38"/>
        <v>0</v>
      </c>
      <c r="CC48" s="386">
        <f t="shared" si="64"/>
        <v>0</v>
      </c>
      <c r="CD48" s="386">
        <f t="shared" si="65"/>
        <v>-92.453088000000108</v>
      </c>
      <c r="CE48" s="386">
        <f t="shared" si="66"/>
        <v>0</v>
      </c>
      <c r="CF48" s="386">
        <f t="shared" si="67"/>
        <v>0</v>
      </c>
      <c r="CG48" s="386">
        <f t="shared" si="68"/>
        <v>0</v>
      </c>
      <c r="CH48" s="386">
        <f t="shared" si="69"/>
        <v>1.2164880000000005</v>
      </c>
      <c r="CI48" s="386">
        <f t="shared" si="70"/>
        <v>0</v>
      </c>
      <c r="CJ48" s="386">
        <f t="shared" si="39"/>
        <v>-91.236600000000109</v>
      </c>
      <c r="CK48" s="386" t="str">
        <f t="shared" si="40"/>
        <v/>
      </c>
      <c r="CL48" s="386" t="str">
        <f t="shared" si="41"/>
        <v/>
      </c>
      <c r="CM48" s="386" t="str">
        <f t="shared" si="42"/>
        <v/>
      </c>
      <c r="CN48" s="386" t="str">
        <f t="shared" si="43"/>
        <v>0001-00</v>
      </c>
    </row>
    <row r="49" spans="1:92" ht="15.75" thickBot="1" x14ac:dyDescent="0.3">
      <c r="A49" s="376" t="s">
        <v>162</v>
      </c>
      <c r="B49" s="376" t="s">
        <v>163</v>
      </c>
      <c r="C49" s="376" t="s">
        <v>226</v>
      </c>
      <c r="D49" s="376" t="s">
        <v>227</v>
      </c>
      <c r="E49" s="376" t="s">
        <v>166</v>
      </c>
      <c r="F49" s="377" t="s">
        <v>167</v>
      </c>
      <c r="G49" s="376" t="s">
        <v>373</v>
      </c>
      <c r="H49" s="378"/>
      <c r="I49" s="378"/>
      <c r="J49" s="376" t="s">
        <v>220</v>
      </c>
      <c r="K49" s="376" t="s">
        <v>228</v>
      </c>
      <c r="L49" s="376" t="s">
        <v>167</v>
      </c>
      <c r="M49" s="376" t="s">
        <v>172</v>
      </c>
      <c r="N49" s="376" t="s">
        <v>173</v>
      </c>
      <c r="O49" s="379">
        <v>1</v>
      </c>
      <c r="P49" s="384">
        <v>0.05</v>
      </c>
      <c r="Q49" s="384">
        <v>0.05</v>
      </c>
      <c r="R49" s="380">
        <v>80</v>
      </c>
      <c r="S49" s="384">
        <v>0.05</v>
      </c>
      <c r="T49" s="380">
        <v>4630.7299999999996</v>
      </c>
      <c r="U49" s="380">
        <v>0</v>
      </c>
      <c r="V49" s="380">
        <v>1472.11</v>
      </c>
      <c r="W49" s="380">
        <v>4896.32</v>
      </c>
      <c r="X49" s="380">
        <v>1628.3</v>
      </c>
      <c r="Y49" s="380">
        <v>4896.32</v>
      </c>
      <c r="Z49" s="380">
        <v>1654.08</v>
      </c>
      <c r="AA49" s="376" t="s">
        <v>229</v>
      </c>
      <c r="AB49" s="376" t="s">
        <v>230</v>
      </c>
      <c r="AC49" s="376" t="s">
        <v>213</v>
      </c>
      <c r="AD49" s="376" t="s">
        <v>231</v>
      </c>
      <c r="AE49" s="376" t="s">
        <v>228</v>
      </c>
      <c r="AF49" s="376" t="s">
        <v>178</v>
      </c>
      <c r="AG49" s="376" t="s">
        <v>179</v>
      </c>
      <c r="AH49" s="381">
        <v>47.08</v>
      </c>
      <c r="AI49" s="381">
        <v>8742.5</v>
      </c>
      <c r="AJ49" s="376" t="s">
        <v>180</v>
      </c>
      <c r="AK49" s="376" t="s">
        <v>181</v>
      </c>
      <c r="AL49" s="376" t="s">
        <v>182</v>
      </c>
      <c r="AM49" s="376" t="s">
        <v>183</v>
      </c>
      <c r="AN49" s="376" t="s">
        <v>66</v>
      </c>
      <c r="AO49" s="379">
        <v>80</v>
      </c>
      <c r="AP49" s="384">
        <v>1</v>
      </c>
      <c r="AQ49" s="384">
        <v>0.05</v>
      </c>
      <c r="AR49" s="382" t="s">
        <v>184</v>
      </c>
      <c r="AS49" s="386">
        <f t="shared" si="27"/>
        <v>0.05</v>
      </c>
      <c r="AT49">
        <f t="shared" si="28"/>
        <v>1</v>
      </c>
      <c r="AU49" s="386">
        <f>IF(AT49=0,"",IF(AND(AT49=1,M49="F",SUMIF(C2:C201,C49,AS2:AS201)&lt;=1),SUMIF(C2:C201,C49,AS2:AS201),IF(AND(AT49=1,M49="F",SUMIF(C2:C201,C49,AS2:AS201)&gt;1),1,"")))</f>
        <v>1</v>
      </c>
      <c r="AV49" s="386" t="str">
        <f>IF(AT49=0,"",IF(AND(AT49=3,M49="F",SUMIF(C2:C201,C49,AS2:AS201)&lt;=1),SUMIF(C2:C201,C49,AS2:AS201),IF(AND(AT49=3,M49="F",SUMIF(C2:C201,C49,AS2:AS201)&gt;1),1,"")))</f>
        <v/>
      </c>
      <c r="AW49" s="386">
        <f>SUMIF(C2:C201,C49,O2:O201)</f>
        <v>5</v>
      </c>
      <c r="AX49" s="386">
        <f>IF(AND(M49="F",AS49&lt;&gt;0),SUMIF(C2:C201,C49,W2:W201),0)</f>
        <v>97926.399999999994</v>
      </c>
      <c r="AY49" s="386">
        <f t="shared" si="29"/>
        <v>4896.32</v>
      </c>
      <c r="AZ49" s="386" t="str">
        <f t="shared" si="30"/>
        <v/>
      </c>
      <c r="BA49" s="386">
        <f t="shared" si="31"/>
        <v>0</v>
      </c>
      <c r="BB49" s="386">
        <f t="shared" si="44"/>
        <v>625</v>
      </c>
      <c r="BC49" s="386">
        <f t="shared" si="45"/>
        <v>0</v>
      </c>
      <c r="BD49" s="386">
        <f t="shared" si="46"/>
        <v>303.57183999999995</v>
      </c>
      <c r="BE49" s="386">
        <f t="shared" si="47"/>
        <v>70.996639999999999</v>
      </c>
      <c r="BF49" s="386">
        <f t="shared" si="48"/>
        <v>584.62060799999995</v>
      </c>
      <c r="BG49" s="386">
        <f t="shared" si="49"/>
        <v>35.302467200000002</v>
      </c>
      <c r="BH49" s="386">
        <f t="shared" si="50"/>
        <v>0</v>
      </c>
      <c r="BI49" s="386">
        <f t="shared" si="51"/>
        <v>0</v>
      </c>
      <c r="BJ49" s="386">
        <f t="shared" si="52"/>
        <v>8.8133759999999999</v>
      </c>
      <c r="BK49" s="386">
        <f t="shared" si="53"/>
        <v>0</v>
      </c>
      <c r="BL49" s="386">
        <f t="shared" si="32"/>
        <v>1003.3049311999998</v>
      </c>
      <c r="BM49" s="386">
        <f t="shared" si="33"/>
        <v>0</v>
      </c>
      <c r="BN49" s="386">
        <f t="shared" si="54"/>
        <v>687.5</v>
      </c>
      <c r="BO49" s="386">
        <f t="shared" si="55"/>
        <v>0</v>
      </c>
      <c r="BP49" s="386">
        <f t="shared" si="56"/>
        <v>303.57183999999995</v>
      </c>
      <c r="BQ49" s="386">
        <f t="shared" si="57"/>
        <v>70.996639999999999</v>
      </c>
      <c r="BR49" s="386">
        <f t="shared" si="58"/>
        <v>547.40857599999993</v>
      </c>
      <c r="BS49" s="386">
        <f t="shared" si="59"/>
        <v>35.302467200000002</v>
      </c>
      <c r="BT49" s="386">
        <f t="shared" si="60"/>
        <v>0</v>
      </c>
      <c r="BU49" s="386">
        <f t="shared" si="61"/>
        <v>0</v>
      </c>
      <c r="BV49" s="386">
        <f t="shared" si="62"/>
        <v>9.3030080000000002</v>
      </c>
      <c r="BW49" s="386">
        <f t="shared" si="63"/>
        <v>0</v>
      </c>
      <c r="BX49" s="386">
        <f t="shared" si="34"/>
        <v>966.58253119999995</v>
      </c>
      <c r="BY49" s="386">
        <f t="shared" si="35"/>
        <v>0</v>
      </c>
      <c r="BZ49" s="386">
        <f t="shared" si="36"/>
        <v>62.5</v>
      </c>
      <c r="CA49" s="386">
        <f t="shared" si="37"/>
        <v>0</v>
      </c>
      <c r="CB49" s="386">
        <f t="shared" si="38"/>
        <v>0</v>
      </c>
      <c r="CC49" s="386">
        <f t="shared" si="64"/>
        <v>0</v>
      </c>
      <c r="CD49" s="386">
        <f t="shared" si="65"/>
        <v>-37.212032000000043</v>
      </c>
      <c r="CE49" s="386">
        <f t="shared" si="66"/>
        <v>0</v>
      </c>
      <c r="CF49" s="386">
        <f t="shared" si="67"/>
        <v>0</v>
      </c>
      <c r="CG49" s="386">
        <f t="shared" si="68"/>
        <v>0</v>
      </c>
      <c r="CH49" s="386">
        <f t="shared" si="69"/>
        <v>0.48963200000000018</v>
      </c>
      <c r="CI49" s="386">
        <f t="shared" si="70"/>
        <v>0</v>
      </c>
      <c r="CJ49" s="386">
        <f t="shared" si="39"/>
        <v>-36.722400000000043</v>
      </c>
      <c r="CK49" s="386" t="str">
        <f t="shared" si="40"/>
        <v/>
      </c>
      <c r="CL49" s="386" t="str">
        <f t="shared" si="41"/>
        <v/>
      </c>
      <c r="CM49" s="386" t="str">
        <f t="shared" si="42"/>
        <v/>
      </c>
      <c r="CN49" s="386" t="str">
        <f t="shared" si="43"/>
        <v>0001-00</v>
      </c>
    </row>
    <row r="50" spans="1:92" ht="15.75" thickBot="1" x14ac:dyDescent="0.3">
      <c r="A50" s="376" t="s">
        <v>162</v>
      </c>
      <c r="B50" s="376" t="s">
        <v>163</v>
      </c>
      <c r="C50" s="376" t="s">
        <v>232</v>
      </c>
      <c r="D50" s="376" t="s">
        <v>186</v>
      </c>
      <c r="E50" s="376" t="s">
        <v>166</v>
      </c>
      <c r="F50" s="377" t="s">
        <v>167</v>
      </c>
      <c r="G50" s="376" t="s">
        <v>373</v>
      </c>
      <c r="H50" s="378"/>
      <c r="I50" s="378"/>
      <c r="J50" s="376" t="s">
        <v>169</v>
      </c>
      <c r="K50" s="376" t="s">
        <v>187</v>
      </c>
      <c r="L50" s="376" t="s">
        <v>179</v>
      </c>
      <c r="M50" s="376" t="s">
        <v>172</v>
      </c>
      <c r="N50" s="376" t="s">
        <v>173</v>
      </c>
      <c r="O50" s="379">
        <v>1</v>
      </c>
      <c r="P50" s="384">
        <v>1</v>
      </c>
      <c r="Q50" s="384">
        <v>1</v>
      </c>
      <c r="R50" s="380">
        <v>80</v>
      </c>
      <c r="S50" s="384">
        <v>1</v>
      </c>
      <c r="T50" s="380">
        <v>41145.65</v>
      </c>
      <c r="U50" s="380">
        <v>0</v>
      </c>
      <c r="V50" s="380">
        <v>19082.57</v>
      </c>
      <c r="W50" s="380">
        <v>46529.599999999999</v>
      </c>
      <c r="X50" s="380">
        <v>22034.35</v>
      </c>
      <c r="Y50" s="380">
        <v>46529.599999999999</v>
      </c>
      <c r="Z50" s="380">
        <v>22935.37</v>
      </c>
      <c r="AA50" s="376" t="s">
        <v>233</v>
      </c>
      <c r="AB50" s="376" t="s">
        <v>234</v>
      </c>
      <c r="AC50" s="376" t="s">
        <v>235</v>
      </c>
      <c r="AD50" s="376" t="s">
        <v>177</v>
      </c>
      <c r="AE50" s="376" t="s">
        <v>187</v>
      </c>
      <c r="AF50" s="376" t="s">
        <v>178</v>
      </c>
      <c r="AG50" s="376" t="s">
        <v>179</v>
      </c>
      <c r="AH50" s="381">
        <v>22.37</v>
      </c>
      <c r="AI50" s="381">
        <v>2912.5</v>
      </c>
      <c r="AJ50" s="376" t="s">
        <v>180</v>
      </c>
      <c r="AK50" s="376" t="s">
        <v>181</v>
      </c>
      <c r="AL50" s="376" t="s">
        <v>182</v>
      </c>
      <c r="AM50" s="376" t="s">
        <v>183</v>
      </c>
      <c r="AN50" s="376" t="s">
        <v>66</v>
      </c>
      <c r="AO50" s="379">
        <v>80</v>
      </c>
      <c r="AP50" s="384">
        <v>1</v>
      </c>
      <c r="AQ50" s="384">
        <v>1</v>
      </c>
      <c r="AR50" s="382" t="s">
        <v>184</v>
      </c>
      <c r="AS50" s="386">
        <f t="shared" si="27"/>
        <v>1</v>
      </c>
      <c r="AT50">
        <f t="shared" si="28"/>
        <v>1</v>
      </c>
      <c r="AU50" s="386">
        <f>IF(AT50=0,"",IF(AND(AT50=1,M50="F",SUMIF(C2:C201,C50,AS2:AS201)&lt;=1),SUMIF(C2:C201,C50,AS2:AS201),IF(AND(AT50=1,M50="F",SUMIF(C2:C201,C50,AS2:AS201)&gt;1),1,"")))</f>
        <v>1</v>
      </c>
      <c r="AV50" s="386" t="str">
        <f>IF(AT50=0,"",IF(AND(AT50=3,M50="F",SUMIF(C2:C201,C50,AS2:AS201)&lt;=1),SUMIF(C2:C201,C50,AS2:AS201),IF(AND(AT50=3,M50="F",SUMIF(C2:C201,C50,AS2:AS201)&gt;1),1,"")))</f>
        <v/>
      </c>
      <c r="AW50" s="386">
        <f>SUMIF(C2:C201,C50,O2:O201)</f>
        <v>3</v>
      </c>
      <c r="AX50" s="386">
        <f>IF(AND(M50="F",AS50&lt;&gt;0),SUMIF(C2:C201,C50,W2:W201),0)</f>
        <v>46529.599999999999</v>
      </c>
      <c r="AY50" s="386">
        <f t="shared" si="29"/>
        <v>46529.599999999999</v>
      </c>
      <c r="AZ50" s="386" t="str">
        <f t="shared" si="30"/>
        <v/>
      </c>
      <c r="BA50" s="386">
        <f t="shared" si="31"/>
        <v>0</v>
      </c>
      <c r="BB50" s="386">
        <f t="shared" si="44"/>
        <v>12500</v>
      </c>
      <c r="BC50" s="386">
        <f t="shared" si="45"/>
        <v>0</v>
      </c>
      <c r="BD50" s="386">
        <f t="shared" si="46"/>
        <v>2884.8352</v>
      </c>
      <c r="BE50" s="386">
        <f t="shared" si="47"/>
        <v>674.67920000000004</v>
      </c>
      <c r="BF50" s="386">
        <f t="shared" si="48"/>
        <v>5555.6342400000003</v>
      </c>
      <c r="BG50" s="386">
        <f t="shared" si="49"/>
        <v>335.47841599999998</v>
      </c>
      <c r="BH50" s="386">
        <f t="shared" si="50"/>
        <v>0</v>
      </c>
      <c r="BI50" s="386">
        <f t="shared" si="51"/>
        <v>0</v>
      </c>
      <c r="BJ50" s="386">
        <f t="shared" si="52"/>
        <v>83.75327999999999</v>
      </c>
      <c r="BK50" s="386">
        <f t="shared" si="53"/>
        <v>0</v>
      </c>
      <c r="BL50" s="386">
        <f t="shared" si="32"/>
        <v>9534.3803360000002</v>
      </c>
      <c r="BM50" s="386">
        <f t="shared" si="33"/>
        <v>0</v>
      </c>
      <c r="BN50" s="386">
        <f t="shared" si="54"/>
        <v>13750</v>
      </c>
      <c r="BO50" s="386">
        <f t="shared" si="55"/>
        <v>0</v>
      </c>
      <c r="BP50" s="386">
        <f t="shared" si="56"/>
        <v>2884.8352</v>
      </c>
      <c r="BQ50" s="386">
        <f t="shared" si="57"/>
        <v>674.67920000000004</v>
      </c>
      <c r="BR50" s="386">
        <f t="shared" si="58"/>
        <v>5202.0092799999993</v>
      </c>
      <c r="BS50" s="386">
        <f t="shared" si="59"/>
        <v>335.47841599999998</v>
      </c>
      <c r="BT50" s="386">
        <f t="shared" si="60"/>
        <v>0</v>
      </c>
      <c r="BU50" s="386">
        <f t="shared" si="61"/>
        <v>0</v>
      </c>
      <c r="BV50" s="386">
        <f t="shared" si="62"/>
        <v>88.406239999999997</v>
      </c>
      <c r="BW50" s="386">
        <f t="shared" si="63"/>
        <v>0</v>
      </c>
      <c r="BX50" s="386">
        <f t="shared" si="34"/>
        <v>9185.4083359999986</v>
      </c>
      <c r="BY50" s="386">
        <f t="shared" si="35"/>
        <v>0</v>
      </c>
      <c r="BZ50" s="386">
        <f t="shared" si="36"/>
        <v>1250</v>
      </c>
      <c r="CA50" s="386">
        <f t="shared" si="37"/>
        <v>0</v>
      </c>
      <c r="CB50" s="386">
        <f t="shared" si="38"/>
        <v>0</v>
      </c>
      <c r="CC50" s="386">
        <f t="shared" si="64"/>
        <v>0</v>
      </c>
      <c r="CD50" s="386">
        <f t="shared" si="65"/>
        <v>-353.62496000000044</v>
      </c>
      <c r="CE50" s="386">
        <f t="shared" si="66"/>
        <v>0</v>
      </c>
      <c r="CF50" s="386">
        <f t="shared" si="67"/>
        <v>0</v>
      </c>
      <c r="CG50" s="386">
        <f t="shared" si="68"/>
        <v>0</v>
      </c>
      <c r="CH50" s="386">
        <f t="shared" si="69"/>
        <v>4.652960000000002</v>
      </c>
      <c r="CI50" s="386">
        <f t="shared" si="70"/>
        <v>0</v>
      </c>
      <c r="CJ50" s="386">
        <f t="shared" si="39"/>
        <v>-348.97200000000043</v>
      </c>
      <c r="CK50" s="386" t="str">
        <f t="shared" si="40"/>
        <v/>
      </c>
      <c r="CL50" s="386" t="str">
        <f t="shared" si="41"/>
        <v/>
      </c>
      <c r="CM50" s="386" t="str">
        <f t="shared" si="42"/>
        <v/>
      </c>
      <c r="CN50" s="386" t="str">
        <f t="shared" si="43"/>
        <v>0001-00</v>
      </c>
    </row>
    <row r="51" spans="1:92" ht="15.75" thickBot="1" x14ac:dyDescent="0.3">
      <c r="A51" s="376" t="s">
        <v>162</v>
      </c>
      <c r="B51" s="376" t="s">
        <v>163</v>
      </c>
      <c r="C51" s="376" t="s">
        <v>236</v>
      </c>
      <c r="D51" s="376" t="s">
        <v>237</v>
      </c>
      <c r="E51" s="376" t="s">
        <v>166</v>
      </c>
      <c r="F51" s="377" t="s">
        <v>167</v>
      </c>
      <c r="G51" s="376" t="s">
        <v>373</v>
      </c>
      <c r="H51" s="378"/>
      <c r="I51" s="378"/>
      <c r="J51" s="376" t="s">
        <v>169</v>
      </c>
      <c r="K51" s="376" t="s">
        <v>238</v>
      </c>
      <c r="L51" s="376" t="s">
        <v>167</v>
      </c>
      <c r="M51" s="376" t="s">
        <v>172</v>
      </c>
      <c r="N51" s="376" t="s">
        <v>173</v>
      </c>
      <c r="O51" s="379">
        <v>1</v>
      </c>
      <c r="P51" s="384">
        <v>1</v>
      </c>
      <c r="Q51" s="384">
        <v>1</v>
      </c>
      <c r="R51" s="380">
        <v>80</v>
      </c>
      <c r="S51" s="384">
        <v>1</v>
      </c>
      <c r="T51" s="380">
        <v>96398.51</v>
      </c>
      <c r="U51" s="380">
        <v>0</v>
      </c>
      <c r="V51" s="380">
        <v>29080.400000000001</v>
      </c>
      <c r="W51" s="380">
        <v>98820.800000000003</v>
      </c>
      <c r="X51" s="380">
        <v>32749.34</v>
      </c>
      <c r="Y51" s="380">
        <v>98820.800000000003</v>
      </c>
      <c r="Z51" s="380">
        <v>33258.18</v>
      </c>
      <c r="AA51" s="376" t="s">
        <v>239</v>
      </c>
      <c r="AB51" s="376" t="s">
        <v>240</v>
      </c>
      <c r="AC51" s="376" t="s">
        <v>241</v>
      </c>
      <c r="AD51" s="376" t="s">
        <v>242</v>
      </c>
      <c r="AE51" s="376" t="s">
        <v>238</v>
      </c>
      <c r="AF51" s="376" t="s">
        <v>178</v>
      </c>
      <c r="AG51" s="376" t="s">
        <v>179</v>
      </c>
      <c r="AH51" s="381">
        <v>47.51</v>
      </c>
      <c r="AI51" s="379">
        <v>34797</v>
      </c>
      <c r="AJ51" s="376" t="s">
        <v>180</v>
      </c>
      <c r="AK51" s="376" t="s">
        <v>181</v>
      </c>
      <c r="AL51" s="376" t="s">
        <v>182</v>
      </c>
      <c r="AM51" s="376" t="s">
        <v>183</v>
      </c>
      <c r="AN51" s="376" t="s">
        <v>66</v>
      </c>
      <c r="AO51" s="379">
        <v>80</v>
      </c>
      <c r="AP51" s="384">
        <v>1</v>
      </c>
      <c r="AQ51" s="384">
        <v>1</v>
      </c>
      <c r="AR51" s="382" t="s">
        <v>184</v>
      </c>
      <c r="AS51" s="386">
        <f t="shared" si="27"/>
        <v>1</v>
      </c>
      <c r="AT51">
        <f t="shared" si="28"/>
        <v>1</v>
      </c>
      <c r="AU51" s="386">
        <f>IF(AT51=0,"",IF(AND(AT51=1,M51="F",SUMIF(C2:C201,C51,AS2:AS201)&lt;=1),SUMIF(C2:C201,C51,AS2:AS201),IF(AND(AT51=1,M51="F",SUMIF(C2:C201,C51,AS2:AS201)&gt;1),1,"")))</f>
        <v>1</v>
      </c>
      <c r="AV51" s="386" t="str">
        <f>IF(AT51=0,"",IF(AND(AT51=3,M51="F",SUMIF(C2:C201,C51,AS2:AS201)&lt;=1),SUMIF(C2:C201,C51,AS2:AS201),IF(AND(AT51=3,M51="F",SUMIF(C2:C201,C51,AS2:AS201)&gt;1),1,"")))</f>
        <v/>
      </c>
      <c r="AW51" s="386">
        <f>SUMIF(C2:C201,C51,O2:O201)</f>
        <v>3</v>
      </c>
      <c r="AX51" s="386">
        <f>IF(AND(M51="F",AS51&lt;&gt;0),SUMIF(C2:C201,C51,W2:W201),0)</f>
        <v>98820.800000000003</v>
      </c>
      <c r="AY51" s="386">
        <f t="shared" si="29"/>
        <v>98820.800000000003</v>
      </c>
      <c r="AZ51" s="386" t="str">
        <f t="shared" si="30"/>
        <v/>
      </c>
      <c r="BA51" s="386">
        <f t="shared" si="31"/>
        <v>0</v>
      </c>
      <c r="BB51" s="386">
        <f t="shared" si="44"/>
        <v>12500</v>
      </c>
      <c r="BC51" s="386">
        <f t="shared" si="45"/>
        <v>0</v>
      </c>
      <c r="BD51" s="386">
        <f t="shared" si="46"/>
        <v>6126.8896000000004</v>
      </c>
      <c r="BE51" s="386">
        <f t="shared" si="47"/>
        <v>1432.9016000000001</v>
      </c>
      <c r="BF51" s="386">
        <f t="shared" si="48"/>
        <v>11799.203520000001</v>
      </c>
      <c r="BG51" s="386">
        <f t="shared" si="49"/>
        <v>712.49796800000001</v>
      </c>
      <c r="BH51" s="386">
        <f t="shared" si="50"/>
        <v>0</v>
      </c>
      <c r="BI51" s="386">
        <f t="shared" si="51"/>
        <v>0</v>
      </c>
      <c r="BJ51" s="386">
        <f t="shared" si="52"/>
        <v>177.87744000000001</v>
      </c>
      <c r="BK51" s="386">
        <f t="shared" si="53"/>
        <v>0</v>
      </c>
      <c r="BL51" s="386">
        <f t="shared" si="32"/>
        <v>20249.370128000002</v>
      </c>
      <c r="BM51" s="386">
        <f t="shared" si="33"/>
        <v>0</v>
      </c>
      <c r="BN51" s="386">
        <f t="shared" si="54"/>
        <v>13750</v>
      </c>
      <c r="BO51" s="386">
        <f t="shared" si="55"/>
        <v>0</v>
      </c>
      <c r="BP51" s="386">
        <f t="shared" si="56"/>
        <v>6126.8896000000004</v>
      </c>
      <c r="BQ51" s="386">
        <f t="shared" si="57"/>
        <v>1432.9016000000001</v>
      </c>
      <c r="BR51" s="386">
        <f t="shared" si="58"/>
        <v>11048.165440000001</v>
      </c>
      <c r="BS51" s="386">
        <f t="shared" si="59"/>
        <v>712.49796800000001</v>
      </c>
      <c r="BT51" s="386">
        <f t="shared" si="60"/>
        <v>0</v>
      </c>
      <c r="BU51" s="386">
        <f t="shared" si="61"/>
        <v>0</v>
      </c>
      <c r="BV51" s="386">
        <f t="shared" si="62"/>
        <v>187.75952000000001</v>
      </c>
      <c r="BW51" s="386">
        <f t="shared" si="63"/>
        <v>0</v>
      </c>
      <c r="BX51" s="386">
        <f t="shared" si="34"/>
        <v>19508.214128</v>
      </c>
      <c r="BY51" s="386">
        <f t="shared" si="35"/>
        <v>0</v>
      </c>
      <c r="BZ51" s="386">
        <f t="shared" si="36"/>
        <v>1250</v>
      </c>
      <c r="CA51" s="386">
        <f t="shared" si="37"/>
        <v>0</v>
      </c>
      <c r="CB51" s="386">
        <f t="shared" si="38"/>
        <v>0</v>
      </c>
      <c r="CC51" s="386">
        <f t="shared" si="64"/>
        <v>0</v>
      </c>
      <c r="CD51" s="386">
        <f t="shared" si="65"/>
        <v>-751.03808000000095</v>
      </c>
      <c r="CE51" s="386">
        <f t="shared" si="66"/>
        <v>0</v>
      </c>
      <c r="CF51" s="386">
        <f t="shared" si="67"/>
        <v>0</v>
      </c>
      <c r="CG51" s="386">
        <f t="shared" si="68"/>
        <v>0</v>
      </c>
      <c r="CH51" s="386">
        <f t="shared" si="69"/>
        <v>9.8820800000000055</v>
      </c>
      <c r="CI51" s="386">
        <f t="shared" si="70"/>
        <v>0</v>
      </c>
      <c r="CJ51" s="386">
        <f t="shared" si="39"/>
        <v>-741.15600000000097</v>
      </c>
      <c r="CK51" s="386" t="str">
        <f t="shared" si="40"/>
        <v/>
      </c>
      <c r="CL51" s="386" t="str">
        <f t="shared" si="41"/>
        <v/>
      </c>
      <c r="CM51" s="386" t="str">
        <f t="shared" si="42"/>
        <v/>
      </c>
      <c r="CN51" s="386" t="str">
        <f t="shared" si="43"/>
        <v>0001-00</v>
      </c>
    </row>
    <row r="52" spans="1:92" ht="15.75" thickBot="1" x14ac:dyDescent="0.3">
      <c r="A52" s="376" t="s">
        <v>162</v>
      </c>
      <c r="B52" s="376" t="s">
        <v>163</v>
      </c>
      <c r="C52" s="376" t="s">
        <v>243</v>
      </c>
      <c r="D52" s="376" t="s">
        <v>244</v>
      </c>
      <c r="E52" s="376" t="s">
        <v>166</v>
      </c>
      <c r="F52" s="377" t="s">
        <v>167</v>
      </c>
      <c r="G52" s="376" t="s">
        <v>373</v>
      </c>
      <c r="H52" s="378"/>
      <c r="I52" s="378"/>
      <c r="J52" s="376" t="s">
        <v>220</v>
      </c>
      <c r="K52" s="376" t="s">
        <v>245</v>
      </c>
      <c r="L52" s="376" t="s">
        <v>179</v>
      </c>
      <c r="M52" s="376" t="s">
        <v>172</v>
      </c>
      <c r="N52" s="376" t="s">
        <v>173</v>
      </c>
      <c r="O52" s="379">
        <v>1</v>
      </c>
      <c r="P52" s="384">
        <v>0.1</v>
      </c>
      <c r="Q52" s="384">
        <v>0.1</v>
      </c>
      <c r="R52" s="380">
        <v>80</v>
      </c>
      <c r="S52" s="384">
        <v>0.1</v>
      </c>
      <c r="T52" s="380">
        <v>3737.6</v>
      </c>
      <c r="U52" s="380">
        <v>0</v>
      </c>
      <c r="V52" s="380">
        <v>1938.24</v>
      </c>
      <c r="W52" s="380">
        <v>4160</v>
      </c>
      <c r="X52" s="380">
        <v>2102.42</v>
      </c>
      <c r="Y52" s="380">
        <v>4160</v>
      </c>
      <c r="Z52" s="380">
        <v>2196.2199999999998</v>
      </c>
      <c r="AA52" s="376" t="s">
        <v>246</v>
      </c>
      <c r="AB52" s="376" t="s">
        <v>247</v>
      </c>
      <c r="AC52" s="376" t="s">
        <v>248</v>
      </c>
      <c r="AD52" s="376" t="s">
        <v>171</v>
      </c>
      <c r="AE52" s="376" t="s">
        <v>245</v>
      </c>
      <c r="AF52" s="376" t="s">
        <v>178</v>
      </c>
      <c r="AG52" s="376" t="s">
        <v>179</v>
      </c>
      <c r="AH52" s="379">
        <v>20</v>
      </c>
      <c r="AI52" s="379">
        <v>264</v>
      </c>
      <c r="AJ52" s="376" t="s">
        <v>180</v>
      </c>
      <c r="AK52" s="376" t="s">
        <v>181</v>
      </c>
      <c r="AL52" s="376" t="s">
        <v>182</v>
      </c>
      <c r="AM52" s="376" t="s">
        <v>183</v>
      </c>
      <c r="AN52" s="376" t="s">
        <v>66</v>
      </c>
      <c r="AO52" s="379">
        <v>80</v>
      </c>
      <c r="AP52" s="384">
        <v>1</v>
      </c>
      <c r="AQ52" s="384">
        <v>0.1</v>
      </c>
      <c r="AR52" s="382" t="s">
        <v>184</v>
      </c>
      <c r="AS52" s="386">
        <f t="shared" si="27"/>
        <v>0.1</v>
      </c>
      <c r="AT52">
        <f t="shared" si="28"/>
        <v>1</v>
      </c>
      <c r="AU52" s="386">
        <f>IF(AT52=0,"",IF(AND(AT52=1,M52="F",SUMIF(C2:C201,C52,AS2:AS201)&lt;=1),SUMIF(C2:C201,C52,AS2:AS201),IF(AND(AT52=1,M52="F",SUMIF(C2:C201,C52,AS2:AS201)&gt;1),1,"")))</f>
        <v>1</v>
      </c>
      <c r="AV52" s="386" t="str">
        <f>IF(AT52=0,"",IF(AND(AT52=3,M52="F",SUMIF(C2:C201,C52,AS2:AS201)&lt;=1),SUMIF(C2:C201,C52,AS2:AS201),IF(AND(AT52=3,M52="F",SUMIF(C2:C201,C52,AS2:AS201)&gt;1),1,"")))</f>
        <v/>
      </c>
      <c r="AW52" s="386">
        <f>SUMIF(C2:C201,C52,O2:O201)</f>
        <v>4</v>
      </c>
      <c r="AX52" s="386">
        <f>IF(AND(M52="F",AS52&lt;&gt;0),SUMIF(C2:C201,C52,W2:W201),0)</f>
        <v>41600</v>
      </c>
      <c r="AY52" s="386">
        <f t="shared" si="29"/>
        <v>4160</v>
      </c>
      <c r="AZ52" s="386" t="str">
        <f t="shared" si="30"/>
        <v/>
      </c>
      <c r="BA52" s="386">
        <f t="shared" si="31"/>
        <v>0</v>
      </c>
      <c r="BB52" s="386">
        <f t="shared" si="44"/>
        <v>1250</v>
      </c>
      <c r="BC52" s="386">
        <f t="shared" si="45"/>
        <v>0</v>
      </c>
      <c r="BD52" s="386">
        <f t="shared" si="46"/>
        <v>257.92</v>
      </c>
      <c r="BE52" s="386">
        <f t="shared" si="47"/>
        <v>60.32</v>
      </c>
      <c r="BF52" s="386">
        <f t="shared" si="48"/>
        <v>496.70400000000001</v>
      </c>
      <c r="BG52" s="386">
        <f t="shared" si="49"/>
        <v>29.993600000000001</v>
      </c>
      <c r="BH52" s="386">
        <f t="shared" si="50"/>
        <v>0</v>
      </c>
      <c r="BI52" s="386">
        <f t="shared" si="51"/>
        <v>0</v>
      </c>
      <c r="BJ52" s="386">
        <f t="shared" si="52"/>
        <v>7.4879999999999995</v>
      </c>
      <c r="BK52" s="386">
        <f t="shared" si="53"/>
        <v>0</v>
      </c>
      <c r="BL52" s="386">
        <f t="shared" si="32"/>
        <v>852.42560000000003</v>
      </c>
      <c r="BM52" s="386">
        <f t="shared" si="33"/>
        <v>0</v>
      </c>
      <c r="BN52" s="386">
        <f t="shared" si="54"/>
        <v>1375</v>
      </c>
      <c r="BO52" s="386">
        <f t="shared" si="55"/>
        <v>0</v>
      </c>
      <c r="BP52" s="386">
        <f t="shared" si="56"/>
        <v>257.92</v>
      </c>
      <c r="BQ52" s="386">
        <f t="shared" si="57"/>
        <v>60.32</v>
      </c>
      <c r="BR52" s="386">
        <f t="shared" si="58"/>
        <v>465.08799999999997</v>
      </c>
      <c r="BS52" s="386">
        <f t="shared" si="59"/>
        <v>29.993600000000001</v>
      </c>
      <c r="BT52" s="386">
        <f t="shared" si="60"/>
        <v>0</v>
      </c>
      <c r="BU52" s="386">
        <f t="shared" si="61"/>
        <v>0</v>
      </c>
      <c r="BV52" s="386">
        <f t="shared" si="62"/>
        <v>7.9039999999999999</v>
      </c>
      <c r="BW52" s="386">
        <f t="shared" si="63"/>
        <v>0</v>
      </c>
      <c r="BX52" s="386">
        <f t="shared" si="34"/>
        <v>821.22559999999999</v>
      </c>
      <c r="BY52" s="386">
        <f t="shared" si="35"/>
        <v>0</v>
      </c>
      <c r="BZ52" s="386">
        <f t="shared" si="36"/>
        <v>125</v>
      </c>
      <c r="CA52" s="386">
        <f t="shared" si="37"/>
        <v>0</v>
      </c>
      <c r="CB52" s="386">
        <f t="shared" si="38"/>
        <v>0</v>
      </c>
      <c r="CC52" s="386">
        <f t="shared" si="64"/>
        <v>0</v>
      </c>
      <c r="CD52" s="386">
        <f t="shared" si="65"/>
        <v>-31.616000000000039</v>
      </c>
      <c r="CE52" s="386">
        <f t="shared" si="66"/>
        <v>0</v>
      </c>
      <c r="CF52" s="386">
        <f t="shared" si="67"/>
        <v>0</v>
      </c>
      <c r="CG52" s="386">
        <f t="shared" si="68"/>
        <v>0</v>
      </c>
      <c r="CH52" s="386">
        <f t="shared" si="69"/>
        <v>0.4160000000000002</v>
      </c>
      <c r="CI52" s="386">
        <f t="shared" si="70"/>
        <v>0</v>
      </c>
      <c r="CJ52" s="386">
        <f t="shared" si="39"/>
        <v>-31.200000000000038</v>
      </c>
      <c r="CK52" s="386" t="str">
        <f t="shared" si="40"/>
        <v/>
      </c>
      <c r="CL52" s="386" t="str">
        <f t="shared" si="41"/>
        <v/>
      </c>
      <c r="CM52" s="386" t="str">
        <f t="shared" si="42"/>
        <v/>
      </c>
      <c r="CN52" s="386" t="str">
        <f t="shared" si="43"/>
        <v>0001-00</v>
      </c>
    </row>
    <row r="53" spans="1:92" ht="15.75" thickBot="1" x14ac:dyDescent="0.3">
      <c r="A53" s="376" t="s">
        <v>162</v>
      </c>
      <c r="B53" s="376" t="s">
        <v>163</v>
      </c>
      <c r="C53" s="376" t="s">
        <v>257</v>
      </c>
      <c r="D53" s="376" t="s">
        <v>258</v>
      </c>
      <c r="E53" s="376" t="s">
        <v>166</v>
      </c>
      <c r="F53" s="377" t="s">
        <v>167</v>
      </c>
      <c r="G53" s="376" t="s">
        <v>373</v>
      </c>
      <c r="H53" s="378"/>
      <c r="I53" s="378"/>
      <c r="J53" s="376" t="s">
        <v>220</v>
      </c>
      <c r="K53" s="376" t="s">
        <v>259</v>
      </c>
      <c r="L53" s="376" t="s">
        <v>167</v>
      </c>
      <c r="M53" s="376" t="s">
        <v>172</v>
      </c>
      <c r="N53" s="376" t="s">
        <v>173</v>
      </c>
      <c r="O53" s="379">
        <v>1</v>
      </c>
      <c r="P53" s="384">
        <v>0.05</v>
      </c>
      <c r="Q53" s="384">
        <v>0.05</v>
      </c>
      <c r="R53" s="380">
        <v>80</v>
      </c>
      <c r="S53" s="384">
        <v>0.05</v>
      </c>
      <c r="T53" s="380">
        <v>5958.44</v>
      </c>
      <c r="U53" s="380">
        <v>0</v>
      </c>
      <c r="V53" s="380">
        <v>1771.81</v>
      </c>
      <c r="W53" s="380">
        <v>6429.28</v>
      </c>
      <c r="X53" s="380">
        <v>1942.42</v>
      </c>
      <c r="Y53" s="380">
        <v>6429.28</v>
      </c>
      <c r="Z53" s="380">
        <v>1956.7</v>
      </c>
      <c r="AA53" s="376" t="s">
        <v>260</v>
      </c>
      <c r="AB53" s="376" t="s">
        <v>261</v>
      </c>
      <c r="AC53" s="376" t="s">
        <v>241</v>
      </c>
      <c r="AD53" s="376" t="s">
        <v>182</v>
      </c>
      <c r="AE53" s="376" t="s">
        <v>259</v>
      </c>
      <c r="AF53" s="376" t="s">
        <v>178</v>
      </c>
      <c r="AG53" s="376" t="s">
        <v>179</v>
      </c>
      <c r="AH53" s="381">
        <v>61.82</v>
      </c>
      <c r="AI53" s="379">
        <v>4977</v>
      </c>
      <c r="AJ53" s="376" t="s">
        <v>180</v>
      </c>
      <c r="AK53" s="376" t="s">
        <v>181</v>
      </c>
      <c r="AL53" s="376" t="s">
        <v>182</v>
      </c>
      <c r="AM53" s="376" t="s">
        <v>183</v>
      </c>
      <c r="AN53" s="376" t="s">
        <v>66</v>
      </c>
      <c r="AO53" s="379">
        <v>80</v>
      </c>
      <c r="AP53" s="384">
        <v>1</v>
      </c>
      <c r="AQ53" s="384">
        <v>0.05</v>
      </c>
      <c r="AR53" s="382" t="s">
        <v>184</v>
      </c>
      <c r="AS53" s="386">
        <f t="shared" si="27"/>
        <v>0.05</v>
      </c>
      <c r="AT53">
        <f t="shared" si="28"/>
        <v>1</v>
      </c>
      <c r="AU53" s="386">
        <f>IF(AT53=0,"",IF(AND(AT53=1,M53="F",SUMIF(C2:C201,C53,AS2:AS201)&lt;=1),SUMIF(C2:C201,C53,AS2:AS201),IF(AND(AT53=1,M53="F",SUMIF(C2:C201,C53,AS2:AS201)&gt;1),1,"")))</f>
        <v>1</v>
      </c>
      <c r="AV53" s="386" t="str">
        <f>IF(AT53=0,"",IF(AND(AT53=3,M53="F",SUMIF(C2:C201,C53,AS2:AS201)&lt;=1),SUMIF(C2:C201,C53,AS2:AS201),IF(AND(AT53=3,M53="F",SUMIF(C2:C201,C53,AS2:AS201)&gt;1),1,"")))</f>
        <v/>
      </c>
      <c r="AW53" s="386">
        <f>SUMIF(C2:C201,C53,O2:O201)</f>
        <v>5</v>
      </c>
      <c r="AX53" s="386">
        <f>IF(AND(M53="F",AS53&lt;&gt;0),SUMIF(C2:C201,C53,W2:W201),0)</f>
        <v>128585.59999999999</v>
      </c>
      <c r="AY53" s="386">
        <f t="shared" si="29"/>
        <v>6429.28</v>
      </c>
      <c r="AZ53" s="386" t="str">
        <f t="shared" si="30"/>
        <v/>
      </c>
      <c r="BA53" s="386">
        <f t="shared" si="31"/>
        <v>0</v>
      </c>
      <c r="BB53" s="386">
        <f t="shared" si="44"/>
        <v>625</v>
      </c>
      <c r="BC53" s="386">
        <f t="shared" si="45"/>
        <v>0</v>
      </c>
      <c r="BD53" s="386">
        <f t="shared" si="46"/>
        <v>398.61536000000001</v>
      </c>
      <c r="BE53" s="386">
        <f t="shared" si="47"/>
        <v>93.224559999999997</v>
      </c>
      <c r="BF53" s="386">
        <f t="shared" si="48"/>
        <v>767.65603199999998</v>
      </c>
      <c r="BG53" s="386">
        <f t="shared" si="49"/>
        <v>46.355108799999996</v>
      </c>
      <c r="BH53" s="386">
        <f t="shared" si="50"/>
        <v>0</v>
      </c>
      <c r="BI53" s="386">
        <f t="shared" si="51"/>
        <v>0</v>
      </c>
      <c r="BJ53" s="386">
        <f t="shared" si="52"/>
        <v>11.572704</v>
      </c>
      <c r="BK53" s="386">
        <f t="shared" si="53"/>
        <v>0</v>
      </c>
      <c r="BL53" s="386">
        <f t="shared" si="32"/>
        <v>1317.4237647999998</v>
      </c>
      <c r="BM53" s="386">
        <f t="shared" si="33"/>
        <v>0</v>
      </c>
      <c r="BN53" s="386">
        <f t="shared" si="54"/>
        <v>687.5</v>
      </c>
      <c r="BO53" s="386">
        <f t="shared" si="55"/>
        <v>0</v>
      </c>
      <c r="BP53" s="386">
        <f t="shared" si="56"/>
        <v>398.61536000000001</v>
      </c>
      <c r="BQ53" s="386">
        <f t="shared" si="57"/>
        <v>93.224559999999997</v>
      </c>
      <c r="BR53" s="386">
        <f t="shared" si="58"/>
        <v>718.79350399999998</v>
      </c>
      <c r="BS53" s="386">
        <f t="shared" si="59"/>
        <v>46.355108799999996</v>
      </c>
      <c r="BT53" s="386">
        <f t="shared" si="60"/>
        <v>0</v>
      </c>
      <c r="BU53" s="386">
        <f t="shared" si="61"/>
        <v>0</v>
      </c>
      <c r="BV53" s="386">
        <f t="shared" si="62"/>
        <v>12.215631999999999</v>
      </c>
      <c r="BW53" s="386">
        <f t="shared" si="63"/>
        <v>0</v>
      </c>
      <c r="BX53" s="386">
        <f t="shared" si="34"/>
        <v>1269.2041647999999</v>
      </c>
      <c r="BY53" s="386">
        <f t="shared" si="35"/>
        <v>0</v>
      </c>
      <c r="BZ53" s="386">
        <f t="shared" si="36"/>
        <v>62.5</v>
      </c>
      <c r="CA53" s="386">
        <f t="shared" si="37"/>
        <v>0</v>
      </c>
      <c r="CB53" s="386">
        <f t="shared" si="38"/>
        <v>0</v>
      </c>
      <c r="CC53" s="386">
        <f t="shared" si="64"/>
        <v>0</v>
      </c>
      <c r="CD53" s="386">
        <f t="shared" si="65"/>
        <v>-48.862528000000061</v>
      </c>
      <c r="CE53" s="386">
        <f t="shared" si="66"/>
        <v>0</v>
      </c>
      <c r="CF53" s="386">
        <f t="shared" si="67"/>
        <v>0</v>
      </c>
      <c r="CG53" s="386">
        <f t="shared" si="68"/>
        <v>0</v>
      </c>
      <c r="CH53" s="386">
        <f t="shared" si="69"/>
        <v>0.64292800000000028</v>
      </c>
      <c r="CI53" s="386">
        <f t="shared" si="70"/>
        <v>0</v>
      </c>
      <c r="CJ53" s="386">
        <f t="shared" si="39"/>
        <v>-48.219600000000064</v>
      </c>
      <c r="CK53" s="386" t="str">
        <f t="shared" si="40"/>
        <v/>
      </c>
      <c r="CL53" s="386" t="str">
        <f t="shared" si="41"/>
        <v/>
      </c>
      <c r="CM53" s="386" t="str">
        <f t="shared" si="42"/>
        <v/>
      </c>
      <c r="CN53" s="386" t="str">
        <f t="shared" si="43"/>
        <v>0001-00</v>
      </c>
    </row>
    <row r="54" spans="1:92" ht="15.75" thickBot="1" x14ac:dyDescent="0.3">
      <c r="A54" s="376" t="s">
        <v>162</v>
      </c>
      <c r="B54" s="376" t="s">
        <v>163</v>
      </c>
      <c r="C54" s="376" t="s">
        <v>262</v>
      </c>
      <c r="D54" s="376" t="s">
        <v>263</v>
      </c>
      <c r="E54" s="376" t="s">
        <v>166</v>
      </c>
      <c r="F54" s="377" t="s">
        <v>167</v>
      </c>
      <c r="G54" s="376" t="s">
        <v>373</v>
      </c>
      <c r="H54" s="378"/>
      <c r="I54" s="378"/>
      <c r="J54" s="376" t="s">
        <v>264</v>
      </c>
      <c r="K54" s="376" t="s">
        <v>265</v>
      </c>
      <c r="L54" s="376" t="s">
        <v>182</v>
      </c>
      <c r="M54" s="376" t="s">
        <v>172</v>
      </c>
      <c r="N54" s="376" t="s">
        <v>173</v>
      </c>
      <c r="O54" s="379">
        <v>1</v>
      </c>
      <c r="P54" s="384">
        <v>0.02</v>
      </c>
      <c r="Q54" s="384">
        <v>0.02</v>
      </c>
      <c r="R54" s="380">
        <v>80</v>
      </c>
      <c r="S54" s="384">
        <v>0.02</v>
      </c>
      <c r="T54" s="380">
        <v>1489.81</v>
      </c>
      <c r="U54" s="380">
        <v>0</v>
      </c>
      <c r="V54" s="380">
        <v>538.91999999999996</v>
      </c>
      <c r="W54" s="380">
        <v>1363.23</v>
      </c>
      <c r="X54" s="380">
        <v>529.33000000000004</v>
      </c>
      <c r="Y54" s="380">
        <v>1363.23</v>
      </c>
      <c r="Z54" s="380">
        <v>544.11</v>
      </c>
      <c r="AA54" s="376" t="s">
        <v>266</v>
      </c>
      <c r="AB54" s="376" t="s">
        <v>267</v>
      </c>
      <c r="AC54" s="376" t="s">
        <v>268</v>
      </c>
      <c r="AD54" s="376" t="s">
        <v>182</v>
      </c>
      <c r="AE54" s="376" t="s">
        <v>265</v>
      </c>
      <c r="AF54" s="376" t="s">
        <v>178</v>
      </c>
      <c r="AG54" s="376" t="s">
        <v>179</v>
      </c>
      <c r="AH54" s="381">
        <v>32.770000000000003</v>
      </c>
      <c r="AI54" s="379">
        <v>8538</v>
      </c>
      <c r="AJ54" s="376" t="s">
        <v>180</v>
      </c>
      <c r="AK54" s="376" t="s">
        <v>181</v>
      </c>
      <c r="AL54" s="376" t="s">
        <v>182</v>
      </c>
      <c r="AM54" s="376" t="s">
        <v>183</v>
      </c>
      <c r="AN54" s="376" t="s">
        <v>66</v>
      </c>
      <c r="AO54" s="379">
        <v>80</v>
      </c>
      <c r="AP54" s="384">
        <v>1</v>
      </c>
      <c r="AQ54" s="384">
        <v>0.02</v>
      </c>
      <c r="AR54" s="382" t="s">
        <v>184</v>
      </c>
      <c r="AS54" s="386">
        <f t="shared" si="27"/>
        <v>0.02</v>
      </c>
      <c r="AT54">
        <f t="shared" si="28"/>
        <v>1</v>
      </c>
      <c r="AU54" s="386">
        <f>IF(AT54=0,"",IF(AND(AT54=1,M54="F",SUMIF(C2:C201,C54,AS2:AS201)&lt;=1),SUMIF(C2:C201,C54,AS2:AS201),IF(AND(AT54=1,M54="F",SUMIF(C2:C201,C54,AS2:AS201)&gt;1),1,"")))</f>
        <v>1</v>
      </c>
      <c r="AV54" s="386" t="str">
        <f>IF(AT54=0,"",IF(AND(AT54=3,M54="F",SUMIF(C2:C201,C54,AS2:AS201)&lt;=1),SUMIF(C2:C201,C54,AS2:AS201),IF(AND(AT54=3,M54="F",SUMIF(C2:C201,C54,AS2:AS201)&gt;1),1,"")))</f>
        <v/>
      </c>
      <c r="AW54" s="386">
        <f>SUMIF(C2:C201,C54,O2:O201)</f>
        <v>5</v>
      </c>
      <c r="AX54" s="386">
        <f>IF(AND(M54="F",AS54&lt;&gt;0),SUMIF(C2:C201,C54,W2:W201),0)</f>
        <v>68161.590000000011</v>
      </c>
      <c r="AY54" s="386">
        <f t="shared" si="29"/>
        <v>1363.23</v>
      </c>
      <c r="AZ54" s="386" t="str">
        <f t="shared" si="30"/>
        <v/>
      </c>
      <c r="BA54" s="386">
        <f t="shared" si="31"/>
        <v>0</v>
      </c>
      <c r="BB54" s="386">
        <f t="shared" si="44"/>
        <v>250</v>
      </c>
      <c r="BC54" s="386">
        <f t="shared" si="45"/>
        <v>0</v>
      </c>
      <c r="BD54" s="386">
        <f t="shared" si="46"/>
        <v>84.520260000000007</v>
      </c>
      <c r="BE54" s="386">
        <f t="shared" si="47"/>
        <v>19.766835</v>
      </c>
      <c r="BF54" s="386">
        <f t="shared" si="48"/>
        <v>162.76966200000001</v>
      </c>
      <c r="BG54" s="386">
        <f t="shared" si="49"/>
        <v>9.8288883000000009</v>
      </c>
      <c r="BH54" s="386">
        <f t="shared" si="50"/>
        <v>0</v>
      </c>
      <c r="BI54" s="386">
        <f t="shared" si="51"/>
        <v>0</v>
      </c>
      <c r="BJ54" s="386">
        <f t="shared" si="52"/>
        <v>2.4538139999999999</v>
      </c>
      <c r="BK54" s="386">
        <f t="shared" si="53"/>
        <v>0</v>
      </c>
      <c r="BL54" s="386">
        <f t="shared" si="32"/>
        <v>279.33945930000004</v>
      </c>
      <c r="BM54" s="386">
        <f t="shared" si="33"/>
        <v>0</v>
      </c>
      <c r="BN54" s="386">
        <f t="shared" si="54"/>
        <v>275</v>
      </c>
      <c r="BO54" s="386">
        <f t="shared" si="55"/>
        <v>0</v>
      </c>
      <c r="BP54" s="386">
        <f t="shared" si="56"/>
        <v>84.520260000000007</v>
      </c>
      <c r="BQ54" s="386">
        <f t="shared" si="57"/>
        <v>19.766835</v>
      </c>
      <c r="BR54" s="386">
        <f t="shared" si="58"/>
        <v>152.40911399999999</v>
      </c>
      <c r="BS54" s="386">
        <f t="shared" si="59"/>
        <v>9.8288883000000009</v>
      </c>
      <c r="BT54" s="386">
        <f t="shared" si="60"/>
        <v>0</v>
      </c>
      <c r="BU54" s="386">
        <f t="shared" si="61"/>
        <v>0</v>
      </c>
      <c r="BV54" s="386">
        <f t="shared" si="62"/>
        <v>2.5901369999999999</v>
      </c>
      <c r="BW54" s="386">
        <f t="shared" si="63"/>
        <v>0</v>
      </c>
      <c r="BX54" s="386">
        <f t="shared" si="34"/>
        <v>269.11523430000005</v>
      </c>
      <c r="BY54" s="386">
        <f t="shared" si="35"/>
        <v>0</v>
      </c>
      <c r="BZ54" s="386">
        <f t="shared" si="36"/>
        <v>25</v>
      </c>
      <c r="CA54" s="386">
        <f t="shared" si="37"/>
        <v>0</v>
      </c>
      <c r="CB54" s="386">
        <f t="shared" si="38"/>
        <v>0</v>
      </c>
      <c r="CC54" s="386">
        <f t="shared" si="64"/>
        <v>0</v>
      </c>
      <c r="CD54" s="386">
        <f t="shared" si="65"/>
        <v>-10.360548000000014</v>
      </c>
      <c r="CE54" s="386">
        <f t="shared" si="66"/>
        <v>0</v>
      </c>
      <c r="CF54" s="386">
        <f t="shared" si="67"/>
        <v>0</v>
      </c>
      <c r="CG54" s="386">
        <f t="shared" si="68"/>
        <v>0</v>
      </c>
      <c r="CH54" s="386">
        <f t="shared" si="69"/>
        <v>0.13632300000000006</v>
      </c>
      <c r="CI54" s="386">
        <f t="shared" si="70"/>
        <v>0</v>
      </c>
      <c r="CJ54" s="386">
        <f t="shared" si="39"/>
        <v>-10.224225000000013</v>
      </c>
      <c r="CK54" s="386" t="str">
        <f t="shared" si="40"/>
        <v/>
      </c>
      <c r="CL54" s="386" t="str">
        <f t="shared" si="41"/>
        <v/>
      </c>
      <c r="CM54" s="386" t="str">
        <f t="shared" si="42"/>
        <v/>
      </c>
      <c r="CN54" s="386" t="str">
        <f t="shared" si="43"/>
        <v>0001-00</v>
      </c>
    </row>
    <row r="55" spans="1:92" ht="15.75" thickBot="1" x14ac:dyDescent="0.3">
      <c r="A55" s="376" t="s">
        <v>162</v>
      </c>
      <c r="B55" s="376" t="s">
        <v>163</v>
      </c>
      <c r="C55" s="376" t="s">
        <v>269</v>
      </c>
      <c r="D55" s="376" t="s">
        <v>270</v>
      </c>
      <c r="E55" s="376" t="s">
        <v>166</v>
      </c>
      <c r="F55" s="377" t="s">
        <v>167</v>
      </c>
      <c r="G55" s="376" t="s">
        <v>373</v>
      </c>
      <c r="H55" s="378"/>
      <c r="I55" s="378"/>
      <c r="J55" s="376" t="s">
        <v>220</v>
      </c>
      <c r="K55" s="376" t="s">
        <v>271</v>
      </c>
      <c r="L55" s="376" t="s">
        <v>167</v>
      </c>
      <c r="M55" s="376" t="s">
        <v>172</v>
      </c>
      <c r="N55" s="376" t="s">
        <v>173</v>
      </c>
      <c r="O55" s="379">
        <v>1</v>
      </c>
      <c r="P55" s="384">
        <v>0.05</v>
      </c>
      <c r="Q55" s="384">
        <v>0.05</v>
      </c>
      <c r="R55" s="380">
        <v>80</v>
      </c>
      <c r="S55" s="384">
        <v>0.05</v>
      </c>
      <c r="T55" s="380">
        <v>6335.59</v>
      </c>
      <c r="U55" s="380">
        <v>0</v>
      </c>
      <c r="V55" s="380">
        <v>1884.94</v>
      </c>
      <c r="W55" s="380">
        <v>6668.48</v>
      </c>
      <c r="X55" s="380">
        <v>1991.43</v>
      </c>
      <c r="Y55" s="380">
        <v>6668.48</v>
      </c>
      <c r="Z55" s="380">
        <v>2003.92</v>
      </c>
      <c r="AA55" s="376" t="s">
        <v>272</v>
      </c>
      <c r="AB55" s="376" t="s">
        <v>273</v>
      </c>
      <c r="AC55" s="376" t="s">
        <v>274</v>
      </c>
      <c r="AD55" s="376" t="s">
        <v>275</v>
      </c>
      <c r="AE55" s="376" t="s">
        <v>271</v>
      </c>
      <c r="AF55" s="376" t="s">
        <v>178</v>
      </c>
      <c r="AG55" s="376" t="s">
        <v>179</v>
      </c>
      <c r="AH55" s="381">
        <v>64.12</v>
      </c>
      <c r="AI55" s="381">
        <v>43348.5</v>
      </c>
      <c r="AJ55" s="376" t="s">
        <v>180</v>
      </c>
      <c r="AK55" s="376" t="s">
        <v>181</v>
      </c>
      <c r="AL55" s="376" t="s">
        <v>182</v>
      </c>
      <c r="AM55" s="376" t="s">
        <v>183</v>
      </c>
      <c r="AN55" s="376" t="s">
        <v>66</v>
      </c>
      <c r="AO55" s="379">
        <v>80</v>
      </c>
      <c r="AP55" s="384">
        <v>1</v>
      </c>
      <c r="AQ55" s="384">
        <v>0.05</v>
      </c>
      <c r="AR55" s="382" t="s">
        <v>184</v>
      </c>
      <c r="AS55" s="386">
        <f t="shared" si="27"/>
        <v>0.05</v>
      </c>
      <c r="AT55">
        <f t="shared" si="28"/>
        <v>1</v>
      </c>
      <c r="AU55" s="386">
        <f>IF(AT55=0,"",IF(AND(AT55=1,M55="F",SUMIF(C2:C201,C55,AS2:AS201)&lt;=1),SUMIF(C2:C201,C55,AS2:AS201),IF(AND(AT55=1,M55="F",SUMIF(C2:C201,C55,AS2:AS201)&gt;1),1,"")))</f>
        <v>1</v>
      </c>
      <c r="AV55" s="386" t="str">
        <f>IF(AT55=0,"",IF(AND(AT55=3,M55="F",SUMIF(C2:C201,C55,AS2:AS201)&lt;=1),SUMIF(C2:C201,C55,AS2:AS201),IF(AND(AT55=3,M55="F",SUMIF(C2:C201,C55,AS2:AS201)&gt;1),1,"")))</f>
        <v/>
      </c>
      <c r="AW55" s="386">
        <f>SUMIF(C2:C201,C55,O2:O201)</f>
        <v>4</v>
      </c>
      <c r="AX55" s="386">
        <f>IF(AND(M55="F",AS55&lt;&gt;0),SUMIF(C2:C201,C55,W2:W201),0)</f>
        <v>133369.59999999998</v>
      </c>
      <c r="AY55" s="386">
        <f t="shared" si="29"/>
        <v>6668.48</v>
      </c>
      <c r="AZ55" s="386" t="str">
        <f t="shared" si="30"/>
        <v/>
      </c>
      <c r="BA55" s="386">
        <f t="shared" si="31"/>
        <v>0</v>
      </c>
      <c r="BB55" s="386">
        <f t="shared" si="44"/>
        <v>625</v>
      </c>
      <c r="BC55" s="386">
        <f t="shared" si="45"/>
        <v>0</v>
      </c>
      <c r="BD55" s="386">
        <f t="shared" si="46"/>
        <v>413.44575999999995</v>
      </c>
      <c r="BE55" s="386">
        <f t="shared" si="47"/>
        <v>96.692959999999999</v>
      </c>
      <c r="BF55" s="386">
        <f t="shared" si="48"/>
        <v>796.21651199999997</v>
      </c>
      <c r="BG55" s="386">
        <f t="shared" si="49"/>
        <v>48.079740799999996</v>
      </c>
      <c r="BH55" s="386">
        <f t="shared" si="50"/>
        <v>0</v>
      </c>
      <c r="BI55" s="386">
        <f t="shared" si="51"/>
        <v>0</v>
      </c>
      <c r="BJ55" s="386">
        <f t="shared" si="52"/>
        <v>12.003264</v>
      </c>
      <c r="BK55" s="386">
        <f t="shared" si="53"/>
        <v>0</v>
      </c>
      <c r="BL55" s="386">
        <f t="shared" si="32"/>
        <v>1366.4382367999999</v>
      </c>
      <c r="BM55" s="386">
        <f t="shared" si="33"/>
        <v>0</v>
      </c>
      <c r="BN55" s="386">
        <f t="shared" si="54"/>
        <v>687.5</v>
      </c>
      <c r="BO55" s="386">
        <f t="shared" si="55"/>
        <v>0</v>
      </c>
      <c r="BP55" s="386">
        <f t="shared" si="56"/>
        <v>413.44575999999995</v>
      </c>
      <c r="BQ55" s="386">
        <f t="shared" si="57"/>
        <v>96.692959999999999</v>
      </c>
      <c r="BR55" s="386">
        <f t="shared" si="58"/>
        <v>745.5360639999999</v>
      </c>
      <c r="BS55" s="386">
        <f t="shared" si="59"/>
        <v>48.079740799999996</v>
      </c>
      <c r="BT55" s="386">
        <f t="shared" si="60"/>
        <v>0</v>
      </c>
      <c r="BU55" s="386">
        <f t="shared" si="61"/>
        <v>0</v>
      </c>
      <c r="BV55" s="386">
        <f t="shared" si="62"/>
        <v>12.670112</v>
      </c>
      <c r="BW55" s="386">
        <f t="shared" si="63"/>
        <v>0</v>
      </c>
      <c r="BX55" s="386">
        <f t="shared" si="34"/>
        <v>1316.4246367999999</v>
      </c>
      <c r="BY55" s="386">
        <f t="shared" si="35"/>
        <v>0</v>
      </c>
      <c r="BZ55" s="386">
        <f t="shared" si="36"/>
        <v>62.5</v>
      </c>
      <c r="CA55" s="386">
        <f t="shared" si="37"/>
        <v>0</v>
      </c>
      <c r="CB55" s="386">
        <f t="shared" si="38"/>
        <v>0</v>
      </c>
      <c r="CC55" s="386">
        <f t="shared" si="64"/>
        <v>0</v>
      </c>
      <c r="CD55" s="386">
        <f t="shared" si="65"/>
        <v>-50.680448000000062</v>
      </c>
      <c r="CE55" s="386">
        <f t="shared" si="66"/>
        <v>0</v>
      </c>
      <c r="CF55" s="386">
        <f t="shared" si="67"/>
        <v>0</v>
      </c>
      <c r="CG55" s="386">
        <f t="shared" si="68"/>
        <v>0</v>
      </c>
      <c r="CH55" s="386">
        <f t="shared" si="69"/>
        <v>0.66684800000000022</v>
      </c>
      <c r="CI55" s="386">
        <f t="shared" si="70"/>
        <v>0</v>
      </c>
      <c r="CJ55" s="386">
        <f t="shared" si="39"/>
        <v>-50.013600000000061</v>
      </c>
      <c r="CK55" s="386" t="str">
        <f t="shared" si="40"/>
        <v/>
      </c>
      <c r="CL55" s="386" t="str">
        <f t="shared" si="41"/>
        <v/>
      </c>
      <c r="CM55" s="386" t="str">
        <f t="shared" si="42"/>
        <v/>
      </c>
      <c r="CN55" s="386" t="str">
        <f t="shared" si="43"/>
        <v>0001-00</v>
      </c>
    </row>
    <row r="56" spans="1:92" ht="15.75" thickBot="1" x14ac:dyDescent="0.3">
      <c r="A56" s="376" t="s">
        <v>162</v>
      </c>
      <c r="B56" s="376" t="s">
        <v>163</v>
      </c>
      <c r="C56" s="376" t="s">
        <v>276</v>
      </c>
      <c r="D56" s="376" t="s">
        <v>186</v>
      </c>
      <c r="E56" s="376" t="s">
        <v>166</v>
      </c>
      <c r="F56" s="377" t="s">
        <v>167</v>
      </c>
      <c r="G56" s="376" t="s">
        <v>373</v>
      </c>
      <c r="H56" s="378"/>
      <c r="I56" s="378"/>
      <c r="J56" s="376" t="s">
        <v>169</v>
      </c>
      <c r="K56" s="376" t="s">
        <v>187</v>
      </c>
      <c r="L56" s="376" t="s">
        <v>179</v>
      </c>
      <c r="M56" s="376" t="s">
        <v>172</v>
      </c>
      <c r="N56" s="376" t="s">
        <v>173</v>
      </c>
      <c r="O56" s="379">
        <v>1</v>
      </c>
      <c r="P56" s="384">
        <v>1</v>
      </c>
      <c r="Q56" s="384">
        <v>1</v>
      </c>
      <c r="R56" s="380">
        <v>80</v>
      </c>
      <c r="S56" s="384">
        <v>1</v>
      </c>
      <c r="T56" s="380">
        <v>43068.86</v>
      </c>
      <c r="U56" s="380">
        <v>0</v>
      </c>
      <c r="V56" s="380">
        <v>19273.41</v>
      </c>
      <c r="W56" s="380">
        <v>45884.800000000003</v>
      </c>
      <c r="X56" s="380">
        <v>21902.22</v>
      </c>
      <c r="Y56" s="380">
        <v>45884.800000000003</v>
      </c>
      <c r="Z56" s="380">
        <v>22808.09</v>
      </c>
      <c r="AA56" s="376" t="s">
        <v>277</v>
      </c>
      <c r="AB56" s="376" t="s">
        <v>278</v>
      </c>
      <c r="AC56" s="376" t="s">
        <v>279</v>
      </c>
      <c r="AD56" s="376" t="s">
        <v>280</v>
      </c>
      <c r="AE56" s="376" t="s">
        <v>187</v>
      </c>
      <c r="AF56" s="376" t="s">
        <v>178</v>
      </c>
      <c r="AG56" s="376" t="s">
        <v>179</v>
      </c>
      <c r="AH56" s="381">
        <v>22.06</v>
      </c>
      <c r="AI56" s="381">
        <v>14267.5</v>
      </c>
      <c r="AJ56" s="376" t="s">
        <v>180</v>
      </c>
      <c r="AK56" s="376" t="s">
        <v>181</v>
      </c>
      <c r="AL56" s="376" t="s">
        <v>182</v>
      </c>
      <c r="AM56" s="376" t="s">
        <v>183</v>
      </c>
      <c r="AN56" s="376" t="s">
        <v>66</v>
      </c>
      <c r="AO56" s="379">
        <v>80</v>
      </c>
      <c r="AP56" s="384">
        <v>1</v>
      </c>
      <c r="AQ56" s="384">
        <v>1</v>
      </c>
      <c r="AR56" s="382" t="s">
        <v>184</v>
      </c>
      <c r="AS56" s="386">
        <f t="shared" si="27"/>
        <v>1</v>
      </c>
      <c r="AT56">
        <f t="shared" si="28"/>
        <v>1</v>
      </c>
      <c r="AU56" s="386">
        <f>IF(AT56=0,"",IF(AND(AT56=1,M56="F",SUMIF(C2:C201,C56,AS2:AS201)&lt;=1),SUMIF(C2:C201,C56,AS2:AS201),IF(AND(AT56=1,M56="F",SUMIF(C2:C201,C56,AS2:AS201)&gt;1),1,"")))</f>
        <v>1</v>
      </c>
      <c r="AV56" s="386" t="str">
        <f>IF(AT56=0,"",IF(AND(AT56=3,M56="F",SUMIF(C2:C201,C56,AS2:AS201)&lt;=1),SUMIF(C2:C201,C56,AS2:AS201),IF(AND(AT56=3,M56="F",SUMIF(C2:C201,C56,AS2:AS201)&gt;1),1,"")))</f>
        <v/>
      </c>
      <c r="AW56" s="386">
        <f>SUMIF(C2:C201,C56,O2:O201)</f>
        <v>3</v>
      </c>
      <c r="AX56" s="386">
        <f>IF(AND(M56="F",AS56&lt;&gt;0),SUMIF(C2:C201,C56,W2:W201),0)</f>
        <v>45884.800000000003</v>
      </c>
      <c r="AY56" s="386">
        <f t="shared" si="29"/>
        <v>45884.800000000003</v>
      </c>
      <c r="AZ56" s="386" t="str">
        <f t="shared" si="30"/>
        <v/>
      </c>
      <c r="BA56" s="386">
        <f t="shared" si="31"/>
        <v>0</v>
      </c>
      <c r="BB56" s="386">
        <f t="shared" si="44"/>
        <v>12500</v>
      </c>
      <c r="BC56" s="386">
        <f t="shared" si="45"/>
        <v>0</v>
      </c>
      <c r="BD56" s="386">
        <f t="shared" si="46"/>
        <v>2844.8576000000003</v>
      </c>
      <c r="BE56" s="386">
        <f t="shared" si="47"/>
        <v>665.32960000000003</v>
      </c>
      <c r="BF56" s="386">
        <f t="shared" si="48"/>
        <v>5478.645120000001</v>
      </c>
      <c r="BG56" s="386">
        <f t="shared" si="49"/>
        <v>330.82940800000006</v>
      </c>
      <c r="BH56" s="386">
        <f t="shared" si="50"/>
        <v>0</v>
      </c>
      <c r="BI56" s="386">
        <f t="shared" si="51"/>
        <v>0</v>
      </c>
      <c r="BJ56" s="386">
        <f t="shared" si="52"/>
        <v>82.592640000000003</v>
      </c>
      <c r="BK56" s="386">
        <f t="shared" si="53"/>
        <v>0</v>
      </c>
      <c r="BL56" s="386">
        <f t="shared" si="32"/>
        <v>9402.2543680000017</v>
      </c>
      <c r="BM56" s="386">
        <f t="shared" si="33"/>
        <v>0</v>
      </c>
      <c r="BN56" s="386">
        <f t="shared" si="54"/>
        <v>13750</v>
      </c>
      <c r="BO56" s="386">
        <f t="shared" si="55"/>
        <v>0</v>
      </c>
      <c r="BP56" s="386">
        <f t="shared" si="56"/>
        <v>2844.8576000000003</v>
      </c>
      <c r="BQ56" s="386">
        <f t="shared" si="57"/>
        <v>665.32960000000003</v>
      </c>
      <c r="BR56" s="386">
        <f t="shared" si="58"/>
        <v>5129.9206400000003</v>
      </c>
      <c r="BS56" s="386">
        <f t="shared" si="59"/>
        <v>330.82940800000006</v>
      </c>
      <c r="BT56" s="386">
        <f t="shared" si="60"/>
        <v>0</v>
      </c>
      <c r="BU56" s="386">
        <f t="shared" si="61"/>
        <v>0</v>
      </c>
      <c r="BV56" s="386">
        <f t="shared" si="62"/>
        <v>87.181120000000007</v>
      </c>
      <c r="BW56" s="386">
        <f t="shared" si="63"/>
        <v>0</v>
      </c>
      <c r="BX56" s="386">
        <f t="shared" si="34"/>
        <v>9058.1183679999995</v>
      </c>
      <c r="BY56" s="386">
        <f t="shared" si="35"/>
        <v>0</v>
      </c>
      <c r="BZ56" s="386">
        <f t="shared" si="36"/>
        <v>1250</v>
      </c>
      <c r="CA56" s="386">
        <f t="shared" si="37"/>
        <v>0</v>
      </c>
      <c r="CB56" s="386">
        <f t="shared" si="38"/>
        <v>0</v>
      </c>
      <c r="CC56" s="386">
        <f t="shared" si="64"/>
        <v>0</v>
      </c>
      <c r="CD56" s="386">
        <f t="shared" si="65"/>
        <v>-348.72448000000048</v>
      </c>
      <c r="CE56" s="386">
        <f t="shared" si="66"/>
        <v>0</v>
      </c>
      <c r="CF56" s="386">
        <f t="shared" si="67"/>
        <v>0</v>
      </c>
      <c r="CG56" s="386">
        <f t="shared" si="68"/>
        <v>0</v>
      </c>
      <c r="CH56" s="386">
        <f t="shared" si="69"/>
        <v>4.5884800000000023</v>
      </c>
      <c r="CI56" s="386">
        <f t="shared" si="70"/>
        <v>0</v>
      </c>
      <c r="CJ56" s="386">
        <f t="shared" si="39"/>
        <v>-344.13600000000048</v>
      </c>
      <c r="CK56" s="386" t="str">
        <f t="shared" si="40"/>
        <v/>
      </c>
      <c r="CL56" s="386" t="str">
        <f t="shared" si="41"/>
        <v/>
      </c>
      <c r="CM56" s="386" t="str">
        <f t="shared" si="42"/>
        <v/>
      </c>
      <c r="CN56" s="386" t="str">
        <f t="shared" si="43"/>
        <v>0001-00</v>
      </c>
    </row>
    <row r="57" spans="1:92" ht="15.75" thickBot="1" x14ac:dyDescent="0.3">
      <c r="A57" s="376" t="s">
        <v>162</v>
      </c>
      <c r="B57" s="376" t="s">
        <v>163</v>
      </c>
      <c r="C57" s="376" t="s">
        <v>281</v>
      </c>
      <c r="D57" s="376" t="s">
        <v>165</v>
      </c>
      <c r="E57" s="376" t="s">
        <v>166</v>
      </c>
      <c r="F57" s="377" t="s">
        <v>167</v>
      </c>
      <c r="G57" s="376" t="s">
        <v>373</v>
      </c>
      <c r="H57" s="378"/>
      <c r="I57" s="378"/>
      <c r="J57" s="376" t="s">
        <v>169</v>
      </c>
      <c r="K57" s="376" t="s">
        <v>193</v>
      </c>
      <c r="L57" s="376" t="s">
        <v>194</v>
      </c>
      <c r="M57" s="376" t="s">
        <v>172</v>
      </c>
      <c r="N57" s="376" t="s">
        <v>173</v>
      </c>
      <c r="O57" s="379">
        <v>1</v>
      </c>
      <c r="P57" s="384">
        <v>1</v>
      </c>
      <c r="Q57" s="384">
        <v>1</v>
      </c>
      <c r="R57" s="380">
        <v>80</v>
      </c>
      <c r="S57" s="384">
        <v>1</v>
      </c>
      <c r="T57" s="380">
        <v>58685.22</v>
      </c>
      <c r="U57" s="380">
        <v>0</v>
      </c>
      <c r="V57" s="380">
        <v>23161.24</v>
      </c>
      <c r="W57" s="380">
        <v>62587.199999999997</v>
      </c>
      <c r="X57" s="380">
        <v>25324.720000000001</v>
      </c>
      <c r="Y57" s="380">
        <v>62587.199999999997</v>
      </c>
      <c r="Z57" s="380">
        <v>26105.31</v>
      </c>
      <c r="AA57" s="376" t="s">
        <v>282</v>
      </c>
      <c r="AB57" s="376" t="s">
        <v>283</v>
      </c>
      <c r="AC57" s="376" t="s">
        <v>284</v>
      </c>
      <c r="AD57" s="376" t="s">
        <v>285</v>
      </c>
      <c r="AE57" s="376" t="s">
        <v>193</v>
      </c>
      <c r="AF57" s="376" t="s">
        <v>178</v>
      </c>
      <c r="AG57" s="376" t="s">
        <v>179</v>
      </c>
      <c r="AH57" s="381">
        <v>30.09</v>
      </c>
      <c r="AI57" s="381">
        <v>5278.8</v>
      </c>
      <c r="AJ57" s="376" t="s">
        <v>180</v>
      </c>
      <c r="AK57" s="376" t="s">
        <v>181</v>
      </c>
      <c r="AL57" s="376" t="s">
        <v>182</v>
      </c>
      <c r="AM57" s="376" t="s">
        <v>183</v>
      </c>
      <c r="AN57" s="376" t="s">
        <v>66</v>
      </c>
      <c r="AO57" s="379">
        <v>80</v>
      </c>
      <c r="AP57" s="384">
        <v>1</v>
      </c>
      <c r="AQ57" s="384">
        <v>1</v>
      </c>
      <c r="AR57" s="382" t="s">
        <v>184</v>
      </c>
      <c r="AS57" s="386">
        <f t="shared" si="27"/>
        <v>1</v>
      </c>
      <c r="AT57">
        <f t="shared" si="28"/>
        <v>1</v>
      </c>
      <c r="AU57" s="386">
        <f>IF(AT57=0,"",IF(AND(AT57=1,M57="F",SUMIF(C2:C201,C57,AS2:AS201)&lt;=1),SUMIF(C2:C201,C57,AS2:AS201),IF(AND(AT57=1,M57="F",SUMIF(C2:C201,C57,AS2:AS201)&gt;1),1,"")))</f>
        <v>1</v>
      </c>
      <c r="AV57" s="386" t="str">
        <f>IF(AT57=0,"",IF(AND(AT57=3,M57="F",SUMIF(C2:C201,C57,AS2:AS201)&lt;=1),SUMIF(C2:C201,C57,AS2:AS201),IF(AND(AT57=3,M57="F",SUMIF(C2:C201,C57,AS2:AS201)&gt;1),1,"")))</f>
        <v/>
      </c>
      <c r="AW57" s="386">
        <f>SUMIF(C2:C201,C57,O2:O201)</f>
        <v>3</v>
      </c>
      <c r="AX57" s="386">
        <f>IF(AND(M57="F",AS57&lt;&gt;0),SUMIF(C2:C201,C57,W2:W201),0)</f>
        <v>62587.199999999997</v>
      </c>
      <c r="AY57" s="386">
        <f t="shared" si="29"/>
        <v>62587.199999999997</v>
      </c>
      <c r="AZ57" s="386" t="str">
        <f t="shared" si="30"/>
        <v/>
      </c>
      <c r="BA57" s="386">
        <f t="shared" si="31"/>
        <v>0</v>
      </c>
      <c r="BB57" s="386">
        <f t="shared" si="44"/>
        <v>12500</v>
      </c>
      <c r="BC57" s="386">
        <f t="shared" si="45"/>
        <v>0</v>
      </c>
      <c r="BD57" s="386">
        <f t="shared" si="46"/>
        <v>3880.4063999999998</v>
      </c>
      <c r="BE57" s="386">
        <f t="shared" si="47"/>
        <v>907.51440000000002</v>
      </c>
      <c r="BF57" s="386">
        <f t="shared" si="48"/>
        <v>7472.9116800000002</v>
      </c>
      <c r="BG57" s="386">
        <f t="shared" si="49"/>
        <v>451.25371200000001</v>
      </c>
      <c r="BH57" s="386">
        <f t="shared" si="50"/>
        <v>0</v>
      </c>
      <c r="BI57" s="386">
        <f t="shared" si="51"/>
        <v>0</v>
      </c>
      <c r="BJ57" s="386">
        <f t="shared" si="52"/>
        <v>112.65696</v>
      </c>
      <c r="BK57" s="386">
        <f t="shared" si="53"/>
        <v>0</v>
      </c>
      <c r="BL57" s="386">
        <f t="shared" si="32"/>
        <v>12824.743152000001</v>
      </c>
      <c r="BM57" s="386">
        <f t="shared" si="33"/>
        <v>0</v>
      </c>
      <c r="BN57" s="386">
        <f t="shared" si="54"/>
        <v>13750</v>
      </c>
      <c r="BO57" s="386">
        <f t="shared" si="55"/>
        <v>0</v>
      </c>
      <c r="BP57" s="386">
        <f t="shared" si="56"/>
        <v>3880.4063999999998</v>
      </c>
      <c r="BQ57" s="386">
        <f t="shared" si="57"/>
        <v>907.51440000000002</v>
      </c>
      <c r="BR57" s="386">
        <f t="shared" si="58"/>
        <v>6997.2489599999999</v>
      </c>
      <c r="BS57" s="386">
        <f t="shared" si="59"/>
        <v>451.25371200000001</v>
      </c>
      <c r="BT57" s="386">
        <f t="shared" si="60"/>
        <v>0</v>
      </c>
      <c r="BU57" s="386">
        <f t="shared" si="61"/>
        <v>0</v>
      </c>
      <c r="BV57" s="386">
        <f t="shared" si="62"/>
        <v>118.91567999999999</v>
      </c>
      <c r="BW57" s="386">
        <f t="shared" si="63"/>
        <v>0</v>
      </c>
      <c r="BX57" s="386">
        <f t="shared" si="34"/>
        <v>12355.339152</v>
      </c>
      <c r="BY57" s="386">
        <f t="shared" si="35"/>
        <v>0</v>
      </c>
      <c r="BZ57" s="386">
        <f t="shared" si="36"/>
        <v>1250</v>
      </c>
      <c r="CA57" s="386">
        <f t="shared" si="37"/>
        <v>0</v>
      </c>
      <c r="CB57" s="386">
        <f t="shared" si="38"/>
        <v>0</v>
      </c>
      <c r="CC57" s="386">
        <f t="shared" si="64"/>
        <v>0</v>
      </c>
      <c r="CD57" s="386">
        <f t="shared" si="65"/>
        <v>-475.66272000000055</v>
      </c>
      <c r="CE57" s="386">
        <f t="shared" si="66"/>
        <v>0</v>
      </c>
      <c r="CF57" s="386">
        <f t="shared" si="67"/>
        <v>0</v>
      </c>
      <c r="CG57" s="386">
        <f t="shared" si="68"/>
        <v>0</v>
      </c>
      <c r="CH57" s="386">
        <f t="shared" si="69"/>
        <v>6.2587200000000029</v>
      </c>
      <c r="CI57" s="386">
        <f t="shared" si="70"/>
        <v>0</v>
      </c>
      <c r="CJ57" s="386">
        <f t="shared" si="39"/>
        <v>-469.40400000000056</v>
      </c>
      <c r="CK57" s="386" t="str">
        <f t="shared" si="40"/>
        <v/>
      </c>
      <c r="CL57" s="386" t="str">
        <f t="shared" si="41"/>
        <v/>
      </c>
      <c r="CM57" s="386" t="str">
        <f t="shared" si="42"/>
        <v/>
      </c>
      <c r="CN57" s="386" t="str">
        <f t="shared" si="43"/>
        <v>0001-00</v>
      </c>
    </row>
    <row r="58" spans="1:92" ht="15.75" thickBot="1" x14ac:dyDescent="0.3">
      <c r="A58" s="376" t="s">
        <v>162</v>
      </c>
      <c r="B58" s="376" t="s">
        <v>163</v>
      </c>
      <c r="C58" s="376" t="s">
        <v>286</v>
      </c>
      <c r="D58" s="376" t="s">
        <v>165</v>
      </c>
      <c r="E58" s="376" t="s">
        <v>166</v>
      </c>
      <c r="F58" s="377" t="s">
        <v>167</v>
      </c>
      <c r="G58" s="376" t="s">
        <v>373</v>
      </c>
      <c r="H58" s="378"/>
      <c r="I58" s="378"/>
      <c r="J58" s="376" t="s">
        <v>169</v>
      </c>
      <c r="K58" s="376" t="s">
        <v>206</v>
      </c>
      <c r="L58" s="376" t="s">
        <v>198</v>
      </c>
      <c r="M58" s="376" t="s">
        <v>172</v>
      </c>
      <c r="N58" s="376" t="s">
        <v>173</v>
      </c>
      <c r="O58" s="379">
        <v>1</v>
      </c>
      <c r="P58" s="384">
        <v>1</v>
      </c>
      <c r="Q58" s="384">
        <v>1</v>
      </c>
      <c r="R58" s="380">
        <v>80</v>
      </c>
      <c r="S58" s="384">
        <v>1</v>
      </c>
      <c r="T58" s="380">
        <v>64995.21</v>
      </c>
      <c r="U58" s="380">
        <v>0</v>
      </c>
      <c r="V58" s="380">
        <v>24054.69</v>
      </c>
      <c r="W58" s="380">
        <v>68494.399999999994</v>
      </c>
      <c r="X58" s="380">
        <v>26535.16</v>
      </c>
      <c r="Y58" s="380">
        <v>68494.399999999994</v>
      </c>
      <c r="Z58" s="380">
        <v>27271.45</v>
      </c>
      <c r="AA58" s="376" t="s">
        <v>287</v>
      </c>
      <c r="AB58" s="376" t="s">
        <v>288</v>
      </c>
      <c r="AC58" s="376" t="s">
        <v>289</v>
      </c>
      <c r="AD58" s="376" t="s">
        <v>290</v>
      </c>
      <c r="AE58" s="376" t="s">
        <v>206</v>
      </c>
      <c r="AF58" s="376" t="s">
        <v>178</v>
      </c>
      <c r="AG58" s="376" t="s">
        <v>179</v>
      </c>
      <c r="AH58" s="381">
        <v>32.93</v>
      </c>
      <c r="AI58" s="381">
        <v>21252.799999999999</v>
      </c>
      <c r="AJ58" s="376" t="s">
        <v>180</v>
      </c>
      <c r="AK58" s="376" t="s">
        <v>181</v>
      </c>
      <c r="AL58" s="376" t="s">
        <v>182</v>
      </c>
      <c r="AM58" s="376" t="s">
        <v>183</v>
      </c>
      <c r="AN58" s="376" t="s">
        <v>66</v>
      </c>
      <c r="AO58" s="379">
        <v>80</v>
      </c>
      <c r="AP58" s="384">
        <v>1</v>
      </c>
      <c r="AQ58" s="384">
        <v>1</v>
      </c>
      <c r="AR58" s="382" t="s">
        <v>184</v>
      </c>
      <c r="AS58" s="386">
        <f t="shared" si="27"/>
        <v>1</v>
      </c>
      <c r="AT58">
        <f t="shared" si="28"/>
        <v>1</v>
      </c>
      <c r="AU58" s="386">
        <f>IF(AT58=0,"",IF(AND(AT58=1,M58="F",SUMIF(C2:C201,C58,AS2:AS201)&lt;=1),SUMIF(C2:C201,C58,AS2:AS201),IF(AND(AT58=1,M58="F",SUMIF(C2:C201,C58,AS2:AS201)&gt;1),1,"")))</f>
        <v>1</v>
      </c>
      <c r="AV58" s="386" t="str">
        <f>IF(AT58=0,"",IF(AND(AT58=3,M58="F",SUMIF(C2:C201,C58,AS2:AS201)&lt;=1),SUMIF(C2:C201,C58,AS2:AS201),IF(AND(AT58=3,M58="F",SUMIF(C2:C201,C58,AS2:AS201)&gt;1),1,"")))</f>
        <v/>
      </c>
      <c r="AW58" s="386">
        <f>SUMIF(C2:C201,C58,O2:O201)</f>
        <v>3</v>
      </c>
      <c r="AX58" s="386">
        <f>IF(AND(M58="F",AS58&lt;&gt;0),SUMIF(C2:C201,C58,W2:W201),0)</f>
        <v>68494.399999999994</v>
      </c>
      <c r="AY58" s="386">
        <f t="shared" si="29"/>
        <v>68494.399999999994</v>
      </c>
      <c r="AZ58" s="386" t="str">
        <f t="shared" si="30"/>
        <v/>
      </c>
      <c r="BA58" s="386">
        <f t="shared" si="31"/>
        <v>0</v>
      </c>
      <c r="BB58" s="386">
        <f t="shared" si="44"/>
        <v>12500</v>
      </c>
      <c r="BC58" s="386">
        <f t="shared" si="45"/>
        <v>0</v>
      </c>
      <c r="BD58" s="386">
        <f t="shared" si="46"/>
        <v>4246.6527999999998</v>
      </c>
      <c r="BE58" s="386">
        <f t="shared" si="47"/>
        <v>993.16879999999992</v>
      </c>
      <c r="BF58" s="386">
        <f t="shared" si="48"/>
        <v>8178.2313599999998</v>
      </c>
      <c r="BG58" s="386">
        <f t="shared" si="49"/>
        <v>493.84462399999995</v>
      </c>
      <c r="BH58" s="386">
        <f t="shared" si="50"/>
        <v>0</v>
      </c>
      <c r="BI58" s="386">
        <f t="shared" si="51"/>
        <v>0</v>
      </c>
      <c r="BJ58" s="386">
        <f t="shared" si="52"/>
        <v>123.28991999999998</v>
      </c>
      <c r="BK58" s="386">
        <f t="shared" si="53"/>
        <v>0</v>
      </c>
      <c r="BL58" s="386">
        <f t="shared" si="32"/>
        <v>14035.187503999998</v>
      </c>
      <c r="BM58" s="386">
        <f t="shared" si="33"/>
        <v>0</v>
      </c>
      <c r="BN58" s="386">
        <f t="shared" si="54"/>
        <v>13750</v>
      </c>
      <c r="BO58" s="386">
        <f t="shared" si="55"/>
        <v>0</v>
      </c>
      <c r="BP58" s="386">
        <f t="shared" si="56"/>
        <v>4246.6527999999998</v>
      </c>
      <c r="BQ58" s="386">
        <f t="shared" si="57"/>
        <v>993.16879999999992</v>
      </c>
      <c r="BR58" s="386">
        <f t="shared" si="58"/>
        <v>7657.6739199999993</v>
      </c>
      <c r="BS58" s="386">
        <f t="shared" si="59"/>
        <v>493.84462399999995</v>
      </c>
      <c r="BT58" s="386">
        <f t="shared" si="60"/>
        <v>0</v>
      </c>
      <c r="BU58" s="386">
        <f t="shared" si="61"/>
        <v>0</v>
      </c>
      <c r="BV58" s="386">
        <f t="shared" si="62"/>
        <v>130.13935999999998</v>
      </c>
      <c r="BW58" s="386">
        <f t="shared" si="63"/>
        <v>0</v>
      </c>
      <c r="BX58" s="386">
        <f t="shared" si="34"/>
        <v>13521.479503999997</v>
      </c>
      <c r="BY58" s="386">
        <f t="shared" si="35"/>
        <v>0</v>
      </c>
      <c r="BZ58" s="386">
        <f t="shared" si="36"/>
        <v>1250</v>
      </c>
      <c r="CA58" s="386">
        <f t="shared" si="37"/>
        <v>0</v>
      </c>
      <c r="CB58" s="386">
        <f t="shared" si="38"/>
        <v>0</v>
      </c>
      <c r="CC58" s="386">
        <f t="shared" si="64"/>
        <v>0</v>
      </c>
      <c r="CD58" s="386">
        <f t="shared" si="65"/>
        <v>-520.55744000000061</v>
      </c>
      <c r="CE58" s="386">
        <f t="shared" si="66"/>
        <v>0</v>
      </c>
      <c r="CF58" s="386">
        <f t="shared" si="67"/>
        <v>0</v>
      </c>
      <c r="CG58" s="386">
        <f t="shared" si="68"/>
        <v>0</v>
      </c>
      <c r="CH58" s="386">
        <f t="shared" si="69"/>
        <v>6.8494400000000022</v>
      </c>
      <c r="CI58" s="386">
        <f t="shared" si="70"/>
        <v>0</v>
      </c>
      <c r="CJ58" s="386">
        <f t="shared" si="39"/>
        <v>-513.70800000000065</v>
      </c>
      <c r="CK58" s="386" t="str">
        <f t="shared" si="40"/>
        <v/>
      </c>
      <c r="CL58" s="386" t="str">
        <f t="shared" si="41"/>
        <v/>
      </c>
      <c r="CM58" s="386" t="str">
        <f t="shared" si="42"/>
        <v/>
      </c>
      <c r="CN58" s="386" t="str">
        <f t="shared" si="43"/>
        <v>0001-00</v>
      </c>
    </row>
    <row r="59" spans="1:92" ht="15.75" thickBot="1" x14ac:dyDescent="0.3">
      <c r="A59" s="376" t="s">
        <v>162</v>
      </c>
      <c r="B59" s="376" t="s">
        <v>163</v>
      </c>
      <c r="C59" s="376" t="s">
        <v>374</v>
      </c>
      <c r="D59" s="376" t="s">
        <v>313</v>
      </c>
      <c r="E59" s="376" t="s">
        <v>166</v>
      </c>
      <c r="F59" s="377" t="s">
        <v>167</v>
      </c>
      <c r="G59" s="376" t="s">
        <v>373</v>
      </c>
      <c r="H59" s="378"/>
      <c r="I59" s="378"/>
      <c r="J59" s="376" t="s">
        <v>169</v>
      </c>
      <c r="K59" s="376" t="s">
        <v>314</v>
      </c>
      <c r="L59" s="376" t="s">
        <v>167</v>
      </c>
      <c r="M59" s="376" t="s">
        <v>172</v>
      </c>
      <c r="N59" s="376" t="s">
        <v>315</v>
      </c>
      <c r="O59" s="379">
        <v>0</v>
      </c>
      <c r="P59" s="384">
        <v>1</v>
      </c>
      <c r="Q59" s="384">
        <v>0</v>
      </c>
      <c r="R59" s="380">
        <v>0</v>
      </c>
      <c r="S59" s="384">
        <v>0</v>
      </c>
      <c r="T59" s="380">
        <v>0</v>
      </c>
      <c r="U59" s="380">
        <v>0</v>
      </c>
      <c r="V59" s="380">
        <v>0</v>
      </c>
      <c r="W59" s="380">
        <v>596523.92000000004</v>
      </c>
      <c r="X59" s="380">
        <v>194229.18</v>
      </c>
      <c r="Y59" s="380">
        <v>596523.92000000004</v>
      </c>
      <c r="Z59" s="380">
        <v>194229.18</v>
      </c>
      <c r="AA59" s="378"/>
      <c r="AB59" s="376" t="s">
        <v>45</v>
      </c>
      <c r="AC59" s="376" t="s">
        <v>45</v>
      </c>
      <c r="AD59" s="378"/>
      <c r="AE59" s="378"/>
      <c r="AF59" s="378"/>
      <c r="AG59" s="378"/>
      <c r="AH59" s="379">
        <v>0</v>
      </c>
      <c r="AI59" s="379">
        <v>0</v>
      </c>
      <c r="AJ59" s="378"/>
      <c r="AK59" s="378"/>
      <c r="AL59" s="376" t="s">
        <v>182</v>
      </c>
      <c r="AM59" s="378"/>
      <c r="AN59" s="378"/>
      <c r="AO59" s="379">
        <v>0</v>
      </c>
      <c r="AP59" s="384">
        <v>0</v>
      </c>
      <c r="AQ59" s="384">
        <v>0</v>
      </c>
      <c r="AR59" s="383"/>
      <c r="AS59" s="386">
        <f t="shared" si="27"/>
        <v>0</v>
      </c>
      <c r="AT59">
        <f t="shared" si="28"/>
        <v>0</v>
      </c>
      <c r="AU59" s="386" t="str">
        <f>IF(AT59=0,"",IF(AND(AT59=1,M59="F",SUMIF(C2:C201,C59,AS2:AS201)&lt;=1),SUMIF(C2:C201,C59,AS2:AS201),IF(AND(AT59=1,M59="F",SUMIF(C2:C201,C59,AS2:AS201)&gt;1),1,"")))</f>
        <v/>
      </c>
      <c r="AV59" s="386" t="str">
        <f>IF(AT59=0,"",IF(AND(AT59=3,M59="F",SUMIF(C2:C201,C59,AS2:AS201)&lt;=1),SUMIF(C2:C201,C59,AS2:AS201),IF(AND(AT59=3,M59="F",SUMIF(C2:C201,C59,AS2:AS201)&gt;1),1,"")))</f>
        <v/>
      </c>
      <c r="AW59" s="386">
        <f>SUMIF(C2:C201,C59,O2:O201)</f>
        <v>0</v>
      </c>
      <c r="AX59" s="386">
        <f>IF(AND(M59="F",AS59&lt;&gt;0),SUMIF(C2:C201,C59,W2:W201),0)</f>
        <v>0</v>
      </c>
      <c r="AY59" s="386" t="str">
        <f t="shared" si="29"/>
        <v/>
      </c>
      <c r="AZ59" s="386" t="str">
        <f t="shared" si="30"/>
        <v/>
      </c>
      <c r="BA59" s="386">
        <f t="shared" si="31"/>
        <v>0</v>
      </c>
      <c r="BB59" s="386">
        <f t="shared" si="44"/>
        <v>0</v>
      </c>
      <c r="BC59" s="386">
        <f t="shared" si="45"/>
        <v>0</v>
      </c>
      <c r="BD59" s="386">
        <f t="shared" si="46"/>
        <v>0</v>
      </c>
      <c r="BE59" s="386">
        <f t="shared" si="47"/>
        <v>0</v>
      </c>
      <c r="BF59" s="386">
        <f t="shared" si="48"/>
        <v>0</v>
      </c>
      <c r="BG59" s="386">
        <f t="shared" si="49"/>
        <v>0</v>
      </c>
      <c r="BH59" s="386">
        <f t="shared" si="50"/>
        <v>0</v>
      </c>
      <c r="BI59" s="386">
        <f t="shared" si="51"/>
        <v>0</v>
      </c>
      <c r="BJ59" s="386">
        <f t="shared" si="52"/>
        <v>0</v>
      </c>
      <c r="BK59" s="386">
        <f t="shared" si="53"/>
        <v>0</v>
      </c>
      <c r="BL59" s="386">
        <f t="shared" si="32"/>
        <v>0</v>
      </c>
      <c r="BM59" s="386">
        <f t="shared" si="33"/>
        <v>0</v>
      </c>
      <c r="BN59" s="386">
        <f t="shared" si="54"/>
        <v>0</v>
      </c>
      <c r="BO59" s="386">
        <f t="shared" si="55"/>
        <v>0</v>
      </c>
      <c r="BP59" s="386">
        <f t="shared" si="56"/>
        <v>0</v>
      </c>
      <c r="BQ59" s="386">
        <f t="shared" si="57"/>
        <v>0</v>
      </c>
      <c r="BR59" s="386">
        <f t="shared" si="58"/>
        <v>0</v>
      </c>
      <c r="BS59" s="386">
        <f t="shared" si="59"/>
        <v>0</v>
      </c>
      <c r="BT59" s="386">
        <f t="shared" si="60"/>
        <v>0</v>
      </c>
      <c r="BU59" s="386">
        <f t="shared" si="61"/>
        <v>0</v>
      </c>
      <c r="BV59" s="386">
        <f t="shared" si="62"/>
        <v>0</v>
      </c>
      <c r="BW59" s="386">
        <f t="shared" si="63"/>
        <v>0</v>
      </c>
      <c r="BX59" s="386">
        <f t="shared" si="34"/>
        <v>0</v>
      </c>
      <c r="BY59" s="386">
        <f t="shared" si="35"/>
        <v>0</v>
      </c>
      <c r="BZ59" s="386">
        <f t="shared" si="36"/>
        <v>0</v>
      </c>
      <c r="CA59" s="386">
        <f t="shared" si="37"/>
        <v>0</v>
      </c>
      <c r="CB59" s="386">
        <f t="shared" si="38"/>
        <v>0</v>
      </c>
      <c r="CC59" s="386">
        <f t="shared" si="64"/>
        <v>0</v>
      </c>
      <c r="CD59" s="386">
        <f t="shared" si="65"/>
        <v>0</v>
      </c>
      <c r="CE59" s="386">
        <f t="shared" si="66"/>
        <v>0</v>
      </c>
      <c r="CF59" s="386">
        <f t="shared" si="67"/>
        <v>0</v>
      </c>
      <c r="CG59" s="386">
        <f t="shared" si="68"/>
        <v>0</v>
      </c>
      <c r="CH59" s="386">
        <f t="shared" si="69"/>
        <v>0</v>
      </c>
      <c r="CI59" s="386">
        <f t="shared" si="70"/>
        <v>0</v>
      </c>
      <c r="CJ59" s="386">
        <f t="shared" si="39"/>
        <v>0</v>
      </c>
      <c r="CK59" s="386" t="str">
        <f t="shared" si="40"/>
        <v/>
      </c>
      <c r="CL59" s="386">
        <f t="shared" si="41"/>
        <v>0</v>
      </c>
      <c r="CM59" s="386">
        <f t="shared" si="42"/>
        <v>0</v>
      </c>
      <c r="CN59" s="386" t="str">
        <f t="shared" si="43"/>
        <v>0001-00</v>
      </c>
    </row>
    <row r="60" spans="1:92" ht="15.75" thickBot="1" x14ac:dyDescent="0.3">
      <c r="A60" s="376" t="s">
        <v>162</v>
      </c>
      <c r="B60" s="376" t="s">
        <v>163</v>
      </c>
      <c r="C60" s="376" t="s">
        <v>297</v>
      </c>
      <c r="D60" s="376" t="s">
        <v>165</v>
      </c>
      <c r="E60" s="376" t="s">
        <v>166</v>
      </c>
      <c r="F60" s="377" t="s">
        <v>167</v>
      </c>
      <c r="G60" s="376" t="s">
        <v>373</v>
      </c>
      <c r="H60" s="378"/>
      <c r="I60" s="378"/>
      <c r="J60" s="376" t="s">
        <v>169</v>
      </c>
      <c r="K60" s="376" t="s">
        <v>193</v>
      </c>
      <c r="L60" s="376" t="s">
        <v>194</v>
      </c>
      <c r="M60" s="376" t="s">
        <v>172</v>
      </c>
      <c r="N60" s="376" t="s">
        <v>173</v>
      </c>
      <c r="O60" s="379">
        <v>1</v>
      </c>
      <c r="P60" s="384">
        <v>1</v>
      </c>
      <c r="Q60" s="384">
        <v>1</v>
      </c>
      <c r="R60" s="380">
        <v>80</v>
      </c>
      <c r="S60" s="384">
        <v>1</v>
      </c>
      <c r="T60" s="380">
        <v>52388.84</v>
      </c>
      <c r="U60" s="380">
        <v>0</v>
      </c>
      <c r="V60" s="380">
        <v>21939.93</v>
      </c>
      <c r="W60" s="380">
        <v>56680</v>
      </c>
      <c r="X60" s="380">
        <v>24114.29</v>
      </c>
      <c r="Y60" s="380">
        <v>56680</v>
      </c>
      <c r="Z60" s="380">
        <v>24939.19</v>
      </c>
      <c r="AA60" s="376" t="s">
        <v>298</v>
      </c>
      <c r="AB60" s="376" t="s">
        <v>299</v>
      </c>
      <c r="AC60" s="376" t="s">
        <v>300</v>
      </c>
      <c r="AD60" s="376" t="s">
        <v>198</v>
      </c>
      <c r="AE60" s="376" t="s">
        <v>193</v>
      </c>
      <c r="AF60" s="376" t="s">
        <v>178</v>
      </c>
      <c r="AG60" s="376" t="s">
        <v>179</v>
      </c>
      <c r="AH60" s="381">
        <v>27.25</v>
      </c>
      <c r="AI60" s="381">
        <v>25841.3</v>
      </c>
      <c r="AJ60" s="376" t="s">
        <v>180</v>
      </c>
      <c r="AK60" s="376" t="s">
        <v>181</v>
      </c>
      <c r="AL60" s="376" t="s">
        <v>182</v>
      </c>
      <c r="AM60" s="376" t="s">
        <v>183</v>
      </c>
      <c r="AN60" s="376" t="s">
        <v>66</v>
      </c>
      <c r="AO60" s="379">
        <v>80</v>
      </c>
      <c r="AP60" s="384">
        <v>1</v>
      </c>
      <c r="AQ60" s="384">
        <v>1</v>
      </c>
      <c r="AR60" s="382" t="s">
        <v>184</v>
      </c>
      <c r="AS60" s="386">
        <f t="shared" si="27"/>
        <v>1</v>
      </c>
      <c r="AT60">
        <f t="shared" si="28"/>
        <v>1</v>
      </c>
      <c r="AU60" s="386">
        <f>IF(AT60=0,"",IF(AND(AT60=1,M60="F",SUMIF(C2:C201,C60,AS2:AS201)&lt;=1),SUMIF(C2:C201,C60,AS2:AS201),IF(AND(AT60=1,M60="F",SUMIF(C2:C201,C60,AS2:AS201)&gt;1),1,"")))</f>
        <v>1</v>
      </c>
      <c r="AV60" s="386" t="str">
        <f>IF(AT60=0,"",IF(AND(AT60=3,M60="F",SUMIF(C2:C201,C60,AS2:AS201)&lt;=1),SUMIF(C2:C201,C60,AS2:AS201),IF(AND(AT60=3,M60="F",SUMIF(C2:C201,C60,AS2:AS201)&gt;1),1,"")))</f>
        <v/>
      </c>
      <c r="AW60" s="386">
        <f>SUMIF(C2:C201,C60,O2:O201)</f>
        <v>3</v>
      </c>
      <c r="AX60" s="386">
        <f>IF(AND(M60="F",AS60&lt;&gt;0),SUMIF(C2:C201,C60,W2:W201),0)</f>
        <v>56680</v>
      </c>
      <c r="AY60" s="386">
        <f t="shared" si="29"/>
        <v>56680</v>
      </c>
      <c r="AZ60" s="386" t="str">
        <f t="shared" si="30"/>
        <v/>
      </c>
      <c r="BA60" s="386">
        <f t="shared" si="31"/>
        <v>0</v>
      </c>
      <c r="BB60" s="386">
        <f t="shared" si="44"/>
        <v>12500</v>
      </c>
      <c r="BC60" s="386">
        <f t="shared" si="45"/>
        <v>0</v>
      </c>
      <c r="BD60" s="386">
        <f t="shared" si="46"/>
        <v>3514.16</v>
      </c>
      <c r="BE60" s="386">
        <f t="shared" si="47"/>
        <v>821.86</v>
      </c>
      <c r="BF60" s="386">
        <f t="shared" si="48"/>
        <v>6767.5920000000006</v>
      </c>
      <c r="BG60" s="386">
        <f t="shared" si="49"/>
        <v>408.6628</v>
      </c>
      <c r="BH60" s="386">
        <f t="shared" si="50"/>
        <v>0</v>
      </c>
      <c r="BI60" s="386">
        <f t="shared" si="51"/>
        <v>0</v>
      </c>
      <c r="BJ60" s="386">
        <f t="shared" si="52"/>
        <v>102.024</v>
      </c>
      <c r="BK60" s="386">
        <f t="shared" si="53"/>
        <v>0</v>
      </c>
      <c r="BL60" s="386">
        <f t="shared" si="32"/>
        <v>11614.2988</v>
      </c>
      <c r="BM60" s="386">
        <f t="shared" si="33"/>
        <v>0</v>
      </c>
      <c r="BN60" s="386">
        <f t="shared" si="54"/>
        <v>13750</v>
      </c>
      <c r="BO60" s="386">
        <f t="shared" si="55"/>
        <v>0</v>
      </c>
      <c r="BP60" s="386">
        <f t="shared" si="56"/>
        <v>3514.16</v>
      </c>
      <c r="BQ60" s="386">
        <f t="shared" si="57"/>
        <v>821.86</v>
      </c>
      <c r="BR60" s="386">
        <f t="shared" si="58"/>
        <v>6336.8239999999996</v>
      </c>
      <c r="BS60" s="386">
        <f t="shared" si="59"/>
        <v>408.6628</v>
      </c>
      <c r="BT60" s="386">
        <f t="shared" si="60"/>
        <v>0</v>
      </c>
      <c r="BU60" s="386">
        <f t="shared" si="61"/>
        <v>0</v>
      </c>
      <c r="BV60" s="386">
        <f t="shared" si="62"/>
        <v>107.69199999999999</v>
      </c>
      <c r="BW60" s="386">
        <f t="shared" si="63"/>
        <v>0</v>
      </c>
      <c r="BX60" s="386">
        <f t="shared" si="34"/>
        <v>11189.198799999998</v>
      </c>
      <c r="BY60" s="386">
        <f t="shared" si="35"/>
        <v>0</v>
      </c>
      <c r="BZ60" s="386">
        <f t="shared" si="36"/>
        <v>1250</v>
      </c>
      <c r="CA60" s="386">
        <f t="shared" si="37"/>
        <v>0</v>
      </c>
      <c r="CB60" s="386">
        <f t="shared" si="38"/>
        <v>0</v>
      </c>
      <c r="CC60" s="386">
        <f t="shared" si="64"/>
        <v>0</v>
      </c>
      <c r="CD60" s="386">
        <f t="shared" si="65"/>
        <v>-430.76800000000054</v>
      </c>
      <c r="CE60" s="386">
        <f t="shared" si="66"/>
        <v>0</v>
      </c>
      <c r="CF60" s="386">
        <f t="shared" si="67"/>
        <v>0</v>
      </c>
      <c r="CG60" s="386">
        <f t="shared" si="68"/>
        <v>0</v>
      </c>
      <c r="CH60" s="386">
        <f t="shared" si="69"/>
        <v>5.6680000000000028</v>
      </c>
      <c r="CI60" s="386">
        <f t="shared" si="70"/>
        <v>0</v>
      </c>
      <c r="CJ60" s="386">
        <f t="shared" si="39"/>
        <v>-425.10000000000053</v>
      </c>
      <c r="CK60" s="386" t="str">
        <f t="shared" si="40"/>
        <v/>
      </c>
      <c r="CL60" s="386" t="str">
        <f t="shared" si="41"/>
        <v/>
      </c>
      <c r="CM60" s="386" t="str">
        <f t="shared" si="42"/>
        <v/>
      </c>
      <c r="CN60" s="386" t="str">
        <f t="shared" si="43"/>
        <v>0001-00</v>
      </c>
    </row>
    <row r="61" spans="1:92" ht="15.75" thickBot="1" x14ac:dyDescent="0.3">
      <c r="A61" s="376" t="s">
        <v>162</v>
      </c>
      <c r="B61" s="376" t="s">
        <v>163</v>
      </c>
      <c r="C61" s="376" t="s">
        <v>301</v>
      </c>
      <c r="D61" s="376" t="s">
        <v>258</v>
      </c>
      <c r="E61" s="376" t="s">
        <v>166</v>
      </c>
      <c r="F61" s="377" t="s">
        <v>167</v>
      </c>
      <c r="G61" s="376" t="s">
        <v>373</v>
      </c>
      <c r="H61" s="378"/>
      <c r="I61" s="378"/>
      <c r="J61" s="376" t="s">
        <v>169</v>
      </c>
      <c r="K61" s="376" t="s">
        <v>259</v>
      </c>
      <c r="L61" s="376" t="s">
        <v>167</v>
      </c>
      <c r="M61" s="376" t="s">
        <v>172</v>
      </c>
      <c r="N61" s="376" t="s">
        <v>173</v>
      </c>
      <c r="O61" s="379">
        <v>1</v>
      </c>
      <c r="P61" s="384">
        <v>1</v>
      </c>
      <c r="Q61" s="384">
        <v>1</v>
      </c>
      <c r="R61" s="380">
        <v>80</v>
      </c>
      <c r="S61" s="384">
        <v>1</v>
      </c>
      <c r="T61" s="380">
        <v>124160.8</v>
      </c>
      <c r="U61" s="380">
        <v>0</v>
      </c>
      <c r="V61" s="380">
        <v>36777.86</v>
      </c>
      <c r="W61" s="380">
        <v>129292.8</v>
      </c>
      <c r="X61" s="380">
        <v>38993.370000000003</v>
      </c>
      <c r="Y61" s="380">
        <v>129292.8</v>
      </c>
      <c r="Z61" s="380">
        <v>39273.67</v>
      </c>
      <c r="AA61" s="376" t="s">
        <v>302</v>
      </c>
      <c r="AB61" s="376" t="s">
        <v>303</v>
      </c>
      <c r="AC61" s="376" t="s">
        <v>304</v>
      </c>
      <c r="AD61" s="376" t="s">
        <v>181</v>
      </c>
      <c r="AE61" s="376" t="s">
        <v>259</v>
      </c>
      <c r="AF61" s="376" t="s">
        <v>178</v>
      </c>
      <c r="AG61" s="376" t="s">
        <v>179</v>
      </c>
      <c r="AH61" s="381">
        <v>62.16</v>
      </c>
      <c r="AI61" s="379">
        <v>46278</v>
      </c>
      <c r="AJ61" s="376" t="s">
        <v>180</v>
      </c>
      <c r="AK61" s="376" t="s">
        <v>181</v>
      </c>
      <c r="AL61" s="376" t="s">
        <v>182</v>
      </c>
      <c r="AM61" s="376" t="s">
        <v>183</v>
      </c>
      <c r="AN61" s="376" t="s">
        <v>66</v>
      </c>
      <c r="AO61" s="379">
        <v>80</v>
      </c>
      <c r="AP61" s="384">
        <v>1</v>
      </c>
      <c r="AQ61" s="384">
        <v>1</v>
      </c>
      <c r="AR61" s="382" t="s">
        <v>184</v>
      </c>
      <c r="AS61" s="386">
        <f t="shared" si="27"/>
        <v>1</v>
      </c>
      <c r="AT61">
        <f t="shared" si="28"/>
        <v>1</v>
      </c>
      <c r="AU61" s="386">
        <f>IF(AT61=0,"",IF(AND(AT61=1,M61="F",SUMIF(C2:C201,C61,AS2:AS201)&lt;=1),SUMIF(C2:C201,C61,AS2:AS201),IF(AND(AT61=1,M61="F",SUMIF(C2:C201,C61,AS2:AS201)&gt;1),1,"")))</f>
        <v>1</v>
      </c>
      <c r="AV61" s="386" t="str">
        <f>IF(AT61=0,"",IF(AND(AT61=3,M61="F",SUMIF(C2:C201,C61,AS2:AS201)&lt;=1),SUMIF(C2:C201,C61,AS2:AS201),IF(AND(AT61=3,M61="F",SUMIF(C2:C201,C61,AS2:AS201)&gt;1),1,"")))</f>
        <v/>
      </c>
      <c r="AW61" s="386">
        <f>SUMIF(C2:C201,C61,O2:O201)</f>
        <v>2</v>
      </c>
      <c r="AX61" s="386">
        <f>IF(AND(M61="F",AS61&lt;&gt;0),SUMIF(C2:C201,C61,W2:W201),0)</f>
        <v>129292.8</v>
      </c>
      <c r="AY61" s="386">
        <f t="shared" si="29"/>
        <v>129292.8</v>
      </c>
      <c r="AZ61" s="386" t="str">
        <f t="shared" si="30"/>
        <v/>
      </c>
      <c r="BA61" s="386">
        <f t="shared" si="31"/>
        <v>0</v>
      </c>
      <c r="BB61" s="386">
        <f t="shared" si="44"/>
        <v>12500</v>
      </c>
      <c r="BC61" s="386">
        <f t="shared" si="45"/>
        <v>0</v>
      </c>
      <c r="BD61" s="386">
        <f t="shared" si="46"/>
        <v>8016.1536000000006</v>
      </c>
      <c r="BE61" s="386">
        <f t="shared" si="47"/>
        <v>1874.7456000000002</v>
      </c>
      <c r="BF61" s="386">
        <f t="shared" si="48"/>
        <v>15437.560320000001</v>
      </c>
      <c r="BG61" s="386">
        <f t="shared" si="49"/>
        <v>932.20108800000003</v>
      </c>
      <c r="BH61" s="386">
        <f t="shared" si="50"/>
        <v>0</v>
      </c>
      <c r="BI61" s="386">
        <f t="shared" si="51"/>
        <v>0</v>
      </c>
      <c r="BJ61" s="386">
        <f t="shared" si="52"/>
        <v>232.72703999999999</v>
      </c>
      <c r="BK61" s="386">
        <f t="shared" si="53"/>
        <v>0</v>
      </c>
      <c r="BL61" s="386">
        <f t="shared" si="32"/>
        <v>26493.387648000004</v>
      </c>
      <c r="BM61" s="386">
        <f t="shared" si="33"/>
        <v>0</v>
      </c>
      <c r="BN61" s="386">
        <f t="shared" si="54"/>
        <v>13750</v>
      </c>
      <c r="BO61" s="386">
        <f t="shared" si="55"/>
        <v>0</v>
      </c>
      <c r="BP61" s="386">
        <f t="shared" si="56"/>
        <v>8016.1536000000006</v>
      </c>
      <c r="BQ61" s="386">
        <f t="shared" si="57"/>
        <v>1874.7456000000002</v>
      </c>
      <c r="BR61" s="386">
        <f t="shared" si="58"/>
        <v>14454.93504</v>
      </c>
      <c r="BS61" s="386">
        <f t="shared" si="59"/>
        <v>932.20108800000003</v>
      </c>
      <c r="BT61" s="386">
        <f t="shared" si="60"/>
        <v>0</v>
      </c>
      <c r="BU61" s="386">
        <f t="shared" si="61"/>
        <v>0</v>
      </c>
      <c r="BV61" s="386">
        <f t="shared" si="62"/>
        <v>245.65631999999999</v>
      </c>
      <c r="BW61" s="386">
        <f t="shared" si="63"/>
        <v>0</v>
      </c>
      <c r="BX61" s="386">
        <f t="shared" si="34"/>
        <v>25523.691648</v>
      </c>
      <c r="BY61" s="386">
        <f t="shared" si="35"/>
        <v>0</v>
      </c>
      <c r="BZ61" s="386">
        <f t="shared" si="36"/>
        <v>1250</v>
      </c>
      <c r="CA61" s="386">
        <f t="shared" si="37"/>
        <v>0</v>
      </c>
      <c r="CB61" s="386">
        <f t="shared" si="38"/>
        <v>0</v>
      </c>
      <c r="CC61" s="386">
        <f t="shared" si="64"/>
        <v>0</v>
      </c>
      <c r="CD61" s="386">
        <f t="shared" si="65"/>
        <v>-982.62528000000123</v>
      </c>
      <c r="CE61" s="386">
        <f t="shared" si="66"/>
        <v>0</v>
      </c>
      <c r="CF61" s="386">
        <f t="shared" si="67"/>
        <v>0</v>
      </c>
      <c r="CG61" s="386">
        <f t="shared" si="68"/>
        <v>0</v>
      </c>
      <c r="CH61" s="386">
        <f t="shared" si="69"/>
        <v>12.929280000000006</v>
      </c>
      <c r="CI61" s="386">
        <f t="shared" si="70"/>
        <v>0</v>
      </c>
      <c r="CJ61" s="386">
        <f t="shared" si="39"/>
        <v>-969.69600000000128</v>
      </c>
      <c r="CK61" s="386" t="str">
        <f t="shared" si="40"/>
        <v/>
      </c>
      <c r="CL61" s="386" t="str">
        <f t="shared" si="41"/>
        <v/>
      </c>
      <c r="CM61" s="386" t="str">
        <f t="shared" si="42"/>
        <v/>
      </c>
      <c r="CN61" s="386" t="str">
        <f t="shared" si="43"/>
        <v>0001-00</v>
      </c>
    </row>
    <row r="62" spans="1:92" ht="15.75" thickBot="1" x14ac:dyDescent="0.3">
      <c r="A62" s="376" t="s">
        <v>162</v>
      </c>
      <c r="B62" s="376" t="s">
        <v>163</v>
      </c>
      <c r="C62" s="376" t="s">
        <v>305</v>
      </c>
      <c r="D62" s="376" t="s">
        <v>306</v>
      </c>
      <c r="E62" s="376" t="s">
        <v>166</v>
      </c>
      <c r="F62" s="377" t="s">
        <v>167</v>
      </c>
      <c r="G62" s="376" t="s">
        <v>373</v>
      </c>
      <c r="H62" s="378"/>
      <c r="I62" s="378"/>
      <c r="J62" s="376" t="s">
        <v>264</v>
      </c>
      <c r="K62" s="376" t="s">
        <v>307</v>
      </c>
      <c r="L62" s="376" t="s">
        <v>167</v>
      </c>
      <c r="M62" s="376" t="s">
        <v>172</v>
      </c>
      <c r="N62" s="376" t="s">
        <v>173</v>
      </c>
      <c r="O62" s="379">
        <v>1</v>
      </c>
      <c r="P62" s="384">
        <v>0.08</v>
      </c>
      <c r="Q62" s="384">
        <v>0.08</v>
      </c>
      <c r="R62" s="380">
        <v>80</v>
      </c>
      <c r="S62" s="384">
        <v>0.08</v>
      </c>
      <c r="T62" s="380">
        <v>5052.8</v>
      </c>
      <c r="U62" s="380">
        <v>0</v>
      </c>
      <c r="V62" s="380">
        <v>1963.07</v>
      </c>
      <c r="W62" s="380">
        <v>5239.93</v>
      </c>
      <c r="X62" s="380">
        <v>2073.71</v>
      </c>
      <c r="Y62" s="380">
        <v>5239.93</v>
      </c>
      <c r="Z62" s="380">
        <v>2134.41</v>
      </c>
      <c r="AA62" s="376" t="s">
        <v>308</v>
      </c>
      <c r="AB62" s="376" t="s">
        <v>309</v>
      </c>
      <c r="AC62" s="376" t="s">
        <v>310</v>
      </c>
      <c r="AD62" s="376" t="s">
        <v>311</v>
      </c>
      <c r="AE62" s="376" t="s">
        <v>307</v>
      </c>
      <c r="AF62" s="376" t="s">
        <v>178</v>
      </c>
      <c r="AG62" s="376" t="s">
        <v>179</v>
      </c>
      <c r="AH62" s="381">
        <v>31.49</v>
      </c>
      <c r="AI62" s="379">
        <v>6145</v>
      </c>
      <c r="AJ62" s="376" t="s">
        <v>180</v>
      </c>
      <c r="AK62" s="376" t="s">
        <v>181</v>
      </c>
      <c r="AL62" s="376" t="s">
        <v>182</v>
      </c>
      <c r="AM62" s="376" t="s">
        <v>183</v>
      </c>
      <c r="AN62" s="376" t="s">
        <v>66</v>
      </c>
      <c r="AO62" s="379">
        <v>80</v>
      </c>
      <c r="AP62" s="384">
        <v>1</v>
      </c>
      <c r="AQ62" s="384">
        <v>0.08</v>
      </c>
      <c r="AR62" s="382" t="s">
        <v>184</v>
      </c>
      <c r="AS62" s="386">
        <f t="shared" si="27"/>
        <v>0.08</v>
      </c>
      <c r="AT62">
        <f t="shared" si="28"/>
        <v>1</v>
      </c>
      <c r="AU62" s="386">
        <f>IF(AT62=0,"",IF(AND(AT62=1,M62="F",SUMIF(C2:C201,C62,AS2:AS201)&lt;=1),SUMIF(C2:C201,C62,AS2:AS201),IF(AND(AT62=1,M62="F",SUMIF(C2:C201,C62,AS2:AS201)&gt;1),1,"")))</f>
        <v>1</v>
      </c>
      <c r="AV62" s="386" t="str">
        <f>IF(AT62=0,"",IF(AND(AT62=3,M62="F",SUMIF(C2:C201,C62,AS2:AS201)&lt;=1),SUMIF(C2:C201,C62,AS2:AS201),IF(AND(AT62=3,M62="F",SUMIF(C2:C201,C62,AS2:AS201)&gt;1),1,"")))</f>
        <v/>
      </c>
      <c r="AW62" s="386">
        <f>SUMIF(C2:C201,C62,O2:O201)</f>
        <v>5</v>
      </c>
      <c r="AX62" s="386">
        <f>IF(AND(M62="F",AS62&lt;&gt;0),SUMIF(C2:C201,C62,W2:W201),0)</f>
        <v>65499.180000000008</v>
      </c>
      <c r="AY62" s="386">
        <f t="shared" si="29"/>
        <v>5239.93</v>
      </c>
      <c r="AZ62" s="386" t="str">
        <f t="shared" si="30"/>
        <v/>
      </c>
      <c r="BA62" s="386">
        <f t="shared" si="31"/>
        <v>0</v>
      </c>
      <c r="BB62" s="386">
        <f t="shared" si="44"/>
        <v>1000</v>
      </c>
      <c r="BC62" s="386">
        <f t="shared" si="45"/>
        <v>0</v>
      </c>
      <c r="BD62" s="386">
        <f t="shared" si="46"/>
        <v>324.87566000000004</v>
      </c>
      <c r="BE62" s="386">
        <f t="shared" si="47"/>
        <v>75.978985000000009</v>
      </c>
      <c r="BF62" s="386">
        <f t="shared" si="48"/>
        <v>625.64764200000002</v>
      </c>
      <c r="BG62" s="386">
        <f t="shared" si="49"/>
        <v>37.779895300000007</v>
      </c>
      <c r="BH62" s="386">
        <f t="shared" si="50"/>
        <v>0</v>
      </c>
      <c r="BI62" s="386">
        <f t="shared" si="51"/>
        <v>0</v>
      </c>
      <c r="BJ62" s="386">
        <f t="shared" si="52"/>
        <v>9.4318740000000005</v>
      </c>
      <c r="BK62" s="386">
        <f t="shared" si="53"/>
        <v>0</v>
      </c>
      <c r="BL62" s="386">
        <f t="shared" si="32"/>
        <v>1073.7140563</v>
      </c>
      <c r="BM62" s="386">
        <f t="shared" si="33"/>
        <v>0</v>
      </c>
      <c r="BN62" s="386">
        <f t="shared" si="54"/>
        <v>1100</v>
      </c>
      <c r="BO62" s="386">
        <f t="shared" si="55"/>
        <v>0</v>
      </c>
      <c r="BP62" s="386">
        <f t="shared" si="56"/>
        <v>324.87566000000004</v>
      </c>
      <c r="BQ62" s="386">
        <f t="shared" si="57"/>
        <v>75.978985000000009</v>
      </c>
      <c r="BR62" s="386">
        <f t="shared" si="58"/>
        <v>585.82417399999997</v>
      </c>
      <c r="BS62" s="386">
        <f t="shared" si="59"/>
        <v>37.779895300000007</v>
      </c>
      <c r="BT62" s="386">
        <f t="shared" si="60"/>
        <v>0</v>
      </c>
      <c r="BU62" s="386">
        <f t="shared" si="61"/>
        <v>0</v>
      </c>
      <c r="BV62" s="386">
        <f t="shared" si="62"/>
        <v>9.9558670000000014</v>
      </c>
      <c r="BW62" s="386">
        <f t="shared" si="63"/>
        <v>0</v>
      </c>
      <c r="BX62" s="386">
        <f t="shared" si="34"/>
        <v>1034.4145812999998</v>
      </c>
      <c r="BY62" s="386">
        <f t="shared" si="35"/>
        <v>0</v>
      </c>
      <c r="BZ62" s="386">
        <f t="shared" si="36"/>
        <v>100</v>
      </c>
      <c r="CA62" s="386">
        <f t="shared" si="37"/>
        <v>0</v>
      </c>
      <c r="CB62" s="386">
        <f t="shared" si="38"/>
        <v>0</v>
      </c>
      <c r="CC62" s="386">
        <f t="shared" si="64"/>
        <v>0</v>
      </c>
      <c r="CD62" s="386">
        <f t="shared" si="65"/>
        <v>-39.823468000000055</v>
      </c>
      <c r="CE62" s="386">
        <f t="shared" si="66"/>
        <v>0</v>
      </c>
      <c r="CF62" s="386">
        <f t="shared" si="67"/>
        <v>0</v>
      </c>
      <c r="CG62" s="386">
        <f t="shared" si="68"/>
        <v>0</v>
      </c>
      <c r="CH62" s="386">
        <f t="shared" si="69"/>
        <v>0.52399300000000026</v>
      </c>
      <c r="CI62" s="386">
        <f t="shared" si="70"/>
        <v>0</v>
      </c>
      <c r="CJ62" s="386">
        <f t="shared" si="39"/>
        <v>-39.299475000000058</v>
      </c>
      <c r="CK62" s="386" t="str">
        <f t="shared" si="40"/>
        <v/>
      </c>
      <c r="CL62" s="386" t="str">
        <f t="shared" si="41"/>
        <v/>
      </c>
      <c r="CM62" s="386" t="str">
        <f t="shared" si="42"/>
        <v/>
      </c>
      <c r="CN62" s="386" t="str">
        <f t="shared" si="43"/>
        <v>0001-00</v>
      </c>
    </row>
    <row r="63" spans="1:92" ht="15.75" thickBot="1" x14ac:dyDescent="0.3">
      <c r="A63" s="376" t="s">
        <v>162</v>
      </c>
      <c r="B63" s="376" t="s">
        <v>163</v>
      </c>
      <c r="C63" s="376" t="s">
        <v>323</v>
      </c>
      <c r="D63" s="376" t="s">
        <v>324</v>
      </c>
      <c r="E63" s="376" t="s">
        <v>166</v>
      </c>
      <c r="F63" s="377" t="s">
        <v>167</v>
      </c>
      <c r="G63" s="376" t="s">
        <v>373</v>
      </c>
      <c r="H63" s="378"/>
      <c r="I63" s="378"/>
      <c r="J63" s="376" t="s">
        <v>169</v>
      </c>
      <c r="K63" s="376" t="s">
        <v>325</v>
      </c>
      <c r="L63" s="376" t="s">
        <v>167</v>
      </c>
      <c r="M63" s="376" t="s">
        <v>172</v>
      </c>
      <c r="N63" s="376" t="s">
        <v>173</v>
      </c>
      <c r="O63" s="379">
        <v>1</v>
      </c>
      <c r="P63" s="384">
        <v>1</v>
      </c>
      <c r="Q63" s="384">
        <v>1</v>
      </c>
      <c r="R63" s="380">
        <v>80</v>
      </c>
      <c r="S63" s="384">
        <v>1</v>
      </c>
      <c r="T63" s="380">
        <v>54250.42</v>
      </c>
      <c r="U63" s="380">
        <v>0</v>
      </c>
      <c r="V63" s="380">
        <v>22166.76</v>
      </c>
      <c r="W63" s="380">
        <v>57782.400000000001</v>
      </c>
      <c r="X63" s="380">
        <v>24340.16</v>
      </c>
      <c r="Y63" s="380">
        <v>57782.400000000001</v>
      </c>
      <c r="Z63" s="380">
        <v>25156.799999999999</v>
      </c>
      <c r="AA63" s="376" t="s">
        <v>326</v>
      </c>
      <c r="AB63" s="376" t="s">
        <v>327</v>
      </c>
      <c r="AC63" s="376" t="s">
        <v>328</v>
      </c>
      <c r="AD63" s="376" t="s">
        <v>198</v>
      </c>
      <c r="AE63" s="376" t="s">
        <v>325</v>
      </c>
      <c r="AF63" s="376" t="s">
        <v>178</v>
      </c>
      <c r="AG63" s="376" t="s">
        <v>179</v>
      </c>
      <c r="AH63" s="381">
        <v>27.78</v>
      </c>
      <c r="AI63" s="381">
        <v>12821.7</v>
      </c>
      <c r="AJ63" s="376" t="s">
        <v>180</v>
      </c>
      <c r="AK63" s="376" t="s">
        <v>181</v>
      </c>
      <c r="AL63" s="376" t="s">
        <v>182</v>
      </c>
      <c r="AM63" s="376" t="s">
        <v>183</v>
      </c>
      <c r="AN63" s="376" t="s">
        <v>66</v>
      </c>
      <c r="AO63" s="379">
        <v>80</v>
      </c>
      <c r="AP63" s="384">
        <v>1</v>
      </c>
      <c r="AQ63" s="384">
        <v>1</v>
      </c>
      <c r="AR63" s="382" t="s">
        <v>184</v>
      </c>
      <c r="AS63" s="386">
        <f t="shared" si="27"/>
        <v>1</v>
      </c>
      <c r="AT63">
        <f t="shared" si="28"/>
        <v>1</v>
      </c>
      <c r="AU63" s="386">
        <f>IF(AT63=0,"",IF(AND(AT63=1,M63="F",SUMIF(C2:C201,C63,AS2:AS201)&lt;=1),SUMIF(C2:C201,C63,AS2:AS201),IF(AND(AT63=1,M63="F",SUMIF(C2:C201,C63,AS2:AS201)&gt;1),1,"")))</f>
        <v>1</v>
      </c>
      <c r="AV63" s="386" t="str">
        <f>IF(AT63=0,"",IF(AND(AT63=3,M63="F",SUMIF(C2:C201,C63,AS2:AS201)&lt;=1),SUMIF(C2:C201,C63,AS2:AS201),IF(AND(AT63=3,M63="F",SUMIF(C2:C201,C63,AS2:AS201)&gt;1),1,"")))</f>
        <v/>
      </c>
      <c r="AW63" s="386">
        <f>SUMIF(C2:C201,C63,O2:O201)</f>
        <v>3</v>
      </c>
      <c r="AX63" s="386">
        <f>IF(AND(M63="F",AS63&lt;&gt;0),SUMIF(C2:C201,C63,W2:W201),0)</f>
        <v>57782.400000000001</v>
      </c>
      <c r="AY63" s="386">
        <f t="shared" si="29"/>
        <v>57782.400000000001</v>
      </c>
      <c r="AZ63" s="386" t="str">
        <f t="shared" si="30"/>
        <v/>
      </c>
      <c r="BA63" s="386">
        <f t="shared" si="31"/>
        <v>0</v>
      </c>
      <c r="BB63" s="386">
        <f t="shared" si="44"/>
        <v>12500</v>
      </c>
      <c r="BC63" s="386">
        <f t="shared" si="45"/>
        <v>0</v>
      </c>
      <c r="BD63" s="386">
        <f t="shared" si="46"/>
        <v>3582.5088000000001</v>
      </c>
      <c r="BE63" s="386">
        <f t="shared" si="47"/>
        <v>837.84480000000008</v>
      </c>
      <c r="BF63" s="386">
        <f t="shared" si="48"/>
        <v>6899.2185600000003</v>
      </c>
      <c r="BG63" s="386">
        <f t="shared" si="49"/>
        <v>416.61110400000001</v>
      </c>
      <c r="BH63" s="386">
        <f t="shared" si="50"/>
        <v>0</v>
      </c>
      <c r="BI63" s="386">
        <f t="shared" si="51"/>
        <v>0</v>
      </c>
      <c r="BJ63" s="386">
        <f t="shared" si="52"/>
        <v>104.00832</v>
      </c>
      <c r="BK63" s="386">
        <f t="shared" si="53"/>
        <v>0</v>
      </c>
      <c r="BL63" s="386">
        <f t="shared" si="32"/>
        <v>11840.191584</v>
      </c>
      <c r="BM63" s="386">
        <f t="shared" si="33"/>
        <v>0</v>
      </c>
      <c r="BN63" s="386">
        <f t="shared" si="54"/>
        <v>13750</v>
      </c>
      <c r="BO63" s="386">
        <f t="shared" si="55"/>
        <v>0</v>
      </c>
      <c r="BP63" s="386">
        <f t="shared" si="56"/>
        <v>3582.5088000000001</v>
      </c>
      <c r="BQ63" s="386">
        <f t="shared" si="57"/>
        <v>837.84480000000008</v>
      </c>
      <c r="BR63" s="386">
        <f t="shared" si="58"/>
        <v>6460.0723200000002</v>
      </c>
      <c r="BS63" s="386">
        <f t="shared" si="59"/>
        <v>416.61110400000001</v>
      </c>
      <c r="BT63" s="386">
        <f t="shared" si="60"/>
        <v>0</v>
      </c>
      <c r="BU63" s="386">
        <f t="shared" si="61"/>
        <v>0</v>
      </c>
      <c r="BV63" s="386">
        <f t="shared" si="62"/>
        <v>109.78656000000001</v>
      </c>
      <c r="BW63" s="386">
        <f t="shared" si="63"/>
        <v>0</v>
      </c>
      <c r="BX63" s="386">
        <f t="shared" si="34"/>
        <v>11406.823584000002</v>
      </c>
      <c r="BY63" s="386">
        <f t="shared" si="35"/>
        <v>0</v>
      </c>
      <c r="BZ63" s="386">
        <f t="shared" si="36"/>
        <v>1250</v>
      </c>
      <c r="CA63" s="386">
        <f t="shared" si="37"/>
        <v>0</v>
      </c>
      <c r="CB63" s="386">
        <f t="shared" si="38"/>
        <v>0</v>
      </c>
      <c r="CC63" s="386">
        <f t="shared" si="64"/>
        <v>0</v>
      </c>
      <c r="CD63" s="386">
        <f t="shared" si="65"/>
        <v>-439.14624000000055</v>
      </c>
      <c r="CE63" s="386">
        <f t="shared" si="66"/>
        <v>0</v>
      </c>
      <c r="CF63" s="386">
        <f t="shared" si="67"/>
        <v>0</v>
      </c>
      <c r="CG63" s="386">
        <f t="shared" si="68"/>
        <v>0</v>
      </c>
      <c r="CH63" s="386">
        <f t="shared" si="69"/>
        <v>5.7782400000000029</v>
      </c>
      <c r="CI63" s="386">
        <f t="shared" si="70"/>
        <v>0</v>
      </c>
      <c r="CJ63" s="386">
        <f t="shared" si="39"/>
        <v>-433.36800000000056</v>
      </c>
      <c r="CK63" s="386" t="str">
        <f t="shared" si="40"/>
        <v/>
      </c>
      <c r="CL63" s="386" t="str">
        <f t="shared" si="41"/>
        <v/>
      </c>
      <c r="CM63" s="386" t="str">
        <f t="shared" si="42"/>
        <v/>
      </c>
      <c r="CN63" s="386" t="str">
        <f t="shared" si="43"/>
        <v>0001-00</v>
      </c>
    </row>
    <row r="64" spans="1:92" ht="15.75" thickBot="1" x14ac:dyDescent="0.3">
      <c r="A64" s="376" t="s">
        <v>162</v>
      </c>
      <c r="B64" s="376" t="s">
        <v>163</v>
      </c>
      <c r="C64" s="376" t="s">
        <v>334</v>
      </c>
      <c r="D64" s="376" t="s">
        <v>335</v>
      </c>
      <c r="E64" s="376" t="s">
        <v>166</v>
      </c>
      <c r="F64" s="377" t="s">
        <v>167</v>
      </c>
      <c r="G64" s="376" t="s">
        <v>373</v>
      </c>
      <c r="H64" s="378"/>
      <c r="I64" s="378"/>
      <c r="J64" s="376" t="s">
        <v>220</v>
      </c>
      <c r="K64" s="376" t="s">
        <v>336</v>
      </c>
      <c r="L64" s="376" t="s">
        <v>167</v>
      </c>
      <c r="M64" s="376" t="s">
        <v>172</v>
      </c>
      <c r="N64" s="376" t="s">
        <v>173</v>
      </c>
      <c r="O64" s="379">
        <v>1</v>
      </c>
      <c r="P64" s="384">
        <v>0.05</v>
      </c>
      <c r="Q64" s="384">
        <v>0.05</v>
      </c>
      <c r="R64" s="380">
        <v>80</v>
      </c>
      <c r="S64" s="384">
        <v>0.05</v>
      </c>
      <c r="T64" s="380">
        <v>6736.02</v>
      </c>
      <c r="U64" s="380">
        <v>0</v>
      </c>
      <c r="V64" s="380">
        <v>1961.46</v>
      </c>
      <c r="W64" s="380">
        <v>7005.44</v>
      </c>
      <c r="X64" s="380">
        <v>2060.48</v>
      </c>
      <c r="Y64" s="380">
        <v>7005.44</v>
      </c>
      <c r="Z64" s="380">
        <v>2070.44</v>
      </c>
      <c r="AA64" s="376" t="s">
        <v>337</v>
      </c>
      <c r="AB64" s="376" t="s">
        <v>338</v>
      </c>
      <c r="AC64" s="376" t="s">
        <v>339</v>
      </c>
      <c r="AD64" s="376" t="s">
        <v>340</v>
      </c>
      <c r="AE64" s="376" t="s">
        <v>336</v>
      </c>
      <c r="AF64" s="376" t="s">
        <v>178</v>
      </c>
      <c r="AG64" s="376" t="s">
        <v>179</v>
      </c>
      <c r="AH64" s="381">
        <v>67.36</v>
      </c>
      <c r="AI64" s="381">
        <v>22058.7</v>
      </c>
      <c r="AJ64" s="376" t="s">
        <v>180</v>
      </c>
      <c r="AK64" s="376" t="s">
        <v>181</v>
      </c>
      <c r="AL64" s="376" t="s">
        <v>182</v>
      </c>
      <c r="AM64" s="376" t="s">
        <v>183</v>
      </c>
      <c r="AN64" s="376" t="s">
        <v>66</v>
      </c>
      <c r="AO64" s="379">
        <v>80</v>
      </c>
      <c r="AP64" s="384">
        <v>1</v>
      </c>
      <c r="AQ64" s="384">
        <v>0.05</v>
      </c>
      <c r="AR64" s="382" t="s">
        <v>184</v>
      </c>
      <c r="AS64" s="386">
        <f t="shared" si="27"/>
        <v>0.05</v>
      </c>
      <c r="AT64">
        <f t="shared" si="28"/>
        <v>1</v>
      </c>
      <c r="AU64" s="386">
        <f>IF(AT64=0,"",IF(AND(AT64=1,M64="F",SUMIF(C2:C201,C64,AS2:AS201)&lt;=1),SUMIF(C2:C201,C64,AS2:AS201),IF(AND(AT64=1,M64="F",SUMIF(C2:C201,C64,AS2:AS201)&gt;1),1,"")))</f>
        <v>1</v>
      </c>
      <c r="AV64" s="386" t="str">
        <f>IF(AT64=0,"",IF(AND(AT64=3,M64="F",SUMIF(C2:C201,C64,AS2:AS201)&lt;=1),SUMIF(C2:C201,C64,AS2:AS201),IF(AND(AT64=3,M64="F",SUMIF(C2:C201,C64,AS2:AS201)&gt;1),1,"")))</f>
        <v/>
      </c>
      <c r="AW64" s="386">
        <f>SUMIF(C2:C201,C64,O2:O201)</f>
        <v>4</v>
      </c>
      <c r="AX64" s="386">
        <f>IF(AND(M64="F",AS64&lt;&gt;0),SUMIF(C2:C201,C64,W2:W201),0)</f>
        <v>140108.79999999999</v>
      </c>
      <c r="AY64" s="386">
        <f t="shared" si="29"/>
        <v>7005.44</v>
      </c>
      <c r="AZ64" s="386" t="str">
        <f t="shared" si="30"/>
        <v/>
      </c>
      <c r="BA64" s="386">
        <f t="shared" si="31"/>
        <v>0</v>
      </c>
      <c r="BB64" s="386">
        <f t="shared" si="44"/>
        <v>625</v>
      </c>
      <c r="BC64" s="386">
        <f t="shared" si="45"/>
        <v>0</v>
      </c>
      <c r="BD64" s="386">
        <f t="shared" si="46"/>
        <v>434.33727999999996</v>
      </c>
      <c r="BE64" s="386">
        <f t="shared" si="47"/>
        <v>101.57888</v>
      </c>
      <c r="BF64" s="386">
        <f t="shared" si="48"/>
        <v>836.44953599999997</v>
      </c>
      <c r="BG64" s="386">
        <f t="shared" si="49"/>
        <v>50.509222399999999</v>
      </c>
      <c r="BH64" s="386">
        <f t="shared" si="50"/>
        <v>0</v>
      </c>
      <c r="BI64" s="386">
        <f t="shared" si="51"/>
        <v>0</v>
      </c>
      <c r="BJ64" s="386">
        <f t="shared" si="52"/>
        <v>12.609791999999999</v>
      </c>
      <c r="BK64" s="386">
        <f t="shared" si="53"/>
        <v>0</v>
      </c>
      <c r="BL64" s="386">
        <f t="shared" si="32"/>
        <v>1435.4847103999998</v>
      </c>
      <c r="BM64" s="386">
        <f t="shared" si="33"/>
        <v>0</v>
      </c>
      <c r="BN64" s="386">
        <f t="shared" si="54"/>
        <v>687.5</v>
      </c>
      <c r="BO64" s="386">
        <f t="shared" si="55"/>
        <v>0</v>
      </c>
      <c r="BP64" s="386">
        <f t="shared" si="56"/>
        <v>434.33727999999996</v>
      </c>
      <c r="BQ64" s="386">
        <f t="shared" si="57"/>
        <v>101.57888</v>
      </c>
      <c r="BR64" s="386">
        <f t="shared" si="58"/>
        <v>783.20819199999994</v>
      </c>
      <c r="BS64" s="386">
        <f t="shared" si="59"/>
        <v>50.509222399999999</v>
      </c>
      <c r="BT64" s="386">
        <f t="shared" si="60"/>
        <v>0</v>
      </c>
      <c r="BU64" s="386">
        <f t="shared" si="61"/>
        <v>0</v>
      </c>
      <c r="BV64" s="386">
        <f t="shared" si="62"/>
        <v>13.310336</v>
      </c>
      <c r="BW64" s="386">
        <f t="shared" si="63"/>
        <v>0</v>
      </c>
      <c r="BX64" s="386">
        <f t="shared" si="34"/>
        <v>1382.9439103999998</v>
      </c>
      <c r="BY64" s="386">
        <f t="shared" si="35"/>
        <v>0</v>
      </c>
      <c r="BZ64" s="386">
        <f t="shared" si="36"/>
        <v>62.5</v>
      </c>
      <c r="CA64" s="386">
        <f t="shared" si="37"/>
        <v>0</v>
      </c>
      <c r="CB64" s="386">
        <f t="shared" si="38"/>
        <v>0</v>
      </c>
      <c r="CC64" s="386">
        <f t="shared" si="64"/>
        <v>0</v>
      </c>
      <c r="CD64" s="386">
        <f t="shared" si="65"/>
        <v>-53.241344000000062</v>
      </c>
      <c r="CE64" s="386">
        <f t="shared" si="66"/>
        <v>0</v>
      </c>
      <c r="CF64" s="386">
        <f t="shared" si="67"/>
        <v>0</v>
      </c>
      <c r="CG64" s="386">
        <f t="shared" si="68"/>
        <v>0</v>
      </c>
      <c r="CH64" s="386">
        <f t="shared" si="69"/>
        <v>0.70054400000000028</v>
      </c>
      <c r="CI64" s="386">
        <f t="shared" si="70"/>
        <v>0</v>
      </c>
      <c r="CJ64" s="386">
        <f t="shared" si="39"/>
        <v>-52.540800000000061</v>
      </c>
      <c r="CK64" s="386" t="str">
        <f t="shared" si="40"/>
        <v/>
      </c>
      <c r="CL64" s="386" t="str">
        <f t="shared" si="41"/>
        <v/>
      </c>
      <c r="CM64" s="386" t="str">
        <f t="shared" si="42"/>
        <v/>
      </c>
      <c r="CN64" s="386" t="str">
        <f t="shared" si="43"/>
        <v>0001-00</v>
      </c>
    </row>
    <row r="65" spans="1:92" ht="15.75" thickBot="1" x14ac:dyDescent="0.3">
      <c r="A65" s="376" t="s">
        <v>162</v>
      </c>
      <c r="B65" s="376" t="s">
        <v>163</v>
      </c>
      <c r="C65" s="376" t="s">
        <v>351</v>
      </c>
      <c r="D65" s="376" t="s">
        <v>352</v>
      </c>
      <c r="E65" s="376" t="s">
        <v>166</v>
      </c>
      <c r="F65" s="377" t="s">
        <v>167</v>
      </c>
      <c r="G65" s="376" t="s">
        <v>373</v>
      </c>
      <c r="H65" s="378"/>
      <c r="I65" s="378"/>
      <c r="J65" s="376" t="s">
        <v>220</v>
      </c>
      <c r="K65" s="376" t="s">
        <v>353</v>
      </c>
      <c r="L65" s="376" t="s">
        <v>222</v>
      </c>
      <c r="M65" s="376" t="s">
        <v>172</v>
      </c>
      <c r="N65" s="376" t="s">
        <v>173</v>
      </c>
      <c r="O65" s="379">
        <v>1</v>
      </c>
      <c r="P65" s="384">
        <v>0.05</v>
      </c>
      <c r="Q65" s="384">
        <v>0.05</v>
      </c>
      <c r="R65" s="380">
        <v>80</v>
      </c>
      <c r="S65" s="384">
        <v>0.05</v>
      </c>
      <c r="T65" s="380">
        <v>6070.6</v>
      </c>
      <c r="U65" s="380">
        <v>0</v>
      </c>
      <c r="V65" s="380">
        <v>1908.69</v>
      </c>
      <c r="W65" s="380">
        <v>5246.8</v>
      </c>
      <c r="X65" s="380">
        <v>1700.12</v>
      </c>
      <c r="Y65" s="380">
        <v>5246.8</v>
      </c>
      <c r="Z65" s="380">
        <v>1723.26</v>
      </c>
      <c r="AA65" s="376" t="s">
        <v>354</v>
      </c>
      <c r="AB65" s="376" t="s">
        <v>355</v>
      </c>
      <c r="AC65" s="376" t="s">
        <v>213</v>
      </c>
      <c r="AD65" s="376" t="s">
        <v>231</v>
      </c>
      <c r="AE65" s="376" t="s">
        <v>353</v>
      </c>
      <c r="AF65" s="376" t="s">
        <v>178</v>
      </c>
      <c r="AG65" s="376" t="s">
        <v>179</v>
      </c>
      <c r="AH65" s="381">
        <v>50.45</v>
      </c>
      <c r="AI65" s="381">
        <v>22028.5</v>
      </c>
      <c r="AJ65" s="376" t="s">
        <v>180</v>
      </c>
      <c r="AK65" s="376" t="s">
        <v>181</v>
      </c>
      <c r="AL65" s="376" t="s">
        <v>182</v>
      </c>
      <c r="AM65" s="376" t="s">
        <v>183</v>
      </c>
      <c r="AN65" s="376" t="s">
        <v>66</v>
      </c>
      <c r="AO65" s="379">
        <v>80</v>
      </c>
      <c r="AP65" s="384">
        <v>1</v>
      </c>
      <c r="AQ65" s="384">
        <v>0.05</v>
      </c>
      <c r="AR65" s="382" t="s">
        <v>184</v>
      </c>
      <c r="AS65" s="386">
        <f t="shared" si="27"/>
        <v>0.05</v>
      </c>
      <c r="AT65">
        <f t="shared" si="28"/>
        <v>1</v>
      </c>
      <c r="AU65" s="386">
        <f>IF(AT65=0,"",IF(AND(AT65=1,M65="F",SUMIF(C2:C201,C65,AS2:AS201)&lt;=1),SUMIF(C2:C201,C65,AS2:AS201),IF(AND(AT65=1,M65="F",SUMIF(C2:C201,C65,AS2:AS201)&gt;1),1,"")))</f>
        <v>1</v>
      </c>
      <c r="AV65" s="386" t="str">
        <f>IF(AT65=0,"",IF(AND(AT65=3,M65="F",SUMIF(C2:C201,C65,AS2:AS201)&lt;=1),SUMIF(C2:C201,C65,AS2:AS201),IF(AND(AT65=3,M65="F",SUMIF(C2:C201,C65,AS2:AS201)&gt;1),1,"")))</f>
        <v/>
      </c>
      <c r="AW65" s="386">
        <f>SUMIF(C2:C201,C65,O2:O201)</f>
        <v>5</v>
      </c>
      <c r="AX65" s="386">
        <f>IF(AND(M65="F",AS65&lt;&gt;0),SUMIF(C2:C201,C65,W2:W201),0)</f>
        <v>104936</v>
      </c>
      <c r="AY65" s="386">
        <f t="shared" si="29"/>
        <v>5246.8</v>
      </c>
      <c r="AZ65" s="386" t="str">
        <f t="shared" si="30"/>
        <v/>
      </c>
      <c r="BA65" s="386">
        <f t="shared" si="31"/>
        <v>0</v>
      </c>
      <c r="BB65" s="386">
        <f t="shared" si="44"/>
        <v>625</v>
      </c>
      <c r="BC65" s="386">
        <f t="shared" si="45"/>
        <v>0</v>
      </c>
      <c r="BD65" s="386">
        <f t="shared" si="46"/>
        <v>325.30160000000001</v>
      </c>
      <c r="BE65" s="386">
        <f t="shared" si="47"/>
        <v>76.078600000000009</v>
      </c>
      <c r="BF65" s="386">
        <f t="shared" si="48"/>
        <v>626.46792000000005</v>
      </c>
      <c r="BG65" s="386">
        <f t="shared" si="49"/>
        <v>37.829428</v>
      </c>
      <c r="BH65" s="386">
        <f t="shared" si="50"/>
        <v>0</v>
      </c>
      <c r="BI65" s="386">
        <f t="shared" si="51"/>
        <v>0</v>
      </c>
      <c r="BJ65" s="386">
        <f t="shared" si="52"/>
        <v>9.4442400000000006</v>
      </c>
      <c r="BK65" s="386">
        <f t="shared" si="53"/>
        <v>0</v>
      </c>
      <c r="BL65" s="386">
        <f t="shared" si="32"/>
        <v>1075.1217880000002</v>
      </c>
      <c r="BM65" s="386">
        <f t="shared" si="33"/>
        <v>0</v>
      </c>
      <c r="BN65" s="386">
        <f t="shared" si="54"/>
        <v>687.5</v>
      </c>
      <c r="BO65" s="386">
        <f t="shared" si="55"/>
        <v>0</v>
      </c>
      <c r="BP65" s="386">
        <f t="shared" si="56"/>
        <v>325.30160000000001</v>
      </c>
      <c r="BQ65" s="386">
        <f t="shared" si="57"/>
        <v>76.078600000000009</v>
      </c>
      <c r="BR65" s="386">
        <f t="shared" si="58"/>
        <v>586.59223999999995</v>
      </c>
      <c r="BS65" s="386">
        <f t="shared" si="59"/>
        <v>37.829428</v>
      </c>
      <c r="BT65" s="386">
        <f t="shared" si="60"/>
        <v>0</v>
      </c>
      <c r="BU65" s="386">
        <f t="shared" si="61"/>
        <v>0</v>
      </c>
      <c r="BV65" s="386">
        <f t="shared" si="62"/>
        <v>9.9689200000000007</v>
      </c>
      <c r="BW65" s="386">
        <f t="shared" si="63"/>
        <v>0</v>
      </c>
      <c r="BX65" s="386">
        <f t="shared" si="34"/>
        <v>1035.770788</v>
      </c>
      <c r="BY65" s="386">
        <f t="shared" si="35"/>
        <v>0</v>
      </c>
      <c r="BZ65" s="386">
        <f t="shared" si="36"/>
        <v>62.5</v>
      </c>
      <c r="CA65" s="386">
        <f t="shared" si="37"/>
        <v>0</v>
      </c>
      <c r="CB65" s="386">
        <f t="shared" si="38"/>
        <v>0</v>
      </c>
      <c r="CC65" s="386">
        <f t="shared" si="64"/>
        <v>0</v>
      </c>
      <c r="CD65" s="386">
        <f t="shared" si="65"/>
        <v>-39.875680000000052</v>
      </c>
      <c r="CE65" s="386">
        <f t="shared" si="66"/>
        <v>0</v>
      </c>
      <c r="CF65" s="386">
        <f t="shared" si="67"/>
        <v>0</v>
      </c>
      <c r="CG65" s="386">
        <f t="shared" si="68"/>
        <v>0</v>
      </c>
      <c r="CH65" s="386">
        <f t="shared" si="69"/>
        <v>0.52468000000000026</v>
      </c>
      <c r="CI65" s="386">
        <f t="shared" si="70"/>
        <v>0</v>
      </c>
      <c r="CJ65" s="386">
        <f t="shared" si="39"/>
        <v>-39.351000000000049</v>
      </c>
      <c r="CK65" s="386" t="str">
        <f t="shared" si="40"/>
        <v/>
      </c>
      <c r="CL65" s="386" t="str">
        <f t="shared" si="41"/>
        <v/>
      </c>
      <c r="CM65" s="386" t="str">
        <f t="shared" si="42"/>
        <v/>
      </c>
      <c r="CN65" s="386" t="str">
        <f t="shared" si="43"/>
        <v>0001-00</v>
      </c>
    </row>
    <row r="66" spans="1:92" ht="15.75" thickBot="1" x14ac:dyDescent="0.3">
      <c r="A66" s="376" t="s">
        <v>162</v>
      </c>
      <c r="B66" s="376" t="s">
        <v>163</v>
      </c>
      <c r="C66" s="376" t="s">
        <v>347</v>
      </c>
      <c r="D66" s="376" t="s">
        <v>165</v>
      </c>
      <c r="E66" s="376" t="s">
        <v>166</v>
      </c>
      <c r="F66" s="377" t="s">
        <v>167</v>
      </c>
      <c r="G66" s="376" t="s">
        <v>373</v>
      </c>
      <c r="H66" s="378"/>
      <c r="I66" s="378"/>
      <c r="J66" s="376" t="s">
        <v>169</v>
      </c>
      <c r="K66" s="376" t="s">
        <v>193</v>
      </c>
      <c r="L66" s="376" t="s">
        <v>194</v>
      </c>
      <c r="M66" s="376" t="s">
        <v>172</v>
      </c>
      <c r="N66" s="376" t="s">
        <v>173</v>
      </c>
      <c r="O66" s="379">
        <v>1</v>
      </c>
      <c r="P66" s="384">
        <v>0</v>
      </c>
      <c r="Q66" s="384">
        <v>0</v>
      </c>
      <c r="R66" s="380">
        <v>80</v>
      </c>
      <c r="S66" s="384">
        <v>0</v>
      </c>
      <c r="T66" s="380">
        <v>906.88</v>
      </c>
      <c r="U66" s="380">
        <v>0</v>
      </c>
      <c r="V66" s="380">
        <v>411.25</v>
      </c>
      <c r="W66" s="380">
        <v>0</v>
      </c>
      <c r="X66" s="380">
        <v>0</v>
      </c>
      <c r="Y66" s="380">
        <v>0</v>
      </c>
      <c r="Z66" s="380">
        <v>0</v>
      </c>
      <c r="AA66" s="376" t="s">
        <v>348</v>
      </c>
      <c r="AB66" s="376" t="s">
        <v>349</v>
      </c>
      <c r="AC66" s="376" t="s">
        <v>350</v>
      </c>
      <c r="AD66" s="376" t="s">
        <v>171</v>
      </c>
      <c r="AE66" s="376" t="s">
        <v>193</v>
      </c>
      <c r="AF66" s="376" t="s">
        <v>178</v>
      </c>
      <c r="AG66" s="376" t="s">
        <v>179</v>
      </c>
      <c r="AH66" s="381">
        <v>27.28</v>
      </c>
      <c r="AI66" s="381">
        <v>1196.2</v>
      </c>
      <c r="AJ66" s="376" t="s">
        <v>180</v>
      </c>
      <c r="AK66" s="376" t="s">
        <v>181</v>
      </c>
      <c r="AL66" s="376" t="s">
        <v>182</v>
      </c>
      <c r="AM66" s="376" t="s">
        <v>183</v>
      </c>
      <c r="AN66" s="376" t="s">
        <v>66</v>
      </c>
      <c r="AO66" s="379">
        <v>80</v>
      </c>
      <c r="AP66" s="384">
        <v>1</v>
      </c>
      <c r="AQ66" s="384">
        <v>0</v>
      </c>
      <c r="AR66" s="382" t="s">
        <v>184</v>
      </c>
      <c r="AS66" s="386">
        <f t="shared" si="27"/>
        <v>0</v>
      </c>
      <c r="AT66">
        <f t="shared" si="28"/>
        <v>0</v>
      </c>
      <c r="AU66" s="386" t="str">
        <f>IF(AT66=0,"",IF(AND(AT66=1,M66="F",SUMIF(C2:C201,C66,AS2:AS201)&lt;=1),SUMIF(C2:C201,C66,AS2:AS201),IF(AND(AT66=1,M66="F",SUMIF(C2:C201,C66,AS2:AS201)&gt;1),1,"")))</f>
        <v/>
      </c>
      <c r="AV66" s="386" t="str">
        <f>IF(AT66=0,"",IF(AND(AT66=3,M66="F",SUMIF(C2:C201,C66,AS2:AS201)&lt;=1),SUMIF(C2:C201,C66,AS2:AS201),IF(AND(AT66=3,M66="F",SUMIF(C2:C201,C66,AS2:AS201)&gt;1),1,"")))</f>
        <v/>
      </c>
      <c r="AW66" s="386">
        <f>SUMIF(C2:C201,C66,O2:O201)</f>
        <v>4</v>
      </c>
      <c r="AX66" s="386">
        <f>IF(AND(M66="F",AS66&lt;&gt;0),SUMIF(C2:C201,C66,W2:W201),0)</f>
        <v>0</v>
      </c>
      <c r="AY66" s="386" t="str">
        <f t="shared" si="29"/>
        <v/>
      </c>
      <c r="AZ66" s="386" t="str">
        <f t="shared" si="30"/>
        <v/>
      </c>
      <c r="BA66" s="386">
        <f t="shared" si="31"/>
        <v>0</v>
      </c>
      <c r="BB66" s="386">
        <f t="shared" ref="BB66:BB97" si="71">IF(AND(AT66=1,AK66="E",AU66&gt;=0.75,AW66=1),Health,IF(AND(AT66=1,AK66="E",AU66&gt;=0.75),Health*P66,IF(AND(AT66=1,AK66="E",AU66&gt;=0.5,AW66=1),PTHealth,IF(AND(AT66=1,AK66="E",AU66&gt;=0.5),PTHealth*P66,0))))</f>
        <v>0</v>
      </c>
      <c r="BC66" s="386">
        <f t="shared" ref="BC66:BC97" si="72">IF(AND(AT66=3,AK66="E",AV66&gt;=0.75,AW66=1),Health,IF(AND(AT66=3,AK66="E",AV66&gt;=0.75),Health*P66,IF(AND(AT66=3,AK66="E",AV66&gt;=0.5,AW66=1),PTHealth,IF(AND(AT66=3,AK66="E",AV66&gt;=0.5),PTHealth*P66,0))))</f>
        <v>0</v>
      </c>
      <c r="BD66" s="386">
        <f t="shared" ref="BD66:BD97" si="73">IF(AND(AT66&lt;&gt;0,AX66&gt;=MAXSSDI),SSDI*MAXSSDI*P66,IF(AT66&lt;&gt;0,SSDI*W66,0))</f>
        <v>0</v>
      </c>
      <c r="BE66" s="386">
        <f t="shared" ref="BE66:BE97" si="74">IF(AT66&lt;&gt;0,SSHI*W66,0)</f>
        <v>0</v>
      </c>
      <c r="BF66" s="386">
        <f t="shared" ref="BF66:BF97" si="75">IF(AND(AT66&lt;&gt;0,AN66&lt;&gt;"NE"),VLOOKUP(AN66,Retirement_Rates,3,FALSE)*W66,0)</f>
        <v>0</v>
      </c>
      <c r="BG66" s="386">
        <f t="shared" ref="BG66:BG97" si="76">IF(AND(AT66&lt;&gt;0,AJ66&lt;&gt;"PF"),Life*W66,0)</f>
        <v>0</v>
      </c>
      <c r="BH66" s="386">
        <f t="shared" ref="BH66:BH97" si="77">IF(AND(AT66&lt;&gt;0,AM66="Y"),UI*W66,0)</f>
        <v>0</v>
      </c>
      <c r="BI66" s="386">
        <f t="shared" ref="BI66:BI97" si="78">IF(AND(AT66&lt;&gt;0,N66&lt;&gt;"NR"),DHR*W66,0)</f>
        <v>0</v>
      </c>
      <c r="BJ66" s="386">
        <f t="shared" ref="BJ66:BJ97" si="79">IF(AT66&lt;&gt;0,WC*W66,0)</f>
        <v>0</v>
      </c>
      <c r="BK66" s="386">
        <f t="shared" ref="BK66:BK97" si="80">IF(OR(AND(AT66&lt;&gt;0,AJ66&lt;&gt;"PF",AN66&lt;&gt;"NE",AG66&lt;&gt;"A"),AND(AL66="E",OR(AT66=1,AT66=3))),Sick*W66,0)</f>
        <v>0</v>
      </c>
      <c r="BL66" s="386">
        <f t="shared" si="32"/>
        <v>0</v>
      </c>
      <c r="BM66" s="386">
        <f t="shared" si="33"/>
        <v>0</v>
      </c>
      <c r="BN66" s="386">
        <f t="shared" ref="BN66:BN97" si="81">IF(AND(AT66=1,AK66="E",AU66&gt;=0.75,AW66=1),HealthBY,IF(AND(AT66=1,AK66="E",AU66&gt;=0.75),HealthBY*P66,IF(AND(AT66=1,AK66="E",AU66&gt;=0.5,AW66=1),PTHealthBY,IF(AND(AT66=1,AK66="E",AU66&gt;=0.5),PTHealthBY*P66,0))))</f>
        <v>0</v>
      </c>
      <c r="BO66" s="386">
        <f t="shared" ref="BO66:BO97" si="82">IF(AND(AT66=3,AK66="E",AV66&gt;=0.75,AW66=1),HealthBY,IF(AND(AT66=3,AK66="E",AV66&gt;=0.75),HealthBY*P66,IF(AND(AT66=3,AK66="E",AV66&gt;=0.5,AW66=1),PTHealthBY,IF(AND(AT66=3,AK66="E",AV66&gt;=0.5),PTHealthBY*P66,0))))</f>
        <v>0</v>
      </c>
      <c r="BP66" s="386">
        <f t="shared" ref="BP66:BP97" si="83">IF(AND(AT66&lt;&gt;0,(AX66+BA66)&gt;=MAXSSDIBY),SSDIBY*MAXSSDIBY*P66,IF(AT66&lt;&gt;0,SSDIBY*W66,0))</f>
        <v>0</v>
      </c>
      <c r="BQ66" s="386">
        <f t="shared" ref="BQ66:BQ97" si="84">IF(AT66&lt;&gt;0,SSHIBY*W66,0)</f>
        <v>0</v>
      </c>
      <c r="BR66" s="386">
        <f t="shared" ref="BR66:BR97" si="85">IF(AND(AT66&lt;&gt;0,AN66&lt;&gt;"NE"),VLOOKUP(AN66,Retirement_Rates,4,FALSE)*W66,0)</f>
        <v>0</v>
      </c>
      <c r="BS66" s="386">
        <f t="shared" ref="BS66:BS97" si="86">IF(AND(AT66&lt;&gt;0,AJ66&lt;&gt;"PF"),LifeBY*W66,0)</f>
        <v>0</v>
      </c>
      <c r="BT66" s="386">
        <f t="shared" ref="BT66:BT97" si="87">IF(AND(AT66&lt;&gt;0,AM66="Y"),UIBY*W66,0)</f>
        <v>0</v>
      </c>
      <c r="BU66" s="386">
        <f t="shared" ref="BU66:BU97" si="88">IF(AND(AT66&lt;&gt;0,N66&lt;&gt;"NR"),DHRBY*W66,0)</f>
        <v>0</v>
      </c>
      <c r="BV66" s="386">
        <f t="shared" ref="BV66:BV97" si="89">IF(AT66&lt;&gt;0,WCBY*W66,0)</f>
        <v>0</v>
      </c>
      <c r="BW66" s="386">
        <f t="shared" ref="BW66:BW97" si="90">IF(OR(AND(AT66&lt;&gt;0,AJ66&lt;&gt;"PF",AN66&lt;&gt;"NE",AG66&lt;&gt;"A"),AND(AL66="E",OR(AT66=1,AT66=3))),SickBY*W66,0)</f>
        <v>0</v>
      </c>
      <c r="BX66" s="386">
        <f t="shared" si="34"/>
        <v>0</v>
      </c>
      <c r="BY66" s="386">
        <f t="shared" si="35"/>
        <v>0</v>
      </c>
      <c r="BZ66" s="386">
        <f t="shared" si="36"/>
        <v>0</v>
      </c>
      <c r="CA66" s="386">
        <f t="shared" si="37"/>
        <v>0</v>
      </c>
      <c r="CB66" s="386">
        <f t="shared" si="38"/>
        <v>0</v>
      </c>
      <c r="CC66" s="386">
        <f t="shared" ref="CC66:CC97" si="91">IF(AT66&lt;&gt;0,SSHICHG*Y66,0)</f>
        <v>0</v>
      </c>
      <c r="CD66" s="386">
        <f t="shared" ref="CD66:CD97" si="92">IF(AND(AT66&lt;&gt;0,AN66&lt;&gt;"NE"),VLOOKUP(AN66,Retirement_Rates,5,FALSE)*Y66,0)</f>
        <v>0</v>
      </c>
      <c r="CE66" s="386">
        <f t="shared" ref="CE66:CE97" si="93">IF(AND(AT66&lt;&gt;0,AJ66&lt;&gt;"PF"),LifeCHG*Y66,0)</f>
        <v>0</v>
      </c>
      <c r="CF66" s="386">
        <f t="shared" ref="CF66:CF97" si="94">IF(AND(AT66&lt;&gt;0,AM66="Y"),UICHG*Y66,0)</f>
        <v>0</v>
      </c>
      <c r="CG66" s="386">
        <f t="shared" ref="CG66:CG97" si="95">IF(AND(AT66&lt;&gt;0,N66&lt;&gt;"NR"),DHRCHG*Y66,0)</f>
        <v>0</v>
      </c>
      <c r="CH66" s="386">
        <f t="shared" ref="CH66:CH97" si="96">IF(AT66&lt;&gt;0,WCCHG*Y66,0)</f>
        <v>0</v>
      </c>
      <c r="CI66" s="386">
        <f t="shared" ref="CI66:CI97" si="97">IF(OR(AND(AT66&lt;&gt;0,AJ66&lt;&gt;"PF",AN66&lt;&gt;"NE",AG66&lt;&gt;"A"),AND(AL66="E",OR(AT66=1,AT66=3))),SickCHG*Y66,0)</f>
        <v>0</v>
      </c>
      <c r="CJ66" s="386">
        <f t="shared" si="39"/>
        <v>0</v>
      </c>
      <c r="CK66" s="386" t="str">
        <f t="shared" si="40"/>
        <v/>
      </c>
      <c r="CL66" s="386" t="str">
        <f t="shared" si="41"/>
        <v/>
      </c>
      <c r="CM66" s="386" t="str">
        <f t="shared" si="42"/>
        <v/>
      </c>
      <c r="CN66" s="386" t="str">
        <f t="shared" si="43"/>
        <v>0001-00</v>
      </c>
    </row>
    <row r="67" spans="1:92" ht="15.75" thickBot="1" x14ac:dyDescent="0.3">
      <c r="A67" s="376" t="s">
        <v>162</v>
      </c>
      <c r="B67" s="376" t="s">
        <v>163</v>
      </c>
      <c r="C67" s="376" t="s">
        <v>356</v>
      </c>
      <c r="D67" s="376" t="s">
        <v>165</v>
      </c>
      <c r="E67" s="376" t="s">
        <v>166</v>
      </c>
      <c r="F67" s="377" t="s">
        <v>167</v>
      </c>
      <c r="G67" s="376" t="s">
        <v>373</v>
      </c>
      <c r="H67" s="378"/>
      <c r="I67" s="378"/>
      <c r="J67" s="376" t="s">
        <v>169</v>
      </c>
      <c r="K67" s="376" t="s">
        <v>206</v>
      </c>
      <c r="L67" s="376" t="s">
        <v>198</v>
      </c>
      <c r="M67" s="376" t="s">
        <v>172</v>
      </c>
      <c r="N67" s="376" t="s">
        <v>173</v>
      </c>
      <c r="O67" s="379">
        <v>1</v>
      </c>
      <c r="P67" s="384">
        <v>1</v>
      </c>
      <c r="Q67" s="384">
        <v>1</v>
      </c>
      <c r="R67" s="380">
        <v>80</v>
      </c>
      <c r="S67" s="384">
        <v>1</v>
      </c>
      <c r="T67" s="380">
        <v>67084.009999999995</v>
      </c>
      <c r="U67" s="380">
        <v>0</v>
      </c>
      <c r="V67" s="380">
        <v>24844.11</v>
      </c>
      <c r="W67" s="380">
        <v>71156.800000000003</v>
      </c>
      <c r="X67" s="380">
        <v>27080.73</v>
      </c>
      <c r="Y67" s="380">
        <v>71156.800000000003</v>
      </c>
      <c r="Z67" s="380">
        <v>27797.05</v>
      </c>
      <c r="AA67" s="376" t="s">
        <v>357</v>
      </c>
      <c r="AB67" s="376" t="s">
        <v>358</v>
      </c>
      <c r="AC67" s="376" t="s">
        <v>359</v>
      </c>
      <c r="AD67" s="376" t="s">
        <v>198</v>
      </c>
      <c r="AE67" s="376" t="s">
        <v>206</v>
      </c>
      <c r="AF67" s="376" t="s">
        <v>178</v>
      </c>
      <c r="AG67" s="376" t="s">
        <v>179</v>
      </c>
      <c r="AH67" s="381">
        <v>34.21</v>
      </c>
      <c r="AI67" s="379">
        <v>20870</v>
      </c>
      <c r="AJ67" s="376" t="s">
        <v>180</v>
      </c>
      <c r="AK67" s="376" t="s">
        <v>181</v>
      </c>
      <c r="AL67" s="376" t="s">
        <v>182</v>
      </c>
      <c r="AM67" s="376" t="s">
        <v>183</v>
      </c>
      <c r="AN67" s="376" t="s">
        <v>66</v>
      </c>
      <c r="AO67" s="379">
        <v>80</v>
      </c>
      <c r="AP67" s="384">
        <v>1</v>
      </c>
      <c r="AQ67" s="384">
        <v>1</v>
      </c>
      <c r="AR67" s="382" t="s">
        <v>184</v>
      </c>
      <c r="AS67" s="386">
        <f t="shared" ref="AS67:AS130" si="98">IF(((AO67/80)*AP67*P67)&gt;1,AQ67,((AO67/80)*AP67*P67))</f>
        <v>1</v>
      </c>
      <c r="AT67">
        <f t="shared" ref="AT67:AT130" si="99">IF(AND(M67="F",N67&lt;&gt;"NG",AS67&lt;&gt;0,AND(AR67&lt;&gt;6,AR67&lt;&gt;36,AR67&lt;&gt;56),AG67&lt;&gt;"A",OR(AG67="H",AJ67="FS")),1,IF(AND(M67="F",N67&lt;&gt;"NG",AS67&lt;&gt;0,AG67="A"),3,0))</f>
        <v>1</v>
      </c>
      <c r="AU67" s="386">
        <f>IF(AT67=0,"",IF(AND(AT67=1,M67="F",SUMIF(C2:C201,C67,AS2:AS201)&lt;=1),SUMIF(C2:C201,C67,AS2:AS201),IF(AND(AT67=1,M67="F",SUMIF(C2:C201,C67,AS2:AS201)&gt;1),1,"")))</f>
        <v>1</v>
      </c>
      <c r="AV67" s="386" t="str">
        <f>IF(AT67=0,"",IF(AND(AT67=3,M67="F",SUMIF(C2:C201,C67,AS2:AS201)&lt;=1),SUMIF(C2:C201,C67,AS2:AS201),IF(AND(AT67=3,M67="F",SUMIF(C2:C201,C67,AS2:AS201)&gt;1),1,"")))</f>
        <v/>
      </c>
      <c r="AW67" s="386">
        <f>SUMIF(C2:C201,C67,O2:O201)</f>
        <v>3</v>
      </c>
      <c r="AX67" s="386">
        <f>IF(AND(M67="F",AS67&lt;&gt;0),SUMIF(C2:C201,C67,W2:W201),0)</f>
        <v>71156.800000000003</v>
      </c>
      <c r="AY67" s="386">
        <f t="shared" ref="AY67:AY130" si="100">IF(AT67=1,W67,"")</f>
        <v>71156.800000000003</v>
      </c>
      <c r="AZ67" s="386" t="str">
        <f t="shared" ref="AZ67:AZ130" si="101">IF(AT67=3,W67,"")</f>
        <v/>
      </c>
      <c r="BA67" s="386">
        <f t="shared" ref="BA67:BA130" si="102">IF(AT67=1,Y67-W67,0)</f>
        <v>0</v>
      </c>
      <c r="BB67" s="386">
        <f t="shared" si="71"/>
        <v>12500</v>
      </c>
      <c r="BC67" s="386">
        <f t="shared" si="72"/>
        <v>0</v>
      </c>
      <c r="BD67" s="386">
        <f t="shared" si="73"/>
        <v>4411.7215999999999</v>
      </c>
      <c r="BE67" s="386">
        <f t="shared" si="74"/>
        <v>1031.7736</v>
      </c>
      <c r="BF67" s="386">
        <f t="shared" si="75"/>
        <v>8496.1219200000014</v>
      </c>
      <c r="BG67" s="386">
        <f t="shared" si="76"/>
        <v>513.04052799999999</v>
      </c>
      <c r="BH67" s="386">
        <f t="shared" si="77"/>
        <v>0</v>
      </c>
      <c r="BI67" s="386">
        <f t="shared" si="78"/>
        <v>0</v>
      </c>
      <c r="BJ67" s="386">
        <f t="shared" si="79"/>
        <v>128.08224000000001</v>
      </c>
      <c r="BK67" s="386">
        <f t="shared" si="80"/>
        <v>0</v>
      </c>
      <c r="BL67" s="386">
        <f t="shared" ref="BL67:BL130" si="103">IF(AT67=1,SUM(BD67:BK67),0)</f>
        <v>14580.739888</v>
      </c>
      <c r="BM67" s="386">
        <f t="shared" ref="BM67:BM130" si="104">IF(AT67=3,SUM(BD67:BK67),0)</f>
        <v>0</v>
      </c>
      <c r="BN67" s="386">
        <f t="shared" si="81"/>
        <v>13750</v>
      </c>
      <c r="BO67" s="386">
        <f t="shared" si="82"/>
        <v>0</v>
      </c>
      <c r="BP67" s="386">
        <f t="shared" si="83"/>
        <v>4411.7215999999999</v>
      </c>
      <c r="BQ67" s="386">
        <f t="shared" si="84"/>
        <v>1031.7736</v>
      </c>
      <c r="BR67" s="386">
        <f t="shared" si="85"/>
        <v>7955.3302400000002</v>
      </c>
      <c r="BS67" s="386">
        <f t="shared" si="86"/>
        <v>513.04052799999999</v>
      </c>
      <c r="BT67" s="386">
        <f t="shared" si="87"/>
        <v>0</v>
      </c>
      <c r="BU67" s="386">
        <f t="shared" si="88"/>
        <v>0</v>
      </c>
      <c r="BV67" s="386">
        <f t="shared" si="89"/>
        <v>135.19792000000001</v>
      </c>
      <c r="BW67" s="386">
        <f t="shared" si="90"/>
        <v>0</v>
      </c>
      <c r="BX67" s="386">
        <f t="shared" ref="BX67:BX130" si="105">IF(AT67=1,SUM(BP67:BW67),0)</f>
        <v>14047.063888000001</v>
      </c>
      <c r="BY67" s="386">
        <f t="shared" ref="BY67:BY130" si="106">IF(AT67=3,SUM(BP67:BW67),0)</f>
        <v>0</v>
      </c>
      <c r="BZ67" s="386">
        <f t="shared" ref="BZ67:BZ130" si="107">IF(AT67=1,BN67-BB67,0)</f>
        <v>1250</v>
      </c>
      <c r="CA67" s="386">
        <f t="shared" ref="CA67:CA130" si="108">IF(AT67=3,BO67-BC67,0)</f>
        <v>0</v>
      </c>
      <c r="CB67" s="386">
        <f t="shared" ref="CB67:CB130" si="109">BP67-BD67</f>
        <v>0</v>
      </c>
      <c r="CC67" s="386">
        <f t="shared" si="91"/>
        <v>0</v>
      </c>
      <c r="CD67" s="386">
        <f t="shared" si="92"/>
        <v>-540.79168000000072</v>
      </c>
      <c r="CE67" s="386">
        <f t="shared" si="93"/>
        <v>0</v>
      </c>
      <c r="CF67" s="386">
        <f t="shared" si="94"/>
        <v>0</v>
      </c>
      <c r="CG67" s="386">
        <f t="shared" si="95"/>
        <v>0</v>
      </c>
      <c r="CH67" s="386">
        <f t="shared" si="96"/>
        <v>7.1156800000000038</v>
      </c>
      <c r="CI67" s="386">
        <f t="shared" si="97"/>
        <v>0</v>
      </c>
      <c r="CJ67" s="386">
        <f t="shared" ref="CJ67:CJ130" si="110">IF(AT67=1,SUM(CB67:CI67),0)</f>
        <v>-533.67600000000073</v>
      </c>
      <c r="CK67" s="386" t="str">
        <f t="shared" ref="CK67:CK130" si="111">IF(AT67=3,SUM(CB67:CI67),"")</f>
        <v/>
      </c>
      <c r="CL67" s="386" t="str">
        <f t="shared" ref="CL67:CL130" si="112">IF(OR(N67="NG",AG67="D"),(T67+U67),"")</f>
        <v/>
      </c>
      <c r="CM67" s="386" t="str">
        <f t="shared" ref="CM67:CM130" si="113">IF(OR(N67="NG",AG67="D"),V67,"")</f>
        <v/>
      </c>
      <c r="CN67" s="386" t="str">
        <f t="shared" ref="CN67:CN130" si="114">E67 &amp; "-" &amp; F67</f>
        <v>0001-00</v>
      </c>
    </row>
    <row r="68" spans="1:92" ht="15.75" thickBot="1" x14ac:dyDescent="0.3">
      <c r="A68" s="376" t="s">
        <v>162</v>
      </c>
      <c r="B68" s="376" t="s">
        <v>163</v>
      </c>
      <c r="C68" s="376" t="s">
        <v>192</v>
      </c>
      <c r="D68" s="376" t="s">
        <v>165</v>
      </c>
      <c r="E68" s="376" t="s">
        <v>375</v>
      </c>
      <c r="F68" s="377" t="s">
        <v>167</v>
      </c>
      <c r="G68" s="376" t="s">
        <v>376</v>
      </c>
      <c r="H68" s="378"/>
      <c r="I68" s="378"/>
      <c r="J68" s="376" t="s">
        <v>169</v>
      </c>
      <c r="K68" s="376" t="s">
        <v>193</v>
      </c>
      <c r="L68" s="376" t="s">
        <v>194</v>
      </c>
      <c r="M68" s="376" t="s">
        <v>172</v>
      </c>
      <c r="N68" s="376" t="s">
        <v>173</v>
      </c>
      <c r="O68" s="379">
        <v>1</v>
      </c>
      <c r="P68" s="384">
        <v>0</v>
      </c>
      <c r="Q68" s="384">
        <v>0</v>
      </c>
      <c r="R68" s="380">
        <v>80</v>
      </c>
      <c r="S68" s="384">
        <v>0</v>
      </c>
      <c r="T68" s="380">
        <v>14249.01</v>
      </c>
      <c r="U68" s="380">
        <v>0</v>
      </c>
      <c r="V68" s="380">
        <v>4729.83</v>
      </c>
      <c r="W68" s="380">
        <v>0</v>
      </c>
      <c r="X68" s="380">
        <v>0</v>
      </c>
      <c r="Y68" s="380">
        <v>0</v>
      </c>
      <c r="Z68" s="380">
        <v>0</v>
      </c>
      <c r="AA68" s="376" t="s">
        <v>195</v>
      </c>
      <c r="AB68" s="376" t="s">
        <v>196</v>
      </c>
      <c r="AC68" s="376" t="s">
        <v>197</v>
      </c>
      <c r="AD68" s="376" t="s">
        <v>198</v>
      </c>
      <c r="AE68" s="376" t="s">
        <v>193</v>
      </c>
      <c r="AF68" s="376" t="s">
        <v>178</v>
      </c>
      <c r="AG68" s="376" t="s">
        <v>179</v>
      </c>
      <c r="AH68" s="381">
        <v>35.24</v>
      </c>
      <c r="AI68" s="379">
        <v>7236</v>
      </c>
      <c r="AJ68" s="376" t="s">
        <v>180</v>
      </c>
      <c r="AK68" s="376" t="s">
        <v>181</v>
      </c>
      <c r="AL68" s="376" t="s">
        <v>182</v>
      </c>
      <c r="AM68" s="376" t="s">
        <v>183</v>
      </c>
      <c r="AN68" s="376" t="s">
        <v>66</v>
      </c>
      <c r="AO68" s="379">
        <v>80</v>
      </c>
      <c r="AP68" s="384">
        <v>1</v>
      </c>
      <c r="AQ68" s="384">
        <v>0</v>
      </c>
      <c r="AR68" s="382" t="s">
        <v>184</v>
      </c>
      <c r="AS68" s="386">
        <f t="shared" si="98"/>
        <v>0</v>
      </c>
      <c r="AT68">
        <f t="shared" si="99"/>
        <v>0</v>
      </c>
      <c r="AU68" s="386" t="str">
        <f>IF(AT68=0,"",IF(AND(AT68=1,M68="F",SUMIF(C2:C201,C68,AS2:AS201)&lt;=1),SUMIF(C2:C201,C68,AS2:AS201),IF(AND(AT68=1,M68="F",SUMIF(C2:C201,C68,AS2:AS201)&gt;1),1,"")))</f>
        <v/>
      </c>
      <c r="AV68" s="386" t="str">
        <f>IF(AT68=0,"",IF(AND(AT68=3,M68="F",SUMIF(C2:C201,C68,AS2:AS201)&lt;=1),SUMIF(C2:C201,C68,AS2:AS201),IF(AND(AT68=3,M68="F",SUMIF(C2:C201,C68,AS2:AS201)&gt;1),1,"")))</f>
        <v/>
      </c>
      <c r="AW68" s="386">
        <f>SUMIF(C2:C201,C68,O2:O201)</f>
        <v>3</v>
      </c>
      <c r="AX68" s="386">
        <f>IF(AND(M68="F",AS68&lt;&gt;0),SUMIF(C2:C201,C68,W2:W201),0)</f>
        <v>0</v>
      </c>
      <c r="AY68" s="386" t="str">
        <f t="shared" si="100"/>
        <v/>
      </c>
      <c r="AZ68" s="386" t="str">
        <f t="shared" si="101"/>
        <v/>
      </c>
      <c r="BA68" s="386">
        <f t="shared" si="102"/>
        <v>0</v>
      </c>
      <c r="BB68" s="386">
        <f t="shared" si="71"/>
        <v>0</v>
      </c>
      <c r="BC68" s="386">
        <f t="shared" si="72"/>
        <v>0</v>
      </c>
      <c r="BD68" s="386">
        <f t="shared" si="73"/>
        <v>0</v>
      </c>
      <c r="BE68" s="386">
        <f t="shared" si="74"/>
        <v>0</v>
      </c>
      <c r="BF68" s="386">
        <f t="shared" si="75"/>
        <v>0</v>
      </c>
      <c r="BG68" s="386">
        <f t="shared" si="76"/>
        <v>0</v>
      </c>
      <c r="BH68" s="386">
        <f t="shared" si="77"/>
        <v>0</v>
      </c>
      <c r="BI68" s="386">
        <f t="shared" si="78"/>
        <v>0</v>
      </c>
      <c r="BJ68" s="386">
        <f t="shared" si="79"/>
        <v>0</v>
      </c>
      <c r="BK68" s="386">
        <f t="shared" si="80"/>
        <v>0</v>
      </c>
      <c r="BL68" s="386">
        <f t="shared" si="103"/>
        <v>0</v>
      </c>
      <c r="BM68" s="386">
        <f t="shared" si="104"/>
        <v>0</v>
      </c>
      <c r="BN68" s="386">
        <f t="shared" si="81"/>
        <v>0</v>
      </c>
      <c r="BO68" s="386">
        <f t="shared" si="82"/>
        <v>0</v>
      </c>
      <c r="BP68" s="386">
        <f t="shared" si="83"/>
        <v>0</v>
      </c>
      <c r="BQ68" s="386">
        <f t="shared" si="84"/>
        <v>0</v>
      </c>
      <c r="BR68" s="386">
        <f t="shared" si="85"/>
        <v>0</v>
      </c>
      <c r="BS68" s="386">
        <f t="shared" si="86"/>
        <v>0</v>
      </c>
      <c r="BT68" s="386">
        <f t="shared" si="87"/>
        <v>0</v>
      </c>
      <c r="BU68" s="386">
        <f t="shared" si="88"/>
        <v>0</v>
      </c>
      <c r="BV68" s="386">
        <f t="shared" si="89"/>
        <v>0</v>
      </c>
      <c r="BW68" s="386">
        <f t="shared" si="90"/>
        <v>0</v>
      </c>
      <c r="BX68" s="386">
        <f t="shared" si="105"/>
        <v>0</v>
      </c>
      <c r="BY68" s="386">
        <f t="shared" si="106"/>
        <v>0</v>
      </c>
      <c r="BZ68" s="386">
        <f t="shared" si="107"/>
        <v>0</v>
      </c>
      <c r="CA68" s="386">
        <f t="shared" si="108"/>
        <v>0</v>
      </c>
      <c r="CB68" s="386">
        <f t="shared" si="109"/>
        <v>0</v>
      </c>
      <c r="CC68" s="386">
        <f t="shared" si="91"/>
        <v>0</v>
      </c>
      <c r="CD68" s="386">
        <f t="shared" si="92"/>
        <v>0</v>
      </c>
      <c r="CE68" s="386">
        <f t="shared" si="93"/>
        <v>0</v>
      </c>
      <c r="CF68" s="386">
        <f t="shared" si="94"/>
        <v>0</v>
      </c>
      <c r="CG68" s="386">
        <f t="shared" si="95"/>
        <v>0</v>
      </c>
      <c r="CH68" s="386">
        <f t="shared" si="96"/>
        <v>0</v>
      </c>
      <c r="CI68" s="386">
        <f t="shared" si="97"/>
        <v>0</v>
      </c>
      <c r="CJ68" s="386">
        <f t="shared" si="110"/>
        <v>0</v>
      </c>
      <c r="CK68" s="386" t="str">
        <f t="shared" si="111"/>
        <v/>
      </c>
      <c r="CL68" s="386" t="str">
        <f t="shared" si="112"/>
        <v/>
      </c>
      <c r="CM68" s="386" t="str">
        <f t="shared" si="113"/>
        <v/>
      </c>
      <c r="CN68" s="386" t="str">
        <f t="shared" si="114"/>
        <v>0126-00</v>
      </c>
    </row>
    <row r="69" spans="1:92" ht="15.75" thickBot="1" x14ac:dyDescent="0.3">
      <c r="A69" s="376" t="s">
        <v>162</v>
      </c>
      <c r="B69" s="376" t="s">
        <v>163</v>
      </c>
      <c r="C69" s="376" t="s">
        <v>199</v>
      </c>
      <c r="D69" s="376" t="s">
        <v>200</v>
      </c>
      <c r="E69" s="376" t="s">
        <v>375</v>
      </c>
      <c r="F69" s="377" t="s">
        <v>167</v>
      </c>
      <c r="G69" s="376" t="s">
        <v>376</v>
      </c>
      <c r="H69" s="378"/>
      <c r="I69" s="378"/>
      <c r="J69" s="376" t="s">
        <v>169</v>
      </c>
      <c r="K69" s="376" t="s">
        <v>201</v>
      </c>
      <c r="L69" s="376" t="s">
        <v>167</v>
      </c>
      <c r="M69" s="376" t="s">
        <v>172</v>
      </c>
      <c r="N69" s="376" t="s">
        <v>173</v>
      </c>
      <c r="O69" s="379">
        <v>1</v>
      </c>
      <c r="P69" s="384">
        <v>0</v>
      </c>
      <c r="Q69" s="384">
        <v>0</v>
      </c>
      <c r="R69" s="380">
        <v>80</v>
      </c>
      <c r="S69" s="384">
        <v>0</v>
      </c>
      <c r="T69" s="380">
        <v>2928.16</v>
      </c>
      <c r="U69" s="380">
        <v>0</v>
      </c>
      <c r="V69" s="380">
        <v>947.8</v>
      </c>
      <c r="W69" s="380">
        <v>0</v>
      </c>
      <c r="X69" s="380">
        <v>0</v>
      </c>
      <c r="Y69" s="380">
        <v>0</v>
      </c>
      <c r="Z69" s="380">
        <v>0</v>
      </c>
      <c r="AA69" s="376" t="s">
        <v>202</v>
      </c>
      <c r="AB69" s="376" t="s">
        <v>203</v>
      </c>
      <c r="AC69" s="376" t="s">
        <v>204</v>
      </c>
      <c r="AD69" s="376" t="s">
        <v>172</v>
      </c>
      <c r="AE69" s="376" t="s">
        <v>201</v>
      </c>
      <c r="AF69" s="376" t="s">
        <v>178</v>
      </c>
      <c r="AG69" s="376" t="s">
        <v>179</v>
      </c>
      <c r="AH69" s="381">
        <v>44.56</v>
      </c>
      <c r="AI69" s="379">
        <v>31956</v>
      </c>
      <c r="AJ69" s="376" t="s">
        <v>180</v>
      </c>
      <c r="AK69" s="376" t="s">
        <v>181</v>
      </c>
      <c r="AL69" s="376" t="s">
        <v>182</v>
      </c>
      <c r="AM69" s="376" t="s">
        <v>183</v>
      </c>
      <c r="AN69" s="376" t="s">
        <v>66</v>
      </c>
      <c r="AO69" s="379">
        <v>80</v>
      </c>
      <c r="AP69" s="384">
        <v>1</v>
      </c>
      <c r="AQ69" s="384">
        <v>0</v>
      </c>
      <c r="AR69" s="382" t="s">
        <v>184</v>
      </c>
      <c r="AS69" s="386">
        <f t="shared" si="98"/>
        <v>0</v>
      </c>
      <c r="AT69">
        <f t="shared" si="99"/>
        <v>0</v>
      </c>
      <c r="AU69" s="386" t="str">
        <f>IF(AT69=0,"",IF(AND(AT69=1,M69="F",SUMIF(C2:C201,C69,AS2:AS201)&lt;=1),SUMIF(C2:C201,C69,AS2:AS201),IF(AND(AT69=1,M69="F",SUMIF(C2:C201,C69,AS2:AS201)&gt;1),1,"")))</f>
        <v/>
      </c>
      <c r="AV69" s="386" t="str">
        <f>IF(AT69=0,"",IF(AND(AT69=3,M69="F",SUMIF(C2:C201,C69,AS2:AS201)&lt;=1),SUMIF(C2:C201,C69,AS2:AS201),IF(AND(AT69=3,M69="F",SUMIF(C2:C201,C69,AS2:AS201)&gt;1),1,"")))</f>
        <v/>
      </c>
      <c r="AW69" s="386">
        <f>SUMIF(C2:C201,C69,O2:O201)</f>
        <v>3</v>
      </c>
      <c r="AX69" s="386">
        <f>IF(AND(M69="F",AS69&lt;&gt;0),SUMIF(C2:C201,C69,W2:W201),0)</f>
        <v>0</v>
      </c>
      <c r="AY69" s="386" t="str">
        <f t="shared" si="100"/>
        <v/>
      </c>
      <c r="AZ69" s="386" t="str">
        <f t="shared" si="101"/>
        <v/>
      </c>
      <c r="BA69" s="386">
        <f t="shared" si="102"/>
        <v>0</v>
      </c>
      <c r="BB69" s="386">
        <f t="shared" si="71"/>
        <v>0</v>
      </c>
      <c r="BC69" s="386">
        <f t="shared" si="72"/>
        <v>0</v>
      </c>
      <c r="BD69" s="386">
        <f t="shared" si="73"/>
        <v>0</v>
      </c>
      <c r="BE69" s="386">
        <f t="shared" si="74"/>
        <v>0</v>
      </c>
      <c r="BF69" s="386">
        <f t="shared" si="75"/>
        <v>0</v>
      </c>
      <c r="BG69" s="386">
        <f t="shared" si="76"/>
        <v>0</v>
      </c>
      <c r="BH69" s="386">
        <f t="shared" si="77"/>
        <v>0</v>
      </c>
      <c r="BI69" s="386">
        <f t="shared" si="78"/>
        <v>0</v>
      </c>
      <c r="BJ69" s="386">
        <f t="shared" si="79"/>
        <v>0</v>
      </c>
      <c r="BK69" s="386">
        <f t="shared" si="80"/>
        <v>0</v>
      </c>
      <c r="BL69" s="386">
        <f t="shared" si="103"/>
        <v>0</v>
      </c>
      <c r="BM69" s="386">
        <f t="shared" si="104"/>
        <v>0</v>
      </c>
      <c r="BN69" s="386">
        <f t="shared" si="81"/>
        <v>0</v>
      </c>
      <c r="BO69" s="386">
        <f t="shared" si="82"/>
        <v>0</v>
      </c>
      <c r="BP69" s="386">
        <f t="shared" si="83"/>
        <v>0</v>
      </c>
      <c r="BQ69" s="386">
        <f t="shared" si="84"/>
        <v>0</v>
      </c>
      <c r="BR69" s="386">
        <f t="shared" si="85"/>
        <v>0</v>
      </c>
      <c r="BS69" s="386">
        <f t="shared" si="86"/>
        <v>0</v>
      </c>
      <c r="BT69" s="386">
        <f t="shared" si="87"/>
        <v>0</v>
      </c>
      <c r="BU69" s="386">
        <f t="shared" si="88"/>
        <v>0</v>
      </c>
      <c r="BV69" s="386">
        <f t="shared" si="89"/>
        <v>0</v>
      </c>
      <c r="BW69" s="386">
        <f t="shared" si="90"/>
        <v>0</v>
      </c>
      <c r="BX69" s="386">
        <f t="shared" si="105"/>
        <v>0</v>
      </c>
      <c r="BY69" s="386">
        <f t="shared" si="106"/>
        <v>0</v>
      </c>
      <c r="BZ69" s="386">
        <f t="shared" si="107"/>
        <v>0</v>
      </c>
      <c r="CA69" s="386">
        <f t="shared" si="108"/>
        <v>0</v>
      </c>
      <c r="CB69" s="386">
        <f t="shared" si="109"/>
        <v>0</v>
      </c>
      <c r="CC69" s="386">
        <f t="shared" si="91"/>
        <v>0</v>
      </c>
      <c r="CD69" s="386">
        <f t="shared" si="92"/>
        <v>0</v>
      </c>
      <c r="CE69" s="386">
        <f t="shared" si="93"/>
        <v>0</v>
      </c>
      <c r="CF69" s="386">
        <f t="shared" si="94"/>
        <v>0</v>
      </c>
      <c r="CG69" s="386">
        <f t="shared" si="95"/>
        <v>0</v>
      </c>
      <c r="CH69" s="386">
        <f t="shared" si="96"/>
        <v>0</v>
      </c>
      <c r="CI69" s="386">
        <f t="shared" si="97"/>
        <v>0</v>
      </c>
      <c r="CJ69" s="386">
        <f t="shared" si="110"/>
        <v>0</v>
      </c>
      <c r="CK69" s="386" t="str">
        <f t="shared" si="111"/>
        <v/>
      </c>
      <c r="CL69" s="386" t="str">
        <f t="shared" si="112"/>
        <v/>
      </c>
      <c r="CM69" s="386" t="str">
        <f t="shared" si="113"/>
        <v/>
      </c>
      <c r="CN69" s="386" t="str">
        <f t="shared" si="114"/>
        <v>0126-00</v>
      </c>
    </row>
    <row r="70" spans="1:92" ht="15.75" thickBot="1" x14ac:dyDescent="0.3">
      <c r="A70" s="376" t="s">
        <v>162</v>
      </c>
      <c r="B70" s="376" t="s">
        <v>163</v>
      </c>
      <c r="C70" s="376" t="s">
        <v>205</v>
      </c>
      <c r="D70" s="376" t="s">
        <v>165</v>
      </c>
      <c r="E70" s="376" t="s">
        <v>375</v>
      </c>
      <c r="F70" s="377" t="s">
        <v>167</v>
      </c>
      <c r="G70" s="376" t="s">
        <v>376</v>
      </c>
      <c r="H70" s="378"/>
      <c r="I70" s="378"/>
      <c r="J70" s="376" t="s">
        <v>169</v>
      </c>
      <c r="K70" s="376" t="s">
        <v>206</v>
      </c>
      <c r="L70" s="376" t="s">
        <v>198</v>
      </c>
      <c r="M70" s="376" t="s">
        <v>172</v>
      </c>
      <c r="N70" s="376" t="s">
        <v>173</v>
      </c>
      <c r="O70" s="379">
        <v>1</v>
      </c>
      <c r="P70" s="384">
        <v>0</v>
      </c>
      <c r="Q70" s="384">
        <v>0</v>
      </c>
      <c r="R70" s="380">
        <v>80</v>
      </c>
      <c r="S70" s="384">
        <v>0</v>
      </c>
      <c r="T70" s="380">
        <v>2596.66</v>
      </c>
      <c r="U70" s="380">
        <v>0</v>
      </c>
      <c r="V70" s="380">
        <v>965.79</v>
      </c>
      <c r="W70" s="380">
        <v>0</v>
      </c>
      <c r="X70" s="380">
        <v>0</v>
      </c>
      <c r="Y70" s="380">
        <v>0</v>
      </c>
      <c r="Z70" s="380">
        <v>0</v>
      </c>
      <c r="AA70" s="376" t="s">
        <v>207</v>
      </c>
      <c r="AB70" s="376" t="s">
        <v>208</v>
      </c>
      <c r="AC70" s="376" t="s">
        <v>209</v>
      </c>
      <c r="AD70" s="376" t="s">
        <v>177</v>
      </c>
      <c r="AE70" s="376" t="s">
        <v>206</v>
      </c>
      <c r="AF70" s="376" t="s">
        <v>178</v>
      </c>
      <c r="AG70" s="376" t="s">
        <v>179</v>
      </c>
      <c r="AH70" s="381">
        <v>33.18</v>
      </c>
      <c r="AI70" s="381">
        <v>16914.5</v>
      </c>
      <c r="AJ70" s="376" t="s">
        <v>180</v>
      </c>
      <c r="AK70" s="376" t="s">
        <v>181</v>
      </c>
      <c r="AL70" s="376" t="s">
        <v>182</v>
      </c>
      <c r="AM70" s="376" t="s">
        <v>183</v>
      </c>
      <c r="AN70" s="376" t="s">
        <v>66</v>
      </c>
      <c r="AO70" s="379">
        <v>80</v>
      </c>
      <c r="AP70" s="384">
        <v>1</v>
      </c>
      <c r="AQ70" s="384">
        <v>0</v>
      </c>
      <c r="AR70" s="382" t="s">
        <v>184</v>
      </c>
      <c r="AS70" s="386">
        <f t="shared" si="98"/>
        <v>0</v>
      </c>
      <c r="AT70">
        <f t="shared" si="99"/>
        <v>0</v>
      </c>
      <c r="AU70" s="386" t="str">
        <f>IF(AT70=0,"",IF(AND(AT70=1,M70="F",SUMIF(C2:C201,C70,AS2:AS201)&lt;=1),SUMIF(C2:C201,C70,AS2:AS201),IF(AND(AT70=1,M70="F",SUMIF(C2:C201,C70,AS2:AS201)&gt;1),1,"")))</f>
        <v/>
      </c>
      <c r="AV70" s="386" t="str">
        <f>IF(AT70=0,"",IF(AND(AT70=3,M70="F",SUMIF(C2:C201,C70,AS2:AS201)&lt;=1),SUMIF(C2:C201,C70,AS2:AS201),IF(AND(AT70=3,M70="F",SUMIF(C2:C201,C70,AS2:AS201)&gt;1),1,"")))</f>
        <v/>
      </c>
      <c r="AW70" s="386">
        <f>SUMIF(C2:C201,C70,O2:O201)</f>
        <v>3</v>
      </c>
      <c r="AX70" s="386">
        <f>IF(AND(M70="F",AS70&lt;&gt;0),SUMIF(C2:C201,C70,W2:W201),0)</f>
        <v>0</v>
      </c>
      <c r="AY70" s="386" t="str">
        <f t="shared" si="100"/>
        <v/>
      </c>
      <c r="AZ70" s="386" t="str">
        <f t="shared" si="101"/>
        <v/>
      </c>
      <c r="BA70" s="386">
        <f t="shared" si="102"/>
        <v>0</v>
      </c>
      <c r="BB70" s="386">
        <f t="shared" si="71"/>
        <v>0</v>
      </c>
      <c r="BC70" s="386">
        <f t="shared" si="72"/>
        <v>0</v>
      </c>
      <c r="BD70" s="386">
        <f t="shared" si="73"/>
        <v>0</v>
      </c>
      <c r="BE70" s="386">
        <f t="shared" si="74"/>
        <v>0</v>
      </c>
      <c r="BF70" s="386">
        <f t="shared" si="75"/>
        <v>0</v>
      </c>
      <c r="BG70" s="386">
        <f t="shared" si="76"/>
        <v>0</v>
      </c>
      <c r="BH70" s="386">
        <f t="shared" si="77"/>
        <v>0</v>
      </c>
      <c r="BI70" s="386">
        <f t="shared" si="78"/>
        <v>0</v>
      </c>
      <c r="BJ70" s="386">
        <f t="shared" si="79"/>
        <v>0</v>
      </c>
      <c r="BK70" s="386">
        <f t="shared" si="80"/>
        <v>0</v>
      </c>
      <c r="BL70" s="386">
        <f t="shared" si="103"/>
        <v>0</v>
      </c>
      <c r="BM70" s="386">
        <f t="shared" si="104"/>
        <v>0</v>
      </c>
      <c r="BN70" s="386">
        <f t="shared" si="81"/>
        <v>0</v>
      </c>
      <c r="BO70" s="386">
        <f t="shared" si="82"/>
        <v>0</v>
      </c>
      <c r="BP70" s="386">
        <f t="shared" si="83"/>
        <v>0</v>
      </c>
      <c r="BQ70" s="386">
        <f t="shared" si="84"/>
        <v>0</v>
      </c>
      <c r="BR70" s="386">
        <f t="shared" si="85"/>
        <v>0</v>
      </c>
      <c r="BS70" s="386">
        <f t="shared" si="86"/>
        <v>0</v>
      </c>
      <c r="BT70" s="386">
        <f t="shared" si="87"/>
        <v>0</v>
      </c>
      <c r="BU70" s="386">
        <f t="shared" si="88"/>
        <v>0</v>
      </c>
      <c r="BV70" s="386">
        <f t="shared" si="89"/>
        <v>0</v>
      </c>
      <c r="BW70" s="386">
        <f t="shared" si="90"/>
        <v>0</v>
      </c>
      <c r="BX70" s="386">
        <f t="shared" si="105"/>
        <v>0</v>
      </c>
      <c r="BY70" s="386">
        <f t="shared" si="106"/>
        <v>0</v>
      </c>
      <c r="BZ70" s="386">
        <f t="shared" si="107"/>
        <v>0</v>
      </c>
      <c r="CA70" s="386">
        <f t="shared" si="108"/>
        <v>0</v>
      </c>
      <c r="CB70" s="386">
        <f t="shared" si="109"/>
        <v>0</v>
      </c>
      <c r="CC70" s="386">
        <f t="shared" si="91"/>
        <v>0</v>
      </c>
      <c r="CD70" s="386">
        <f t="shared" si="92"/>
        <v>0</v>
      </c>
      <c r="CE70" s="386">
        <f t="shared" si="93"/>
        <v>0</v>
      </c>
      <c r="CF70" s="386">
        <f t="shared" si="94"/>
        <v>0</v>
      </c>
      <c r="CG70" s="386">
        <f t="shared" si="95"/>
        <v>0</v>
      </c>
      <c r="CH70" s="386">
        <f t="shared" si="96"/>
        <v>0</v>
      </c>
      <c r="CI70" s="386">
        <f t="shared" si="97"/>
        <v>0</v>
      </c>
      <c r="CJ70" s="386">
        <f t="shared" si="110"/>
        <v>0</v>
      </c>
      <c r="CK70" s="386" t="str">
        <f t="shared" si="111"/>
        <v/>
      </c>
      <c r="CL70" s="386" t="str">
        <f t="shared" si="112"/>
        <v/>
      </c>
      <c r="CM70" s="386" t="str">
        <f t="shared" si="113"/>
        <v/>
      </c>
      <c r="CN70" s="386" t="str">
        <f t="shared" si="114"/>
        <v>0126-00</v>
      </c>
    </row>
    <row r="71" spans="1:92" ht="15.75" thickBot="1" x14ac:dyDescent="0.3">
      <c r="A71" s="376" t="s">
        <v>162</v>
      </c>
      <c r="B71" s="376" t="s">
        <v>163</v>
      </c>
      <c r="C71" s="376" t="s">
        <v>210</v>
      </c>
      <c r="D71" s="376" t="s">
        <v>165</v>
      </c>
      <c r="E71" s="376" t="s">
        <v>375</v>
      </c>
      <c r="F71" s="377" t="s">
        <v>167</v>
      </c>
      <c r="G71" s="376" t="s">
        <v>376</v>
      </c>
      <c r="H71" s="378"/>
      <c r="I71" s="378"/>
      <c r="J71" s="376" t="s">
        <v>169</v>
      </c>
      <c r="K71" s="376" t="s">
        <v>206</v>
      </c>
      <c r="L71" s="376" t="s">
        <v>198</v>
      </c>
      <c r="M71" s="376" t="s">
        <v>172</v>
      </c>
      <c r="N71" s="376" t="s">
        <v>173</v>
      </c>
      <c r="O71" s="379">
        <v>1</v>
      </c>
      <c r="P71" s="384">
        <v>0</v>
      </c>
      <c r="Q71" s="384">
        <v>0</v>
      </c>
      <c r="R71" s="380">
        <v>80</v>
      </c>
      <c r="S71" s="384">
        <v>0</v>
      </c>
      <c r="T71" s="380">
        <v>2848.36</v>
      </c>
      <c r="U71" s="380">
        <v>0</v>
      </c>
      <c r="V71" s="380">
        <v>1020.54</v>
      </c>
      <c r="W71" s="380">
        <v>0</v>
      </c>
      <c r="X71" s="380">
        <v>0</v>
      </c>
      <c r="Y71" s="380">
        <v>0</v>
      </c>
      <c r="Z71" s="380">
        <v>0</v>
      </c>
      <c r="AA71" s="376" t="s">
        <v>211</v>
      </c>
      <c r="AB71" s="376" t="s">
        <v>212</v>
      </c>
      <c r="AC71" s="376" t="s">
        <v>213</v>
      </c>
      <c r="AD71" s="376" t="s">
        <v>198</v>
      </c>
      <c r="AE71" s="376" t="s">
        <v>206</v>
      </c>
      <c r="AF71" s="376" t="s">
        <v>178</v>
      </c>
      <c r="AG71" s="376" t="s">
        <v>179</v>
      </c>
      <c r="AH71" s="381">
        <v>36.270000000000003</v>
      </c>
      <c r="AI71" s="381">
        <v>25865.7</v>
      </c>
      <c r="AJ71" s="376" t="s">
        <v>180</v>
      </c>
      <c r="AK71" s="376" t="s">
        <v>181</v>
      </c>
      <c r="AL71" s="376" t="s">
        <v>182</v>
      </c>
      <c r="AM71" s="376" t="s">
        <v>183</v>
      </c>
      <c r="AN71" s="376" t="s">
        <v>66</v>
      </c>
      <c r="AO71" s="379">
        <v>80</v>
      </c>
      <c r="AP71" s="384">
        <v>1</v>
      </c>
      <c r="AQ71" s="384">
        <v>0</v>
      </c>
      <c r="AR71" s="382" t="s">
        <v>184</v>
      </c>
      <c r="AS71" s="386">
        <f t="shared" si="98"/>
        <v>0</v>
      </c>
      <c r="AT71">
        <f t="shared" si="99"/>
        <v>0</v>
      </c>
      <c r="AU71" s="386" t="str">
        <f>IF(AT71=0,"",IF(AND(AT71=1,M71="F",SUMIF(C2:C201,C71,AS2:AS201)&lt;=1),SUMIF(C2:C201,C71,AS2:AS201),IF(AND(AT71=1,M71="F",SUMIF(C2:C201,C71,AS2:AS201)&gt;1),1,"")))</f>
        <v/>
      </c>
      <c r="AV71" s="386" t="str">
        <f>IF(AT71=0,"",IF(AND(AT71=3,M71="F",SUMIF(C2:C201,C71,AS2:AS201)&lt;=1),SUMIF(C2:C201,C71,AS2:AS201),IF(AND(AT71=3,M71="F",SUMIF(C2:C201,C71,AS2:AS201)&gt;1),1,"")))</f>
        <v/>
      </c>
      <c r="AW71" s="386">
        <f>SUMIF(C2:C201,C71,O2:O201)</f>
        <v>3</v>
      </c>
      <c r="AX71" s="386">
        <f>IF(AND(M71="F",AS71&lt;&gt;0),SUMIF(C2:C201,C71,W2:W201),0)</f>
        <v>0</v>
      </c>
      <c r="AY71" s="386" t="str">
        <f t="shared" si="100"/>
        <v/>
      </c>
      <c r="AZ71" s="386" t="str">
        <f t="shared" si="101"/>
        <v/>
      </c>
      <c r="BA71" s="386">
        <f t="shared" si="102"/>
        <v>0</v>
      </c>
      <c r="BB71" s="386">
        <f t="shared" si="71"/>
        <v>0</v>
      </c>
      <c r="BC71" s="386">
        <f t="shared" si="72"/>
        <v>0</v>
      </c>
      <c r="BD71" s="386">
        <f t="shared" si="73"/>
        <v>0</v>
      </c>
      <c r="BE71" s="386">
        <f t="shared" si="74"/>
        <v>0</v>
      </c>
      <c r="BF71" s="386">
        <f t="shared" si="75"/>
        <v>0</v>
      </c>
      <c r="BG71" s="386">
        <f t="shared" si="76"/>
        <v>0</v>
      </c>
      <c r="BH71" s="386">
        <f t="shared" si="77"/>
        <v>0</v>
      </c>
      <c r="BI71" s="386">
        <f t="shared" si="78"/>
        <v>0</v>
      </c>
      <c r="BJ71" s="386">
        <f t="shared" si="79"/>
        <v>0</v>
      </c>
      <c r="BK71" s="386">
        <f t="shared" si="80"/>
        <v>0</v>
      </c>
      <c r="BL71" s="386">
        <f t="shared" si="103"/>
        <v>0</v>
      </c>
      <c r="BM71" s="386">
        <f t="shared" si="104"/>
        <v>0</v>
      </c>
      <c r="BN71" s="386">
        <f t="shared" si="81"/>
        <v>0</v>
      </c>
      <c r="BO71" s="386">
        <f t="shared" si="82"/>
        <v>0</v>
      </c>
      <c r="BP71" s="386">
        <f t="shared" si="83"/>
        <v>0</v>
      </c>
      <c r="BQ71" s="386">
        <f t="shared" si="84"/>
        <v>0</v>
      </c>
      <c r="BR71" s="386">
        <f t="shared" si="85"/>
        <v>0</v>
      </c>
      <c r="BS71" s="386">
        <f t="shared" si="86"/>
        <v>0</v>
      </c>
      <c r="BT71" s="386">
        <f t="shared" si="87"/>
        <v>0</v>
      </c>
      <c r="BU71" s="386">
        <f t="shared" si="88"/>
        <v>0</v>
      </c>
      <c r="BV71" s="386">
        <f t="shared" si="89"/>
        <v>0</v>
      </c>
      <c r="BW71" s="386">
        <f t="shared" si="90"/>
        <v>0</v>
      </c>
      <c r="BX71" s="386">
        <f t="shared" si="105"/>
        <v>0</v>
      </c>
      <c r="BY71" s="386">
        <f t="shared" si="106"/>
        <v>0</v>
      </c>
      <c r="BZ71" s="386">
        <f t="shared" si="107"/>
        <v>0</v>
      </c>
      <c r="CA71" s="386">
        <f t="shared" si="108"/>
        <v>0</v>
      </c>
      <c r="CB71" s="386">
        <f t="shared" si="109"/>
        <v>0</v>
      </c>
      <c r="CC71" s="386">
        <f t="shared" si="91"/>
        <v>0</v>
      </c>
      <c r="CD71" s="386">
        <f t="shared" si="92"/>
        <v>0</v>
      </c>
      <c r="CE71" s="386">
        <f t="shared" si="93"/>
        <v>0</v>
      </c>
      <c r="CF71" s="386">
        <f t="shared" si="94"/>
        <v>0</v>
      </c>
      <c r="CG71" s="386">
        <f t="shared" si="95"/>
        <v>0</v>
      </c>
      <c r="CH71" s="386">
        <f t="shared" si="96"/>
        <v>0</v>
      </c>
      <c r="CI71" s="386">
        <f t="shared" si="97"/>
        <v>0</v>
      </c>
      <c r="CJ71" s="386">
        <f t="shared" si="110"/>
        <v>0</v>
      </c>
      <c r="CK71" s="386" t="str">
        <f t="shared" si="111"/>
        <v/>
      </c>
      <c r="CL71" s="386" t="str">
        <f t="shared" si="112"/>
        <v/>
      </c>
      <c r="CM71" s="386" t="str">
        <f t="shared" si="113"/>
        <v/>
      </c>
      <c r="CN71" s="386" t="str">
        <f t="shared" si="114"/>
        <v>0126-00</v>
      </c>
    </row>
    <row r="72" spans="1:92" ht="15.75" thickBot="1" x14ac:dyDescent="0.3">
      <c r="A72" s="376" t="s">
        <v>162</v>
      </c>
      <c r="B72" s="376" t="s">
        <v>163</v>
      </c>
      <c r="C72" s="376" t="s">
        <v>214</v>
      </c>
      <c r="D72" s="376" t="s">
        <v>165</v>
      </c>
      <c r="E72" s="376" t="s">
        <v>375</v>
      </c>
      <c r="F72" s="377" t="s">
        <v>167</v>
      </c>
      <c r="G72" s="376" t="s">
        <v>376</v>
      </c>
      <c r="H72" s="378"/>
      <c r="I72" s="378"/>
      <c r="J72" s="376" t="s">
        <v>169</v>
      </c>
      <c r="K72" s="376" t="s">
        <v>206</v>
      </c>
      <c r="L72" s="376" t="s">
        <v>198</v>
      </c>
      <c r="M72" s="376" t="s">
        <v>172</v>
      </c>
      <c r="N72" s="376" t="s">
        <v>173</v>
      </c>
      <c r="O72" s="379">
        <v>1</v>
      </c>
      <c r="P72" s="384">
        <v>0</v>
      </c>
      <c r="Q72" s="384">
        <v>0</v>
      </c>
      <c r="R72" s="380">
        <v>80</v>
      </c>
      <c r="S72" s="384">
        <v>0</v>
      </c>
      <c r="T72" s="380">
        <v>5684.49</v>
      </c>
      <c r="U72" s="380">
        <v>0</v>
      </c>
      <c r="V72" s="380">
        <v>1949.33</v>
      </c>
      <c r="W72" s="380">
        <v>0</v>
      </c>
      <c r="X72" s="380">
        <v>0</v>
      </c>
      <c r="Y72" s="380">
        <v>0</v>
      </c>
      <c r="Z72" s="380">
        <v>0</v>
      </c>
      <c r="AA72" s="376" t="s">
        <v>215</v>
      </c>
      <c r="AB72" s="376" t="s">
        <v>216</v>
      </c>
      <c r="AC72" s="376" t="s">
        <v>217</v>
      </c>
      <c r="AD72" s="376" t="s">
        <v>171</v>
      </c>
      <c r="AE72" s="376" t="s">
        <v>206</v>
      </c>
      <c r="AF72" s="376" t="s">
        <v>178</v>
      </c>
      <c r="AG72" s="376" t="s">
        <v>179</v>
      </c>
      <c r="AH72" s="381">
        <v>36.270000000000003</v>
      </c>
      <c r="AI72" s="381">
        <v>17640.5</v>
      </c>
      <c r="AJ72" s="376" t="s">
        <v>180</v>
      </c>
      <c r="AK72" s="376" t="s">
        <v>181</v>
      </c>
      <c r="AL72" s="376" t="s">
        <v>182</v>
      </c>
      <c r="AM72" s="376" t="s">
        <v>183</v>
      </c>
      <c r="AN72" s="376" t="s">
        <v>66</v>
      </c>
      <c r="AO72" s="379">
        <v>80</v>
      </c>
      <c r="AP72" s="384">
        <v>1</v>
      </c>
      <c r="AQ72" s="384">
        <v>0</v>
      </c>
      <c r="AR72" s="382" t="s">
        <v>184</v>
      </c>
      <c r="AS72" s="386">
        <f t="shared" si="98"/>
        <v>0</v>
      </c>
      <c r="AT72">
        <f t="shared" si="99"/>
        <v>0</v>
      </c>
      <c r="AU72" s="386" t="str">
        <f>IF(AT72=0,"",IF(AND(AT72=1,M72="F",SUMIF(C2:C201,C72,AS2:AS201)&lt;=1),SUMIF(C2:C201,C72,AS2:AS201),IF(AND(AT72=1,M72="F",SUMIF(C2:C201,C72,AS2:AS201)&gt;1),1,"")))</f>
        <v/>
      </c>
      <c r="AV72" s="386" t="str">
        <f>IF(AT72=0,"",IF(AND(AT72=3,M72="F",SUMIF(C2:C201,C72,AS2:AS201)&lt;=1),SUMIF(C2:C201,C72,AS2:AS201),IF(AND(AT72=3,M72="F",SUMIF(C2:C201,C72,AS2:AS201)&gt;1),1,"")))</f>
        <v/>
      </c>
      <c r="AW72" s="386">
        <f>SUMIF(C2:C201,C72,O2:O201)</f>
        <v>3</v>
      </c>
      <c r="AX72" s="386">
        <f>IF(AND(M72="F",AS72&lt;&gt;0),SUMIF(C2:C201,C72,W2:W201),0)</f>
        <v>0</v>
      </c>
      <c r="AY72" s="386" t="str">
        <f t="shared" si="100"/>
        <v/>
      </c>
      <c r="AZ72" s="386" t="str">
        <f t="shared" si="101"/>
        <v/>
      </c>
      <c r="BA72" s="386">
        <f t="shared" si="102"/>
        <v>0</v>
      </c>
      <c r="BB72" s="386">
        <f t="shared" si="71"/>
        <v>0</v>
      </c>
      <c r="BC72" s="386">
        <f t="shared" si="72"/>
        <v>0</v>
      </c>
      <c r="BD72" s="386">
        <f t="shared" si="73"/>
        <v>0</v>
      </c>
      <c r="BE72" s="386">
        <f t="shared" si="74"/>
        <v>0</v>
      </c>
      <c r="BF72" s="386">
        <f t="shared" si="75"/>
        <v>0</v>
      </c>
      <c r="BG72" s="386">
        <f t="shared" si="76"/>
        <v>0</v>
      </c>
      <c r="BH72" s="386">
        <f t="shared" si="77"/>
        <v>0</v>
      </c>
      <c r="BI72" s="386">
        <f t="shared" si="78"/>
        <v>0</v>
      </c>
      <c r="BJ72" s="386">
        <f t="shared" si="79"/>
        <v>0</v>
      </c>
      <c r="BK72" s="386">
        <f t="shared" si="80"/>
        <v>0</v>
      </c>
      <c r="BL72" s="386">
        <f t="shared" si="103"/>
        <v>0</v>
      </c>
      <c r="BM72" s="386">
        <f t="shared" si="104"/>
        <v>0</v>
      </c>
      <c r="BN72" s="386">
        <f t="shared" si="81"/>
        <v>0</v>
      </c>
      <c r="BO72" s="386">
        <f t="shared" si="82"/>
        <v>0</v>
      </c>
      <c r="BP72" s="386">
        <f t="shared" si="83"/>
        <v>0</v>
      </c>
      <c r="BQ72" s="386">
        <f t="shared" si="84"/>
        <v>0</v>
      </c>
      <c r="BR72" s="386">
        <f t="shared" si="85"/>
        <v>0</v>
      </c>
      <c r="BS72" s="386">
        <f t="shared" si="86"/>
        <v>0</v>
      </c>
      <c r="BT72" s="386">
        <f t="shared" si="87"/>
        <v>0</v>
      </c>
      <c r="BU72" s="386">
        <f t="shared" si="88"/>
        <v>0</v>
      </c>
      <c r="BV72" s="386">
        <f t="shared" si="89"/>
        <v>0</v>
      </c>
      <c r="BW72" s="386">
        <f t="shared" si="90"/>
        <v>0</v>
      </c>
      <c r="BX72" s="386">
        <f t="shared" si="105"/>
        <v>0</v>
      </c>
      <c r="BY72" s="386">
        <f t="shared" si="106"/>
        <v>0</v>
      </c>
      <c r="BZ72" s="386">
        <f t="shared" si="107"/>
        <v>0</v>
      </c>
      <c r="CA72" s="386">
        <f t="shared" si="108"/>
        <v>0</v>
      </c>
      <c r="CB72" s="386">
        <f t="shared" si="109"/>
        <v>0</v>
      </c>
      <c r="CC72" s="386">
        <f t="shared" si="91"/>
        <v>0</v>
      </c>
      <c r="CD72" s="386">
        <f t="shared" si="92"/>
        <v>0</v>
      </c>
      <c r="CE72" s="386">
        <f t="shared" si="93"/>
        <v>0</v>
      </c>
      <c r="CF72" s="386">
        <f t="shared" si="94"/>
        <v>0</v>
      </c>
      <c r="CG72" s="386">
        <f t="shared" si="95"/>
        <v>0</v>
      </c>
      <c r="CH72" s="386">
        <f t="shared" si="96"/>
        <v>0</v>
      </c>
      <c r="CI72" s="386">
        <f t="shared" si="97"/>
        <v>0</v>
      </c>
      <c r="CJ72" s="386">
        <f t="shared" si="110"/>
        <v>0</v>
      </c>
      <c r="CK72" s="386" t="str">
        <f t="shared" si="111"/>
        <v/>
      </c>
      <c r="CL72" s="386" t="str">
        <f t="shared" si="112"/>
        <v/>
      </c>
      <c r="CM72" s="386" t="str">
        <f t="shared" si="113"/>
        <v/>
      </c>
      <c r="CN72" s="386" t="str">
        <f t="shared" si="114"/>
        <v>0126-00</v>
      </c>
    </row>
    <row r="73" spans="1:92" ht="15.75" thickBot="1" x14ac:dyDescent="0.3">
      <c r="A73" s="376" t="s">
        <v>162</v>
      </c>
      <c r="B73" s="376" t="s">
        <v>163</v>
      </c>
      <c r="C73" s="376" t="s">
        <v>377</v>
      </c>
      <c r="D73" s="376" t="s">
        <v>378</v>
      </c>
      <c r="E73" s="376" t="s">
        <v>375</v>
      </c>
      <c r="F73" s="377" t="s">
        <v>167</v>
      </c>
      <c r="G73" s="376" t="s">
        <v>376</v>
      </c>
      <c r="H73" s="378"/>
      <c r="I73" s="378"/>
      <c r="J73" s="376" t="s">
        <v>169</v>
      </c>
      <c r="K73" s="376" t="s">
        <v>379</v>
      </c>
      <c r="L73" s="376" t="s">
        <v>167</v>
      </c>
      <c r="M73" s="376" t="s">
        <v>172</v>
      </c>
      <c r="N73" s="376" t="s">
        <v>173</v>
      </c>
      <c r="O73" s="379">
        <v>1</v>
      </c>
      <c r="P73" s="384">
        <v>0</v>
      </c>
      <c r="Q73" s="384">
        <v>0</v>
      </c>
      <c r="R73" s="380">
        <v>80</v>
      </c>
      <c r="S73" s="384">
        <v>0</v>
      </c>
      <c r="T73" s="380">
        <v>2402.61</v>
      </c>
      <c r="U73" s="380">
        <v>0</v>
      </c>
      <c r="V73" s="380">
        <v>1058.77</v>
      </c>
      <c r="W73" s="380">
        <v>0</v>
      </c>
      <c r="X73" s="380">
        <v>0</v>
      </c>
      <c r="Y73" s="380">
        <v>0</v>
      </c>
      <c r="Z73" s="380">
        <v>0</v>
      </c>
      <c r="AA73" s="376" t="s">
        <v>380</v>
      </c>
      <c r="AB73" s="376" t="s">
        <v>381</v>
      </c>
      <c r="AC73" s="376" t="s">
        <v>382</v>
      </c>
      <c r="AD73" s="376" t="s">
        <v>171</v>
      </c>
      <c r="AE73" s="376" t="s">
        <v>379</v>
      </c>
      <c r="AF73" s="376" t="s">
        <v>178</v>
      </c>
      <c r="AG73" s="376" t="s">
        <v>179</v>
      </c>
      <c r="AH73" s="381">
        <v>23.54</v>
      </c>
      <c r="AI73" s="381">
        <v>6660.3</v>
      </c>
      <c r="AJ73" s="376" t="s">
        <v>180</v>
      </c>
      <c r="AK73" s="376" t="s">
        <v>181</v>
      </c>
      <c r="AL73" s="376" t="s">
        <v>182</v>
      </c>
      <c r="AM73" s="376" t="s">
        <v>183</v>
      </c>
      <c r="AN73" s="376" t="s">
        <v>66</v>
      </c>
      <c r="AO73" s="379">
        <v>80</v>
      </c>
      <c r="AP73" s="384">
        <v>1</v>
      </c>
      <c r="AQ73" s="384">
        <v>0</v>
      </c>
      <c r="AR73" s="382" t="s">
        <v>184</v>
      </c>
      <c r="AS73" s="386">
        <f t="shared" si="98"/>
        <v>0</v>
      </c>
      <c r="AT73">
        <f t="shared" si="99"/>
        <v>0</v>
      </c>
      <c r="AU73" s="386" t="str">
        <f>IF(AT73=0,"",IF(AND(AT73=1,M73="F",SUMIF(C2:C201,C73,AS2:AS201)&lt;=1),SUMIF(C2:C201,C73,AS2:AS201),IF(AND(AT73=1,M73="F",SUMIF(C2:C201,C73,AS2:AS201)&gt;1),1,"")))</f>
        <v/>
      </c>
      <c r="AV73" s="386" t="str">
        <f>IF(AT73=0,"",IF(AND(AT73=3,M73="F",SUMIF(C2:C201,C73,AS2:AS201)&lt;=1),SUMIF(C2:C201,C73,AS2:AS201),IF(AND(AT73=3,M73="F",SUMIF(C2:C201,C73,AS2:AS201)&gt;1),1,"")))</f>
        <v/>
      </c>
      <c r="AW73" s="386">
        <f>SUMIF(C2:C201,C73,O2:O201)</f>
        <v>2</v>
      </c>
      <c r="AX73" s="386">
        <f>IF(AND(M73="F",AS73&lt;&gt;0),SUMIF(C2:C201,C73,W2:W201),0)</f>
        <v>0</v>
      </c>
      <c r="AY73" s="386" t="str">
        <f t="shared" si="100"/>
        <v/>
      </c>
      <c r="AZ73" s="386" t="str">
        <f t="shared" si="101"/>
        <v/>
      </c>
      <c r="BA73" s="386">
        <f t="shared" si="102"/>
        <v>0</v>
      </c>
      <c r="BB73" s="386">
        <f t="shared" si="71"/>
        <v>0</v>
      </c>
      <c r="BC73" s="386">
        <f t="shared" si="72"/>
        <v>0</v>
      </c>
      <c r="BD73" s="386">
        <f t="shared" si="73"/>
        <v>0</v>
      </c>
      <c r="BE73" s="386">
        <f t="shared" si="74"/>
        <v>0</v>
      </c>
      <c r="BF73" s="386">
        <f t="shared" si="75"/>
        <v>0</v>
      </c>
      <c r="BG73" s="386">
        <f t="shared" si="76"/>
        <v>0</v>
      </c>
      <c r="BH73" s="386">
        <f t="shared" si="77"/>
        <v>0</v>
      </c>
      <c r="BI73" s="386">
        <f t="shared" si="78"/>
        <v>0</v>
      </c>
      <c r="BJ73" s="386">
        <f t="shared" si="79"/>
        <v>0</v>
      </c>
      <c r="BK73" s="386">
        <f t="shared" si="80"/>
        <v>0</v>
      </c>
      <c r="BL73" s="386">
        <f t="shared" si="103"/>
        <v>0</v>
      </c>
      <c r="BM73" s="386">
        <f t="shared" si="104"/>
        <v>0</v>
      </c>
      <c r="BN73" s="386">
        <f t="shared" si="81"/>
        <v>0</v>
      </c>
      <c r="BO73" s="386">
        <f t="shared" si="82"/>
        <v>0</v>
      </c>
      <c r="BP73" s="386">
        <f t="shared" si="83"/>
        <v>0</v>
      </c>
      <c r="BQ73" s="386">
        <f t="shared" si="84"/>
        <v>0</v>
      </c>
      <c r="BR73" s="386">
        <f t="shared" si="85"/>
        <v>0</v>
      </c>
      <c r="BS73" s="386">
        <f t="shared" si="86"/>
        <v>0</v>
      </c>
      <c r="BT73" s="386">
        <f t="shared" si="87"/>
        <v>0</v>
      </c>
      <c r="BU73" s="386">
        <f t="shared" si="88"/>
        <v>0</v>
      </c>
      <c r="BV73" s="386">
        <f t="shared" si="89"/>
        <v>0</v>
      </c>
      <c r="BW73" s="386">
        <f t="shared" si="90"/>
        <v>0</v>
      </c>
      <c r="BX73" s="386">
        <f t="shared" si="105"/>
        <v>0</v>
      </c>
      <c r="BY73" s="386">
        <f t="shared" si="106"/>
        <v>0</v>
      </c>
      <c r="BZ73" s="386">
        <f t="shared" si="107"/>
        <v>0</v>
      </c>
      <c r="CA73" s="386">
        <f t="shared" si="108"/>
        <v>0</v>
      </c>
      <c r="CB73" s="386">
        <f t="shared" si="109"/>
        <v>0</v>
      </c>
      <c r="CC73" s="386">
        <f t="shared" si="91"/>
        <v>0</v>
      </c>
      <c r="CD73" s="386">
        <f t="shared" si="92"/>
        <v>0</v>
      </c>
      <c r="CE73" s="386">
        <f t="shared" si="93"/>
        <v>0</v>
      </c>
      <c r="CF73" s="386">
        <f t="shared" si="94"/>
        <v>0</v>
      </c>
      <c r="CG73" s="386">
        <f t="shared" si="95"/>
        <v>0</v>
      </c>
      <c r="CH73" s="386">
        <f t="shared" si="96"/>
        <v>0</v>
      </c>
      <c r="CI73" s="386">
        <f t="shared" si="97"/>
        <v>0</v>
      </c>
      <c r="CJ73" s="386">
        <f t="shared" si="110"/>
        <v>0</v>
      </c>
      <c r="CK73" s="386" t="str">
        <f t="shared" si="111"/>
        <v/>
      </c>
      <c r="CL73" s="386" t="str">
        <f t="shared" si="112"/>
        <v/>
      </c>
      <c r="CM73" s="386" t="str">
        <f t="shared" si="113"/>
        <v/>
      </c>
      <c r="CN73" s="386" t="str">
        <f t="shared" si="114"/>
        <v>0126-00</v>
      </c>
    </row>
    <row r="74" spans="1:92" ht="15.75" thickBot="1" x14ac:dyDescent="0.3">
      <c r="A74" s="376" t="s">
        <v>162</v>
      </c>
      <c r="B74" s="376" t="s">
        <v>163</v>
      </c>
      <c r="C74" s="376" t="s">
        <v>226</v>
      </c>
      <c r="D74" s="376" t="s">
        <v>227</v>
      </c>
      <c r="E74" s="376" t="s">
        <v>375</v>
      </c>
      <c r="F74" s="377" t="s">
        <v>167</v>
      </c>
      <c r="G74" s="376" t="s">
        <v>376</v>
      </c>
      <c r="H74" s="378"/>
      <c r="I74" s="378"/>
      <c r="J74" s="376" t="s">
        <v>220</v>
      </c>
      <c r="K74" s="376" t="s">
        <v>228</v>
      </c>
      <c r="L74" s="376" t="s">
        <v>167</v>
      </c>
      <c r="M74" s="376" t="s">
        <v>172</v>
      </c>
      <c r="N74" s="376" t="s">
        <v>173</v>
      </c>
      <c r="O74" s="379">
        <v>1</v>
      </c>
      <c r="P74" s="384">
        <v>0</v>
      </c>
      <c r="Q74" s="384">
        <v>0</v>
      </c>
      <c r="R74" s="380">
        <v>80</v>
      </c>
      <c r="S74" s="384">
        <v>0</v>
      </c>
      <c r="T74" s="380">
        <v>8602.32</v>
      </c>
      <c r="U74" s="380">
        <v>0</v>
      </c>
      <c r="V74" s="380">
        <v>2734.83</v>
      </c>
      <c r="W74" s="380">
        <v>0</v>
      </c>
      <c r="X74" s="380">
        <v>0</v>
      </c>
      <c r="Y74" s="380">
        <v>0</v>
      </c>
      <c r="Z74" s="380">
        <v>0</v>
      </c>
      <c r="AA74" s="376" t="s">
        <v>229</v>
      </c>
      <c r="AB74" s="376" t="s">
        <v>230</v>
      </c>
      <c r="AC74" s="376" t="s">
        <v>213</v>
      </c>
      <c r="AD74" s="376" t="s">
        <v>231</v>
      </c>
      <c r="AE74" s="376" t="s">
        <v>228</v>
      </c>
      <c r="AF74" s="376" t="s">
        <v>178</v>
      </c>
      <c r="AG74" s="376" t="s">
        <v>179</v>
      </c>
      <c r="AH74" s="381">
        <v>47.08</v>
      </c>
      <c r="AI74" s="381">
        <v>8742.5</v>
      </c>
      <c r="AJ74" s="376" t="s">
        <v>180</v>
      </c>
      <c r="AK74" s="376" t="s">
        <v>181</v>
      </c>
      <c r="AL74" s="376" t="s">
        <v>182</v>
      </c>
      <c r="AM74" s="376" t="s">
        <v>183</v>
      </c>
      <c r="AN74" s="376" t="s">
        <v>66</v>
      </c>
      <c r="AO74" s="379">
        <v>80</v>
      </c>
      <c r="AP74" s="384">
        <v>1</v>
      </c>
      <c r="AQ74" s="384">
        <v>0</v>
      </c>
      <c r="AR74" s="382" t="s">
        <v>184</v>
      </c>
      <c r="AS74" s="386">
        <f t="shared" si="98"/>
        <v>0</v>
      </c>
      <c r="AT74">
        <f t="shared" si="99"/>
        <v>0</v>
      </c>
      <c r="AU74" s="386" t="str">
        <f>IF(AT74=0,"",IF(AND(AT74=1,M74="F",SUMIF(C2:C201,C74,AS2:AS201)&lt;=1),SUMIF(C2:C201,C74,AS2:AS201),IF(AND(AT74=1,M74="F",SUMIF(C2:C201,C74,AS2:AS201)&gt;1),1,"")))</f>
        <v/>
      </c>
      <c r="AV74" s="386" t="str">
        <f>IF(AT74=0,"",IF(AND(AT74=3,M74="F",SUMIF(C2:C201,C74,AS2:AS201)&lt;=1),SUMIF(C2:C201,C74,AS2:AS201),IF(AND(AT74=3,M74="F",SUMIF(C2:C201,C74,AS2:AS201)&gt;1),1,"")))</f>
        <v/>
      </c>
      <c r="AW74" s="386">
        <f>SUMIF(C2:C201,C74,O2:O201)</f>
        <v>5</v>
      </c>
      <c r="AX74" s="386">
        <f>IF(AND(M74="F",AS74&lt;&gt;0),SUMIF(C2:C201,C74,W2:W201),0)</f>
        <v>0</v>
      </c>
      <c r="AY74" s="386" t="str">
        <f t="shared" si="100"/>
        <v/>
      </c>
      <c r="AZ74" s="386" t="str">
        <f t="shared" si="101"/>
        <v/>
      </c>
      <c r="BA74" s="386">
        <f t="shared" si="102"/>
        <v>0</v>
      </c>
      <c r="BB74" s="386">
        <f t="shared" si="71"/>
        <v>0</v>
      </c>
      <c r="BC74" s="386">
        <f t="shared" si="72"/>
        <v>0</v>
      </c>
      <c r="BD74" s="386">
        <f t="shared" si="73"/>
        <v>0</v>
      </c>
      <c r="BE74" s="386">
        <f t="shared" si="74"/>
        <v>0</v>
      </c>
      <c r="BF74" s="386">
        <f t="shared" si="75"/>
        <v>0</v>
      </c>
      <c r="BG74" s="386">
        <f t="shared" si="76"/>
        <v>0</v>
      </c>
      <c r="BH74" s="386">
        <f t="shared" si="77"/>
        <v>0</v>
      </c>
      <c r="BI74" s="386">
        <f t="shared" si="78"/>
        <v>0</v>
      </c>
      <c r="BJ74" s="386">
        <f t="shared" si="79"/>
        <v>0</v>
      </c>
      <c r="BK74" s="386">
        <f t="shared" si="80"/>
        <v>0</v>
      </c>
      <c r="BL74" s="386">
        <f t="shared" si="103"/>
        <v>0</v>
      </c>
      <c r="BM74" s="386">
        <f t="shared" si="104"/>
        <v>0</v>
      </c>
      <c r="BN74" s="386">
        <f t="shared" si="81"/>
        <v>0</v>
      </c>
      <c r="BO74" s="386">
        <f t="shared" si="82"/>
        <v>0</v>
      </c>
      <c r="BP74" s="386">
        <f t="shared" si="83"/>
        <v>0</v>
      </c>
      <c r="BQ74" s="386">
        <f t="shared" si="84"/>
        <v>0</v>
      </c>
      <c r="BR74" s="386">
        <f t="shared" si="85"/>
        <v>0</v>
      </c>
      <c r="BS74" s="386">
        <f t="shared" si="86"/>
        <v>0</v>
      </c>
      <c r="BT74" s="386">
        <f t="shared" si="87"/>
        <v>0</v>
      </c>
      <c r="BU74" s="386">
        <f t="shared" si="88"/>
        <v>0</v>
      </c>
      <c r="BV74" s="386">
        <f t="shared" si="89"/>
        <v>0</v>
      </c>
      <c r="BW74" s="386">
        <f t="shared" si="90"/>
        <v>0</v>
      </c>
      <c r="BX74" s="386">
        <f t="shared" si="105"/>
        <v>0</v>
      </c>
      <c r="BY74" s="386">
        <f t="shared" si="106"/>
        <v>0</v>
      </c>
      <c r="BZ74" s="386">
        <f t="shared" si="107"/>
        <v>0</v>
      </c>
      <c r="CA74" s="386">
        <f t="shared" si="108"/>
        <v>0</v>
      </c>
      <c r="CB74" s="386">
        <f t="shared" si="109"/>
        <v>0</v>
      </c>
      <c r="CC74" s="386">
        <f t="shared" si="91"/>
        <v>0</v>
      </c>
      <c r="CD74" s="386">
        <f t="shared" si="92"/>
        <v>0</v>
      </c>
      <c r="CE74" s="386">
        <f t="shared" si="93"/>
        <v>0</v>
      </c>
      <c r="CF74" s="386">
        <f t="shared" si="94"/>
        <v>0</v>
      </c>
      <c r="CG74" s="386">
        <f t="shared" si="95"/>
        <v>0</v>
      </c>
      <c r="CH74" s="386">
        <f t="shared" si="96"/>
        <v>0</v>
      </c>
      <c r="CI74" s="386">
        <f t="shared" si="97"/>
        <v>0</v>
      </c>
      <c r="CJ74" s="386">
        <f t="shared" si="110"/>
        <v>0</v>
      </c>
      <c r="CK74" s="386" t="str">
        <f t="shared" si="111"/>
        <v/>
      </c>
      <c r="CL74" s="386" t="str">
        <f t="shared" si="112"/>
        <v/>
      </c>
      <c r="CM74" s="386" t="str">
        <f t="shared" si="113"/>
        <v/>
      </c>
      <c r="CN74" s="386" t="str">
        <f t="shared" si="114"/>
        <v>0126-00</v>
      </c>
    </row>
    <row r="75" spans="1:92" ht="15.75" thickBot="1" x14ac:dyDescent="0.3">
      <c r="A75" s="376" t="s">
        <v>162</v>
      </c>
      <c r="B75" s="376" t="s">
        <v>163</v>
      </c>
      <c r="C75" s="376" t="s">
        <v>232</v>
      </c>
      <c r="D75" s="376" t="s">
        <v>186</v>
      </c>
      <c r="E75" s="376" t="s">
        <v>375</v>
      </c>
      <c r="F75" s="377" t="s">
        <v>167</v>
      </c>
      <c r="G75" s="376" t="s">
        <v>376</v>
      </c>
      <c r="H75" s="378"/>
      <c r="I75" s="378"/>
      <c r="J75" s="376" t="s">
        <v>169</v>
      </c>
      <c r="K75" s="376" t="s">
        <v>187</v>
      </c>
      <c r="L75" s="376" t="s">
        <v>179</v>
      </c>
      <c r="M75" s="376" t="s">
        <v>172</v>
      </c>
      <c r="N75" s="376" t="s">
        <v>173</v>
      </c>
      <c r="O75" s="379">
        <v>1</v>
      </c>
      <c r="P75" s="384">
        <v>0</v>
      </c>
      <c r="Q75" s="384">
        <v>0</v>
      </c>
      <c r="R75" s="380">
        <v>80</v>
      </c>
      <c r="S75" s="384">
        <v>0</v>
      </c>
      <c r="T75" s="380">
        <v>941.48</v>
      </c>
      <c r="U75" s="380">
        <v>0</v>
      </c>
      <c r="V75" s="380">
        <v>436.09</v>
      </c>
      <c r="W75" s="380">
        <v>0</v>
      </c>
      <c r="X75" s="380">
        <v>0</v>
      </c>
      <c r="Y75" s="380">
        <v>0</v>
      </c>
      <c r="Z75" s="380">
        <v>0</v>
      </c>
      <c r="AA75" s="376" t="s">
        <v>233</v>
      </c>
      <c r="AB75" s="376" t="s">
        <v>234</v>
      </c>
      <c r="AC75" s="376" t="s">
        <v>235</v>
      </c>
      <c r="AD75" s="376" t="s">
        <v>177</v>
      </c>
      <c r="AE75" s="376" t="s">
        <v>187</v>
      </c>
      <c r="AF75" s="376" t="s">
        <v>178</v>
      </c>
      <c r="AG75" s="376" t="s">
        <v>179</v>
      </c>
      <c r="AH75" s="381">
        <v>22.37</v>
      </c>
      <c r="AI75" s="381">
        <v>2912.5</v>
      </c>
      <c r="AJ75" s="376" t="s">
        <v>180</v>
      </c>
      <c r="AK75" s="376" t="s">
        <v>181</v>
      </c>
      <c r="AL75" s="376" t="s">
        <v>182</v>
      </c>
      <c r="AM75" s="376" t="s">
        <v>183</v>
      </c>
      <c r="AN75" s="376" t="s">
        <v>66</v>
      </c>
      <c r="AO75" s="379">
        <v>80</v>
      </c>
      <c r="AP75" s="384">
        <v>1</v>
      </c>
      <c r="AQ75" s="384">
        <v>0</v>
      </c>
      <c r="AR75" s="382" t="s">
        <v>184</v>
      </c>
      <c r="AS75" s="386">
        <f t="shared" si="98"/>
        <v>0</v>
      </c>
      <c r="AT75">
        <f t="shared" si="99"/>
        <v>0</v>
      </c>
      <c r="AU75" s="386" t="str">
        <f>IF(AT75=0,"",IF(AND(AT75=1,M75="F",SUMIF(C2:C201,C75,AS2:AS201)&lt;=1),SUMIF(C2:C201,C75,AS2:AS201),IF(AND(AT75=1,M75="F",SUMIF(C2:C201,C75,AS2:AS201)&gt;1),1,"")))</f>
        <v/>
      </c>
      <c r="AV75" s="386" t="str">
        <f>IF(AT75=0,"",IF(AND(AT75=3,M75="F",SUMIF(C2:C201,C75,AS2:AS201)&lt;=1),SUMIF(C2:C201,C75,AS2:AS201),IF(AND(AT75=3,M75="F",SUMIF(C2:C201,C75,AS2:AS201)&gt;1),1,"")))</f>
        <v/>
      </c>
      <c r="AW75" s="386">
        <f>SUMIF(C2:C201,C75,O2:O201)</f>
        <v>3</v>
      </c>
      <c r="AX75" s="386">
        <f>IF(AND(M75="F",AS75&lt;&gt;0),SUMIF(C2:C201,C75,W2:W201),0)</f>
        <v>0</v>
      </c>
      <c r="AY75" s="386" t="str">
        <f t="shared" si="100"/>
        <v/>
      </c>
      <c r="AZ75" s="386" t="str">
        <f t="shared" si="101"/>
        <v/>
      </c>
      <c r="BA75" s="386">
        <f t="shared" si="102"/>
        <v>0</v>
      </c>
      <c r="BB75" s="386">
        <f t="shared" si="71"/>
        <v>0</v>
      </c>
      <c r="BC75" s="386">
        <f t="shared" si="72"/>
        <v>0</v>
      </c>
      <c r="BD75" s="386">
        <f t="shared" si="73"/>
        <v>0</v>
      </c>
      <c r="BE75" s="386">
        <f t="shared" si="74"/>
        <v>0</v>
      </c>
      <c r="BF75" s="386">
        <f t="shared" si="75"/>
        <v>0</v>
      </c>
      <c r="BG75" s="386">
        <f t="shared" si="76"/>
        <v>0</v>
      </c>
      <c r="BH75" s="386">
        <f t="shared" si="77"/>
        <v>0</v>
      </c>
      <c r="BI75" s="386">
        <f t="shared" si="78"/>
        <v>0</v>
      </c>
      <c r="BJ75" s="386">
        <f t="shared" si="79"/>
        <v>0</v>
      </c>
      <c r="BK75" s="386">
        <f t="shared" si="80"/>
        <v>0</v>
      </c>
      <c r="BL75" s="386">
        <f t="shared" si="103"/>
        <v>0</v>
      </c>
      <c r="BM75" s="386">
        <f t="shared" si="104"/>
        <v>0</v>
      </c>
      <c r="BN75" s="386">
        <f t="shared" si="81"/>
        <v>0</v>
      </c>
      <c r="BO75" s="386">
        <f t="shared" si="82"/>
        <v>0</v>
      </c>
      <c r="BP75" s="386">
        <f t="shared" si="83"/>
        <v>0</v>
      </c>
      <c r="BQ75" s="386">
        <f t="shared" si="84"/>
        <v>0</v>
      </c>
      <c r="BR75" s="386">
        <f t="shared" si="85"/>
        <v>0</v>
      </c>
      <c r="BS75" s="386">
        <f t="shared" si="86"/>
        <v>0</v>
      </c>
      <c r="BT75" s="386">
        <f t="shared" si="87"/>
        <v>0</v>
      </c>
      <c r="BU75" s="386">
        <f t="shared" si="88"/>
        <v>0</v>
      </c>
      <c r="BV75" s="386">
        <f t="shared" si="89"/>
        <v>0</v>
      </c>
      <c r="BW75" s="386">
        <f t="shared" si="90"/>
        <v>0</v>
      </c>
      <c r="BX75" s="386">
        <f t="shared" si="105"/>
        <v>0</v>
      </c>
      <c r="BY75" s="386">
        <f t="shared" si="106"/>
        <v>0</v>
      </c>
      <c r="BZ75" s="386">
        <f t="shared" si="107"/>
        <v>0</v>
      </c>
      <c r="CA75" s="386">
        <f t="shared" si="108"/>
        <v>0</v>
      </c>
      <c r="CB75" s="386">
        <f t="shared" si="109"/>
        <v>0</v>
      </c>
      <c r="CC75" s="386">
        <f t="shared" si="91"/>
        <v>0</v>
      </c>
      <c r="CD75" s="386">
        <f t="shared" si="92"/>
        <v>0</v>
      </c>
      <c r="CE75" s="386">
        <f t="shared" si="93"/>
        <v>0</v>
      </c>
      <c r="CF75" s="386">
        <f t="shared" si="94"/>
        <v>0</v>
      </c>
      <c r="CG75" s="386">
        <f t="shared" si="95"/>
        <v>0</v>
      </c>
      <c r="CH75" s="386">
        <f t="shared" si="96"/>
        <v>0</v>
      </c>
      <c r="CI75" s="386">
        <f t="shared" si="97"/>
        <v>0</v>
      </c>
      <c r="CJ75" s="386">
        <f t="shared" si="110"/>
        <v>0</v>
      </c>
      <c r="CK75" s="386" t="str">
        <f t="shared" si="111"/>
        <v/>
      </c>
      <c r="CL75" s="386" t="str">
        <f t="shared" si="112"/>
        <v/>
      </c>
      <c r="CM75" s="386" t="str">
        <f t="shared" si="113"/>
        <v/>
      </c>
      <c r="CN75" s="386" t="str">
        <f t="shared" si="114"/>
        <v>0126-00</v>
      </c>
    </row>
    <row r="76" spans="1:92" ht="15.75" thickBot="1" x14ac:dyDescent="0.3">
      <c r="A76" s="376" t="s">
        <v>162</v>
      </c>
      <c r="B76" s="376" t="s">
        <v>163</v>
      </c>
      <c r="C76" s="376" t="s">
        <v>383</v>
      </c>
      <c r="D76" s="376" t="s">
        <v>384</v>
      </c>
      <c r="E76" s="376" t="s">
        <v>375</v>
      </c>
      <c r="F76" s="377" t="s">
        <v>167</v>
      </c>
      <c r="G76" s="376" t="s">
        <v>376</v>
      </c>
      <c r="H76" s="378"/>
      <c r="I76" s="378"/>
      <c r="J76" s="376" t="s">
        <v>169</v>
      </c>
      <c r="K76" s="376" t="s">
        <v>385</v>
      </c>
      <c r="L76" s="376" t="s">
        <v>167</v>
      </c>
      <c r="M76" s="376" t="s">
        <v>172</v>
      </c>
      <c r="N76" s="376" t="s">
        <v>173</v>
      </c>
      <c r="O76" s="379">
        <v>1</v>
      </c>
      <c r="P76" s="384">
        <v>0</v>
      </c>
      <c r="Q76" s="384">
        <v>0</v>
      </c>
      <c r="R76" s="380">
        <v>80</v>
      </c>
      <c r="S76" s="384">
        <v>0</v>
      </c>
      <c r="T76" s="380">
        <v>17045.13</v>
      </c>
      <c r="U76" s="380">
        <v>0</v>
      </c>
      <c r="V76" s="380">
        <v>5162.04</v>
      </c>
      <c r="W76" s="380">
        <v>0</v>
      </c>
      <c r="X76" s="380">
        <v>0</v>
      </c>
      <c r="Y76" s="380">
        <v>0</v>
      </c>
      <c r="Z76" s="380">
        <v>0</v>
      </c>
      <c r="AA76" s="376" t="s">
        <v>386</v>
      </c>
      <c r="AB76" s="376" t="s">
        <v>387</v>
      </c>
      <c r="AC76" s="376" t="s">
        <v>388</v>
      </c>
      <c r="AD76" s="376" t="s">
        <v>340</v>
      </c>
      <c r="AE76" s="376" t="s">
        <v>385</v>
      </c>
      <c r="AF76" s="376" t="s">
        <v>178</v>
      </c>
      <c r="AG76" s="376" t="s">
        <v>179</v>
      </c>
      <c r="AH76" s="381">
        <v>43.34</v>
      </c>
      <c r="AI76" s="381">
        <v>53579.1</v>
      </c>
      <c r="AJ76" s="376" t="s">
        <v>180</v>
      </c>
      <c r="AK76" s="376" t="s">
        <v>181</v>
      </c>
      <c r="AL76" s="376" t="s">
        <v>182</v>
      </c>
      <c r="AM76" s="376" t="s">
        <v>183</v>
      </c>
      <c r="AN76" s="376" t="s">
        <v>66</v>
      </c>
      <c r="AO76" s="379">
        <v>80</v>
      </c>
      <c r="AP76" s="384">
        <v>1</v>
      </c>
      <c r="AQ76" s="384">
        <v>0</v>
      </c>
      <c r="AR76" s="382" t="s">
        <v>184</v>
      </c>
      <c r="AS76" s="386">
        <f t="shared" si="98"/>
        <v>0</v>
      </c>
      <c r="AT76">
        <f t="shared" si="99"/>
        <v>0</v>
      </c>
      <c r="AU76" s="386" t="str">
        <f>IF(AT76=0,"",IF(AND(AT76=1,M76="F",SUMIF(C2:C201,C76,AS2:AS201)&lt;=1),SUMIF(C2:C201,C76,AS2:AS201),IF(AND(AT76=1,M76="F",SUMIF(C2:C201,C76,AS2:AS201)&gt;1),1,"")))</f>
        <v/>
      </c>
      <c r="AV76" s="386" t="str">
        <f>IF(AT76=0,"",IF(AND(AT76=3,M76="F",SUMIF(C2:C201,C76,AS2:AS201)&lt;=1),SUMIF(C2:C201,C76,AS2:AS201),IF(AND(AT76=3,M76="F",SUMIF(C2:C201,C76,AS2:AS201)&gt;1),1,"")))</f>
        <v/>
      </c>
      <c r="AW76" s="386">
        <f>SUMIF(C2:C201,C76,O2:O201)</f>
        <v>2</v>
      </c>
      <c r="AX76" s="386">
        <f>IF(AND(M76="F",AS76&lt;&gt;0),SUMIF(C2:C201,C76,W2:W201),0)</f>
        <v>0</v>
      </c>
      <c r="AY76" s="386" t="str">
        <f t="shared" si="100"/>
        <v/>
      </c>
      <c r="AZ76" s="386" t="str">
        <f t="shared" si="101"/>
        <v/>
      </c>
      <c r="BA76" s="386">
        <f t="shared" si="102"/>
        <v>0</v>
      </c>
      <c r="BB76" s="386">
        <f t="shared" si="71"/>
        <v>0</v>
      </c>
      <c r="BC76" s="386">
        <f t="shared" si="72"/>
        <v>0</v>
      </c>
      <c r="BD76" s="386">
        <f t="shared" si="73"/>
        <v>0</v>
      </c>
      <c r="BE76" s="386">
        <f t="shared" si="74"/>
        <v>0</v>
      </c>
      <c r="BF76" s="386">
        <f t="shared" si="75"/>
        <v>0</v>
      </c>
      <c r="BG76" s="386">
        <f t="shared" si="76"/>
        <v>0</v>
      </c>
      <c r="BH76" s="386">
        <f t="shared" si="77"/>
        <v>0</v>
      </c>
      <c r="BI76" s="386">
        <f t="shared" si="78"/>
        <v>0</v>
      </c>
      <c r="BJ76" s="386">
        <f t="shared" si="79"/>
        <v>0</v>
      </c>
      <c r="BK76" s="386">
        <f t="shared" si="80"/>
        <v>0</v>
      </c>
      <c r="BL76" s="386">
        <f t="shared" si="103"/>
        <v>0</v>
      </c>
      <c r="BM76" s="386">
        <f t="shared" si="104"/>
        <v>0</v>
      </c>
      <c r="BN76" s="386">
        <f t="shared" si="81"/>
        <v>0</v>
      </c>
      <c r="BO76" s="386">
        <f t="shared" si="82"/>
        <v>0</v>
      </c>
      <c r="BP76" s="386">
        <f t="shared" si="83"/>
        <v>0</v>
      </c>
      <c r="BQ76" s="386">
        <f t="shared" si="84"/>
        <v>0</v>
      </c>
      <c r="BR76" s="386">
        <f t="shared" si="85"/>
        <v>0</v>
      </c>
      <c r="BS76" s="386">
        <f t="shared" si="86"/>
        <v>0</v>
      </c>
      <c r="BT76" s="386">
        <f t="shared" si="87"/>
        <v>0</v>
      </c>
      <c r="BU76" s="386">
        <f t="shared" si="88"/>
        <v>0</v>
      </c>
      <c r="BV76" s="386">
        <f t="shared" si="89"/>
        <v>0</v>
      </c>
      <c r="BW76" s="386">
        <f t="shared" si="90"/>
        <v>0</v>
      </c>
      <c r="BX76" s="386">
        <f t="shared" si="105"/>
        <v>0</v>
      </c>
      <c r="BY76" s="386">
        <f t="shared" si="106"/>
        <v>0</v>
      </c>
      <c r="BZ76" s="386">
        <f t="shared" si="107"/>
        <v>0</v>
      </c>
      <c r="CA76" s="386">
        <f t="shared" si="108"/>
        <v>0</v>
      </c>
      <c r="CB76" s="386">
        <f t="shared" si="109"/>
        <v>0</v>
      </c>
      <c r="CC76" s="386">
        <f t="shared" si="91"/>
        <v>0</v>
      </c>
      <c r="CD76" s="386">
        <f t="shared" si="92"/>
        <v>0</v>
      </c>
      <c r="CE76" s="386">
        <f t="shared" si="93"/>
        <v>0</v>
      </c>
      <c r="CF76" s="386">
        <f t="shared" si="94"/>
        <v>0</v>
      </c>
      <c r="CG76" s="386">
        <f t="shared" si="95"/>
        <v>0</v>
      </c>
      <c r="CH76" s="386">
        <f t="shared" si="96"/>
        <v>0</v>
      </c>
      <c r="CI76" s="386">
        <f t="shared" si="97"/>
        <v>0</v>
      </c>
      <c r="CJ76" s="386">
        <f t="shared" si="110"/>
        <v>0</v>
      </c>
      <c r="CK76" s="386" t="str">
        <f t="shared" si="111"/>
        <v/>
      </c>
      <c r="CL76" s="386" t="str">
        <f t="shared" si="112"/>
        <v/>
      </c>
      <c r="CM76" s="386" t="str">
        <f t="shared" si="113"/>
        <v/>
      </c>
      <c r="CN76" s="386" t="str">
        <f t="shared" si="114"/>
        <v>0126-00</v>
      </c>
    </row>
    <row r="77" spans="1:92" ht="15.75" thickBot="1" x14ac:dyDescent="0.3">
      <c r="A77" s="376" t="s">
        <v>162</v>
      </c>
      <c r="B77" s="376" t="s">
        <v>163</v>
      </c>
      <c r="C77" s="376" t="s">
        <v>389</v>
      </c>
      <c r="D77" s="376" t="s">
        <v>390</v>
      </c>
      <c r="E77" s="376" t="s">
        <v>375</v>
      </c>
      <c r="F77" s="377" t="s">
        <v>167</v>
      </c>
      <c r="G77" s="376" t="s">
        <v>376</v>
      </c>
      <c r="H77" s="378"/>
      <c r="I77" s="378"/>
      <c r="J77" s="376" t="s">
        <v>169</v>
      </c>
      <c r="K77" s="376" t="s">
        <v>391</v>
      </c>
      <c r="L77" s="376" t="s">
        <v>167</v>
      </c>
      <c r="M77" s="376" t="s">
        <v>172</v>
      </c>
      <c r="N77" s="376" t="s">
        <v>173</v>
      </c>
      <c r="O77" s="379">
        <v>1</v>
      </c>
      <c r="P77" s="384">
        <v>0</v>
      </c>
      <c r="Q77" s="384">
        <v>0</v>
      </c>
      <c r="R77" s="380">
        <v>80</v>
      </c>
      <c r="S77" s="384">
        <v>0</v>
      </c>
      <c r="T77" s="380">
        <v>5072.95</v>
      </c>
      <c r="U77" s="380">
        <v>0</v>
      </c>
      <c r="V77" s="380">
        <v>2005.34</v>
      </c>
      <c r="W77" s="380">
        <v>0</v>
      </c>
      <c r="X77" s="380">
        <v>0</v>
      </c>
      <c r="Y77" s="380">
        <v>0</v>
      </c>
      <c r="Z77" s="380">
        <v>0</v>
      </c>
      <c r="AA77" s="376" t="s">
        <v>392</v>
      </c>
      <c r="AB77" s="376" t="s">
        <v>393</v>
      </c>
      <c r="AC77" s="376" t="s">
        <v>394</v>
      </c>
      <c r="AD77" s="376" t="s">
        <v>171</v>
      </c>
      <c r="AE77" s="376" t="s">
        <v>391</v>
      </c>
      <c r="AF77" s="376" t="s">
        <v>178</v>
      </c>
      <c r="AG77" s="376" t="s">
        <v>179</v>
      </c>
      <c r="AH77" s="381">
        <v>28.62</v>
      </c>
      <c r="AI77" s="379">
        <v>15759</v>
      </c>
      <c r="AJ77" s="376" t="s">
        <v>180</v>
      </c>
      <c r="AK77" s="376" t="s">
        <v>181</v>
      </c>
      <c r="AL77" s="376" t="s">
        <v>182</v>
      </c>
      <c r="AM77" s="376" t="s">
        <v>183</v>
      </c>
      <c r="AN77" s="376" t="s">
        <v>66</v>
      </c>
      <c r="AO77" s="379">
        <v>80</v>
      </c>
      <c r="AP77" s="384">
        <v>1</v>
      </c>
      <c r="AQ77" s="384">
        <v>0</v>
      </c>
      <c r="AR77" s="382" t="s">
        <v>184</v>
      </c>
      <c r="AS77" s="386">
        <f t="shared" si="98"/>
        <v>0</v>
      </c>
      <c r="AT77">
        <f t="shared" si="99"/>
        <v>0</v>
      </c>
      <c r="AU77" s="386" t="str">
        <f>IF(AT77=0,"",IF(AND(AT77=1,M77="F",SUMIF(C2:C201,C77,AS2:AS201)&lt;=1),SUMIF(C2:C201,C77,AS2:AS201),IF(AND(AT77=1,M77="F",SUMIF(C2:C201,C77,AS2:AS201)&gt;1),1,"")))</f>
        <v/>
      </c>
      <c r="AV77" s="386" t="str">
        <f>IF(AT77=0,"",IF(AND(AT77=3,M77="F",SUMIF(C2:C201,C77,AS2:AS201)&lt;=1),SUMIF(C2:C201,C77,AS2:AS201),IF(AND(AT77=3,M77="F",SUMIF(C2:C201,C77,AS2:AS201)&gt;1),1,"")))</f>
        <v/>
      </c>
      <c r="AW77" s="386">
        <f>SUMIF(C2:C201,C77,O2:O201)</f>
        <v>2</v>
      </c>
      <c r="AX77" s="386">
        <f>IF(AND(M77="F",AS77&lt;&gt;0),SUMIF(C2:C201,C77,W2:W201),0)</f>
        <v>0</v>
      </c>
      <c r="AY77" s="386" t="str">
        <f t="shared" si="100"/>
        <v/>
      </c>
      <c r="AZ77" s="386" t="str">
        <f t="shared" si="101"/>
        <v/>
      </c>
      <c r="BA77" s="386">
        <f t="shared" si="102"/>
        <v>0</v>
      </c>
      <c r="BB77" s="386">
        <f t="shared" si="71"/>
        <v>0</v>
      </c>
      <c r="BC77" s="386">
        <f t="shared" si="72"/>
        <v>0</v>
      </c>
      <c r="BD77" s="386">
        <f t="shared" si="73"/>
        <v>0</v>
      </c>
      <c r="BE77" s="386">
        <f t="shared" si="74"/>
        <v>0</v>
      </c>
      <c r="BF77" s="386">
        <f t="shared" si="75"/>
        <v>0</v>
      </c>
      <c r="BG77" s="386">
        <f t="shared" si="76"/>
        <v>0</v>
      </c>
      <c r="BH77" s="386">
        <f t="shared" si="77"/>
        <v>0</v>
      </c>
      <c r="BI77" s="386">
        <f t="shared" si="78"/>
        <v>0</v>
      </c>
      <c r="BJ77" s="386">
        <f t="shared" si="79"/>
        <v>0</v>
      </c>
      <c r="BK77" s="386">
        <f t="shared" si="80"/>
        <v>0</v>
      </c>
      <c r="BL77" s="386">
        <f t="shared" si="103"/>
        <v>0</v>
      </c>
      <c r="BM77" s="386">
        <f t="shared" si="104"/>
        <v>0</v>
      </c>
      <c r="BN77" s="386">
        <f t="shared" si="81"/>
        <v>0</v>
      </c>
      <c r="BO77" s="386">
        <f t="shared" si="82"/>
        <v>0</v>
      </c>
      <c r="BP77" s="386">
        <f t="shared" si="83"/>
        <v>0</v>
      </c>
      <c r="BQ77" s="386">
        <f t="shared" si="84"/>
        <v>0</v>
      </c>
      <c r="BR77" s="386">
        <f t="shared" si="85"/>
        <v>0</v>
      </c>
      <c r="BS77" s="386">
        <f t="shared" si="86"/>
        <v>0</v>
      </c>
      <c r="BT77" s="386">
        <f t="shared" si="87"/>
        <v>0</v>
      </c>
      <c r="BU77" s="386">
        <f t="shared" si="88"/>
        <v>0</v>
      </c>
      <c r="BV77" s="386">
        <f t="shared" si="89"/>
        <v>0</v>
      </c>
      <c r="BW77" s="386">
        <f t="shared" si="90"/>
        <v>0</v>
      </c>
      <c r="BX77" s="386">
        <f t="shared" si="105"/>
        <v>0</v>
      </c>
      <c r="BY77" s="386">
        <f t="shared" si="106"/>
        <v>0</v>
      </c>
      <c r="BZ77" s="386">
        <f t="shared" si="107"/>
        <v>0</v>
      </c>
      <c r="CA77" s="386">
        <f t="shared" si="108"/>
        <v>0</v>
      </c>
      <c r="CB77" s="386">
        <f t="shared" si="109"/>
        <v>0</v>
      </c>
      <c r="CC77" s="386">
        <f t="shared" si="91"/>
        <v>0</v>
      </c>
      <c r="CD77" s="386">
        <f t="shared" si="92"/>
        <v>0</v>
      </c>
      <c r="CE77" s="386">
        <f t="shared" si="93"/>
        <v>0</v>
      </c>
      <c r="CF77" s="386">
        <f t="shared" si="94"/>
        <v>0</v>
      </c>
      <c r="CG77" s="386">
        <f t="shared" si="95"/>
        <v>0</v>
      </c>
      <c r="CH77" s="386">
        <f t="shared" si="96"/>
        <v>0</v>
      </c>
      <c r="CI77" s="386">
        <f t="shared" si="97"/>
        <v>0</v>
      </c>
      <c r="CJ77" s="386">
        <f t="shared" si="110"/>
        <v>0</v>
      </c>
      <c r="CK77" s="386" t="str">
        <f t="shared" si="111"/>
        <v/>
      </c>
      <c r="CL77" s="386" t="str">
        <f t="shared" si="112"/>
        <v/>
      </c>
      <c r="CM77" s="386" t="str">
        <f t="shared" si="113"/>
        <v/>
      </c>
      <c r="CN77" s="386" t="str">
        <f t="shared" si="114"/>
        <v>0126-00</v>
      </c>
    </row>
    <row r="78" spans="1:92" ht="15.75" thickBot="1" x14ac:dyDescent="0.3">
      <c r="A78" s="376" t="s">
        <v>162</v>
      </c>
      <c r="B78" s="376" t="s">
        <v>163</v>
      </c>
      <c r="C78" s="376" t="s">
        <v>236</v>
      </c>
      <c r="D78" s="376" t="s">
        <v>237</v>
      </c>
      <c r="E78" s="376" t="s">
        <v>375</v>
      </c>
      <c r="F78" s="377" t="s">
        <v>167</v>
      </c>
      <c r="G78" s="376" t="s">
        <v>376</v>
      </c>
      <c r="H78" s="378"/>
      <c r="I78" s="378"/>
      <c r="J78" s="376" t="s">
        <v>169</v>
      </c>
      <c r="K78" s="376" t="s">
        <v>238</v>
      </c>
      <c r="L78" s="376" t="s">
        <v>167</v>
      </c>
      <c r="M78" s="376" t="s">
        <v>172</v>
      </c>
      <c r="N78" s="376" t="s">
        <v>173</v>
      </c>
      <c r="O78" s="379">
        <v>1</v>
      </c>
      <c r="P78" s="384">
        <v>0</v>
      </c>
      <c r="Q78" s="384">
        <v>0</v>
      </c>
      <c r="R78" s="380">
        <v>80</v>
      </c>
      <c r="S78" s="384">
        <v>0</v>
      </c>
      <c r="T78" s="380">
        <v>23800.400000000001</v>
      </c>
      <c r="U78" s="380">
        <v>0</v>
      </c>
      <c r="V78" s="380">
        <v>6896.55</v>
      </c>
      <c r="W78" s="380">
        <v>0</v>
      </c>
      <c r="X78" s="380">
        <v>0</v>
      </c>
      <c r="Y78" s="380">
        <v>0</v>
      </c>
      <c r="Z78" s="380">
        <v>0</v>
      </c>
      <c r="AA78" s="376" t="s">
        <v>239</v>
      </c>
      <c r="AB78" s="376" t="s">
        <v>240</v>
      </c>
      <c r="AC78" s="376" t="s">
        <v>241</v>
      </c>
      <c r="AD78" s="376" t="s">
        <v>242</v>
      </c>
      <c r="AE78" s="376" t="s">
        <v>238</v>
      </c>
      <c r="AF78" s="376" t="s">
        <v>178</v>
      </c>
      <c r="AG78" s="376" t="s">
        <v>179</v>
      </c>
      <c r="AH78" s="381">
        <v>47.51</v>
      </c>
      <c r="AI78" s="379">
        <v>34797</v>
      </c>
      <c r="AJ78" s="376" t="s">
        <v>180</v>
      </c>
      <c r="AK78" s="376" t="s">
        <v>181</v>
      </c>
      <c r="AL78" s="376" t="s">
        <v>182</v>
      </c>
      <c r="AM78" s="376" t="s">
        <v>183</v>
      </c>
      <c r="AN78" s="376" t="s">
        <v>66</v>
      </c>
      <c r="AO78" s="379">
        <v>80</v>
      </c>
      <c r="AP78" s="384">
        <v>1</v>
      </c>
      <c r="AQ78" s="384">
        <v>0</v>
      </c>
      <c r="AR78" s="382" t="s">
        <v>184</v>
      </c>
      <c r="AS78" s="386">
        <f t="shared" si="98"/>
        <v>0</v>
      </c>
      <c r="AT78">
        <f t="shared" si="99"/>
        <v>0</v>
      </c>
      <c r="AU78" s="386" t="str">
        <f>IF(AT78=0,"",IF(AND(AT78=1,M78="F",SUMIF(C2:C201,C78,AS2:AS201)&lt;=1),SUMIF(C2:C201,C78,AS2:AS201),IF(AND(AT78=1,M78="F",SUMIF(C2:C201,C78,AS2:AS201)&gt;1),1,"")))</f>
        <v/>
      </c>
      <c r="AV78" s="386" t="str">
        <f>IF(AT78=0,"",IF(AND(AT78=3,M78="F",SUMIF(C2:C201,C78,AS2:AS201)&lt;=1),SUMIF(C2:C201,C78,AS2:AS201),IF(AND(AT78=3,M78="F",SUMIF(C2:C201,C78,AS2:AS201)&gt;1),1,"")))</f>
        <v/>
      </c>
      <c r="AW78" s="386">
        <f>SUMIF(C2:C201,C78,O2:O201)</f>
        <v>3</v>
      </c>
      <c r="AX78" s="386">
        <f>IF(AND(M78="F",AS78&lt;&gt;0),SUMIF(C2:C201,C78,W2:W201),0)</f>
        <v>0</v>
      </c>
      <c r="AY78" s="386" t="str">
        <f t="shared" si="100"/>
        <v/>
      </c>
      <c r="AZ78" s="386" t="str">
        <f t="shared" si="101"/>
        <v/>
      </c>
      <c r="BA78" s="386">
        <f t="shared" si="102"/>
        <v>0</v>
      </c>
      <c r="BB78" s="386">
        <f t="shared" si="71"/>
        <v>0</v>
      </c>
      <c r="BC78" s="386">
        <f t="shared" si="72"/>
        <v>0</v>
      </c>
      <c r="BD78" s="386">
        <f t="shared" si="73"/>
        <v>0</v>
      </c>
      <c r="BE78" s="386">
        <f t="shared" si="74"/>
        <v>0</v>
      </c>
      <c r="BF78" s="386">
        <f t="shared" si="75"/>
        <v>0</v>
      </c>
      <c r="BG78" s="386">
        <f t="shared" si="76"/>
        <v>0</v>
      </c>
      <c r="BH78" s="386">
        <f t="shared" si="77"/>
        <v>0</v>
      </c>
      <c r="BI78" s="386">
        <f t="shared" si="78"/>
        <v>0</v>
      </c>
      <c r="BJ78" s="386">
        <f t="shared" si="79"/>
        <v>0</v>
      </c>
      <c r="BK78" s="386">
        <f t="shared" si="80"/>
        <v>0</v>
      </c>
      <c r="BL78" s="386">
        <f t="shared" si="103"/>
        <v>0</v>
      </c>
      <c r="BM78" s="386">
        <f t="shared" si="104"/>
        <v>0</v>
      </c>
      <c r="BN78" s="386">
        <f t="shared" si="81"/>
        <v>0</v>
      </c>
      <c r="BO78" s="386">
        <f t="shared" si="82"/>
        <v>0</v>
      </c>
      <c r="BP78" s="386">
        <f t="shared" si="83"/>
        <v>0</v>
      </c>
      <c r="BQ78" s="386">
        <f t="shared" si="84"/>
        <v>0</v>
      </c>
      <c r="BR78" s="386">
        <f t="shared" si="85"/>
        <v>0</v>
      </c>
      <c r="BS78" s="386">
        <f t="shared" si="86"/>
        <v>0</v>
      </c>
      <c r="BT78" s="386">
        <f t="shared" si="87"/>
        <v>0</v>
      </c>
      <c r="BU78" s="386">
        <f t="shared" si="88"/>
        <v>0</v>
      </c>
      <c r="BV78" s="386">
        <f t="shared" si="89"/>
        <v>0</v>
      </c>
      <c r="BW78" s="386">
        <f t="shared" si="90"/>
        <v>0</v>
      </c>
      <c r="BX78" s="386">
        <f t="shared" si="105"/>
        <v>0</v>
      </c>
      <c r="BY78" s="386">
        <f t="shared" si="106"/>
        <v>0</v>
      </c>
      <c r="BZ78" s="386">
        <f t="shared" si="107"/>
        <v>0</v>
      </c>
      <c r="CA78" s="386">
        <f t="shared" si="108"/>
        <v>0</v>
      </c>
      <c r="CB78" s="386">
        <f t="shared" si="109"/>
        <v>0</v>
      </c>
      <c r="CC78" s="386">
        <f t="shared" si="91"/>
        <v>0</v>
      </c>
      <c r="CD78" s="386">
        <f t="shared" si="92"/>
        <v>0</v>
      </c>
      <c r="CE78" s="386">
        <f t="shared" si="93"/>
        <v>0</v>
      </c>
      <c r="CF78" s="386">
        <f t="shared" si="94"/>
        <v>0</v>
      </c>
      <c r="CG78" s="386">
        <f t="shared" si="95"/>
        <v>0</v>
      </c>
      <c r="CH78" s="386">
        <f t="shared" si="96"/>
        <v>0</v>
      </c>
      <c r="CI78" s="386">
        <f t="shared" si="97"/>
        <v>0</v>
      </c>
      <c r="CJ78" s="386">
        <f t="shared" si="110"/>
        <v>0</v>
      </c>
      <c r="CK78" s="386" t="str">
        <f t="shared" si="111"/>
        <v/>
      </c>
      <c r="CL78" s="386" t="str">
        <f t="shared" si="112"/>
        <v/>
      </c>
      <c r="CM78" s="386" t="str">
        <f t="shared" si="113"/>
        <v/>
      </c>
      <c r="CN78" s="386" t="str">
        <f t="shared" si="114"/>
        <v>0126-00</v>
      </c>
    </row>
    <row r="79" spans="1:92" ht="15.75" thickBot="1" x14ac:dyDescent="0.3">
      <c r="A79" s="376" t="s">
        <v>162</v>
      </c>
      <c r="B79" s="376" t="s">
        <v>163</v>
      </c>
      <c r="C79" s="376" t="s">
        <v>257</v>
      </c>
      <c r="D79" s="376" t="s">
        <v>258</v>
      </c>
      <c r="E79" s="376" t="s">
        <v>375</v>
      </c>
      <c r="F79" s="377" t="s">
        <v>167</v>
      </c>
      <c r="G79" s="376" t="s">
        <v>376</v>
      </c>
      <c r="H79" s="378"/>
      <c r="I79" s="378"/>
      <c r="J79" s="376" t="s">
        <v>220</v>
      </c>
      <c r="K79" s="376" t="s">
        <v>259</v>
      </c>
      <c r="L79" s="376" t="s">
        <v>167</v>
      </c>
      <c r="M79" s="376" t="s">
        <v>172</v>
      </c>
      <c r="N79" s="376" t="s">
        <v>173</v>
      </c>
      <c r="O79" s="379">
        <v>1</v>
      </c>
      <c r="P79" s="384">
        <v>0</v>
      </c>
      <c r="Q79" s="384">
        <v>0</v>
      </c>
      <c r="R79" s="380">
        <v>80</v>
      </c>
      <c r="S79" s="384">
        <v>0</v>
      </c>
      <c r="T79" s="380">
        <v>7282.46</v>
      </c>
      <c r="U79" s="380">
        <v>0</v>
      </c>
      <c r="V79" s="380">
        <v>2169.21</v>
      </c>
      <c r="W79" s="380">
        <v>0</v>
      </c>
      <c r="X79" s="380">
        <v>0</v>
      </c>
      <c r="Y79" s="380">
        <v>0</v>
      </c>
      <c r="Z79" s="380">
        <v>0</v>
      </c>
      <c r="AA79" s="376" t="s">
        <v>260</v>
      </c>
      <c r="AB79" s="376" t="s">
        <v>261</v>
      </c>
      <c r="AC79" s="376" t="s">
        <v>241</v>
      </c>
      <c r="AD79" s="376" t="s">
        <v>182</v>
      </c>
      <c r="AE79" s="376" t="s">
        <v>259</v>
      </c>
      <c r="AF79" s="376" t="s">
        <v>178</v>
      </c>
      <c r="AG79" s="376" t="s">
        <v>179</v>
      </c>
      <c r="AH79" s="381">
        <v>61.82</v>
      </c>
      <c r="AI79" s="379">
        <v>4977</v>
      </c>
      <c r="AJ79" s="376" t="s">
        <v>180</v>
      </c>
      <c r="AK79" s="376" t="s">
        <v>181</v>
      </c>
      <c r="AL79" s="376" t="s">
        <v>182</v>
      </c>
      <c r="AM79" s="376" t="s">
        <v>183</v>
      </c>
      <c r="AN79" s="376" t="s">
        <v>66</v>
      </c>
      <c r="AO79" s="379">
        <v>80</v>
      </c>
      <c r="AP79" s="384">
        <v>1</v>
      </c>
      <c r="AQ79" s="384">
        <v>0</v>
      </c>
      <c r="AR79" s="382" t="s">
        <v>184</v>
      </c>
      <c r="AS79" s="386">
        <f t="shared" si="98"/>
        <v>0</v>
      </c>
      <c r="AT79">
        <f t="shared" si="99"/>
        <v>0</v>
      </c>
      <c r="AU79" s="386" t="str">
        <f>IF(AT79=0,"",IF(AND(AT79=1,M79="F",SUMIF(C2:C201,C79,AS2:AS201)&lt;=1),SUMIF(C2:C201,C79,AS2:AS201),IF(AND(AT79=1,M79="F",SUMIF(C2:C201,C79,AS2:AS201)&gt;1),1,"")))</f>
        <v/>
      </c>
      <c r="AV79" s="386" t="str">
        <f>IF(AT79=0,"",IF(AND(AT79=3,M79="F",SUMIF(C2:C201,C79,AS2:AS201)&lt;=1),SUMIF(C2:C201,C79,AS2:AS201),IF(AND(AT79=3,M79="F",SUMIF(C2:C201,C79,AS2:AS201)&gt;1),1,"")))</f>
        <v/>
      </c>
      <c r="AW79" s="386">
        <f>SUMIF(C2:C201,C79,O2:O201)</f>
        <v>5</v>
      </c>
      <c r="AX79" s="386">
        <f>IF(AND(M79="F",AS79&lt;&gt;0),SUMIF(C2:C201,C79,W2:W201),0)</f>
        <v>0</v>
      </c>
      <c r="AY79" s="386" t="str">
        <f t="shared" si="100"/>
        <v/>
      </c>
      <c r="AZ79" s="386" t="str">
        <f t="shared" si="101"/>
        <v/>
      </c>
      <c r="BA79" s="386">
        <f t="shared" si="102"/>
        <v>0</v>
      </c>
      <c r="BB79" s="386">
        <f t="shared" si="71"/>
        <v>0</v>
      </c>
      <c r="BC79" s="386">
        <f t="shared" si="72"/>
        <v>0</v>
      </c>
      <c r="BD79" s="386">
        <f t="shared" si="73"/>
        <v>0</v>
      </c>
      <c r="BE79" s="386">
        <f t="shared" si="74"/>
        <v>0</v>
      </c>
      <c r="BF79" s="386">
        <f t="shared" si="75"/>
        <v>0</v>
      </c>
      <c r="BG79" s="386">
        <f t="shared" si="76"/>
        <v>0</v>
      </c>
      <c r="BH79" s="386">
        <f t="shared" si="77"/>
        <v>0</v>
      </c>
      <c r="BI79" s="386">
        <f t="shared" si="78"/>
        <v>0</v>
      </c>
      <c r="BJ79" s="386">
        <f t="shared" si="79"/>
        <v>0</v>
      </c>
      <c r="BK79" s="386">
        <f t="shared" si="80"/>
        <v>0</v>
      </c>
      <c r="BL79" s="386">
        <f t="shared" si="103"/>
        <v>0</v>
      </c>
      <c r="BM79" s="386">
        <f t="shared" si="104"/>
        <v>0</v>
      </c>
      <c r="BN79" s="386">
        <f t="shared" si="81"/>
        <v>0</v>
      </c>
      <c r="BO79" s="386">
        <f t="shared" si="82"/>
        <v>0</v>
      </c>
      <c r="BP79" s="386">
        <f t="shared" si="83"/>
        <v>0</v>
      </c>
      <c r="BQ79" s="386">
        <f t="shared" si="84"/>
        <v>0</v>
      </c>
      <c r="BR79" s="386">
        <f t="shared" si="85"/>
        <v>0</v>
      </c>
      <c r="BS79" s="386">
        <f t="shared" si="86"/>
        <v>0</v>
      </c>
      <c r="BT79" s="386">
        <f t="shared" si="87"/>
        <v>0</v>
      </c>
      <c r="BU79" s="386">
        <f t="shared" si="88"/>
        <v>0</v>
      </c>
      <c r="BV79" s="386">
        <f t="shared" si="89"/>
        <v>0</v>
      </c>
      <c r="BW79" s="386">
        <f t="shared" si="90"/>
        <v>0</v>
      </c>
      <c r="BX79" s="386">
        <f t="shared" si="105"/>
        <v>0</v>
      </c>
      <c r="BY79" s="386">
        <f t="shared" si="106"/>
        <v>0</v>
      </c>
      <c r="BZ79" s="386">
        <f t="shared" si="107"/>
        <v>0</v>
      </c>
      <c r="CA79" s="386">
        <f t="shared" si="108"/>
        <v>0</v>
      </c>
      <c r="CB79" s="386">
        <f t="shared" si="109"/>
        <v>0</v>
      </c>
      <c r="CC79" s="386">
        <f t="shared" si="91"/>
        <v>0</v>
      </c>
      <c r="CD79" s="386">
        <f t="shared" si="92"/>
        <v>0</v>
      </c>
      <c r="CE79" s="386">
        <f t="shared" si="93"/>
        <v>0</v>
      </c>
      <c r="CF79" s="386">
        <f t="shared" si="94"/>
        <v>0</v>
      </c>
      <c r="CG79" s="386">
        <f t="shared" si="95"/>
        <v>0</v>
      </c>
      <c r="CH79" s="386">
        <f t="shared" si="96"/>
        <v>0</v>
      </c>
      <c r="CI79" s="386">
        <f t="shared" si="97"/>
        <v>0</v>
      </c>
      <c r="CJ79" s="386">
        <f t="shared" si="110"/>
        <v>0</v>
      </c>
      <c r="CK79" s="386" t="str">
        <f t="shared" si="111"/>
        <v/>
      </c>
      <c r="CL79" s="386" t="str">
        <f t="shared" si="112"/>
        <v/>
      </c>
      <c r="CM79" s="386" t="str">
        <f t="shared" si="113"/>
        <v/>
      </c>
      <c r="CN79" s="386" t="str">
        <f t="shared" si="114"/>
        <v>0126-00</v>
      </c>
    </row>
    <row r="80" spans="1:92" ht="15.75" thickBot="1" x14ac:dyDescent="0.3">
      <c r="A80" s="376" t="s">
        <v>162</v>
      </c>
      <c r="B80" s="376" t="s">
        <v>163</v>
      </c>
      <c r="C80" s="376" t="s">
        <v>395</v>
      </c>
      <c r="D80" s="376" t="s">
        <v>258</v>
      </c>
      <c r="E80" s="376" t="s">
        <v>375</v>
      </c>
      <c r="F80" s="377" t="s">
        <v>167</v>
      </c>
      <c r="G80" s="376" t="s">
        <v>376</v>
      </c>
      <c r="H80" s="378"/>
      <c r="I80" s="378"/>
      <c r="J80" s="376" t="s">
        <v>169</v>
      </c>
      <c r="K80" s="376" t="s">
        <v>259</v>
      </c>
      <c r="L80" s="376" t="s">
        <v>167</v>
      </c>
      <c r="M80" s="376" t="s">
        <v>172</v>
      </c>
      <c r="N80" s="376" t="s">
        <v>173</v>
      </c>
      <c r="O80" s="379">
        <v>1</v>
      </c>
      <c r="P80" s="384">
        <v>1</v>
      </c>
      <c r="Q80" s="384">
        <v>1</v>
      </c>
      <c r="R80" s="380">
        <v>80</v>
      </c>
      <c r="S80" s="384">
        <v>1</v>
      </c>
      <c r="T80" s="380">
        <v>97010.4</v>
      </c>
      <c r="U80" s="380">
        <v>0</v>
      </c>
      <c r="V80" s="380">
        <v>31698.33</v>
      </c>
      <c r="W80" s="380">
        <v>99486.399999999994</v>
      </c>
      <c r="X80" s="380">
        <v>32885.730000000003</v>
      </c>
      <c r="Y80" s="380">
        <v>99486.399999999994</v>
      </c>
      <c r="Z80" s="380">
        <v>33389.58</v>
      </c>
      <c r="AA80" s="376" t="s">
        <v>396</v>
      </c>
      <c r="AB80" s="376" t="s">
        <v>397</v>
      </c>
      <c r="AC80" s="376" t="s">
        <v>398</v>
      </c>
      <c r="AD80" s="376" t="s">
        <v>198</v>
      </c>
      <c r="AE80" s="376" t="s">
        <v>259</v>
      </c>
      <c r="AF80" s="376" t="s">
        <v>178</v>
      </c>
      <c r="AG80" s="376" t="s">
        <v>179</v>
      </c>
      <c r="AH80" s="381">
        <v>47.83</v>
      </c>
      <c r="AI80" s="379">
        <v>8840</v>
      </c>
      <c r="AJ80" s="376" t="s">
        <v>180</v>
      </c>
      <c r="AK80" s="376" t="s">
        <v>181</v>
      </c>
      <c r="AL80" s="376" t="s">
        <v>182</v>
      </c>
      <c r="AM80" s="376" t="s">
        <v>183</v>
      </c>
      <c r="AN80" s="376" t="s">
        <v>66</v>
      </c>
      <c r="AO80" s="379">
        <v>80</v>
      </c>
      <c r="AP80" s="384">
        <v>1</v>
      </c>
      <c r="AQ80" s="384">
        <v>1</v>
      </c>
      <c r="AR80" s="382" t="s">
        <v>184</v>
      </c>
      <c r="AS80" s="386">
        <f t="shared" si="98"/>
        <v>1</v>
      </c>
      <c r="AT80">
        <f t="shared" si="99"/>
        <v>1</v>
      </c>
      <c r="AU80" s="386">
        <f>IF(AT80=0,"",IF(AND(AT80=1,M80="F",SUMIF(C2:C201,C80,AS2:AS201)&lt;=1),SUMIF(C2:C201,C80,AS2:AS201),IF(AND(AT80=1,M80="F",SUMIF(C2:C201,C80,AS2:AS201)&gt;1),1,"")))</f>
        <v>1</v>
      </c>
      <c r="AV80" s="386" t="str">
        <f>IF(AT80=0,"",IF(AND(AT80=3,M80="F",SUMIF(C2:C201,C80,AS2:AS201)&lt;=1),SUMIF(C2:C201,C80,AS2:AS201),IF(AND(AT80=3,M80="F",SUMIF(C2:C201,C80,AS2:AS201)&gt;1),1,"")))</f>
        <v/>
      </c>
      <c r="AW80" s="386">
        <f>SUMIF(C2:C201,C80,O2:O201)</f>
        <v>1</v>
      </c>
      <c r="AX80" s="386">
        <f>IF(AND(M80="F",AS80&lt;&gt;0),SUMIF(C2:C201,C80,W2:W201),0)</f>
        <v>99486.399999999994</v>
      </c>
      <c r="AY80" s="386">
        <f t="shared" si="100"/>
        <v>99486.399999999994</v>
      </c>
      <c r="AZ80" s="386" t="str">
        <f t="shared" si="101"/>
        <v/>
      </c>
      <c r="BA80" s="386">
        <f t="shared" si="102"/>
        <v>0</v>
      </c>
      <c r="BB80" s="386">
        <f t="shared" si="71"/>
        <v>12500</v>
      </c>
      <c r="BC80" s="386">
        <f t="shared" si="72"/>
        <v>0</v>
      </c>
      <c r="BD80" s="386">
        <f t="shared" si="73"/>
        <v>6168.1567999999997</v>
      </c>
      <c r="BE80" s="386">
        <f t="shared" si="74"/>
        <v>1442.5527999999999</v>
      </c>
      <c r="BF80" s="386">
        <f t="shared" si="75"/>
        <v>11878.676159999999</v>
      </c>
      <c r="BG80" s="386">
        <f t="shared" si="76"/>
        <v>717.29694399999994</v>
      </c>
      <c r="BH80" s="386">
        <f t="shared" si="77"/>
        <v>0</v>
      </c>
      <c r="BI80" s="386">
        <f t="shared" si="78"/>
        <v>0</v>
      </c>
      <c r="BJ80" s="386">
        <f t="shared" si="79"/>
        <v>179.07551999999998</v>
      </c>
      <c r="BK80" s="386">
        <f t="shared" si="80"/>
        <v>0</v>
      </c>
      <c r="BL80" s="386">
        <f t="shared" si="103"/>
        <v>20385.758223999997</v>
      </c>
      <c r="BM80" s="386">
        <f t="shared" si="104"/>
        <v>0</v>
      </c>
      <c r="BN80" s="386">
        <f t="shared" si="81"/>
        <v>13750</v>
      </c>
      <c r="BO80" s="386">
        <f t="shared" si="82"/>
        <v>0</v>
      </c>
      <c r="BP80" s="386">
        <f t="shared" si="83"/>
        <v>6168.1567999999997</v>
      </c>
      <c r="BQ80" s="386">
        <f t="shared" si="84"/>
        <v>1442.5527999999999</v>
      </c>
      <c r="BR80" s="386">
        <f t="shared" si="85"/>
        <v>11122.579519999999</v>
      </c>
      <c r="BS80" s="386">
        <f t="shared" si="86"/>
        <v>717.29694399999994</v>
      </c>
      <c r="BT80" s="386">
        <f t="shared" si="87"/>
        <v>0</v>
      </c>
      <c r="BU80" s="386">
        <f t="shared" si="88"/>
        <v>0</v>
      </c>
      <c r="BV80" s="386">
        <f t="shared" si="89"/>
        <v>189.02415999999999</v>
      </c>
      <c r="BW80" s="386">
        <f t="shared" si="90"/>
        <v>0</v>
      </c>
      <c r="BX80" s="386">
        <f t="shared" si="105"/>
        <v>19639.610224000004</v>
      </c>
      <c r="BY80" s="386">
        <f t="shared" si="106"/>
        <v>0</v>
      </c>
      <c r="BZ80" s="386">
        <f t="shared" si="107"/>
        <v>1250</v>
      </c>
      <c r="CA80" s="386">
        <f t="shared" si="108"/>
        <v>0</v>
      </c>
      <c r="CB80" s="386">
        <f t="shared" si="109"/>
        <v>0</v>
      </c>
      <c r="CC80" s="386">
        <f t="shared" si="91"/>
        <v>0</v>
      </c>
      <c r="CD80" s="386">
        <f t="shared" si="92"/>
        <v>-756.09664000000089</v>
      </c>
      <c r="CE80" s="386">
        <f t="shared" si="93"/>
        <v>0</v>
      </c>
      <c r="CF80" s="386">
        <f t="shared" si="94"/>
        <v>0</v>
      </c>
      <c r="CG80" s="386">
        <f t="shared" si="95"/>
        <v>0</v>
      </c>
      <c r="CH80" s="386">
        <f t="shared" si="96"/>
        <v>9.9486400000000046</v>
      </c>
      <c r="CI80" s="386">
        <f t="shared" si="97"/>
        <v>0</v>
      </c>
      <c r="CJ80" s="386">
        <f t="shared" si="110"/>
        <v>-746.14800000000093</v>
      </c>
      <c r="CK80" s="386" t="str">
        <f t="shared" si="111"/>
        <v/>
      </c>
      <c r="CL80" s="386" t="str">
        <f t="shared" si="112"/>
        <v/>
      </c>
      <c r="CM80" s="386" t="str">
        <f t="shared" si="113"/>
        <v/>
      </c>
      <c r="CN80" s="386" t="str">
        <f t="shared" si="114"/>
        <v>0126-00</v>
      </c>
    </row>
    <row r="81" spans="1:92" ht="15.75" thickBot="1" x14ac:dyDescent="0.3">
      <c r="A81" s="376" t="s">
        <v>162</v>
      </c>
      <c r="B81" s="376" t="s">
        <v>163</v>
      </c>
      <c r="C81" s="376" t="s">
        <v>262</v>
      </c>
      <c r="D81" s="376" t="s">
        <v>263</v>
      </c>
      <c r="E81" s="376" t="s">
        <v>375</v>
      </c>
      <c r="F81" s="377" t="s">
        <v>167</v>
      </c>
      <c r="G81" s="376" t="s">
        <v>376</v>
      </c>
      <c r="H81" s="378"/>
      <c r="I81" s="378"/>
      <c r="J81" s="376" t="s">
        <v>264</v>
      </c>
      <c r="K81" s="376" t="s">
        <v>265</v>
      </c>
      <c r="L81" s="376" t="s">
        <v>182</v>
      </c>
      <c r="M81" s="376" t="s">
        <v>172</v>
      </c>
      <c r="N81" s="376" t="s">
        <v>173</v>
      </c>
      <c r="O81" s="379">
        <v>1</v>
      </c>
      <c r="P81" s="384">
        <v>0.7</v>
      </c>
      <c r="Q81" s="384">
        <v>0.7</v>
      </c>
      <c r="R81" s="380">
        <v>80</v>
      </c>
      <c r="S81" s="384">
        <v>0.7</v>
      </c>
      <c r="T81" s="380">
        <v>52143.46</v>
      </c>
      <c r="U81" s="380">
        <v>0</v>
      </c>
      <c r="V81" s="380">
        <v>18847.580000000002</v>
      </c>
      <c r="W81" s="380">
        <v>47713.120000000003</v>
      </c>
      <c r="X81" s="380">
        <v>18526.87</v>
      </c>
      <c r="Y81" s="380">
        <v>47713.120000000003</v>
      </c>
      <c r="Z81" s="380">
        <v>19044.02</v>
      </c>
      <c r="AA81" s="376" t="s">
        <v>266</v>
      </c>
      <c r="AB81" s="376" t="s">
        <v>267</v>
      </c>
      <c r="AC81" s="376" t="s">
        <v>268</v>
      </c>
      <c r="AD81" s="376" t="s">
        <v>182</v>
      </c>
      <c r="AE81" s="376" t="s">
        <v>265</v>
      </c>
      <c r="AF81" s="376" t="s">
        <v>178</v>
      </c>
      <c r="AG81" s="376" t="s">
        <v>179</v>
      </c>
      <c r="AH81" s="381">
        <v>32.770000000000003</v>
      </c>
      <c r="AI81" s="379">
        <v>8538</v>
      </c>
      <c r="AJ81" s="376" t="s">
        <v>180</v>
      </c>
      <c r="AK81" s="376" t="s">
        <v>181</v>
      </c>
      <c r="AL81" s="376" t="s">
        <v>182</v>
      </c>
      <c r="AM81" s="376" t="s">
        <v>183</v>
      </c>
      <c r="AN81" s="376" t="s">
        <v>66</v>
      </c>
      <c r="AO81" s="379">
        <v>80</v>
      </c>
      <c r="AP81" s="384">
        <v>1</v>
      </c>
      <c r="AQ81" s="384">
        <v>0.7</v>
      </c>
      <c r="AR81" s="382" t="s">
        <v>184</v>
      </c>
      <c r="AS81" s="386">
        <f t="shared" si="98"/>
        <v>0.7</v>
      </c>
      <c r="AT81">
        <f t="shared" si="99"/>
        <v>1</v>
      </c>
      <c r="AU81" s="386">
        <f>IF(AT81=0,"",IF(AND(AT81=1,M81="F",SUMIF(C2:C201,C81,AS2:AS201)&lt;=1),SUMIF(C2:C201,C81,AS2:AS201),IF(AND(AT81=1,M81="F",SUMIF(C2:C201,C81,AS2:AS201)&gt;1),1,"")))</f>
        <v>1</v>
      </c>
      <c r="AV81" s="386" t="str">
        <f>IF(AT81=0,"",IF(AND(AT81=3,M81="F",SUMIF(C2:C201,C81,AS2:AS201)&lt;=1),SUMIF(C2:C201,C81,AS2:AS201),IF(AND(AT81=3,M81="F",SUMIF(C2:C201,C81,AS2:AS201)&gt;1),1,"")))</f>
        <v/>
      </c>
      <c r="AW81" s="386">
        <f>SUMIF(C2:C201,C81,O2:O201)</f>
        <v>5</v>
      </c>
      <c r="AX81" s="386">
        <f>IF(AND(M81="F",AS81&lt;&gt;0),SUMIF(C2:C201,C81,W2:W201),0)</f>
        <v>68161.590000000011</v>
      </c>
      <c r="AY81" s="386">
        <f t="shared" si="100"/>
        <v>47713.120000000003</v>
      </c>
      <c r="AZ81" s="386" t="str">
        <f t="shared" si="101"/>
        <v/>
      </c>
      <c r="BA81" s="386">
        <f t="shared" si="102"/>
        <v>0</v>
      </c>
      <c r="BB81" s="386">
        <f t="shared" si="71"/>
        <v>8750</v>
      </c>
      <c r="BC81" s="386">
        <f t="shared" si="72"/>
        <v>0</v>
      </c>
      <c r="BD81" s="386">
        <f t="shared" si="73"/>
        <v>2958.21344</v>
      </c>
      <c r="BE81" s="386">
        <f t="shared" si="74"/>
        <v>691.84024000000011</v>
      </c>
      <c r="BF81" s="386">
        <f t="shared" si="75"/>
        <v>5696.9465280000004</v>
      </c>
      <c r="BG81" s="386">
        <f t="shared" si="76"/>
        <v>344.01159520000004</v>
      </c>
      <c r="BH81" s="386">
        <f t="shared" si="77"/>
        <v>0</v>
      </c>
      <c r="BI81" s="386">
        <f t="shared" si="78"/>
        <v>0</v>
      </c>
      <c r="BJ81" s="386">
        <f t="shared" si="79"/>
        <v>85.883616000000004</v>
      </c>
      <c r="BK81" s="386">
        <f t="shared" si="80"/>
        <v>0</v>
      </c>
      <c r="BL81" s="386">
        <f t="shared" si="103"/>
        <v>9776.8954192000001</v>
      </c>
      <c r="BM81" s="386">
        <f t="shared" si="104"/>
        <v>0</v>
      </c>
      <c r="BN81" s="386">
        <f t="shared" si="81"/>
        <v>9625</v>
      </c>
      <c r="BO81" s="386">
        <f t="shared" si="82"/>
        <v>0</v>
      </c>
      <c r="BP81" s="386">
        <f t="shared" si="83"/>
        <v>2958.21344</v>
      </c>
      <c r="BQ81" s="386">
        <f t="shared" si="84"/>
        <v>691.84024000000011</v>
      </c>
      <c r="BR81" s="386">
        <f t="shared" si="85"/>
        <v>5334.3268159999998</v>
      </c>
      <c r="BS81" s="386">
        <f t="shared" si="86"/>
        <v>344.01159520000004</v>
      </c>
      <c r="BT81" s="386">
        <f t="shared" si="87"/>
        <v>0</v>
      </c>
      <c r="BU81" s="386">
        <f t="shared" si="88"/>
        <v>0</v>
      </c>
      <c r="BV81" s="386">
        <f t="shared" si="89"/>
        <v>90.654927999999998</v>
      </c>
      <c r="BW81" s="386">
        <f t="shared" si="90"/>
        <v>0</v>
      </c>
      <c r="BX81" s="386">
        <f t="shared" si="105"/>
        <v>9419.0470191999993</v>
      </c>
      <c r="BY81" s="386">
        <f t="shared" si="106"/>
        <v>0</v>
      </c>
      <c r="BZ81" s="386">
        <f t="shared" si="107"/>
        <v>875</v>
      </c>
      <c r="CA81" s="386">
        <f t="shared" si="108"/>
        <v>0</v>
      </c>
      <c r="CB81" s="386">
        <f t="shared" si="109"/>
        <v>0</v>
      </c>
      <c r="CC81" s="386">
        <f t="shared" si="91"/>
        <v>0</v>
      </c>
      <c r="CD81" s="386">
        <f t="shared" si="92"/>
        <v>-362.61971200000045</v>
      </c>
      <c r="CE81" s="386">
        <f t="shared" si="93"/>
        <v>0</v>
      </c>
      <c r="CF81" s="386">
        <f t="shared" si="94"/>
        <v>0</v>
      </c>
      <c r="CG81" s="386">
        <f t="shared" si="95"/>
        <v>0</v>
      </c>
      <c r="CH81" s="386">
        <f t="shared" si="96"/>
        <v>4.7713120000000027</v>
      </c>
      <c r="CI81" s="386">
        <f t="shared" si="97"/>
        <v>0</v>
      </c>
      <c r="CJ81" s="386">
        <f t="shared" si="110"/>
        <v>-357.84840000000042</v>
      </c>
      <c r="CK81" s="386" t="str">
        <f t="shared" si="111"/>
        <v/>
      </c>
      <c r="CL81" s="386" t="str">
        <f t="shared" si="112"/>
        <v/>
      </c>
      <c r="CM81" s="386" t="str">
        <f t="shared" si="113"/>
        <v/>
      </c>
      <c r="CN81" s="386" t="str">
        <f t="shared" si="114"/>
        <v>0126-00</v>
      </c>
    </row>
    <row r="82" spans="1:92" ht="15.75" thickBot="1" x14ac:dyDescent="0.3">
      <c r="A82" s="376" t="s">
        <v>162</v>
      </c>
      <c r="B82" s="376" t="s">
        <v>163</v>
      </c>
      <c r="C82" s="376" t="s">
        <v>399</v>
      </c>
      <c r="D82" s="376" t="s">
        <v>400</v>
      </c>
      <c r="E82" s="376" t="s">
        <v>375</v>
      </c>
      <c r="F82" s="377" t="s">
        <v>167</v>
      </c>
      <c r="G82" s="376" t="s">
        <v>376</v>
      </c>
      <c r="H82" s="378"/>
      <c r="I82" s="378"/>
      <c r="J82" s="376" t="s">
        <v>169</v>
      </c>
      <c r="K82" s="376" t="s">
        <v>401</v>
      </c>
      <c r="L82" s="376" t="s">
        <v>167</v>
      </c>
      <c r="M82" s="376" t="s">
        <v>172</v>
      </c>
      <c r="N82" s="376" t="s">
        <v>173</v>
      </c>
      <c r="O82" s="379">
        <v>1</v>
      </c>
      <c r="P82" s="384">
        <v>0</v>
      </c>
      <c r="Q82" s="384">
        <v>0</v>
      </c>
      <c r="R82" s="380">
        <v>80</v>
      </c>
      <c r="S82" s="384">
        <v>0</v>
      </c>
      <c r="T82" s="380">
        <v>7236.25</v>
      </c>
      <c r="U82" s="380">
        <v>0</v>
      </c>
      <c r="V82" s="380">
        <v>2338.4899999999998</v>
      </c>
      <c r="W82" s="380">
        <v>0</v>
      </c>
      <c r="X82" s="380">
        <v>0</v>
      </c>
      <c r="Y82" s="380">
        <v>0</v>
      </c>
      <c r="Z82" s="380">
        <v>0</v>
      </c>
      <c r="AA82" s="376" t="s">
        <v>402</v>
      </c>
      <c r="AB82" s="376" t="s">
        <v>403</v>
      </c>
      <c r="AC82" s="376" t="s">
        <v>404</v>
      </c>
      <c r="AD82" s="376" t="s">
        <v>177</v>
      </c>
      <c r="AE82" s="376" t="s">
        <v>401</v>
      </c>
      <c r="AF82" s="376" t="s">
        <v>178</v>
      </c>
      <c r="AG82" s="376" t="s">
        <v>179</v>
      </c>
      <c r="AH82" s="381">
        <v>46.46</v>
      </c>
      <c r="AI82" s="381">
        <v>67964.5</v>
      </c>
      <c r="AJ82" s="376" t="s">
        <v>180</v>
      </c>
      <c r="AK82" s="376" t="s">
        <v>181</v>
      </c>
      <c r="AL82" s="376" t="s">
        <v>182</v>
      </c>
      <c r="AM82" s="376" t="s">
        <v>183</v>
      </c>
      <c r="AN82" s="376" t="s">
        <v>66</v>
      </c>
      <c r="AO82" s="379">
        <v>80</v>
      </c>
      <c r="AP82" s="384">
        <v>1</v>
      </c>
      <c r="AQ82" s="384">
        <v>0</v>
      </c>
      <c r="AR82" s="382" t="s">
        <v>184</v>
      </c>
      <c r="AS82" s="386">
        <f t="shared" si="98"/>
        <v>0</v>
      </c>
      <c r="AT82">
        <f t="shared" si="99"/>
        <v>0</v>
      </c>
      <c r="AU82" s="386" t="str">
        <f>IF(AT82=0,"",IF(AND(AT82=1,M82="F",SUMIF(C2:C201,C82,AS2:AS201)&lt;=1),SUMIF(C2:C201,C82,AS2:AS201),IF(AND(AT82=1,M82="F",SUMIF(C2:C201,C82,AS2:AS201)&gt;1),1,"")))</f>
        <v/>
      </c>
      <c r="AV82" s="386" t="str">
        <f>IF(AT82=0,"",IF(AND(AT82=3,M82="F",SUMIF(C2:C201,C82,AS2:AS201)&lt;=1),SUMIF(C2:C201,C82,AS2:AS201),IF(AND(AT82=3,M82="F",SUMIF(C2:C201,C82,AS2:AS201)&gt;1),1,"")))</f>
        <v/>
      </c>
      <c r="AW82" s="386">
        <f>SUMIF(C2:C201,C82,O2:O201)</f>
        <v>2</v>
      </c>
      <c r="AX82" s="386">
        <f>IF(AND(M82="F",AS82&lt;&gt;0),SUMIF(C2:C201,C82,W2:W201),0)</f>
        <v>0</v>
      </c>
      <c r="AY82" s="386" t="str">
        <f t="shared" si="100"/>
        <v/>
      </c>
      <c r="AZ82" s="386" t="str">
        <f t="shared" si="101"/>
        <v/>
      </c>
      <c r="BA82" s="386">
        <f t="shared" si="102"/>
        <v>0</v>
      </c>
      <c r="BB82" s="386">
        <f t="shared" si="71"/>
        <v>0</v>
      </c>
      <c r="BC82" s="386">
        <f t="shared" si="72"/>
        <v>0</v>
      </c>
      <c r="BD82" s="386">
        <f t="shared" si="73"/>
        <v>0</v>
      </c>
      <c r="BE82" s="386">
        <f t="shared" si="74"/>
        <v>0</v>
      </c>
      <c r="BF82" s="386">
        <f t="shared" si="75"/>
        <v>0</v>
      </c>
      <c r="BG82" s="386">
        <f t="shared" si="76"/>
        <v>0</v>
      </c>
      <c r="BH82" s="386">
        <f t="shared" si="77"/>
        <v>0</v>
      </c>
      <c r="BI82" s="386">
        <f t="shared" si="78"/>
        <v>0</v>
      </c>
      <c r="BJ82" s="386">
        <f t="shared" si="79"/>
        <v>0</v>
      </c>
      <c r="BK82" s="386">
        <f t="shared" si="80"/>
        <v>0</v>
      </c>
      <c r="BL82" s="386">
        <f t="shared" si="103"/>
        <v>0</v>
      </c>
      <c r="BM82" s="386">
        <f t="shared" si="104"/>
        <v>0</v>
      </c>
      <c r="BN82" s="386">
        <f t="shared" si="81"/>
        <v>0</v>
      </c>
      <c r="BO82" s="386">
        <f t="shared" si="82"/>
        <v>0</v>
      </c>
      <c r="BP82" s="386">
        <f t="shared" si="83"/>
        <v>0</v>
      </c>
      <c r="BQ82" s="386">
        <f t="shared" si="84"/>
        <v>0</v>
      </c>
      <c r="BR82" s="386">
        <f t="shared" si="85"/>
        <v>0</v>
      </c>
      <c r="BS82" s="386">
        <f t="shared" si="86"/>
        <v>0</v>
      </c>
      <c r="BT82" s="386">
        <f t="shared" si="87"/>
        <v>0</v>
      </c>
      <c r="BU82" s="386">
        <f t="shared" si="88"/>
        <v>0</v>
      </c>
      <c r="BV82" s="386">
        <f t="shared" si="89"/>
        <v>0</v>
      </c>
      <c r="BW82" s="386">
        <f t="shared" si="90"/>
        <v>0</v>
      </c>
      <c r="BX82" s="386">
        <f t="shared" si="105"/>
        <v>0</v>
      </c>
      <c r="BY82" s="386">
        <f t="shared" si="106"/>
        <v>0</v>
      </c>
      <c r="BZ82" s="386">
        <f t="shared" si="107"/>
        <v>0</v>
      </c>
      <c r="CA82" s="386">
        <f t="shared" si="108"/>
        <v>0</v>
      </c>
      <c r="CB82" s="386">
        <f t="shared" si="109"/>
        <v>0</v>
      </c>
      <c r="CC82" s="386">
        <f t="shared" si="91"/>
        <v>0</v>
      </c>
      <c r="CD82" s="386">
        <f t="shared" si="92"/>
        <v>0</v>
      </c>
      <c r="CE82" s="386">
        <f t="shared" si="93"/>
        <v>0</v>
      </c>
      <c r="CF82" s="386">
        <f t="shared" si="94"/>
        <v>0</v>
      </c>
      <c r="CG82" s="386">
        <f t="shared" si="95"/>
        <v>0</v>
      </c>
      <c r="CH82" s="386">
        <f t="shared" si="96"/>
        <v>0</v>
      </c>
      <c r="CI82" s="386">
        <f t="shared" si="97"/>
        <v>0</v>
      </c>
      <c r="CJ82" s="386">
        <f t="shared" si="110"/>
        <v>0</v>
      </c>
      <c r="CK82" s="386" t="str">
        <f t="shared" si="111"/>
        <v/>
      </c>
      <c r="CL82" s="386" t="str">
        <f t="shared" si="112"/>
        <v/>
      </c>
      <c r="CM82" s="386" t="str">
        <f t="shared" si="113"/>
        <v/>
      </c>
      <c r="CN82" s="386" t="str">
        <f t="shared" si="114"/>
        <v>0126-00</v>
      </c>
    </row>
    <row r="83" spans="1:92" ht="15.75" thickBot="1" x14ac:dyDescent="0.3">
      <c r="A83" s="376" t="s">
        <v>162</v>
      </c>
      <c r="B83" s="376" t="s">
        <v>163</v>
      </c>
      <c r="C83" s="376" t="s">
        <v>405</v>
      </c>
      <c r="D83" s="376" t="s">
        <v>406</v>
      </c>
      <c r="E83" s="376" t="s">
        <v>375</v>
      </c>
      <c r="F83" s="377" t="s">
        <v>167</v>
      </c>
      <c r="G83" s="376" t="s">
        <v>376</v>
      </c>
      <c r="H83" s="378"/>
      <c r="I83" s="378"/>
      <c r="J83" s="376" t="s">
        <v>169</v>
      </c>
      <c r="K83" s="376" t="s">
        <v>407</v>
      </c>
      <c r="L83" s="376" t="s">
        <v>198</v>
      </c>
      <c r="M83" s="376" t="s">
        <v>172</v>
      </c>
      <c r="N83" s="376" t="s">
        <v>173</v>
      </c>
      <c r="O83" s="379">
        <v>1</v>
      </c>
      <c r="P83" s="384">
        <v>0</v>
      </c>
      <c r="Q83" s="384">
        <v>0</v>
      </c>
      <c r="R83" s="380">
        <v>80</v>
      </c>
      <c r="S83" s="384">
        <v>0</v>
      </c>
      <c r="T83" s="380">
        <v>3395.52</v>
      </c>
      <c r="U83" s="380">
        <v>0</v>
      </c>
      <c r="V83" s="380">
        <v>1447.24</v>
      </c>
      <c r="W83" s="380">
        <v>0</v>
      </c>
      <c r="X83" s="380">
        <v>0</v>
      </c>
      <c r="Y83" s="380">
        <v>0</v>
      </c>
      <c r="Z83" s="380">
        <v>0</v>
      </c>
      <c r="AA83" s="376" t="s">
        <v>408</v>
      </c>
      <c r="AB83" s="376" t="s">
        <v>409</v>
      </c>
      <c r="AC83" s="376" t="s">
        <v>410</v>
      </c>
      <c r="AD83" s="376" t="s">
        <v>411</v>
      </c>
      <c r="AE83" s="376" t="s">
        <v>407</v>
      </c>
      <c r="AF83" s="376" t="s">
        <v>178</v>
      </c>
      <c r="AG83" s="376" t="s">
        <v>179</v>
      </c>
      <c r="AH83" s="381">
        <v>26.22</v>
      </c>
      <c r="AI83" s="379">
        <v>3022</v>
      </c>
      <c r="AJ83" s="376" t="s">
        <v>180</v>
      </c>
      <c r="AK83" s="376" t="s">
        <v>181</v>
      </c>
      <c r="AL83" s="376" t="s">
        <v>182</v>
      </c>
      <c r="AM83" s="376" t="s">
        <v>183</v>
      </c>
      <c r="AN83" s="376" t="s">
        <v>66</v>
      </c>
      <c r="AO83" s="379">
        <v>80</v>
      </c>
      <c r="AP83" s="384">
        <v>1</v>
      </c>
      <c r="AQ83" s="384">
        <v>0</v>
      </c>
      <c r="AR83" s="382" t="s">
        <v>184</v>
      </c>
      <c r="AS83" s="386">
        <f t="shared" si="98"/>
        <v>0</v>
      </c>
      <c r="AT83">
        <f t="shared" si="99"/>
        <v>0</v>
      </c>
      <c r="AU83" s="386" t="str">
        <f>IF(AT83=0,"",IF(AND(AT83=1,M83="F",SUMIF(C2:C201,C83,AS2:AS201)&lt;=1),SUMIF(C2:C201,C83,AS2:AS201),IF(AND(AT83=1,M83="F",SUMIF(C2:C201,C83,AS2:AS201)&gt;1),1,"")))</f>
        <v/>
      </c>
      <c r="AV83" s="386" t="str">
        <f>IF(AT83=0,"",IF(AND(AT83=3,M83="F",SUMIF(C2:C201,C83,AS2:AS201)&lt;=1),SUMIF(C2:C201,C83,AS2:AS201),IF(AND(AT83=3,M83="F",SUMIF(C2:C201,C83,AS2:AS201)&gt;1),1,"")))</f>
        <v/>
      </c>
      <c r="AW83" s="386">
        <f>SUMIF(C2:C201,C83,O2:O201)</f>
        <v>2</v>
      </c>
      <c r="AX83" s="386">
        <f>IF(AND(M83="F",AS83&lt;&gt;0),SUMIF(C2:C201,C83,W2:W201),0)</f>
        <v>0</v>
      </c>
      <c r="AY83" s="386" t="str">
        <f t="shared" si="100"/>
        <v/>
      </c>
      <c r="AZ83" s="386" t="str">
        <f t="shared" si="101"/>
        <v/>
      </c>
      <c r="BA83" s="386">
        <f t="shared" si="102"/>
        <v>0</v>
      </c>
      <c r="BB83" s="386">
        <f t="shared" si="71"/>
        <v>0</v>
      </c>
      <c r="BC83" s="386">
        <f t="shared" si="72"/>
        <v>0</v>
      </c>
      <c r="BD83" s="386">
        <f t="shared" si="73"/>
        <v>0</v>
      </c>
      <c r="BE83" s="386">
        <f t="shared" si="74"/>
        <v>0</v>
      </c>
      <c r="BF83" s="386">
        <f t="shared" si="75"/>
        <v>0</v>
      </c>
      <c r="BG83" s="386">
        <f t="shared" si="76"/>
        <v>0</v>
      </c>
      <c r="BH83" s="386">
        <f t="shared" si="77"/>
        <v>0</v>
      </c>
      <c r="BI83" s="386">
        <f t="shared" si="78"/>
        <v>0</v>
      </c>
      <c r="BJ83" s="386">
        <f t="shared" si="79"/>
        <v>0</v>
      </c>
      <c r="BK83" s="386">
        <f t="shared" si="80"/>
        <v>0</v>
      </c>
      <c r="BL83" s="386">
        <f t="shared" si="103"/>
        <v>0</v>
      </c>
      <c r="BM83" s="386">
        <f t="shared" si="104"/>
        <v>0</v>
      </c>
      <c r="BN83" s="386">
        <f t="shared" si="81"/>
        <v>0</v>
      </c>
      <c r="BO83" s="386">
        <f t="shared" si="82"/>
        <v>0</v>
      </c>
      <c r="BP83" s="386">
        <f t="shared" si="83"/>
        <v>0</v>
      </c>
      <c r="BQ83" s="386">
        <f t="shared" si="84"/>
        <v>0</v>
      </c>
      <c r="BR83" s="386">
        <f t="shared" si="85"/>
        <v>0</v>
      </c>
      <c r="BS83" s="386">
        <f t="shared" si="86"/>
        <v>0</v>
      </c>
      <c r="BT83" s="386">
        <f t="shared" si="87"/>
        <v>0</v>
      </c>
      <c r="BU83" s="386">
        <f t="shared" si="88"/>
        <v>0</v>
      </c>
      <c r="BV83" s="386">
        <f t="shared" si="89"/>
        <v>0</v>
      </c>
      <c r="BW83" s="386">
        <f t="shared" si="90"/>
        <v>0</v>
      </c>
      <c r="BX83" s="386">
        <f t="shared" si="105"/>
        <v>0</v>
      </c>
      <c r="BY83" s="386">
        <f t="shared" si="106"/>
        <v>0</v>
      </c>
      <c r="BZ83" s="386">
        <f t="shared" si="107"/>
        <v>0</v>
      </c>
      <c r="CA83" s="386">
        <f t="shared" si="108"/>
        <v>0</v>
      </c>
      <c r="CB83" s="386">
        <f t="shared" si="109"/>
        <v>0</v>
      </c>
      <c r="CC83" s="386">
        <f t="shared" si="91"/>
        <v>0</v>
      </c>
      <c r="CD83" s="386">
        <f t="shared" si="92"/>
        <v>0</v>
      </c>
      <c r="CE83" s="386">
        <f t="shared" si="93"/>
        <v>0</v>
      </c>
      <c r="CF83" s="386">
        <f t="shared" si="94"/>
        <v>0</v>
      </c>
      <c r="CG83" s="386">
        <f t="shared" si="95"/>
        <v>0</v>
      </c>
      <c r="CH83" s="386">
        <f t="shared" si="96"/>
        <v>0</v>
      </c>
      <c r="CI83" s="386">
        <f t="shared" si="97"/>
        <v>0</v>
      </c>
      <c r="CJ83" s="386">
        <f t="shared" si="110"/>
        <v>0</v>
      </c>
      <c r="CK83" s="386" t="str">
        <f t="shared" si="111"/>
        <v/>
      </c>
      <c r="CL83" s="386" t="str">
        <f t="shared" si="112"/>
        <v/>
      </c>
      <c r="CM83" s="386" t="str">
        <f t="shared" si="113"/>
        <v/>
      </c>
      <c r="CN83" s="386" t="str">
        <f t="shared" si="114"/>
        <v>0126-00</v>
      </c>
    </row>
    <row r="84" spans="1:92" ht="15.75" thickBot="1" x14ac:dyDescent="0.3">
      <c r="A84" s="376" t="s">
        <v>162</v>
      </c>
      <c r="B84" s="376" t="s">
        <v>163</v>
      </c>
      <c r="C84" s="376" t="s">
        <v>276</v>
      </c>
      <c r="D84" s="376" t="s">
        <v>186</v>
      </c>
      <c r="E84" s="376" t="s">
        <v>375</v>
      </c>
      <c r="F84" s="377" t="s">
        <v>167</v>
      </c>
      <c r="G84" s="376" t="s">
        <v>376</v>
      </c>
      <c r="H84" s="378"/>
      <c r="I84" s="378"/>
      <c r="J84" s="376" t="s">
        <v>169</v>
      </c>
      <c r="K84" s="376" t="s">
        <v>187</v>
      </c>
      <c r="L84" s="376" t="s">
        <v>179</v>
      </c>
      <c r="M84" s="376" t="s">
        <v>172</v>
      </c>
      <c r="N84" s="376" t="s">
        <v>173</v>
      </c>
      <c r="O84" s="379">
        <v>1</v>
      </c>
      <c r="P84" s="384">
        <v>0</v>
      </c>
      <c r="Q84" s="384">
        <v>0</v>
      </c>
      <c r="R84" s="380">
        <v>80</v>
      </c>
      <c r="S84" s="384">
        <v>0</v>
      </c>
      <c r="T84" s="380">
        <v>1330.13</v>
      </c>
      <c r="U84" s="380">
        <v>0</v>
      </c>
      <c r="V84" s="380">
        <v>594.67999999999995</v>
      </c>
      <c r="W84" s="380">
        <v>0</v>
      </c>
      <c r="X84" s="380">
        <v>0</v>
      </c>
      <c r="Y84" s="380">
        <v>0</v>
      </c>
      <c r="Z84" s="380">
        <v>0</v>
      </c>
      <c r="AA84" s="376" t="s">
        <v>277</v>
      </c>
      <c r="AB84" s="376" t="s">
        <v>278</v>
      </c>
      <c r="AC84" s="376" t="s">
        <v>279</v>
      </c>
      <c r="AD84" s="376" t="s">
        <v>280</v>
      </c>
      <c r="AE84" s="376" t="s">
        <v>187</v>
      </c>
      <c r="AF84" s="376" t="s">
        <v>178</v>
      </c>
      <c r="AG84" s="376" t="s">
        <v>179</v>
      </c>
      <c r="AH84" s="381">
        <v>22.06</v>
      </c>
      <c r="AI84" s="381">
        <v>14267.5</v>
      </c>
      <c r="AJ84" s="376" t="s">
        <v>180</v>
      </c>
      <c r="AK84" s="376" t="s">
        <v>181</v>
      </c>
      <c r="AL84" s="376" t="s">
        <v>182</v>
      </c>
      <c r="AM84" s="376" t="s">
        <v>183</v>
      </c>
      <c r="AN84" s="376" t="s">
        <v>66</v>
      </c>
      <c r="AO84" s="379">
        <v>80</v>
      </c>
      <c r="AP84" s="384">
        <v>1</v>
      </c>
      <c r="AQ84" s="384">
        <v>0</v>
      </c>
      <c r="AR84" s="382" t="s">
        <v>184</v>
      </c>
      <c r="AS84" s="386">
        <f t="shared" si="98"/>
        <v>0</v>
      </c>
      <c r="AT84">
        <f t="shared" si="99"/>
        <v>0</v>
      </c>
      <c r="AU84" s="386" t="str">
        <f>IF(AT84=0,"",IF(AND(AT84=1,M84="F",SUMIF(C2:C201,C84,AS2:AS201)&lt;=1),SUMIF(C2:C201,C84,AS2:AS201),IF(AND(AT84=1,M84="F",SUMIF(C2:C201,C84,AS2:AS201)&gt;1),1,"")))</f>
        <v/>
      </c>
      <c r="AV84" s="386" t="str">
        <f>IF(AT84=0,"",IF(AND(AT84=3,M84="F",SUMIF(C2:C201,C84,AS2:AS201)&lt;=1),SUMIF(C2:C201,C84,AS2:AS201),IF(AND(AT84=3,M84="F",SUMIF(C2:C201,C84,AS2:AS201)&gt;1),1,"")))</f>
        <v/>
      </c>
      <c r="AW84" s="386">
        <f>SUMIF(C2:C201,C84,O2:O201)</f>
        <v>3</v>
      </c>
      <c r="AX84" s="386">
        <f>IF(AND(M84="F",AS84&lt;&gt;0),SUMIF(C2:C201,C84,W2:W201),0)</f>
        <v>0</v>
      </c>
      <c r="AY84" s="386" t="str">
        <f t="shared" si="100"/>
        <v/>
      </c>
      <c r="AZ84" s="386" t="str">
        <f t="shared" si="101"/>
        <v/>
      </c>
      <c r="BA84" s="386">
        <f t="shared" si="102"/>
        <v>0</v>
      </c>
      <c r="BB84" s="386">
        <f t="shared" si="71"/>
        <v>0</v>
      </c>
      <c r="BC84" s="386">
        <f t="shared" si="72"/>
        <v>0</v>
      </c>
      <c r="BD84" s="386">
        <f t="shared" si="73"/>
        <v>0</v>
      </c>
      <c r="BE84" s="386">
        <f t="shared" si="74"/>
        <v>0</v>
      </c>
      <c r="BF84" s="386">
        <f t="shared" si="75"/>
        <v>0</v>
      </c>
      <c r="BG84" s="386">
        <f t="shared" si="76"/>
        <v>0</v>
      </c>
      <c r="BH84" s="386">
        <f t="shared" si="77"/>
        <v>0</v>
      </c>
      <c r="BI84" s="386">
        <f t="shared" si="78"/>
        <v>0</v>
      </c>
      <c r="BJ84" s="386">
        <f t="shared" si="79"/>
        <v>0</v>
      </c>
      <c r="BK84" s="386">
        <f t="shared" si="80"/>
        <v>0</v>
      </c>
      <c r="BL84" s="386">
        <f t="shared" si="103"/>
        <v>0</v>
      </c>
      <c r="BM84" s="386">
        <f t="shared" si="104"/>
        <v>0</v>
      </c>
      <c r="BN84" s="386">
        <f t="shared" si="81"/>
        <v>0</v>
      </c>
      <c r="BO84" s="386">
        <f t="shared" si="82"/>
        <v>0</v>
      </c>
      <c r="BP84" s="386">
        <f t="shared" si="83"/>
        <v>0</v>
      </c>
      <c r="BQ84" s="386">
        <f t="shared" si="84"/>
        <v>0</v>
      </c>
      <c r="BR84" s="386">
        <f t="shared" si="85"/>
        <v>0</v>
      </c>
      <c r="BS84" s="386">
        <f t="shared" si="86"/>
        <v>0</v>
      </c>
      <c r="BT84" s="386">
        <f t="shared" si="87"/>
        <v>0</v>
      </c>
      <c r="BU84" s="386">
        <f t="shared" si="88"/>
        <v>0</v>
      </c>
      <c r="BV84" s="386">
        <f t="shared" si="89"/>
        <v>0</v>
      </c>
      <c r="BW84" s="386">
        <f t="shared" si="90"/>
        <v>0</v>
      </c>
      <c r="BX84" s="386">
        <f t="shared" si="105"/>
        <v>0</v>
      </c>
      <c r="BY84" s="386">
        <f t="shared" si="106"/>
        <v>0</v>
      </c>
      <c r="BZ84" s="386">
        <f t="shared" si="107"/>
        <v>0</v>
      </c>
      <c r="CA84" s="386">
        <f t="shared" si="108"/>
        <v>0</v>
      </c>
      <c r="CB84" s="386">
        <f t="shared" si="109"/>
        <v>0</v>
      </c>
      <c r="CC84" s="386">
        <f t="shared" si="91"/>
        <v>0</v>
      </c>
      <c r="CD84" s="386">
        <f t="shared" si="92"/>
        <v>0</v>
      </c>
      <c r="CE84" s="386">
        <f t="shared" si="93"/>
        <v>0</v>
      </c>
      <c r="CF84" s="386">
        <f t="shared" si="94"/>
        <v>0</v>
      </c>
      <c r="CG84" s="386">
        <f t="shared" si="95"/>
        <v>0</v>
      </c>
      <c r="CH84" s="386">
        <f t="shared" si="96"/>
        <v>0</v>
      </c>
      <c r="CI84" s="386">
        <f t="shared" si="97"/>
        <v>0</v>
      </c>
      <c r="CJ84" s="386">
        <f t="shared" si="110"/>
        <v>0</v>
      </c>
      <c r="CK84" s="386" t="str">
        <f t="shared" si="111"/>
        <v/>
      </c>
      <c r="CL84" s="386" t="str">
        <f t="shared" si="112"/>
        <v/>
      </c>
      <c r="CM84" s="386" t="str">
        <f t="shared" si="113"/>
        <v/>
      </c>
      <c r="CN84" s="386" t="str">
        <f t="shared" si="114"/>
        <v>0126-00</v>
      </c>
    </row>
    <row r="85" spans="1:92" ht="15.75" thickBot="1" x14ac:dyDescent="0.3">
      <c r="A85" s="376" t="s">
        <v>162</v>
      </c>
      <c r="B85" s="376" t="s">
        <v>163</v>
      </c>
      <c r="C85" s="376" t="s">
        <v>412</v>
      </c>
      <c r="D85" s="376" t="s">
        <v>413</v>
      </c>
      <c r="E85" s="376" t="s">
        <v>375</v>
      </c>
      <c r="F85" s="377" t="s">
        <v>167</v>
      </c>
      <c r="G85" s="376" t="s">
        <v>376</v>
      </c>
      <c r="H85" s="378"/>
      <c r="I85" s="378"/>
      <c r="J85" s="376" t="s">
        <v>169</v>
      </c>
      <c r="K85" s="376" t="s">
        <v>414</v>
      </c>
      <c r="L85" s="376" t="s">
        <v>167</v>
      </c>
      <c r="M85" s="376" t="s">
        <v>172</v>
      </c>
      <c r="N85" s="376" t="s">
        <v>173</v>
      </c>
      <c r="O85" s="379">
        <v>1</v>
      </c>
      <c r="P85" s="384">
        <v>0</v>
      </c>
      <c r="Q85" s="384">
        <v>0</v>
      </c>
      <c r="R85" s="380">
        <v>80</v>
      </c>
      <c r="S85" s="384">
        <v>0</v>
      </c>
      <c r="T85" s="380">
        <v>3693.34</v>
      </c>
      <c r="U85" s="380">
        <v>0</v>
      </c>
      <c r="V85" s="380">
        <v>1572.09</v>
      </c>
      <c r="W85" s="380">
        <v>0</v>
      </c>
      <c r="X85" s="380">
        <v>0</v>
      </c>
      <c r="Y85" s="380">
        <v>0</v>
      </c>
      <c r="Z85" s="380">
        <v>0</v>
      </c>
      <c r="AA85" s="376" t="s">
        <v>415</v>
      </c>
      <c r="AB85" s="376" t="s">
        <v>416</v>
      </c>
      <c r="AC85" s="376" t="s">
        <v>417</v>
      </c>
      <c r="AD85" s="376" t="s">
        <v>179</v>
      </c>
      <c r="AE85" s="376" t="s">
        <v>414</v>
      </c>
      <c r="AF85" s="376" t="s">
        <v>178</v>
      </c>
      <c r="AG85" s="376" t="s">
        <v>179</v>
      </c>
      <c r="AH85" s="381">
        <v>24.92</v>
      </c>
      <c r="AI85" s="381">
        <v>9517.2000000000007</v>
      </c>
      <c r="AJ85" s="376" t="s">
        <v>180</v>
      </c>
      <c r="AK85" s="376" t="s">
        <v>181</v>
      </c>
      <c r="AL85" s="376" t="s">
        <v>182</v>
      </c>
      <c r="AM85" s="376" t="s">
        <v>183</v>
      </c>
      <c r="AN85" s="376" t="s">
        <v>66</v>
      </c>
      <c r="AO85" s="379">
        <v>80</v>
      </c>
      <c r="AP85" s="384">
        <v>1</v>
      </c>
      <c r="AQ85" s="384">
        <v>0</v>
      </c>
      <c r="AR85" s="382" t="s">
        <v>184</v>
      </c>
      <c r="AS85" s="386">
        <f t="shared" si="98"/>
        <v>0</v>
      </c>
      <c r="AT85">
        <f t="shared" si="99"/>
        <v>0</v>
      </c>
      <c r="AU85" s="386" t="str">
        <f>IF(AT85=0,"",IF(AND(AT85=1,M85="F",SUMIF(C2:C201,C85,AS2:AS201)&lt;=1),SUMIF(C2:C201,C85,AS2:AS201),IF(AND(AT85=1,M85="F",SUMIF(C2:C201,C85,AS2:AS201)&gt;1),1,"")))</f>
        <v/>
      </c>
      <c r="AV85" s="386" t="str">
        <f>IF(AT85=0,"",IF(AND(AT85=3,M85="F",SUMIF(C2:C201,C85,AS2:AS201)&lt;=1),SUMIF(C2:C201,C85,AS2:AS201),IF(AND(AT85=3,M85="F",SUMIF(C2:C201,C85,AS2:AS201)&gt;1),1,"")))</f>
        <v/>
      </c>
      <c r="AW85" s="386">
        <f>SUMIF(C2:C201,C85,O2:O201)</f>
        <v>2</v>
      </c>
      <c r="AX85" s="386">
        <f>IF(AND(M85="F",AS85&lt;&gt;0),SUMIF(C2:C201,C85,W2:W201),0)</f>
        <v>0</v>
      </c>
      <c r="AY85" s="386" t="str">
        <f t="shared" si="100"/>
        <v/>
      </c>
      <c r="AZ85" s="386" t="str">
        <f t="shared" si="101"/>
        <v/>
      </c>
      <c r="BA85" s="386">
        <f t="shared" si="102"/>
        <v>0</v>
      </c>
      <c r="BB85" s="386">
        <f t="shared" si="71"/>
        <v>0</v>
      </c>
      <c r="BC85" s="386">
        <f t="shared" si="72"/>
        <v>0</v>
      </c>
      <c r="BD85" s="386">
        <f t="shared" si="73"/>
        <v>0</v>
      </c>
      <c r="BE85" s="386">
        <f t="shared" si="74"/>
        <v>0</v>
      </c>
      <c r="BF85" s="386">
        <f t="shared" si="75"/>
        <v>0</v>
      </c>
      <c r="BG85" s="386">
        <f t="shared" si="76"/>
        <v>0</v>
      </c>
      <c r="BH85" s="386">
        <f t="shared" si="77"/>
        <v>0</v>
      </c>
      <c r="BI85" s="386">
        <f t="shared" si="78"/>
        <v>0</v>
      </c>
      <c r="BJ85" s="386">
        <f t="shared" si="79"/>
        <v>0</v>
      </c>
      <c r="BK85" s="386">
        <f t="shared" si="80"/>
        <v>0</v>
      </c>
      <c r="BL85" s="386">
        <f t="shared" si="103"/>
        <v>0</v>
      </c>
      <c r="BM85" s="386">
        <f t="shared" si="104"/>
        <v>0</v>
      </c>
      <c r="BN85" s="386">
        <f t="shared" si="81"/>
        <v>0</v>
      </c>
      <c r="BO85" s="386">
        <f t="shared" si="82"/>
        <v>0</v>
      </c>
      <c r="BP85" s="386">
        <f t="shared" si="83"/>
        <v>0</v>
      </c>
      <c r="BQ85" s="386">
        <f t="shared" si="84"/>
        <v>0</v>
      </c>
      <c r="BR85" s="386">
        <f t="shared" si="85"/>
        <v>0</v>
      </c>
      <c r="BS85" s="386">
        <f t="shared" si="86"/>
        <v>0</v>
      </c>
      <c r="BT85" s="386">
        <f t="shared" si="87"/>
        <v>0</v>
      </c>
      <c r="BU85" s="386">
        <f t="shared" si="88"/>
        <v>0</v>
      </c>
      <c r="BV85" s="386">
        <f t="shared" si="89"/>
        <v>0</v>
      </c>
      <c r="BW85" s="386">
        <f t="shared" si="90"/>
        <v>0</v>
      </c>
      <c r="BX85" s="386">
        <f t="shared" si="105"/>
        <v>0</v>
      </c>
      <c r="BY85" s="386">
        <f t="shared" si="106"/>
        <v>0</v>
      </c>
      <c r="BZ85" s="386">
        <f t="shared" si="107"/>
        <v>0</v>
      </c>
      <c r="CA85" s="386">
        <f t="shared" si="108"/>
        <v>0</v>
      </c>
      <c r="CB85" s="386">
        <f t="shared" si="109"/>
        <v>0</v>
      </c>
      <c r="CC85" s="386">
        <f t="shared" si="91"/>
        <v>0</v>
      </c>
      <c r="CD85" s="386">
        <f t="shared" si="92"/>
        <v>0</v>
      </c>
      <c r="CE85" s="386">
        <f t="shared" si="93"/>
        <v>0</v>
      </c>
      <c r="CF85" s="386">
        <f t="shared" si="94"/>
        <v>0</v>
      </c>
      <c r="CG85" s="386">
        <f t="shared" si="95"/>
        <v>0</v>
      </c>
      <c r="CH85" s="386">
        <f t="shared" si="96"/>
        <v>0</v>
      </c>
      <c r="CI85" s="386">
        <f t="shared" si="97"/>
        <v>0</v>
      </c>
      <c r="CJ85" s="386">
        <f t="shared" si="110"/>
        <v>0</v>
      </c>
      <c r="CK85" s="386" t="str">
        <f t="shared" si="111"/>
        <v/>
      </c>
      <c r="CL85" s="386" t="str">
        <f t="shared" si="112"/>
        <v/>
      </c>
      <c r="CM85" s="386" t="str">
        <f t="shared" si="113"/>
        <v/>
      </c>
      <c r="CN85" s="386" t="str">
        <f t="shared" si="114"/>
        <v>0126-00</v>
      </c>
    </row>
    <row r="86" spans="1:92" ht="15.75" thickBot="1" x14ac:dyDescent="0.3">
      <c r="A86" s="376" t="s">
        <v>162</v>
      </c>
      <c r="B86" s="376" t="s">
        <v>163</v>
      </c>
      <c r="C86" s="376" t="s">
        <v>418</v>
      </c>
      <c r="D86" s="376" t="s">
        <v>313</v>
      </c>
      <c r="E86" s="376" t="s">
        <v>375</v>
      </c>
      <c r="F86" s="377" t="s">
        <v>167</v>
      </c>
      <c r="G86" s="376" t="s">
        <v>376</v>
      </c>
      <c r="H86" s="378"/>
      <c r="I86" s="378"/>
      <c r="J86" s="376" t="s">
        <v>169</v>
      </c>
      <c r="K86" s="376" t="s">
        <v>314</v>
      </c>
      <c r="L86" s="376" t="s">
        <v>167</v>
      </c>
      <c r="M86" s="376" t="s">
        <v>172</v>
      </c>
      <c r="N86" s="376" t="s">
        <v>315</v>
      </c>
      <c r="O86" s="379">
        <v>0</v>
      </c>
      <c r="P86" s="384">
        <v>0</v>
      </c>
      <c r="Q86" s="384">
        <v>0</v>
      </c>
      <c r="R86" s="380">
        <v>0</v>
      </c>
      <c r="S86" s="384">
        <v>0</v>
      </c>
      <c r="T86" s="380">
        <v>38087.699999999997</v>
      </c>
      <c r="U86" s="380">
        <v>0</v>
      </c>
      <c r="V86" s="380">
        <v>9359.7999999999993</v>
      </c>
      <c r="W86" s="380">
        <v>0</v>
      </c>
      <c r="X86" s="380">
        <v>0</v>
      </c>
      <c r="Y86" s="380">
        <v>0</v>
      </c>
      <c r="Z86" s="380">
        <v>0</v>
      </c>
      <c r="AA86" s="378"/>
      <c r="AB86" s="376" t="s">
        <v>45</v>
      </c>
      <c r="AC86" s="376" t="s">
        <v>45</v>
      </c>
      <c r="AD86" s="378"/>
      <c r="AE86" s="378"/>
      <c r="AF86" s="378"/>
      <c r="AG86" s="378"/>
      <c r="AH86" s="379">
        <v>0</v>
      </c>
      <c r="AI86" s="379">
        <v>0</v>
      </c>
      <c r="AJ86" s="378"/>
      <c r="AK86" s="378"/>
      <c r="AL86" s="376" t="s">
        <v>182</v>
      </c>
      <c r="AM86" s="378"/>
      <c r="AN86" s="378"/>
      <c r="AO86" s="379">
        <v>0</v>
      </c>
      <c r="AP86" s="384">
        <v>0</v>
      </c>
      <c r="AQ86" s="384">
        <v>0</v>
      </c>
      <c r="AR86" s="383"/>
      <c r="AS86" s="386">
        <f t="shared" si="98"/>
        <v>0</v>
      </c>
      <c r="AT86">
        <f t="shared" si="99"/>
        <v>0</v>
      </c>
      <c r="AU86" s="386" t="str">
        <f>IF(AT86=0,"",IF(AND(AT86=1,M86="F",SUMIF(C2:C201,C86,AS2:AS201)&lt;=1),SUMIF(C2:C201,C86,AS2:AS201),IF(AND(AT86=1,M86="F",SUMIF(C2:C201,C86,AS2:AS201)&gt;1),1,"")))</f>
        <v/>
      </c>
      <c r="AV86" s="386" t="str">
        <f>IF(AT86=0,"",IF(AND(AT86=3,M86="F",SUMIF(C2:C201,C86,AS2:AS201)&lt;=1),SUMIF(C2:C201,C86,AS2:AS201),IF(AND(AT86=3,M86="F",SUMIF(C2:C201,C86,AS2:AS201)&gt;1),1,"")))</f>
        <v/>
      </c>
      <c r="AW86" s="386">
        <f>SUMIF(C2:C201,C86,O2:O201)</f>
        <v>0</v>
      </c>
      <c r="AX86" s="386">
        <f>IF(AND(M86="F",AS86&lt;&gt;0),SUMIF(C2:C201,C86,W2:W201),0)</f>
        <v>0</v>
      </c>
      <c r="AY86" s="386" t="str">
        <f t="shared" si="100"/>
        <v/>
      </c>
      <c r="AZ86" s="386" t="str">
        <f t="shared" si="101"/>
        <v/>
      </c>
      <c r="BA86" s="386">
        <f t="shared" si="102"/>
        <v>0</v>
      </c>
      <c r="BB86" s="386">
        <f t="shared" si="71"/>
        <v>0</v>
      </c>
      <c r="BC86" s="386">
        <f t="shared" si="72"/>
        <v>0</v>
      </c>
      <c r="BD86" s="386">
        <f t="shared" si="73"/>
        <v>0</v>
      </c>
      <c r="BE86" s="386">
        <f t="shared" si="74"/>
        <v>0</v>
      </c>
      <c r="BF86" s="386">
        <f t="shared" si="75"/>
        <v>0</v>
      </c>
      <c r="BG86" s="386">
        <f t="shared" si="76"/>
        <v>0</v>
      </c>
      <c r="BH86" s="386">
        <f t="shared" si="77"/>
        <v>0</v>
      </c>
      <c r="BI86" s="386">
        <f t="shared" si="78"/>
        <v>0</v>
      </c>
      <c r="BJ86" s="386">
        <f t="shared" si="79"/>
        <v>0</v>
      </c>
      <c r="BK86" s="386">
        <f t="shared" si="80"/>
        <v>0</v>
      </c>
      <c r="BL86" s="386">
        <f t="shared" si="103"/>
        <v>0</v>
      </c>
      <c r="BM86" s="386">
        <f t="shared" si="104"/>
        <v>0</v>
      </c>
      <c r="BN86" s="386">
        <f t="shared" si="81"/>
        <v>0</v>
      </c>
      <c r="BO86" s="386">
        <f t="shared" si="82"/>
        <v>0</v>
      </c>
      <c r="BP86" s="386">
        <f t="shared" si="83"/>
        <v>0</v>
      </c>
      <c r="BQ86" s="386">
        <f t="shared" si="84"/>
        <v>0</v>
      </c>
      <c r="BR86" s="386">
        <f t="shared" si="85"/>
        <v>0</v>
      </c>
      <c r="BS86" s="386">
        <f t="shared" si="86"/>
        <v>0</v>
      </c>
      <c r="BT86" s="386">
        <f t="shared" si="87"/>
        <v>0</v>
      </c>
      <c r="BU86" s="386">
        <f t="shared" si="88"/>
        <v>0</v>
      </c>
      <c r="BV86" s="386">
        <f t="shared" si="89"/>
        <v>0</v>
      </c>
      <c r="BW86" s="386">
        <f t="shared" si="90"/>
        <v>0</v>
      </c>
      <c r="BX86" s="386">
        <f t="shared" si="105"/>
        <v>0</v>
      </c>
      <c r="BY86" s="386">
        <f t="shared" si="106"/>
        <v>0</v>
      </c>
      <c r="BZ86" s="386">
        <f t="shared" si="107"/>
        <v>0</v>
      </c>
      <c r="CA86" s="386">
        <f t="shared" si="108"/>
        <v>0</v>
      </c>
      <c r="CB86" s="386">
        <f t="shared" si="109"/>
        <v>0</v>
      </c>
      <c r="CC86" s="386">
        <f t="shared" si="91"/>
        <v>0</v>
      </c>
      <c r="CD86" s="386">
        <f t="shared" si="92"/>
        <v>0</v>
      </c>
      <c r="CE86" s="386">
        <f t="shared" si="93"/>
        <v>0</v>
      </c>
      <c r="CF86" s="386">
        <f t="shared" si="94"/>
        <v>0</v>
      </c>
      <c r="CG86" s="386">
        <f t="shared" si="95"/>
        <v>0</v>
      </c>
      <c r="CH86" s="386">
        <f t="shared" si="96"/>
        <v>0</v>
      </c>
      <c r="CI86" s="386">
        <f t="shared" si="97"/>
        <v>0</v>
      </c>
      <c r="CJ86" s="386">
        <f t="shared" si="110"/>
        <v>0</v>
      </c>
      <c r="CK86" s="386" t="str">
        <f t="shared" si="111"/>
        <v/>
      </c>
      <c r="CL86" s="386">
        <f t="shared" si="112"/>
        <v>38087.699999999997</v>
      </c>
      <c r="CM86" s="386">
        <f t="shared" si="113"/>
        <v>9359.7999999999993</v>
      </c>
      <c r="CN86" s="386" t="str">
        <f t="shared" si="114"/>
        <v>0126-00</v>
      </c>
    </row>
    <row r="87" spans="1:92" ht="15.75" thickBot="1" x14ac:dyDescent="0.3">
      <c r="A87" s="376" t="s">
        <v>162</v>
      </c>
      <c r="B87" s="376" t="s">
        <v>163</v>
      </c>
      <c r="C87" s="376" t="s">
        <v>281</v>
      </c>
      <c r="D87" s="376" t="s">
        <v>165</v>
      </c>
      <c r="E87" s="376" t="s">
        <v>375</v>
      </c>
      <c r="F87" s="377" t="s">
        <v>167</v>
      </c>
      <c r="G87" s="376" t="s">
        <v>376</v>
      </c>
      <c r="H87" s="378"/>
      <c r="I87" s="378"/>
      <c r="J87" s="376" t="s">
        <v>169</v>
      </c>
      <c r="K87" s="376" t="s">
        <v>193</v>
      </c>
      <c r="L87" s="376" t="s">
        <v>194</v>
      </c>
      <c r="M87" s="376" t="s">
        <v>172</v>
      </c>
      <c r="N87" s="376" t="s">
        <v>173</v>
      </c>
      <c r="O87" s="379">
        <v>1</v>
      </c>
      <c r="P87" s="384">
        <v>0</v>
      </c>
      <c r="Q87" s="384">
        <v>0</v>
      </c>
      <c r="R87" s="380">
        <v>80</v>
      </c>
      <c r="S87" s="384">
        <v>0</v>
      </c>
      <c r="T87" s="380">
        <v>1171.5</v>
      </c>
      <c r="U87" s="380">
        <v>0</v>
      </c>
      <c r="V87" s="380">
        <v>462.84</v>
      </c>
      <c r="W87" s="380">
        <v>0</v>
      </c>
      <c r="X87" s="380">
        <v>0</v>
      </c>
      <c r="Y87" s="380">
        <v>0</v>
      </c>
      <c r="Z87" s="380">
        <v>0</v>
      </c>
      <c r="AA87" s="376" t="s">
        <v>282</v>
      </c>
      <c r="AB87" s="376" t="s">
        <v>283</v>
      </c>
      <c r="AC87" s="376" t="s">
        <v>284</v>
      </c>
      <c r="AD87" s="376" t="s">
        <v>285</v>
      </c>
      <c r="AE87" s="376" t="s">
        <v>193</v>
      </c>
      <c r="AF87" s="376" t="s">
        <v>178</v>
      </c>
      <c r="AG87" s="376" t="s">
        <v>179</v>
      </c>
      <c r="AH87" s="381">
        <v>30.09</v>
      </c>
      <c r="AI87" s="381">
        <v>5278.8</v>
      </c>
      <c r="AJ87" s="376" t="s">
        <v>180</v>
      </c>
      <c r="AK87" s="376" t="s">
        <v>181</v>
      </c>
      <c r="AL87" s="376" t="s">
        <v>182</v>
      </c>
      <c r="AM87" s="376" t="s">
        <v>183</v>
      </c>
      <c r="AN87" s="376" t="s">
        <v>66</v>
      </c>
      <c r="AO87" s="379">
        <v>80</v>
      </c>
      <c r="AP87" s="384">
        <v>1</v>
      </c>
      <c r="AQ87" s="384">
        <v>0</v>
      </c>
      <c r="AR87" s="382" t="s">
        <v>184</v>
      </c>
      <c r="AS87" s="386">
        <f t="shared" si="98"/>
        <v>0</v>
      </c>
      <c r="AT87">
        <f t="shared" si="99"/>
        <v>0</v>
      </c>
      <c r="AU87" s="386" t="str">
        <f>IF(AT87=0,"",IF(AND(AT87=1,M87="F",SUMIF(C2:C201,C87,AS2:AS201)&lt;=1),SUMIF(C2:C201,C87,AS2:AS201),IF(AND(AT87=1,M87="F",SUMIF(C2:C201,C87,AS2:AS201)&gt;1),1,"")))</f>
        <v/>
      </c>
      <c r="AV87" s="386" t="str">
        <f>IF(AT87=0,"",IF(AND(AT87=3,M87="F",SUMIF(C2:C201,C87,AS2:AS201)&lt;=1),SUMIF(C2:C201,C87,AS2:AS201),IF(AND(AT87=3,M87="F",SUMIF(C2:C201,C87,AS2:AS201)&gt;1),1,"")))</f>
        <v/>
      </c>
      <c r="AW87" s="386">
        <f>SUMIF(C2:C201,C87,O2:O201)</f>
        <v>3</v>
      </c>
      <c r="AX87" s="386">
        <f>IF(AND(M87="F",AS87&lt;&gt;0),SUMIF(C2:C201,C87,W2:W201),0)</f>
        <v>0</v>
      </c>
      <c r="AY87" s="386" t="str">
        <f t="shared" si="100"/>
        <v/>
      </c>
      <c r="AZ87" s="386" t="str">
        <f t="shared" si="101"/>
        <v/>
      </c>
      <c r="BA87" s="386">
        <f t="shared" si="102"/>
        <v>0</v>
      </c>
      <c r="BB87" s="386">
        <f t="shared" si="71"/>
        <v>0</v>
      </c>
      <c r="BC87" s="386">
        <f t="shared" si="72"/>
        <v>0</v>
      </c>
      <c r="BD87" s="386">
        <f t="shared" si="73"/>
        <v>0</v>
      </c>
      <c r="BE87" s="386">
        <f t="shared" si="74"/>
        <v>0</v>
      </c>
      <c r="BF87" s="386">
        <f t="shared" si="75"/>
        <v>0</v>
      </c>
      <c r="BG87" s="386">
        <f t="shared" si="76"/>
        <v>0</v>
      </c>
      <c r="BH87" s="386">
        <f t="shared" si="77"/>
        <v>0</v>
      </c>
      <c r="BI87" s="386">
        <f t="shared" si="78"/>
        <v>0</v>
      </c>
      <c r="BJ87" s="386">
        <f t="shared" si="79"/>
        <v>0</v>
      </c>
      <c r="BK87" s="386">
        <f t="shared" si="80"/>
        <v>0</v>
      </c>
      <c r="BL87" s="386">
        <f t="shared" si="103"/>
        <v>0</v>
      </c>
      <c r="BM87" s="386">
        <f t="shared" si="104"/>
        <v>0</v>
      </c>
      <c r="BN87" s="386">
        <f t="shared" si="81"/>
        <v>0</v>
      </c>
      <c r="BO87" s="386">
        <f t="shared" si="82"/>
        <v>0</v>
      </c>
      <c r="BP87" s="386">
        <f t="shared" si="83"/>
        <v>0</v>
      </c>
      <c r="BQ87" s="386">
        <f t="shared" si="84"/>
        <v>0</v>
      </c>
      <c r="BR87" s="386">
        <f t="shared" si="85"/>
        <v>0</v>
      </c>
      <c r="BS87" s="386">
        <f t="shared" si="86"/>
        <v>0</v>
      </c>
      <c r="BT87" s="386">
        <f t="shared" si="87"/>
        <v>0</v>
      </c>
      <c r="BU87" s="386">
        <f t="shared" si="88"/>
        <v>0</v>
      </c>
      <c r="BV87" s="386">
        <f t="shared" si="89"/>
        <v>0</v>
      </c>
      <c r="BW87" s="386">
        <f t="shared" si="90"/>
        <v>0</v>
      </c>
      <c r="BX87" s="386">
        <f t="shared" si="105"/>
        <v>0</v>
      </c>
      <c r="BY87" s="386">
        <f t="shared" si="106"/>
        <v>0</v>
      </c>
      <c r="BZ87" s="386">
        <f t="shared" si="107"/>
        <v>0</v>
      </c>
      <c r="CA87" s="386">
        <f t="shared" si="108"/>
        <v>0</v>
      </c>
      <c r="CB87" s="386">
        <f t="shared" si="109"/>
        <v>0</v>
      </c>
      <c r="CC87" s="386">
        <f t="shared" si="91"/>
        <v>0</v>
      </c>
      <c r="CD87" s="386">
        <f t="shared" si="92"/>
        <v>0</v>
      </c>
      <c r="CE87" s="386">
        <f t="shared" si="93"/>
        <v>0</v>
      </c>
      <c r="CF87" s="386">
        <f t="shared" si="94"/>
        <v>0</v>
      </c>
      <c r="CG87" s="386">
        <f t="shared" si="95"/>
        <v>0</v>
      </c>
      <c r="CH87" s="386">
        <f t="shared" si="96"/>
        <v>0</v>
      </c>
      <c r="CI87" s="386">
        <f t="shared" si="97"/>
        <v>0</v>
      </c>
      <c r="CJ87" s="386">
        <f t="shared" si="110"/>
        <v>0</v>
      </c>
      <c r="CK87" s="386" t="str">
        <f t="shared" si="111"/>
        <v/>
      </c>
      <c r="CL87" s="386" t="str">
        <f t="shared" si="112"/>
        <v/>
      </c>
      <c r="CM87" s="386" t="str">
        <f t="shared" si="113"/>
        <v/>
      </c>
      <c r="CN87" s="386" t="str">
        <f t="shared" si="114"/>
        <v>0126-00</v>
      </c>
    </row>
    <row r="88" spans="1:92" ht="15.75" thickBot="1" x14ac:dyDescent="0.3">
      <c r="A88" s="376" t="s">
        <v>162</v>
      </c>
      <c r="B88" s="376" t="s">
        <v>163</v>
      </c>
      <c r="C88" s="376" t="s">
        <v>286</v>
      </c>
      <c r="D88" s="376" t="s">
        <v>165</v>
      </c>
      <c r="E88" s="376" t="s">
        <v>375</v>
      </c>
      <c r="F88" s="377" t="s">
        <v>167</v>
      </c>
      <c r="G88" s="376" t="s">
        <v>376</v>
      </c>
      <c r="H88" s="378"/>
      <c r="I88" s="378"/>
      <c r="J88" s="376" t="s">
        <v>169</v>
      </c>
      <c r="K88" s="376" t="s">
        <v>206</v>
      </c>
      <c r="L88" s="376" t="s">
        <v>198</v>
      </c>
      <c r="M88" s="376" t="s">
        <v>172</v>
      </c>
      <c r="N88" s="376" t="s">
        <v>173</v>
      </c>
      <c r="O88" s="379">
        <v>1</v>
      </c>
      <c r="P88" s="384">
        <v>0</v>
      </c>
      <c r="Q88" s="384">
        <v>0</v>
      </c>
      <c r="R88" s="380">
        <v>80</v>
      </c>
      <c r="S88" s="384">
        <v>0</v>
      </c>
      <c r="T88" s="380">
        <v>2594.87</v>
      </c>
      <c r="U88" s="380">
        <v>0</v>
      </c>
      <c r="V88" s="380">
        <v>960.76</v>
      </c>
      <c r="W88" s="380">
        <v>0</v>
      </c>
      <c r="X88" s="380">
        <v>0</v>
      </c>
      <c r="Y88" s="380">
        <v>0</v>
      </c>
      <c r="Z88" s="380">
        <v>0</v>
      </c>
      <c r="AA88" s="376" t="s">
        <v>287</v>
      </c>
      <c r="AB88" s="376" t="s">
        <v>288</v>
      </c>
      <c r="AC88" s="376" t="s">
        <v>289</v>
      </c>
      <c r="AD88" s="376" t="s">
        <v>290</v>
      </c>
      <c r="AE88" s="376" t="s">
        <v>206</v>
      </c>
      <c r="AF88" s="376" t="s">
        <v>178</v>
      </c>
      <c r="AG88" s="376" t="s">
        <v>179</v>
      </c>
      <c r="AH88" s="381">
        <v>32.93</v>
      </c>
      <c r="AI88" s="381">
        <v>21252.799999999999</v>
      </c>
      <c r="AJ88" s="376" t="s">
        <v>180</v>
      </c>
      <c r="AK88" s="376" t="s">
        <v>181</v>
      </c>
      <c r="AL88" s="376" t="s">
        <v>182</v>
      </c>
      <c r="AM88" s="376" t="s">
        <v>183</v>
      </c>
      <c r="AN88" s="376" t="s">
        <v>66</v>
      </c>
      <c r="AO88" s="379">
        <v>80</v>
      </c>
      <c r="AP88" s="384">
        <v>1</v>
      </c>
      <c r="AQ88" s="384">
        <v>0</v>
      </c>
      <c r="AR88" s="382" t="s">
        <v>184</v>
      </c>
      <c r="AS88" s="386">
        <f t="shared" si="98"/>
        <v>0</v>
      </c>
      <c r="AT88">
        <f t="shared" si="99"/>
        <v>0</v>
      </c>
      <c r="AU88" s="386" t="str">
        <f>IF(AT88=0,"",IF(AND(AT88=1,M88="F",SUMIF(C2:C201,C88,AS2:AS201)&lt;=1),SUMIF(C2:C201,C88,AS2:AS201),IF(AND(AT88=1,M88="F",SUMIF(C2:C201,C88,AS2:AS201)&gt;1),1,"")))</f>
        <v/>
      </c>
      <c r="AV88" s="386" t="str">
        <f>IF(AT88=0,"",IF(AND(AT88=3,M88="F",SUMIF(C2:C201,C88,AS2:AS201)&lt;=1),SUMIF(C2:C201,C88,AS2:AS201),IF(AND(AT88=3,M88="F",SUMIF(C2:C201,C88,AS2:AS201)&gt;1),1,"")))</f>
        <v/>
      </c>
      <c r="AW88" s="386">
        <f>SUMIF(C2:C201,C88,O2:O201)</f>
        <v>3</v>
      </c>
      <c r="AX88" s="386">
        <f>IF(AND(M88="F",AS88&lt;&gt;0),SUMIF(C2:C201,C88,W2:W201),0)</f>
        <v>0</v>
      </c>
      <c r="AY88" s="386" t="str">
        <f t="shared" si="100"/>
        <v/>
      </c>
      <c r="AZ88" s="386" t="str">
        <f t="shared" si="101"/>
        <v/>
      </c>
      <c r="BA88" s="386">
        <f t="shared" si="102"/>
        <v>0</v>
      </c>
      <c r="BB88" s="386">
        <f t="shared" si="71"/>
        <v>0</v>
      </c>
      <c r="BC88" s="386">
        <f t="shared" si="72"/>
        <v>0</v>
      </c>
      <c r="BD88" s="386">
        <f t="shared" si="73"/>
        <v>0</v>
      </c>
      <c r="BE88" s="386">
        <f t="shared" si="74"/>
        <v>0</v>
      </c>
      <c r="BF88" s="386">
        <f t="shared" si="75"/>
        <v>0</v>
      </c>
      <c r="BG88" s="386">
        <f t="shared" si="76"/>
        <v>0</v>
      </c>
      <c r="BH88" s="386">
        <f t="shared" si="77"/>
        <v>0</v>
      </c>
      <c r="BI88" s="386">
        <f t="shared" si="78"/>
        <v>0</v>
      </c>
      <c r="BJ88" s="386">
        <f t="shared" si="79"/>
        <v>0</v>
      </c>
      <c r="BK88" s="386">
        <f t="shared" si="80"/>
        <v>0</v>
      </c>
      <c r="BL88" s="386">
        <f t="shared" si="103"/>
        <v>0</v>
      </c>
      <c r="BM88" s="386">
        <f t="shared" si="104"/>
        <v>0</v>
      </c>
      <c r="BN88" s="386">
        <f t="shared" si="81"/>
        <v>0</v>
      </c>
      <c r="BO88" s="386">
        <f t="shared" si="82"/>
        <v>0</v>
      </c>
      <c r="BP88" s="386">
        <f t="shared" si="83"/>
        <v>0</v>
      </c>
      <c r="BQ88" s="386">
        <f t="shared" si="84"/>
        <v>0</v>
      </c>
      <c r="BR88" s="386">
        <f t="shared" si="85"/>
        <v>0</v>
      </c>
      <c r="BS88" s="386">
        <f t="shared" si="86"/>
        <v>0</v>
      </c>
      <c r="BT88" s="386">
        <f t="shared" si="87"/>
        <v>0</v>
      </c>
      <c r="BU88" s="386">
        <f t="shared" si="88"/>
        <v>0</v>
      </c>
      <c r="BV88" s="386">
        <f t="shared" si="89"/>
        <v>0</v>
      </c>
      <c r="BW88" s="386">
        <f t="shared" si="90"/>
        <v>0</v>
      </c>
      <c r="BX88" s="386">
        <f t="shared" si="105"/>
        <v>0</v>
      </c>
      <c r="BY88" s="386">
        <f t="shared" si="106"/>
        <v>0</v>
      </c>
      <c r="BZ88" s="386">
        <f t="shared" si="107"/>
        <v>0</v>
      </c>
      <c r="CA88" s="386">
        <f t="shared" si="108"/>
        <v>0</v>
      </c>
      <c r="CB88" s="386">
        <f t="shared" si="109"/>
        <v>0</v>
      </c>
      <c r="CC88" s="386">
        <f t="shared" si="91"/>
        <v>0</v>
      </c>
      <c r="CD88" s="386">
        <f t="shared" si="92"/>
        <v>0</v>
      </c>
      <c r="CE88" s="386">
        <f t="shared" si="93"/>
        <v>0</v>
      </c>
      <c r="CF88" s="386">
        <f t="shared" si="94"/>
        <v>0</v>
      </c>
      <c r="CG88" s="386">
        <f t="shared" si="95"/>
        <v>0</v>
      </c>
      <c r="CH88" s="386">
        <f t="shared" si="96"/>
        <v>0</v>
      </c>
      <c r="CI88" s="386">
        <f t="shared" si="97"/>
        <v>0</v>
      </c>
      <c r="CJ88" s="386">
        <f t="shared" si="110"/>
        <v>0</v>
      </c>
      <c r="CK88" s="386" t="str">
        <f t="shared" si="111"/>
        <v/>
      </c>
      <c r="CL88" s="386" t="str">
        <f t="shared" si="112"/>
        <v/>
      </c>
      <c r="CM88" s="386" t="str">
        <f t="shared" si="113"/>
        <v/>
      </c>
      <c r="CN88" s="386" t="str">
        <f t="shared" si="114"/>
        <v>0126-00</v>
      </c>
    </row>
    <row r="89" spans="1:92" ht="15.75" thickBot="1" x14ac:dyDescent="0.3">
      <c r="A89" s="376" t="s">
        <v>162</v>
      </c>
      <c r="B89" s="376" t="s">
        <v>163</v>
      </c>
      <c r="C89" s="376" t="s">
        <v>419</v>
      </c>
      <c r="D89" s="376" t="s">
        <v>420</v>
      </c>
      <c r="E89" s="376" t="s">
        <v>375</v>
      </c>
      <c r="F89" s="377" t="s">
        <v>167</v>
      </c>
      <c r="G89" s="376" t="s">
        <v>376</v>
      </c>
      <c r="H89" s="378"/>
      <c r="I89" s="378"/>
      <c r="J89" s="376" t="s">
        <v>169</v>
      </c>
      <c r="K89" s="376" t="s">
        <v>421</v>
      </c>
      <c r="L89" s="376" t="s">
        <v>167</v>
      </c>
      <c r="M89" s="376" t="s">
        <v>172</v>
      </c>
      <c r="N89" s="376" t="s">
        <v>173</v>
      </c>
      <c r="O89" s="379">
        <v>1</v>
      </c>
      <c r="P89" s="384">
        <v>1</v>
      </c>
      <c r="Q89" s="384">
        <v>1</v>
      </c>
      <c r="R89" s="380">
        <v>80</v>
      </c>
      <c r="S89" s="384">
        <v>1</v>
      </c>
      <c r="T89" s="380">
        <v>72234.899999999994</v>
      </c>
      <c r="U89" s="380">
        <v>0</v>
      </c>
      <c r="V89" s="380">
        <v>26532.3</v>
      </c>
      <c r="W89" s="380">
        <v>79206.399999999994</v>
      </c>
      <c r="X89" s="380">
        <v>28730.16</v>
      </c>
      <c r="Y89" s="380">
        <v>79206.399999999994</v>
      </c>
      <c r="Z89" s="380">
        <v>29386.11</v>
      </c>
      <c r="AA89" s="376" t="s">
        <v>422</v>
      </c>
      <c r="AB89" s="376" t="s">
        <v>423</v>
      </c>
      <c r="AC89" s="376" t="s">
        <v>424</v>
      </c>
      <c r="AD89" s="376" t="s">
        <v>333</v>
      </c>
      <c r="AE89" s="376" t="s">
        <v>421</v>
      </c>
      <c r="AF89" s="376" t="s">
        <v>178</v>
      </c>
      <c r="AG89" s="376" t="s">
        <v>179</v>
      </c>
      <c r="AH89" s="381">
        <v>38.08</v>
      </c>
      <c r="AI89" s="381">
        <v>13290.8</v>
      </c>
      <c r="AJ89" s="376" t="s">
        <v>180</v>
      </c>
      <c r="AK89" s="376" t="s">
        <v>181</v>
      </c>
      <c r="AL89" s="376" t="s">
        <v>182</v>
      </c>
      <c r="AM89" s="376" t="s">
        <v>183</v>
      </c>
      <c r="AN89" s="376" t="s">
        <v>66</v>
      </c>
      <c r="AO89" s="379">
        <v>80</v>
      </c>
      <c r="AP89" s="384">
        <v>1</v>
      </c>
      <c r="AQ89" s="384">
        <v>1</v>
      </c>
      <c r="AR89" s="382" t="s">
        <v>184</v>
      </c>
      <c r="AS89" s="386">
        <f t="shared" si="98"/>
        <v>1</v>
      </c>
      <c r="AT89">
        <f t="shared" si="99"/>
        <v>1</v>
      </c>
      <c r="AU89" s="386">
        <f>IF(AT89=0,"",IF(AND(AT89=1,M89="F",SUMIF(C2:C201,C89,AS2:AS201)&lt;=1),SUMIF(C2:C201,C89,AS2:AS201),IF(AND(AT89=1,M89="F",SUMIF(C2:C201,C89,AS2:AS201)&gt;1),1,"")))</f>
        <v>1</v>
      </c>
      <c r="AV89" s="386" t="str">
        <f>IF(AT89=0,"",IF(AND(AT89=3,M89="F",SUMIF(C2:C201,C89,AS2:AS201)&lt;=1),SUMIF(C2:C201,C89,AS2:AS201),IF(AND(AT89=3,M89="F",SUMIF(C2:C201,C89,AS2:AS201)&gt;1),1,"")))</f>
        <v/>
      </c>
      <c r="AW89" s="386">
        <f>SUMIF(C2:C201,C89,O2:O201)</f>
        <v>1</v>
      </c>
      <c r="AX89" s="386">
        <f>IF(AND(M89="F",AS89&lt;&gt;0),SUMIF(C2:C201,C89,W2:W201),0)</f>
        <v>79206.399999999994</v>
      </c>
      <c r="AY89" s="386">
        <f t="shared" si="100"/>
        <v>79206.399999999994</v>
      </c>
      <c r="AZ89" s="386" t="str">
        <f t="shared" si="101"/>
        <v/>
      </c>
      <c r="BA89" s="386">
        <f t="shared" si="102"/>
        <v>0</v>
      </c>
      <c r="BB89" s="386">
        <f t="shared" si="71"/>
        <v>12500</v>
      </c>
      <c r="BC89" s="386">
        <f t="shared" si="72"/>
        <v>0</v>
      </c>
      <c r="BD89" s="386">
        <f t="shared" si="73"/>
        <v>4910.7967999999992</v>
      </c>
      <c r="BE89" s="386">
        <f t="shared" si="74"/>
        <v>1148.4928</v>
      </c>
      <c r="BF89" s="386">
        <f t="shared" si="75"/>
        <v>9457.2441600000002</v>
      </c>
      <c r="BG89" s="386">
        <f t="shared" si="76"/>
        <v>571.07814399999995</v>
      </c>
      <c r="BH89" s="386">
        <f t="shared" si="77"/>
        <v>0</v>
      </c>
      <c r="BI89" s="386">
        <f t="shared" si="78"/>
        <v>0</v>
      </c>
      <c r="BJ89" s="386">
        <f t="shared" si="79"/>
        <v>142.57151999999999</v>
      </c>
      <c r="BK89" s="386">
        <f t="shared" si="80"/>
        <v>0</v>
      </c>
      <c r="BL89" s="386">
        <f t="shared" si="103"/>
        <v>16230.183423999997</v>
      </c>
      <c r="BM89" s="386">
        <f t="shared" si="104"/>
        <v>0</v>
      </c>
      <c r="BN89" s="386">
        <f t="shared" si="81"/>
        <v>13750</v>
      </c>
      <c r="BO89" s="386">
        <f t="shared" si="82"/>
        <v>0</v>
      </c>
      <c r="BP89" s="386">
        <f t="shared" si="83"/>
        <v>4910.7967999999992</v>
      </c>
      <c r="BQ89" s="386">
        <f t="shared" si="84"/>
        <v>1148.4928</v>
      </c>
      <c r="BR89" s="386">
        <f t="shared" si="85"/>
        <v>8855.2755199999992</v>
      </c>
      <c r="BS89" s="386">
        <f t="shared" si="86"/>
        <v>571.07814399999995</v>
      </c>
      <c r="BT89" s="386">
        <f t="shared" si="87"/>
        <v>0</v>
      </c>
      <c r="BU89" s="386">
        <f t="shared" si="88"/>
        <v>0</v>
      </c>
      <c r="BV89" s="386">
        <f t="shared" si="89"/>
        <v>150.49215999999998</v>
      </c>
      <c r="BW89" s="386">
        <f t="shared" si="90"/>
        <v>0</v>
      </c>
      <c r="BX89" s="386">
        <f t="shared" si="105"/>
        <v>15636.135423999998</v>
      </c>
      <c r="BY89" s="386">
        <f t="shared" si="106"/>
        <v>0</v>
      </c>
      <c r="BZ89" s="386">
        <f t="shared" si="107"/>
        <v>1250</v>
      </c>
      <c r="CA89" s="386">
        <f t="shared" si="108"/>
        <v>0</v>
      </c>
      <c r="CB89" s="386">
        <f t="shared" si="109"/>
        <v>0</v>
      </c>
      <c r="CC89" s="386">
        <f t="shared" si="91"/>
        <v>0</v>
      </c>
      <c r="CD89" s="386">
        <f t="shared" si="92"/>
        <v>-601.96864000000073</v>
      </c>
      <c r="CE89" s="386">
        <f t="shared" si="93"/>
        <v>0</v>
      </c>
      <c r="CF89" s="386">
        <f t="shared" si="94"/>
        <v>0</v>
      </c>
      <c r="CG89" s="386">
        <f t="shared" si="95"/>
        <v>0</v>
      </c>
      <c r="CH89" s="386">
        <f t="shared" si="96"/>
        <v>7.9206400000000032</v>
      </c>
      <c r="CI89" s="386">
        <f t="shared" si="97"/>
        <v>0</v>
      </c>
      <c r="CJ89" s="386">
        <f t="shared" si="110"/>
        <v>-594.04800000000068</v>
      </c>
      <c r="CK89" s="386" t="str">
        <f t="shared" si="111"/>
        <v/>
      </c>
      <c r="CL89" s="386" t="str">
        <f t="shared" si="112"/>
        <v/>
      </c>
      <c r="CM89" s="386" t="str">
        <f t="shared" si="113"/>
        <v/>
      </c>
      <c r="CN89" s="386" t="str">
        <f t="shared" si="114"/>
        <v>0126-00</v>
      </c>
    </row>
    <row r="90" spans="1:92" ht="15.75" thickBot="1" x14ac:dyDescent="0.3">
      <c r="A90" s="376" t="s">
        <v>162</v>
      </c>
      <c r="B90" s="376" t="s">
        <v>163</v>
      </c>
      <c r="C90" s="376" t="s">
        <v>425</v>
      </c>
      <c r="D90" s="376" t="s">
        <v>313</v>
      </c>
      <c r="E90" s="376" t="s">
        <v>375</v>
      </c>
      <c r="F90" s="377" t="s">
        <v>167</v>
      </c>
      <c r="G90" s="376" t="s">
        <v>376</v>
      </c>
      <c r="H90" s="378"/>
      <c r="I90" s="378"/>
      <c r="J90" s="376" t="s">
        <v>169</v>
      </c>
      <c r="K90" s="376" t="s">
        <v>314</v>
      </c>
      <c r="L90" s="376" t="s">
        <v>167</v>
      </c>
      <c r="M90" s="376" t="s">
        <v>172</v>
      </c>
      <c r="N90" s="376" t="s">
        <v>315</v>
      </c>
      <c r="O90" s="379">
        <v>0</v>
      </c>
      <c r="P90" s="384">
        <v>0</v>
      </c>
      <c r="Q90" s="384">
        <v>0</v>
      </c>
      <c r="R90" s="380">
        <v>0</v>
      </c>
      <c r="S90" s="384">
        <v>0</v>
      </c>
      <c r="T90" s="380">
        <v>173055.67</v>
      </c>
      <c r="U90" s="380">
        <v>0</v>
      </c>
      <c r="V90" s="380">
        <v>39283.14</v>
      </c>
      <c r="W90" s="380">
        <v>0</v>
      </c>
      <c r="X90" s="380">
        <v>0</v>
      </c>
      <c r="Y90" s="380">
        <v>0</v>
      </c>
      <c r="Z90" s="380">
        <v>0</v>
      </c>
      <c r="AA90" s="378"/>
      <c r="AB90" s="376" t="s">
        <v>45</v>
      </c>
      <c r="AC90" s="376" t="s">
        <v>45</v>
      </c>
      <c r="AD90" s="378"/>
      <c r="AE90" s="378"/>
      <c r="AF90" s="378"/>
      <c r="AG90" s="378"/>
      <c r="AH90" s="379">
        <v>0</v>
      </c>
      <c r="AI90" s="379">
        <v>0</v>
      </c>
      <c r="AJ90" s="378"/>
      <c r="AK90" s="378"/>
      <c r="AL90" s="376" t="s">
        <v>182</v>
      </c>
      <c r="AM90" s="378"/>
      <c r="AN90" s="378"/>
      <c r="AO90" s="379">
        <v>0</v>
      </c>
      <c r="AP90" s="384">
        <v>0</v>
      </c>
      <c r="AQ90" s="384">
        <v>0</v>
      </c>
      <c r="AR90" s="383"/>
      <c r="AS90" s="386">
        <f t="shared" si="98"/>
        <v>0</v>
      </c>
      <c r="AT90">
        <f t="shared" si="99"/>
        <v>0</v>
      </c>
      <c r="AU90" s="386" t="str">
        <f>IF(AT90=0,"",IF(AND(AT90=1,M90="F",SUMIF(C2:C201,C90,AS2:AS201)&lt;=1),SUMIF(C2:C201,C90,AS2:AS201),IF(AND(AT90=1,M90="F",SUMIF(C2:C201,C90,AS2:AS201)&gt;1),1,"")))</f>
        <v/>
      </c>
      <c r="AV90" s="386" t="str">
        <f>IF(AT90=0,"",IF(AND(AT90=3,M90="F",SUMIF(C2:C201,C90,AS2:AS201)&lt;=1),SUMIF(C2:C201,C90,AS2:AS201),IF(AND(AT90=3,M90="F",SUMIF(C2:C201,C90,AS2:AS201)&gt;1),1,"")))</f>
        <v/>
      </c>
      <c r="AW90" s="386">
        <f>SUMIF(C2:C201,C90,O2:O201)</f>
        <v>0</v>
      </c>
      <c r="AX90" s="386">
        <f>IF(AND(M90="F",AS90&lt;&gt;0),SUMIF(C2:C201,C90,W2:W201),0)</f>
        <v>0</v>
      </c>
      <c r="AY90" s="386" t="str">
        <f t="shared" si="100"/>
        <v/>
      </c>
      <c r="AZ90" s="386" t="str">
        <f t="shared" si="101"/>
        <v/>
      </c>
      <c r="BA90" s="386">
        <f t="shared" si="102"/>
        <v>0</v>
      </c>
      <c r="BB90" s="386">
        <f t="shared" si="71"/>
        <v>0</v>
      </c>
      <c r="BC90" s="386">
        <f t="shared" si="72"/>
        <v>0</v>
      </c>
      <c r="BD90" s="386">
        <f t="shared" si="73"/>
        <v>0</v>
      </c>
      <c r="BE90" s="386">
        <f t="shared" si="74"/>
        <v>0</v>
      </c>
      <c r="BF90" s="386">
        <f t="shared" si="75"/>
        <v>0</v>
      </c>
      <c r="BG90" s="386">
        <f t="shared" si="76"/>
        <v>0</v>
      </c>
      <c r="BH90" s="386">
        <f t="shared" si="77"/>
        <v>0</v>
      </c>
      <c r="BI90" s="386">
        <f t="shared" si="78"/>
        <v>0</v>
      </c>
      <c r="BJ90" s="386">
        <f t="shared" si="79"/>
        <v>0</v>
      </c>
      <c r="BK90" s="386">
        <f t="shared" si="80"/>
        <v>0</v>
      </c>
      <c r="BL90" s="386">
        <f t="shared" si="103"/>
        <v>0</v>
      </c>
      <c r="BM90" s="386">
        <f t="shared" si="104"/>
        <v>0</v>
      </c>
      <c r="BN90" s="386">
        <f t="shared" si="81"/>
        <v>0</v>
      </c>
      <c r="BO90" s="386">
        <f t="shared" si="82"/>
        <v>0</v>
      </c>
      <c r="BP90" s="386">
        <f t="shared" si="83"/>
        <v>0</v>
      </c>
      <c r="BQ90" s="386">
        <f t="shared" si="84"/>
        <v>0</v>
      </c>
      <c r="BR90" s="386">
        <f t="shared" si="85"/>
        <v>0</v>
      </c>
      <c r="BS90" s="386">
        <f t="shared" si="86"/>
        <v>0</v>
      </c>
      <c r="BT90" s="386">
        <f t="shared" si="87"/>
        <v>0</v>
      </c>
      <c r="BU90" s="386">
        <f t="shared" si="88"/>
        <v>0</v>
      </c>
      <c r="BV90" s="386">
        <f t="shared" si="89"/>
        <v>0</v>
      </c>
      <c r="BW90" s="386">
        <f t="shared" si="90"/>
        <v>0</v>
      </c>
      <c r="BX90" s="386">
        <f t="shared" si="105"/>
        <v>0</v>
      </c>
      <c r="BY90" s="386">
        <f t="shared" si="106"/>
        <v>0</v>
      </c>
      <c r="BZ90" s="386">
        <f t="shared" si="107"/>
        <v>0</v>
      </c>
      <c r="CA90" s="386">
        <f t="shared" si="108"/>
        <v>0</v>
      </c>
      <c r="CB90" s="386">
        <f t="shared" si="109"/>
        <v>0</v>
      </c>
      <c r="CC90" s="386">
        <f t="shared" si="91"/>
        <v>0</v>
      </c>
      <c r="CD90" s="386">
        <f t="shared" si="92"/>
        <v>0</v>
      </c>
      <c r="CE90" s="386">
        <f t="shared" si="93"/>
        <v>0</v>
      </c>
      <c r="CF90" s="386">
        <f t="shared" si="94"/>
        <v>0</v>
      </c>
      <c r="CG90" s="386">
        <f t="shared" si="95"/>
        <v>0</v>
      </c>
      <c r="CH90" s="386">
        <f t="shared" si="96"/>
        <v>0</v>
      </c>
      <c r="CI90" s="386">
        <f t="shared" si="97"/>
        <v>0</v>
      </c>
      <c r="CJ90" s="386">
        <f t="shared" si="110"/>
        <v>0</v>
      </c>
      <c r="CK90" s="386" t="str">
        <f t="shared" si="111"/>
        <v/>
      </c>
      <c r="CL90" s="386">
        <f t="shared" si="112"/>
        <v>173055.67</v>
      </c>
      <c r="CM90" s="386">
        <f t="shared" si="113"/>
        <v>39283.14</v>
      </c>
      <c r="CN90" s="386" t="str">
        <f t="shared" si="114"/>
        <v>0126-00</v>
      </c>
    </row>
    <row r="91" spans="1:92" ht="15.75" thickBot="1" x14ac:dyDescent="0.3">
      <c r="A91" s="376" t="s">
        <v>162</v>
      </c>
      <c r="B91" s="376" t="s">
        <v>163</v>
      </c>
      <c r="C91" s="376" t="s">
        <v>426</v>
      </c>
      <c r="D91" s="376" t="s">
        <v>427</v>
      </c>
      <c r="E91" s="376" t="s">
        <v>375</v>
      </c>
      <c r="F91" s="377" t="s">
        <v>167</v>
      </c>
      <c r="G91" s="376" t="s">
        <v>376</v>
      </c>
      <c r="H91" s="378"/>
      <c r="I91" s="378"/>
      <c r="J91" s="376" t="s">
        <v>169</v>
      </c>
      <c r="K91" s="376" t="s">
        <v>428</v>
      </c>
      <c r="L91" s="376" t="s">
        <v>167</v>
      </c>
      <c r="M91" s="376" t="s">
        <v>172</v>
      </c>
      <c r="N91" s="376" t="s">
        <v>173</v>
      </c>
      <c r="O91" s="379">
        <v>1</v>
      </c>
      <c r="P91" s="384">
        <v>0</v>
      </c>
      <c r="Q91" s="384">
        <v>0</v>
      </c>
      <c r="R91" s="380">
        <v>80</v>
      </c>
      <c r="S91" s="384">
        <v>0</v>
      </c>
      <c r="T91" s="380">
        <v>6922.55</v>
      </c>
      <c r="U91" s="380">
        <v>0</v>
      </c>
      <c r="V91" s="380">
        <v>2421.64</v>
      </c>
      <c r="W91" s="380">
        <v>0</v>
      </c>
      <c r="X91" s="380">
        <v>0</v>
      </c>
      <c r="Y91" s="380">
        <v>0</v>
      </c>
      <c r="Z91" s="380">
        <v>0</v>
      </c>
      <c r="AA91" s="376" t="s">
        <v>429</v>
      </c>
      <c r="AB91" s="376" t="s">
        <v>430</v>
      </c>
      <c r="AC91" s="376" t="s">
        <v>431</v>
      </c>
      <c r="AD91" s="376" t="s">
        <v>432</v>
      </c>
      <c r="AE91" s="376" t="s">
        <v>428</v>
      </c>
      <c r="AF91" s="376" t="s">
        <v>178</v>
      </c>
      <c r="AG91" s="376" t="s">
        <v>179</v>
      </c>
      <c r="AH91" s="381">
        <v>37.909999999999997</v>
      </c>
      <c r="AI91" s="381">
        <v>31041.5</v>
      </c>
      <c r="AJ91" s="376" t="s">
        <v>180</v>
      </c>
      <c r="AK91" s="376" t="s">
        <v>181</v>
      </c>
      <c r="AL91" s="376" t="s">
        <v>182</v>
      </c>
      <c r="AM91" s="376" t="s">
        <v>183</v>
      </c>
      <c r="AN91" s="376" t="s">
        <v>66</v>
      </c>
      <c r="AO91" s="379">
        <v>80</v>
      </c>
      <c r="AP91" s="384">
        <v>1</v>
      </c>
      <c r="AQ91" s="384">
        <v>0</v>
      </c>
      <c r="AR91" s="382" t="s">
        <v>184</v>
      </c>
      <c r="AS91" s="386">
        <f t="shared" si="98"/>
        <v>0</v>
      </c>
      <c r="AT91">
        <f t="shared" si="99"/>
        <v>0</v>
      </c>
      <c r="AU91" s="386" t="str">
        <f>IF(AT91=0,"",IF(AND(AT91=1,M91="F",SUMIF(C2:C201,C91,AS2:AS201)&lt;=1),SUMIF(C2:C201,C91,AS2:AS201),IF(AND(AT91=1,M91="F",SUMIF(C2:C201,C91,AS2:AS201)&gt;1),1,"")))</f>
        <v/>
      </c>
      <c r="AV91" s="386" t="str">
        <f>IF(AT91=0,"",IF(AND(AT91=3,M91="F",SUMIF(C2:C201,C91,AS2:AS201)&lt;=1),SUMIF(C2:C201,C91,AS2:AS201),IF(AND(AT91=3,M91="F",SUMIF(C2:C201,C91,AS2:AS201)&gt;1),1,"")))</f>
        <v/>
      </c>
      <c r="AW91" s="386">
        <f>SUMIF(C2:C201,C91,O2:O201)</f>
        <v>2</v>
      </c>
      <c r="AX91" s="386">
        <f>IF(AND(M91="F",AS91&lt;&gt;0),SUMIF(C2:C201,C91,W2:W201),0)</f>
        <v>0</v>
      </c>
      <c r="AY91" s="386" t="str">
        <f t="shared" si="100"/>
        <v/>
      </c>
      <c r="AZ91" s="386" t="str">
        <f t="shared" si="101"/>
        <v/>
      </c>
      <c r="BA91" s="386">
        <f t="shared" si="102"/>
        <v>0</v>
      </c>
      <c r="BB91" s="386">
        <f t="shared" si="71"/>
        <v>0</v>
      </c>
      <c r="BC91" s="386">
        <f t="shared" si="72"/>
        <v>0</v>
      </c>
      <c r="BD91" s="386">
        <f t="shared" si="73"/>
        <v>0</v>
      </c>
      <c r="BE91" s="386">
        <f t="shared" si="74"/>
        <v>0</v>
      </c>
      <c r="BF91" s="386">
        <f t="shared" si="75"/>
        <v>0</v>
      </c>
      <c r="BG91" s="386">
        <f t="shared" si="76"/>
        <v>0</v>
      </c>
      <c r="BH91" s="386">
        <f t="shared" si="77"/>
        <v>0</v>
      </c>
      <c r="BI91" s="386">
        <f t="shared" si="78"/>
        <v>0</v>
      </c>
      <c r="BJ91" s="386">
        <f t="shared" si="79"/>
        <v>0</v>
      </c>
      <c r="BK91" s="386">
        <f t="shared" si="80"/>
        <v>0</v>
      </c>
      <c r="BL91" s="386">
        <f t="shared" si="103"/>
        <v>0</v>
      </c>
      <c r="BM91" s="386">
        <f t="shared" si="104"/>
        <v>0</v>
      </c>
      <c r="BN91" s="386">
        <f t="shared" si="81"/>
        <v>0</v>
      </c>
      <c r="BO91" s="386">
        <f t="shared" si="82"/>
        <v>0</v>
      </c>
      <c r="BP91" s="386">
        <f t="shared" si="83"/>
        <v>0</v>
      </c>
      <c r="BQ91" s="386">
        <f t="shared" si="84"/>
        <v>0</v>
      </c>
      <c r="BR91" s="386">
        <f t="shared" si="85"/>
        <v>0</v>
      </c>
      <c r="BS91" s="386">
        <f t="shared" si="86"/>
        <v>0</v>
      </c>
      <c r="BT91" s="386">
        <f t="shared" si="87"/>
        <v>0</v>
      </c>
      <c r="BU91" s="386">
        <f t="shared" si="88"/>
        <v>0</v>
      </c>
      <c r="BV91" s="386">
        <f t="shared" si="89"/>
        <v>0</v>
      </c>
      <c r="BW91" s="386">
        <f t="shared" si="90"/>
        <v>0</v>
      </c>
      <c r="BX91" s="386">
        <f t="shared" si="105"/>
        <v>0</v>
      </c>
      <c r="BY91" s="386">
        <f t="shared" si="106"/>
        <v>0</v>
      </c>
      <c r="BZ91" s="386">
        <f t="shared" si="107"/>
        <v>0</v>
      </c>
      <c r="CA91" s="386">
        <f t="shared" si="108"/>
        <v>0</v>
      </c>
      <c r="CB91" s="386">
        <f t="shared" si="109"/>
        <v>0</v>
      </c>
      <c r="CC91" s="386">
        <f t="shared" si="91"/>
        <v>0</v>
      </c>
      <c r="CD91" s="386">
        <f t="shared" si="92"/>
        <v>0</v>
      </c>
      <c r="CE91" s="386">
        <f t="shared" si="93"/>
        <v>0</v>
      </c>
      <c r="CF91" s="386">
        <f t="shared" si="94"/>
        <v>0</v>
      </c>
      <c r="CG91" s="386">
        <f t="shared" si="95"/>
        <v>0</v>
      </c>
      <c r="CH91" s="386">
        <f t="shared" si="96"/>
        <v>0</v>
      </c>
      <c r="CI91" s="386">
        <f t="shared" si="97"/>
        <v>0</v>
      </c>
      <c r="CJ91" s="386">
        <f t="shared" si="110"/>
        <v>0</v>
      </c>
      <c r="CK91" s="386" t="str">
        <f t="shared" si="111"/>
        <v/>
      </c>
      <c r="CL91" s="386" t="str">
        <f t="shared" si="112"/>
        <v/>
      </c>
      <c r="CM91" s="386" t="str">
        <f t="shared" si="113"/>
        <v/>
      </c>
      <c r="CN91" s="386" t="str">
        <f t="shared" si="114"/>
        <v>0126-00</v>
      </c>
    </row>
    <row r="92" spans="1:92" ht="15.75" thickBot="1" x14ac:dyDescent="0.3">
      <c r="A92" s="376" t="s">
        <v>162</v>
      </c>
      <c r="B92" s="376" t="s">
        <v>163</v>
      </c>
      <c r="C92" s="376" t="s">
        <v>433</v>
      </c>
      <c r="D92" s="376" t="s">
        <v>165</v>
      </c>
      <c r="E92" s="376" t="s">
        <v>375</v>
      </c>
      <c r="F92" s="377" t="s">
        <v>167</v>
      </c>
      <c r="G92" s="376" t="s">
        <v>376</v>
      </c>
      <c r="H92" s="378"/>
      <c r="I92" s="378"/>
      <c r="J92" s="376" t="s">
        <v>169</v>
      </c>
      <c r="K92" s="376" t="s">
        <v>206</v>
      </c>
      <c r="L92" s="376" t="s">
        <v>198</v>
      </c>
      <c r="M92" s="376" t="s">
        <v>172</v>
      </c>
      <c r="N92" s="376" t="s">
        <v>173</v>
      </c>
      <c r="O92" s="379">
        <v>1</v>
      </c>
      <c r="P92" s="384">
        <v>1</v>
      </c>
      <c r="Q92" s="384">
        <v>1</v>
      </c>
      <c r="R92" s="380">
        <v>80</v>
      </c>
      <c r="S92" s="384">
        <v>1</v>
      </c>
      <c r="T92" s="380">
        <v>35112.519999999997</v>
      </c>
      <c r="U92" s="380">
        <v>0</v>
      </c>
      <c r="V92" s="380">
        <v>14020.96</v>
      </c>
      <c r="W92" s="380">
        <v>69596.800000000003</v>
      </c>
      <c r="X92" s="380">
        <v>26761.06</v>
      </c>
      <c r="Y92" s="380">
        <v>69596.800000000003</v>
      </c>
      <c r="Z92" s="380">
        <v>27489.09</v>
      </c>
      <c r="AA92" s="376" t="s">
        <v>434</v>
      </c>
      <c r="AB92" s="376" t="s">
        <v>435</v>
      </c>
      <c r="AC92" s="376" t="s">
        <v>436</v>
      </c>
      <c r="AD92" s="376" t="s">
        <v>437</v>
      </c>
      <c r="AE92" s="376" t="s">
        <v>206</v>
      </c>
      <c r="AF92" s="376" t="s">
        <v>178</v>
      </c>
      <c r="AG92" s="376" t="s">
        <v>179</v>
      </c>
      <c r="AH92" s="381">
        <v>33.46</v>
      </c>
      <c r="AI92" s="381">
        <v>32811.599999999999</v>
      </c>
      <c r="AJ92" s="376" t="s">
        <v>180</v>
      </c>
      <c r="AK92" s="376" t="s">
        <v>181</v>
      </c>
      <c r="AL92" s="376" t="s">
        <v>182</v>
      </c>
      <c r="AM92" s="376" t="s">
        <v>183</v>
      </c>
      <c r="AN92" s="376" t="s">
        <v>66</v>
      </c>
      <c r="AO92" s="379">
        <v>80</v>
      </c>
      <c r="AP92" s="384">
        <v>1</v>
      </c>
      <c r="AQ92" s="384">
        <v>1</v>
      </c>
      <c r="AR92" s="382" t="s">
        <v>184</v>
      </c>
      <c r="AS92" s="386">
        <f t="shared" si="98"/>
        <v>1</v>
      </c>
      <c r="AT92">
        <f t="shared" si="99"/>
        <v>1</v>
      </c>
      <c r="AU92" s="386">
        <f>IF(AT92=0,"",IF(AND(AT92=1,M92="F",SUMIF(C2:C201,C92,AS2:AS201)&lt;=1),SUMIF(C2:C201,C92,AS2:AS201),IF(AND(AT92=1,M92="F",SUMIF(C2:C201,C92,AS2:AS201)&gt;1),1,"")))</f>
        <v>1</v>
      </c>
      <c r="AV92" s="386" t="str">
        <f>IF(AT92=0,"",IF(AND(AT92=3,M92="F",SUMIF(C2:C201,C92,AS2:AS201)&lt;=1),SUMIF(C2:C201,C92,AS2:AS201),IF(AND(AT92=3,M92="F",SUMIF(C2:C201,C92,AS2:AS201)&gt;1),1,"")))</f>
        <v/>
      </c>
      <c r="AW92" s="386">
        <f>SUMIF(C2:C201,C92,O2:O201)</f>
        <v>1</v>
      </c>
      <c r="AX92" s="386">
        <f>IF(AND(M92="F",AS92&lt;&gt;0),SUMIF(C2:C201,C92,W2:W201),0)</f>
        <v>69596.800000000003</v>
      </c>
      <c r="AY92" s="386">
        <f t="shared" si="100"/>
        <v>69596.800000000003</v>
      </c>
      <c r="AZ92" s="386" t="str">
        <f t="shared" si="101"/>
        <v/>
      </c>
      <c r="BA92" s="386">
        <f t="shared" si="102"/>
        <v>0</v>
      </c>
      <c r="BB92" s="386">
        <f t="shared" si="71"/>
        <v>12500</v>
      </c>
      <c r="BC92" s="386">
        <f t="shared" si="72"/>
        <v>0</v>
      </c>
      <c r="BD92" s="386">
        <f t="shared" si="73"/>
        <v>4315.0016000000005</v>
      </c>
      <c r="BE92" s="386">
        <f t="shared" si="74"/>
        <v>1009.1536000000001</v>
      </c>
      <c r="BF92" s="386">
        <f t="shared" si="75"/>
        <v>8309.8579200000004</v>
      </c>
      <c r="BG92" s="386">
        <f t="shared" si="76"/>
        <v>501.79292800000002</v>
      </c>
      <c r="BH92" s="386">
        <f t="shared" si="77"/>
        <v>0</v>
      </c>
      <c r="BI92" s="386">
        <f t="shared" si="78"/>
        <v>0</v>
      </c>
      <c r="BJ92" s="386">
        <f t="shared" si="79"/>
        <v>125.27424000000001</v>
      </c>
      <c r="BK92" s="386">
        <f t="shared" si="80"/>
        <v>0</v>
      </c>
      <c r="BL92" s="386">
        <f t="shared" si="103"/>
        <v>14261.080288000003</v>
      </c>
      <c r="BM92" s="386">
        <f t="shared" si="104"/>
        <v>0</v>
      </c>
      <c r="BN92" s="386">
        <f t="shared" si="81"/>
        <v>13750</v>
      </c>
      <c r="BO92" s="386">
        <f t="shared" si="82"/>
        <v>0</v>
      </c>
      <c r="BP92" s="386">
        <f t="shared" si="83"/>
        <v>4315.0016000000005</v>
      </c>
      <c r="BQ92" s="386">
        <f t="shared" si="84"/>
        <v>1009.1536000000001</v>
      </c>
      <c r="BR92" s="386">
        <f t="shared" si="85"/>
        <v>7780.9222399999999</v>
      </c>
      <c r="BS92" s="386">
        <f t="shared" si="86"/>
        <v>501.79292800000002</v>
      </c>
      <c r="BT92" s="386">
        <f t="shared" si="87"/>
        <v>0</v>
      </c>
      <c r="BU92" s="386">
        <f t="shared" si="88"/>
        <v>0</v>
      </c>
      <c r="BV92" s="386">
        <f t="shared" si="89"/>
        <v>132.23392000000001</v>
      </c>
      <c r="BW92" s="386">
        <f t="shared" si="90"/>
        <v>0</v>
      </c>
      <c r="BX92" s="386">
        <f t="shared" si="105"/>
        <v>13739.104288000002</v>
      </c>
      <c r="BY92" s="386">
        <f t="shared" si="106"/>
        <v>0</v>
      </c>
      <c r="BZ92" s="386">
        <f t="shared" si="107"/>
        <v>1250</v>
      </c>
      <c r="CA92" s="386">
        <f t="shared" si="108"/>
        <v>0</v>
      </c>
      <c r="CB92" s="386">
        <f t="shared" si="109"/>
        <v>0</v>
      </c>
      <c r="CC92" s="386">
        <f t="shared" si="91"/>
        <v>0</v>
      </c>
      <c r="CD92" s="386">
        <f t="shared" si="92"/>
        <v>-528.93568000000073</v>
      </c>
      <c r="CE92" s="386">
        <f t="shared" si="93"/>
        <v>0</v>
      </c>
      <c r="CF92" s="386">
        <f t="shared" si="94"/>
        <v>0</v>
      </c>
      <c r="CG92" s="386">
        <f t="shared" si="95"/>
        <v>0</v>
      </c>
      <c r="CH92" s="386">
        <f t="shared" si="96"/>
        <v>6.9596800000000032</v>
      </c>
      <c r="CI92" s="386">
        <f t="shared" si="97"/>
        <v>0</v>
      </c>
      <c r="CJ92" s="386">
        <f t="shared" si="110"/>
        <v>-521.97600000000068</v>
      </c>
      <c r="CK92" s="386" t="str">
        <f t="shared" si="111"/>
        <v/>
      </c>
      <c r="CL92" s="386" t="str">
        <f t="shared" si="112"/>
        <v/>
      </c>
      <c r="CM92" s="386" t="str">
        <f t="shared" si="113"/>
        <v/>
      </c>
      <c r="CN92" s="386" t="str">
        <f t="shared" si="114"/>
        <v>0126-00</v>
      </c>
    </row>
    <row r="93" spans="1:92" ht="15.75" thickBot="1" x14ac:dyDescent="0.3">
      <c r="A93" s="376" t="s">
        <v>162</v>
      </c>
      <c r="B93" s="376" t="s">
        <v>163</v>
      </c>
      <c r="C93" s="376" t="s">
        <v>374</v>
      </c>
      <c r="D93" s="376" t="s">
        <v>313</v>
      </c>
      <c r="E93" s="376" t="s">
        <v>375</v>
      </c>
      <c r="F93" s="377" t="s">
        <v>167</v>
      </c>
      <c r="G93" s="376" t="s">
        <v>376</v>
      </c>
      <c r="H93" s="378"/>
      <c r="I93" s="378"/>
      <c r="J93" s="376" t="s">
        <v>169</v>
      </c>
      <c r="K93" s="376" t="s">
        <v>314</v>
      </c>
      <c r="L93" s="376" t="s">
        <v>167</v>
      </c>
      <c r="M93" s="376" t="s">
        <v>172</v>
      </c>
      <c r="N93" s="376" t="s">
        <v>315</v>
      </c>
      <c r="O93" s="379">
        <v>0</v>
      </c>
      <c r="P93" s="384">
        <v>0</v>
      </c>
      <c r="Q93" s="384">
        <v>0</v>
      </c>
      <c r="R93" s="380">
        <v>0</v>
      </c>
      <c r="S93" s="384">
        <v>0</v>
      </c>
      <c r="T93" s="380">
        <v>592844.68000000005</v>
      </c>
      <c r="U93" s="380">
        <v>3679.24</v>
      </c>
      <c r="V93" s="380">
        <v>194229.18</v>
      </c>
      <c r="W93" s="380">
        <v>0</v>
      </c>
      <c r="X93" s="380">
        <v>0</v>
      </c>
      <c r="Y93" s="380">
        <v>0</v>
      </c>
      <c r="Z93" s="380">
        <v>0</v>
      </c>
      <c r="AA93" s="378"/>
      <c r="AB93" s="376" t="s">
        <v>45</v>
      </c>
      <c r="AC93" s="376" t="s">
        <v>45</v>
      </c>
      <c r="AD93" s="378"/>
      <c r="AE93" s="378"/>
      <c r="AF93" s="378"/>
      <c r="AG93" s="378"/>
      <c r="AH93" s="379">
        <v>0</v>
      </c>
      <c r="AI93" s="379">
        <v>0</v>
      </c>
      <c r="AJ93" s="378"/>
      <c r="AK93" s="378"/>
      <c r="AL93" s="376" t="s">
        <v>182</v>
      </c>
      <c r="AM93" s="378"/>
      <c r="AN93" s="378"/>
      <c r="AO93" s="379">
        <v>0</v>
      </c>
      <c r="AP93" s="384">
        <v>0</v>
      </c>
      <c r="AQ93" s="384">
        <v>0</v>
      </c>
      <c r="AR93" s="383"/>
      <c r="AS93" s="386">
        <f t="shared" si="98"/>
        <v>0</v>
      </c>
      <c r="AT93">
        <f t="shared" si="99"/>
        <v>0</v>
      </c>
      <c r="AU93" s="386" t="str">
        <f>IF(AT93=0,"",IF(AND(AT93=1,M93="F",SUMIF(C2:C201,C93,AS2:AS201)&lt;=1),SUMIF(C2:C201,C93,AS2:AS201),IF(AND(AT93=1,M93="F",SUMIF(C2:C201,C93,AS2:AS201)&gt;1),1,"")))</f>
        <v/>
      </c>
      <c r="AV93" s="386" t="str">
        <f>IF(AT93=0,"",IF(AND(AT93=3,M93="F",SUMIF(C2:C201,C93,AS2:AS201)&lt;=1),SUMIF(C2:C201,C93,AS2:AS201),IF(AND(AT93=3,M93="F",SUMIF(C2:C201,C93,AS2:AS201)&gt;1),1,"")))</f>
        <v/>
      </c>
      <c r="AW93" s="386">
        <f>SUMIF(C2:C201,C93,O2:O201)</f>
        <v>0</v>
      </c>
      <c r="AX93" s="386">
        <f>IF(AND(M93="F",AS93&lt;&gt;0),SUMIF(C2:C201,C93,W2:W201),0)</f>
        <v>0</v>
      </c>
      <c r="AY93" s="386" t="str">
        <f t="shared" si="100"/>
        <v/>
      </c>
      <c r="AZ93" s="386" t="str">
        <f t="shared" si="101"/>
        <v/>
      </c>
      <c r="BA93" s="386">
        <f t="shared" si="102"/>
        <v>0</v>
      </c>
      <c r="BB93" s="386">
        <f t="shared" si="71"/>
        <v>0</v>
      </c>
      <c r="BC93" s="386">
        <f t="shared" si="72"/>
        <v>0</v>
      </c>
      <c r="BD93" s="386">
        <f t="shared" si="73"/>
        <v>0</v>
      </c>
      <c r="BE93" s="386">
        <f t="shared" si="74"/>
        <v>0</v>
      </c>
      <c r="BF93" s="386">
        <f t="shared" si="75"/>
        <v>0</v>
      </c>
      <c r="BG93" s="386">
        <f t="shared" si="76"/>
        <v>0</v>
      </c>
      <c r="BH93" s="386">
        <f t="shared" si="77"/>
        <v>0</v>
      </c>
      <c r="BI93" s="386">
        <f t="shared" si="78"/>
        <v>0</v>
      </c>
      <c r="BJ93" s="386">
        <f t="shared" si="79"/>
        <v>0</v>
      </c>
      <c r="BK93" s="386">
        <f t="shared" si="80"/>
        <v>0</v>
      </c>
      <c r="BL93" s="386">
        <f t="shared" si="103"/>
        <v>0</v>
      </c>
      <c r="BM93" s="386">
        <f t="shared" si="104"/>
        <v>0</v>
      </c>
      <c r="BN93" s="386">
        <f t="shared" si="81"/>
        <v>0</v>
      </c>
      <c r="BO93" s="386">
        <f t="shared" si="82"/>
        <v>0</v>
      </c>
      <c r="BP93" s="386">
        <f t="shared" si="83"/>
        <v>0</v>
      </c>
      <c r="BQ93" s="386">
        <f t="shared" si="84"/>
        <v>0</v>
      </c>
      <c r="BR93" s="386">
        <f t="shared" si="85"/>
        <v>0</v>
      </c>
      <c r="BS93" s="386">
        <f t="shared" si="86"/>
        <v>0</v>
      </c>
      <c r="BT93" s="386">
        <f t="shared" si="87"/>
        <v>0</v>
      </c>
      <c r="BU93" s="386">
        <f t="shared" si="88"/>
        <v>0</v>
      </c>
      <c r="BV93" s="386">
        <f t="shared" si="89"/>
        <v>0</v>
      </c>
      <c r="BW93" s="386">
        <f t="shared" si="90"/>
        <v>0</v>
      </c>
      <c r="BX93" s="386">
        <f t="shared" si="105"/>
        <v>0</v>
      </c>
      <c r="BY93" s="386">
        <f t="shared" si="106"/>
        <v>0</v>
      </c>
      <c r="BZ93" s="386">
        <f t="shared" si="107"/>
        <v>0</v>
      </c>
      <c r="CA93" s="386">
        <f t="shared" si="108"/>
        <v>0</v>
      </c>
      <c r="CB93" s="386">
        <f t="shared" si="109"/>
        <v>0</v>
      </c>
      <c r="CC93" s="386">
        <f t="shared" si="91"/>
        <v>0</v>
      </c>
      <c r="CD93" s="386">
        <f t="shared" si="92"/>
        <v>0</v>
      </c>
      <c r="CE93" s="386">
        <f t="shared" si="93"/>
        <v>0</v>
      </c>
      <c r="CF93" s="386">
        <f t="shared" si="94"/>
        <v>0</v>
      </c>
      <c r="CG93" s="386">
        <f t="shared" si="95"/>
        <v>0</v>
      </c>
      <c r="CH93" s="386">
        <f t="shared" si="96"/>
        <v>0</v>
      </c>
      <c r="CI93" s="386">
        <f t="shared" si="97"/>
        <v>0</v>
      </c>
      <c r="CJ93" s="386">
        <f t="shared" si="110"/>
        <v>0</v>
      </c>
      <c r="CK93" s="386" t="str">
        <f t="shared" si="111"/>
        <v/>
      </c>
      <c r="CL93" s="386">
        <f t="shared" si="112"/>
        <v>596523.92000000004</v>
      </c>
      <c r="CM93" s="386">
        <f t="shared" si="113"/>
        <v>194229.18</v>
      </c>
      <c r="CN93" s="386" t="str">
        <f t="shared" si="114"/>
        <v>0126-00</v>
      </c>
    </row>
    <row r="94" spans="1:92" ht="15.75" thickBot="1" x14ac:dyDescent="0.3">
      <c r="A94" s="376" t="s">
        <v>162</v>
      </c>
      <c r="B94" s="376" t="s">
        <v>163</v>
      </c>
      <c r="C94" s="376" t="s">
        <v>438</v>
      </c>
      <c r="D94" s="376" t="s">
        <v>439</v>
      </c>
      <c r="E94" s="376" t="s">
        <v>375</v>
      </c>
      <c r="F94" s="377" t="s">
        <v>167</v>
      </c>
      <c r="G94" s="376" t="s">
        <v>376</v>
      </c>
      <c r="H94" s="378"/>
      <c r="I94" s="378"/>
      <c r="J94" s="376" t="s">
        <v>169</v>
      </c>
      <c r="K94" s="376" t="s">
        <v>440</v>
      </c>
      <c r="L94" s="376" t="s">
        <v>167</v>
      </c>
      <c r="M94" s="376" t="s">
        <v>172</v>
      </c>
      <c r="N94" s="376" t="s">
        <v>173</v>
      </c>
      <c r="O94" s="379">
        <v>1</v>
      </c>
      <c r="P94" s="384">
        <v>0</v>
      </c>
      <c r="Q94" s="384">
        <v>0</v>
      </c>
      <c r="R94" s="380">
        <v>80</v>
      </c>
      <c r="S94" s="384">
        <v>0</v>
      </c>
      <c r="T94" s="380">
        <v>6998.98</v>
      </c>
      <c r="U94" s="380">
        <v>0</v>
      </c>
      <c r="V94" s="380">
        <v>2257.96</v>
      </c>
      <c r="W94" s="380">
        <v>0</v>
      </c>
      <c r="X94" s="380">
        <v>0</v>
      </c>
      <c r="Y94" s="380">
        <v>0</v>
      </c>
      <c r="Z94" s="380">
        <v>0</v>
      </c>
      <c r="AA94" s="376" t="s">
        <v>441</v>
      </c>
      <c r="AB94" s="376" t="s">
        <v>442</v>
      </c>
      <c r="AC94" s="376" t="s">
        <v>443</v>
      </c>
      <c r="AD94" s="376" t="s">
        <v>198</v>
      </c>
      <c r="AE94" s="376" t="s">
        <v>440</v>
      </c>
      <c r="AF94" s="376" t="s">
        <v>178</v>
      </c>
      <c r="AG94" s="376" t="s">
        <v>179</v>
      </c>
      <c r="AH94" s="381">
        <v>44.78</v>
      </c>
      <c r="AI94" s="381">
        <v>54567.1</v>
      </c>
      <c r="AJ94" s="376" t="s">
        <v>180</v>
      </c>
      <c r="AK94" s="376" t="s">
        <v>181</v>
      </c>
      <c r="AL94" s="376" t="s">
        <v>182</v>
      </c>
      <c r="AM94" s="376" t="s">
        <v>183</v>
      </c>
      <c r="AN94" s="376" t="s">
        <v>66</v>
      </c>
      <c r="AO94" s="379">
        <v>80</v>
      </c>
      <c r="AP94" s="384">
        <v>1</v>
      </c>
      <c r="AQ94" s="384">
        <v>0</v>
      </c>
      <c r="AR94" s="382" t="s">
        <v>184</v>
      </c>
      <c r="AS94" s="386">
        <f t="shared" si="98"/>
        <v>0</v>
      </c>
      <c r="AT94">
        <f t="shared" si="99"/>
        <v>0</v>
      </c>
      <c r="AU94" s="386" t="str">
        <f>IF(AT94=0,"",IF(AND(AT94=1,M94="F",SUMIF(C2:C201,C94,AS2:AS201)&lt;=1),SUMIF(C2:C201,C94,AS2:AS201),IF(AND(AT94=1,M94="F",SUMIF(C2:C201,C94,AS2:AS201)&gt;1),1,"")))</f>
        <v/>
      </c>
      <c r="AV94" s="386" t="str">
        <f>IF(AT94=0,"",IF(AND(AT94=3,M94="F",SUMIF(C2:C201,C94,AS2:AS201)&lt;=1),SUMIF(C2:C201,C94,AS2:AS201),IF(AND(AT94=3,M94="F",SUMIF(C2:C201,C94,AS2:AS201)&gt;1),1,"")))</f>
        <v/>
      </c>
      <c r="AW94" s="386">
        <f>SUMIF(C2:C201,C94,O2:O201)</f>
        <v>2</v>
      </c>
      <c r="AX94" s="386">
        <f>IF(AND(M94="F",AS94&lt;&gt;0),SUMIF(C2:C201,C94,W2:W201),0)</f>
        <v>0</v>
      </c>
      <c r="AY94" s="386" t="str">
        <f t="shared" si="100"/>
        <v/>
      </c>
      <c r="AZ94" s="386" t="str">
        <f t="shared" si="101"/>
        <v/>
      </c>
      <c r="BA94" s="386">
        <f t="shared" si="102"/>
        <v>0</v>
      </c>
      <c r="BB94" s="386">
        <f t="shared" si="71"/>
        <v>0</v>
      </c>
      <c r="BC94" s="386">
        <f t="shared" si="72"/>
        <v>0</v>
      </c>
      <c r="BD94" s="386">
        <f t="shared" si="73"/>
        <v>0</v>
      </c>
      <c r="BE94" s="386">
        <f t="shared" si="74"/>
        <v>0</v>
      </c>
      <c r="BF94" s="386">
        <f t="shared" si="75"/>
        <v>0</v>
      </c>
      <c r="BG94" s="386">
        <f t="shared" si="76"/>
        <v>0</v>
      </c>
      <c r="BH94" s="386">
        <f t="shared" si="77"/>
        <v>0</v>
      </c>
      <c r="BI94" s="386">
        <f t="shared" si="78"/>
        <v>0</v>
      </c>
      <c r="BJ94" s="386">
        <f t="shared" si="79"/>
        <v>0</v>
      </c>
      <c r="BK94" s="386">
        <f t="shared" si="80"/>
        <v>0</v>
      </c>
      <c r="BL94" s="386">
        <f t="shared" si="103"/>
        <v>0</v>
      </c>
      <c r="BM94" s="386">
        <f t="shared" si="104"/>
        <v>0</v>
      </c>
      <c r="BN94" s="386">
        <f t="shared" si="81"/>
        <v>0</v>
      </c>
      <c r="BO94" s="386">
        <f t="shared" si="82"/>
        <v>0</v>
      </c>
      <c r="BP94" s="386">
        <f t="shared" si="83"/>
        <v>0</v>
      </c>
      <c r="BQ94" s="386">
        <f t="shared" si="84"/>
        <v>0</v>
      </c>
      <c r="BR94" s="386">
        <f t="shared" si="85"/>
        <v>0</v>
      </c>
      <c r="BS94" s="386">
        <f t="shared" si="86"/>
        <v>0</v>
      </c>
      <c r="BT94" s="386">
        <f t="shared" si="87"/>
        <v>0</v>
      </c>
      <c r="BU94" s="386">
        <f t="shared" si="88"/>
        <v>0</v>
      </c>
      <c r="BV94" s="386">
        <f t="shared" si="89"/>
        <v>0</v>
      </c>
      <c r="BW94" s="386">
        <f t="shared" si="90"/>
        <v>0</v>
      </c>
      <c r="BX94" s="386">
        <f t="shared" si="105"/>
        <v>0</v>
      </c>
      <c r="BY94" s="386">
        <f t="shared" si="106"/>
        <v>0</v>
      </c>
      <c r="BZ94" s="386">
        <f t="shared" si="107"/>
        <v>0</v>
      </c>
      <c r="CA94" s="386">
        <f t="shared" si="108"/>
        <v>0</v>
      </c>
      <c r="CB94" s="386">
        <f t="shared" si="109"/>
        <v>0</v>
      </c>
      <c r="CC94" s="386">
        <f t="shared" si="91"/>
        <v>0</v>
      </c>
      <c r="CD94" s="386">
        <f t="shared" si="92"/>
        <v>0</v>
      </c>
      <c r="CE94" s="386">
        <f t="shared" si="93"/>
        <v>0</v>
      </c>
      <c r="CF94" s="386">
        <f t="shared" si="94"/>
        <v>0</v>
      </c>
      <c r="CG94" s="386">
        <f t="shared" si="95"/>
        <v>0</v>
      </c>
      <c r="CH94" s="386">
        <f t="shared" si="96"/>
        <v>0</v>
      </c>
      <c r="CI94" s="386">
        <f t="shared" si="97"/>
        <v>0</v>
      </c>
      <c r="CJ94" s="386">
        <f t="shared" si="110"/>
        <v>0</v>
      </c>
      <c r="CK94" s="386" t="str">
        <f t="shared" si="111"/>
        <v/>
      </c>
      <c r="CL94" s="386" t="str">
        <f t="shared" si="112"/>
        <v/>
      </c>
      <c r="CM94" s="386" t="str">
        <f t="shared" si="113"/>
        <v/>
      </c>
      <c r="CN94" s="386" t="str">
        <f t="shared" si="114"/>
        <v>0126-00</v>
      </c>
    </row>
    <row r="95" spans="1:92" ht="15.75" thickBot="1" x14ac:dyDescent="0.3">
      <c r="A95" s="376" t="s">
        <v>162</v>
      </c>
      <c r="B95" s="376" t="s">
        <v>163</v>
      </c>
      <c r="C95" s="376" t="s">
        <v>444</v>
      </c>
      <c r="D95" s="376" t="s">
        <v>378</v>
      </c>
      <c r="E95" s="376" t="s">
        <v>375</v>
      </c>
      <c r="F95" s="377" t="s">
        <v>167</v>
      </c>
      <c r="G95" s="376" t="s">
        <v>376</v>
      </c>
      <c r="H95" s="378"/>
      <c r="I95" s="378"/>
      <c r="J95" s="376" t="s">
        <v>169</v>
      </c>
      <c r="K95" s="376" t="s">
        <v>379</v>
      </c>
      <c r="L95" s="376" t="s">
        <v>167</v>
      </c>
      <c r="M95" s="376" t="s">
        <v>172</v>
      </c>
      <c r="N95" s="376" t="s">
        <v>173</v>
      </c>
      <c r="O95" s="379">
        <v>1</v>
      </c>
      <c r="P95" s="384">
        <v>0</v>
      </c>
      <c r="Q95" s="384">
        <v>0</v>
      </c>
      <c r="R95" s="380">
        <v>80</v>
      </c>
      <c r="S95" s="384">
        <v>0</v>
      </c>
      <c r="T95" s="380">
        <v>1877.74</v>
      </c>
      <c r="U95" s="380">
        <v>0</v>
      </c>
      <c r="V95" s="380">
        <v>781.49</v>
      </c>
      <c r="W95" s="380">
        <v>0</v>
      </c>
      <c r="X95" s="380">
        <v>0</v>
      </c>
      <c r="Y95" s="380">
        <v>0</v>
      </c>
      <c r="Z95" s="380">
        <v>0</v>
      </c>
      <c r="AA95" s="376" t="s">
        <v>445</v>
      </c>
      <c r="AB95" s="376" t="s">
        <v>446</v>
      </c>
      <c r="AC95" s="376" t="s">
        <v>447</v>
      </c>
      <c r="AD95" s="376" t="s">
        <v>177</v>
      </c>
      <c r="AE95" s="376" t="s">
        <v>379</v>
      </c>
      <c r="AF95" s="376" t="s">
        <v>178</v>
      </c>
      <c r="AG95" s="376" t="s">
        <v>179</v>
      </c>
      <c r="AH95" s="381">
        <v>20.6</v>
      </c>
      <c r="AI95" s="379">
        <v>482</v>
      </c>
      <c r="AJ95" s="376" t="s">
        <v>180</v>
      </c>
      <c r="AK95" s="376" t="s">
        <v>181</v>
      </c>
      <c r="AL95" s="376" t="s">
        <v>182</v>
      </c>
      <c r="AM95" s="376" t="s">
        <v>183</v>
      </c>
      <c r="AN95" s="376" t="s">
        <v>66</v>
      </c>
      <c r="AO95" s="379">
        <v>80</v>
      </c>
      <c r="AP95" s="384">
        <v>1</v>
      </c>
      <c r="AQ95" s="384">
        <v>0</v>
      </c>
      <c r="AR95" s="382" t="s">
        <v>184</v>
      </c>
      <c r="AS95" s="386">
        <f t="shared" si="98"/>
        <v>0</v>
      </c>
      <c r="AT95">
        <f t="shared" si="99"/>
        <v>0</v>
      </c>
      <c r="AU95" s="386" t="str">
        <f>IF(AT95=0,"",IF(AND(AT95=1,M95="F",SUMIF(C2:C201,C95,AS2:AS201)&lt;=1),SUMIF(C2:C201,C95,AS2:AS201),IF(AND(AT95=1,M95="F",SUMIF(C2:C201,C95,AS2:AS201)&gt;1),1,"")))</f>
        <v/>
      </c>
      <c r="AV95" s="386" t="str">
        <f>IF(AT95=0,"",IF(AND(AT95=3,M95="F",SUMIF(C2:C201,C95,AS2:AS201)&lt;=1),SUMIF(C2:C201,C95,AS2:AS201),IF(AND(AT95=3,M95="F",SUMIF(C2:C201,C95,AS2:AS201)&gt;1),1,"")))</f>
        <v/>
      </c>
      <c r="AW95" s="386">
        <f>SUMIF(C2:C201,C95,O2:O201)</f>
        <v>2</v>
      </c>
      <c r="AX95" s="386">
        <f>IF(AND(M95="F",AS95&lt;&gt;0),SUMIF(C2:C201,C95,W2:W201),0)</f>
        <v>0</v>
      </c>
      <c r="AY95" s="386" t="str">
        <f t="shared" si="100"/>
        <v/>
      </c>
      <c r="AZ95" s="386" t="str">
        <f t="shared" si="101"/>
        <v/>
      </c>
      <c r="BA95" s="386">
        <f t="shared" si="102"/>
        <v>0</v>
      </c>
      <c r="BB95" s="386">
        <f t="shared" si="71"/>
        <v>0</v>
      </c>
      <c r="BC95" s="386">
        <f t="shared" si="72"/>
        <v>0</v>
      </c>
      <c r="BD95" s="386">
        <f t="shared" si="73"/>
        <v>0</v>
      </c>
      <c r="BE95" s="386">
        <f t="shared" si="74"/>
        <v>0</v>
      </c>
      <c r="BF95" s="386">
        <f t="shared" si="75"/>
        <v>0</v>
      </c>
      <c r="BG95" s="386">
        <f t="shared" si="76"/>
        <v>0</v>
      </c>
      <c r="BH95" s="386">
        <f t="shared" si="77"/>
        <v>0</v>
      </c>
      <c r="BI95" s="386">
        <f t="shared" si="78"/>
        <v>0</v>
      </c>
      <c r="BJ95" s="386">
        <f t="shared" si="79"/>
        <v>0</v>
      </c>
      <c r="BK95" s="386">
        <f t="shared" si="80"/>
        <v>0</v>
      </c>
      <c r="BL95" s="386">
        <f t="shared" si="103"/>
        <v>0</v>
      </c>
      <c r="BM95" s="386">
        <f t="shared" si="104"/>
        <v>0</v>
      </c>
      <c r="BN95" s="386">
        <f t="shared" si="81"/>
        <v>0</v>
      </c>
      <c r="BO95" s="386">
        <f t="shared" si="82"/>
        <v>0</v>
      </c>
      <c r="BP95" s="386">
        <f t="shared" si="83"/>
        <v>0</v>
      </c>
      <c r="BQ95" s="386">
        <f t="shared" si="84"/>
        <v>0</v>
      </c>
      <c r="BR95" s="386">
        <f t="shared" si="85"/>
        <v>0</v>
      </c>
      <c r="BS95" s="386">
        <f t="shared" si="86"/>
        <v>0</v>
      </c>
      <c r="BT95" s="386">
        <f t="shared" si="87"/>
        <v>0</v>
      </c>
      <c r="BU95" s="386">
        <f t="shared" si="88"/>
        <v>0</v>
      </c>
      <c r="BV95" s="386">
        <f t="shared" si="89"/>
        <v>0</v>
      </c>
      <c r="BW95" s="386">
        <f t="shared" si="90"/>
        <v>0</v>
      </c>
      <c r="BX95" s="386">
        <f t="shared" si="105"/>
        <v>0</v>
      </c>
      <c r="BY95" s="386">
        <f t="shared" si="106"/>
        <v>0</v>
      </c>
      <c r="BZ95" s="386">
        <f t="shared" si="107"/>
        <v>0</v>
      </c>
      <c r="CA95" s="386">
        <f t="shared" si="108"/>
        <v>0</v>
      </c>
      <c r="CB95" s="386">
        <f t="shared" si="109"/>
        <v>0</v>
      </c>
      <c r="CC95" s="386">
        <f t="shared" si="91"/>
        <v>0</v>
      </c>
      <c r="CD95" s="386">
        <f t="shared" si="92"/>
        <v>0</v>
      </c>
      <c r="CE95" s="386">
        <f t="shared" si="93"/>
        <v>0</v>
      </c>
      <c r="CF95" s="386">
        <f t="shared" si="94"/>
        <v>0</v>
      </c>
      <c r="CG95" s="386">
        <f t="shared" si="95"/>
        <v>0</v>
      </c>
      <c r="CH95" s="386">
        <f t="shared" si="96"/>
        <v>0</v>
      </c>
      <c r="CI95" s="386">
        <f t="shared" si="97"/>
        <v>0</v>
      </c>
      <c r="CJ95" s="386">
        <f t="shared" si="110"/>
        <v>0</v>
      </c>
      <c r="CK95" s="386" t="str">
        <f t="shared" si="111"/>
        <v/>
      </c>
      <c r="CL95" s="386" t="str">
        <f t="shared" si="112"/>
        <v/>
      </c>
      <c r="CM95" s="386" t="str">
        <f t="shared" si="113"/>
        <v/>
      </c>
      <c r="CN95" s="386" t="str">
        <f t="shared" si="114"/>
        <v>0126-00</v>
      </c>
    </row>
    <row r="96" spans="1:92" ht="15.75" thickBot="1" x14ac:dyDescent="0.3">
      <c r="A96" s="376" t="s">
        <v>162</v>
      </c>
      <c r="B96" s="376" t="s">
        <v>163</v>
      </c>
      <c r="C96" s="376" t="s">
        <v>297</v>
      </c>
      <c r="D96" s="376" t="s">
        <v>165</v>
      </c>
      <c r="E96" s="376" t="s">
        <v>375</v>
      </c>
      <c r="F96" s="377" t="s">
        <v>167</v>
      </c>
      <c r="G96" s="376" t="s">
        <v>376</v>
      </c>
      <c r="H96" s="378"/>
      <c r="I96" s="378"/>
      <c r="J96" s="376" t="s">
        <v>169</v>
      </c>
      <c r="K96" s="376" t="s">
        <v>193</v>
      </c>
      <c r="L96" s="376" t="s">
        <v>194</v>
      </c>
      <c r="M96" s="376" t="s">
        <v>172</v>
      </c>
      <c r="N96" s="376" t="s">
        <v>173</v>
      </c>
      <c r="O96" s="379">
        <v>1</v>
      </c>
      <c r="P96" s="384">
        <v>0</v>
      </c>
      <c r="Q96" s="384">
        <v>0</v>
      </c>
      <c r="R96" s="380">
        <v>80</v>
      </c>
      <c r="S96" s="384">
        <v>0</v>
      </c>
      <c r="T96" s="380">
        <v>1759.6</v>
      </c>
      <c r="U96" s="380">
        <v>0</v>
      </c>
      <c r="V96" s="380">
        <v>712.66</v>
      </c>
      <c r="W96" s="380">
        <v>0</v>
      </c>
      <c r="X96" s="380">
        <v>0</v>
      </c>
      <c r="Y96" s="380">
        <v>0</v>
      </c>
      <c r="Z96" s="380">
        <v>0</v>
      </c>
      <c r="AA96" s="376" t="s">
        <v>298</v>
      </c>
      <c r="AB96" s="376" t="s">
        <v>299</v>
      </c>
      <c r="AC96" s="376" t="s">
        <v>300</v>
      </c>
      <c r="AD96" s="376" t="s">
        <v>198</v>
      </c>
      <c r="AE96" s="376" t="s">
        <v>193</v>
      </c>
      <c r="AF96" s="376" t="s">
        <v>178</v>
      </c>
      <c r="AG96" s="376" t="s">
        <v>179</v>
      </c>
      <c r="AH96" s="381">
        <v>27.25</v>
      </c>
      <c r="AI96" s="381">
        <v>25841.3</v>
      </c>
      <c r="AJ96" s="376" t="s">
        <v>180</v>
      </c>
      <c r="AK96" s="376" t="s">
        <v>181</v>
      </c>
      <c r="AL96" s="376" t="s">
        <v>182</v>
      </c>
      <c r="AM96" s="376" t="s">
        <v>183</v>
      </c>
      <c r="AN96" s="376" t="s">
        <v>66</v>
      </c>
      <c r="AO96" s="379">
        <v>80</v>
      </c>
      <c r="AP96" s="384">
        <v>1</v>
      </c>
      <c r="AQ96" s="384">
        <v>0</v>
      </c>
      <c r="AR96" s="382" t="s">
        <v>184</v>
      </c>
      <c r="AS96" s="386">
        <f t="shared" si="98"/>
        <v>0</v>
      </c>
      <c r="AT96">
        <f t="shared" si="99"/>
        <v>0</v>
      </c>
      <c r="AU96" s="386" t="str">
        <f>IF(AT96=0,"",IF(AND(AT96=1,M96="F",SUMIF(C2:C201,C96,AS2:AS201)&lt;=1),SUMIF(C2:C201,C96,AS2:AS201),IF(AND(AT96=1,M96="F",SUMIF(C2:C201,C96,AS2:AS201)&gt;1),1,"")))</f>
        <v/>
      </c>
      <c r="AV96" s="386" t="str">
        <f>IF(AT96=0,"",IF(AND(AT96=3,M96="F",SUMIF(C2:C201,C96,AS2:AS201)&lt;=1),SUMIF(C2:C201,C96,AS2:AS201),IF(AND(AT96=3,M96="F",SUMIF(C2:C201,C96,AS2:AS201)&gt;1),1,"")))</f>
        <v/>
      </c>
      <c r="AW96" s="386">
        <f>SUMIF(C2:C201,C96,O2:O201)</f>
        <v>3</v>
      </c>
      <c r="AX96" s="386">
        <f>IF(AND(M96="F",AS96&lt;&gt;0),SUMIF(C2:C201,C96,W2:W201),0)</f>
        <v>0</v>
      </c>
      <c r="AY96" s="386" t="str">
        <f t="shared" si="100"/>
        <v/>
      </c>
      <c r="AZ96" s="386" t="str">
        <f t="shared" si="101"/>
        <v/>
      </c>
      <c r="BA96" s="386">
        <f t="shared" si="102"/>
        <v>0</v>
      </c>
      <c r="BB96" s="386">
        <f t="shared" si="71"/>
        <v>0</v>
      </c>
      <c r="BC96" s="386">
        <f t="shared" si="72"/>
        <v>0</v>
      </c>
      <c r="BD96" s="386">
        <f t="shared" si="73"/>
        <v>0</v>
      </c>
      <c r="BE96" s="386">
        <f t="shared" si="74"/>
        <v>0</v>
      </c>
      <c r="BF96" s="386">
        <f t="shared" si="75"/>
        <v>0</v>
      </c>
      <c r="BG96" s="386">
        <f t="shared" si="76"/>
        <v>0</v>
      </c>
      <c r="BH96" s="386">
        <f t="shared" si="77"/>
        <v>0</v>
      </c>
      <c r="BI96" s="386">
        <f t="shared" si="78"/>
        <v>0</v>
      </c>
      <c r="BJ96" s="386">
        <f t="shared" si="79"/>
        <v>0</v>
      </c>
      <c r="BK96" s="386">
        <f t="shared" si="80"/>
        <v>0</v>
      </c>
      <c r="BL96" s="386">
        <f t="shared" si="103"/>
        <v>0</v>
      </c>
      <c r="BM96" s="386">
        <f t="shared" si="104"/>
        <v>0</v>
      </c>
      <c r="BN96" s="386">
        <f t="shared" si="81"/>
        <v>0</v>
      </c>
      <c r="BO96" s="386">
        <f t="shared" si="82"/>
        <v>0</v>
      </c>
      <c r="BP96" s="386">
        <f t="shared" si="83"/>
        <v>0</v>
      </c>
      <c r="BQ96" s="386">
        <f t="shared" si="84"/>
        <v>0</v>
      </c>
      <c r="BR96" s="386">
        <f t="shared" si="85"/>
        <v>0</v>
      </c>
      <c r="BS96" s="386">
        <f t="shared" si="86"/>
        <v>0</v>
      </c>
      <c r="BT96" s="386">
        <f t="shared" si="87"/>
        <v>0</v>
      </c>
      <c r="BU96" s="386">
        <f t="shared" si="88"/>
        <v>0</v>
      </c>
      <c r="BV96" s="386">
        <f t="shared" si="89"/>
        <v>0</v>
      </c>
      <c r="BW96" s="386">
        <f t="shared" si="90"/>
        <v>0</v>
      </c>
      <c r="BX96" s="386">
        <f t="shared" si="105"/>
        <v>0</v>
      </c>
      <c r="BY96" s="386">
        <f t="shared" si="106"/>
        <v>0</v>
      </c>
      <c r="BZ96" s="386">
        <f t="shared" si="107"/>
        <v>0</v>
      </c>
      <c r="CA96" s="386">
        <f t="shared" si="108"/>
        <v>0</v>
      </c>
      <c r="CB96" s="386">
        <f t="shared" si="109"/>
        <v>0</v>
      </c>
      <c r="CC96" s="386">
        <f t="shared" si="91"/>
        <v>0</v>
      </c>
      <c r="CD96" s="386">
        <f t="shared" si="92"/>
        <v>0</v>
      </c>
      <c r="CE96" s="386">
        <f t="shared" si="93"/>
        <v>0</v>
      </c>
      <c r="CF96" s="386">
        <f t="shared" si="94"/>
        <v>0</v>
      </c>
      <c r="CG96" s="386">
        <f t="shared" si="95"/>
        <v>0</v>
      </c>
      <c r="CH96" s="386">
        <f t="shared" si="96"/>
        <v>0</v>
      </c>
      <c r="CI96" s="386">
        <f t="shared" si="97"/>
        <v>0</v>
      </c>
      <c r="CJ96" s="386">
        <f t="shared" si="110"/>
        <v>0</v>
      </c>
      <c r="CK96" s="386" t="str">
        <f t="shared" si="111"/>
        <v/>
      </c>
      <c r="CL96" s="386" t="str">
        <f t="shared" si="112"/>
        <v/>
      </c>
      <c r="CM96" s="386" t="str">
        <f t="shared" si="113"/>
        <v/>
      </c>
      <c r="CN96" s="386" t="str">
        <f t="shared" si="114"/>
        <v>0126-00</v>
      </c>
    </row>
    <row r="97" spans="1:92" ht="15.75" thickBot="1" x14ac:dyDescent="0.3">
      <c r="A97" s="376" t="s">
        <v>162</v>
      </c>
      <c r="B97" s="376" t="s">
        <v>163</v>
      </c>
      <c r="C97" s="376" t="s">
        <v>356</v>
      </c>
      <c r="D97" s="376" t="s">
        <v>165</v>
      </c>
      <c r="E97" s="376" t="s">
        <v>375</v>
      </c>
      <c r="F97" s="377" t="s">
        <v>167</v>
      </c>
      <c r="G97" s="376" t="s">
        <v>376</v>
      </c>
      <c r="H97" s="378"/>
      <c r="I97" s="378"/>
      <c r="J97" s="376" t="s">
        <v>169</v>
      </c>
      <c r="K97" s="376" t="s">
        <v>206</v>
      </c>
      <c r="L97" s="376" t="s">
        <v>198</v>
      </c>
      <c r="M97" s="376" t="s">
        <v>172</v>
      </c>
      <c r="N97" s="376" t="s">
        <v>173</v>
      </c>
      <c r="O97" s="379">
        <v>1</v>
      </c>
      <c r="P97" s="384">
        <v>0</v>
      </c>
      <c r="Q97" s="384">
        <v>0</v>
      </c>
      <c r="R97" s="380">
        <v>80</v>
      </c>
      <c r="S97" s="384">
        <v>0</v>
      </c>
      <c r="T97" s="380">
        <v>2683.35</v>
      </c>
      <c r="U97" s="380">
        <v>0</v>
      </c>
      <c r="V97" s="380">
        <v>994.03</v>
      </c>
      <c r="W97" s="380">
        <v>0</v>
      </c>
      <c r="X97" s="380">
        <v>0</v>
      </c>
      <c r="Y97" s="380">
        <v>0</v>
      </c>
      <c r="Z97" s="380">
        <v>0</v>
      </c>
      <c r="AA97" s="376" t="s">
        <v>357</v>
      </c>
      <c r="AB97" s="376" t="s">
        <v>358</v>
      </c>
      <c r="AC97" s="376" t="s">
        <v>359</v>
      </c>
      <c r="AD97" s="376" t="s">
        <v>198</v>
      </c>
      <c r="AE97" s="376" t="s">
        <v>206</v>
      </c>
      <c r="AF97" s="376" t="s">
        <v>178</v>
      </c>
      <c r="AG97" s="376" t="s">
        <v>179</v>
      </c>
      <c r="AH97" s="381">
        <v>34.21</v>
      </c>
      <c r="AI97" s="379">
        <v>20870</v>
      </c>
      <c r="AJ97" s="376" t="s">
        <v>180</v>
      </c>
      <c r="AK97" s="376" t="s">
        <v>181</v>
      </c>
      <c r="AL97" s="376" t="s">
        <v>182</v>
      </c>
      <c r="AM97" s="376" t="s">
        <v>183</v>
      </c>
      <c r="AN97" s="376" t="s">
        <v>66</v>
      </c>
      <c r="AO97" s="379">
        <v>80</v>
      </c>
      <c r="AP97" s="384">
        <v>1</v>
      </c>
      <c r="AQ97" s="384">
        <v>0</v>
      </c>
      <c r="AR97" s="382" t="s">
        <v>184</v>
      </c>
      <c r="AS97" s="386">
        <f t="shared" si="98"/>
        <v>0</v>
      </c>
      <c r="AT97">
        <f t="shared" si="99"/>
        <v>0</v>
      </c>
      <c r="AU97" s="386" t="str">
        <f>IF(AT97=0,"",IF(AND(AT97=1,M97="F",SUMIF(C2:C201,C97,AS2:AS201)&lt;=1),SUMIF(C2:C201,C97,AS2:AS201),IF(AND(AT97=1,M97="F",SUMIF(C2:C201,C97,AS2:AS201)&gt;1),1,"")))</f>
        <v/>
      </c>
      <c r="AV97" s="386" t="str">
        <f>IF(AT97=0,"",IF(AND(AT97=3,M97="F",SUMIF(C2:C201,C97,AS2:AS201)&lt;=1),SUMIF(C2:C201,C97,AS2:AS201),IF(AND(AT97=3,M97="F",SUMIF(C2:C201,C97,AS2:AS201)&gt;1),1,"")))</f>
        <v/>
      </c>
      <c r="AW97" s="386">
        <f>SUMIF(C2:C201,C97,O2:O201)</f>
        <v>3</v>
      </c>
      <c r="AX97" s="386">
        <f>IF(AND(M97="F",AS97&lt;&gt;0),SUMIF(C2:C201,C97,W2:W201),0)</f>
        <v>0</v>
      </c>
      <c r="AY97" s="386" t="str">
        <f t="shared" si="100"/>
        <v/>
      </c>
      <c r="AZ97" s="386" t="str">
        <f t="shared" si="101"/>
        <v/>
      </c>
      <c r="BA97" s="386">
        <f t="shared" si="102"/>
        <v>0</v>
      </c>
      <c r="BB97" s="386">
        <f t="shared" si="71"/>
        <v>0</v>
      </c>
      <c r="BC97" s="386">
        <f t="shared" si="72"/>
        <v>0</v>
      </c>
      <c r="BD97" s="386">
        <f t="shared" si="73"/>
        <v>0</v>
      </c>
      <c r="BE97" s="386">
        <f t="shared" si="74"/>
        <v>0</v>
      </c>
      <c r="BF97" s="386">
        <f t="shared" si="75"/>
        <v>0</v>
      </c>
      <c r="BG97" s="386">
        <f t="shared" si="76"/>
        <v>0</v>
      </c>
      <c r="BH97" s="386">
        <f t="shared" si="77"/>
        <v>0</v>
      </c>
      <c r="BI97" s="386">
        <f t="shared" si="78"/>
        <v>0</v>
      </c>
      <c r="BJ97" s="386">
        <f t="shared" si="79"/>
        <v>0</v>
      </c>
      <c r="BK97" s="386">
        <f t="shared" si="80"/>
        <v>0</v>
      </c>
      <c r="BL97" s="386">
        <f t="shared" si="103"/>
        <v>0</v>
      </c>
      <c r="BM97" s="386">
        <f t="shared" si="104"/>
        <v>0</v>
      </c>
      <c r="BN97" s="386">
        <f t="shared" si="81"/>
        <v>0</v>
      </c>
      <c r="BO97" s="386">
        <f t="shared" si="82"/>
        <v>0</v>
      </c>
      <c r="BP97" s="386">
        <f t="shared" si="83"/>
        <v>0</v>
      </c>
      <c r="BQ97" s="386">
        <f t="shared" si="84"/>
        <v>0</v>
      </c>
      <c r="BR97" s="386">
        <f t="shared" si="85"/>
        <v>0</v>
      </c>
      <c r="BS97" s="386">
        <f t="shared" si="86"/>
        <v>0</v>
      </c>
      <c r="BT97" s="386">
        <f t="shared" si="87"/>
        <v>0</v>
      </c>
      <c r="BU97" s="386">
        <f t="shared" si="88"/>
        <v>0</v>
      </c>
      <c r="BV97" s="386">
        <f t="shared" si="89"/>
        <v>0</v>
      </c>
      <c r="BW97" s="386">
        <f t="shared" si="90"/>
        <v>0</v>
      </c>
      <c r="BX97" s="386">
        <f t="shared" si="105"/>
        <v>0</v>
      </c>
      <c r="BY97" s="386">
        <f t="shared" si="106"/>
        <v>0</v>
      </c>
      <c r="BZ97" s="386">
        <f t="shared" si="107"/>
        <v>0</v>
      </c>
      <c r="CA97" s="386">
        <f t="shared" si="108"/>
        <v>0</v>
      </c>
      <c r="CB97" s="386">
        <f t="shared" si="109"/>
        <v>0</v>
      </c>
      <c r="CC97" s="386">
        <f t="shared" si="91"/>
        <v>0</v>
      </c>
      <c r="CD97" s="386">
        <f t="shared" si="92"/>
        <v>0</v>
      </c>
      <c r="CE97" s="386">
        <f t="shared" si="93"/>
        <v>0</v>
      </c>
      <c r="CF97" s="386">
        <f t="shared" si="94"/>
        <v>0</v>
      </c>
      <c r="CG97" s="386">
        <f t="shared" si="95"/>
        <v>0</v>
      </c>
      <c r="CH97" s="386">
        <f t="shared" si="96"/>
        <v>0</v>
      </c>
      <c r="CI97" s="386">
        <f t="shared" si="97"/>
        <v>0</v>
      </c>
      <c r="CJ97" s="386">
        <f t="shared" si="110"/>
        <v>0</v>
      </c>
      <c r="CK97" s="386" t="str">
        <f t="shared" si="111"/>
        <v/>
      </c>
      <c r="CL97" s="386" t="str">
        <f t="shared" si="112"/>
        <v/>
      </c>
      <c r="CM97" s="386" t="str">
        <f t="shared" si="113"/>
        <v/>
      </c>
      <c r="CN97" s="386" t="str">
        <f t="shared" si="114"/>
        <v>0126-00</v>
      </c>
    </row>
    <row r="98" spans="1:92" ht="15.75" thickBot="1" x14ac:dyDescent="0.3">
      <c r="A98" s="376" t="s">
        <v>162</v>
      </c>
      <c r="B98" s="376" t="s">
        <v>163</v>
      </c>
      <c r="C98" s="376" t="s">
        <v>312</v>
      </c>
      <c r="D98" s="376" t="s">
        <v>313</v>
      </c>
      <c r="E98" s="376" t="s">
        <v>375</v>
      </c>
      <c r="F98" s="377" t="s">
        <v>167</v>
      </c>
      <c r="G98" s="376" t="s">
        <v>376</v>
      </c>
      <c r="H98" s="378"/>
      <c r="I98" s="378"/>
      <c r="J98" s="376" t="s">
        <v>169</v>
      </c>
      <c r="K98" s="376" t="s">
        <v>314</v>
      </c>
      <c r="L98" s="376" t="s">
        <v>167</v>
      </c>
      <c r="M98" s="376" t="s">
        <v>172</v>
      </c>
      <c r="N98" s="376" t="s">
        <v>315</v>
      </c>
      <c r="O98" s="379">
        <v>0</v>
      </c>
      <c r="P98" s="384">
        <v>0</v>
      </c>
      <c r="Q98" s="384">
        <v>0</v>
      </c>
      <c r="R98" s="380">
        <v>0</v>
      </c>
      <c r="S98" s="384">
        <v>0</v>
      </c>
      <c r="T98" s="380">
        <v>545299.17000000004</v>
      </c>
      <c r="U98" s="380">
        <v>0</v>
      </c>
      <c r="V98" s="380">
        <v>220585.64</v>
      </c>
      <c r="W98" s="380">
        <v>0</v>
      </c>
      <c r="X98" s="380">
        <v>0</v>
      </c>
      <c r="Y98" s="380">
        <v>0</v>
      </c>
      <c r="Z98" s="380">
        <v>0</v>
      </c>
      <c r="AA98" s="378"/>
      <c r="AB98" s="376" t="s">
        <v>45</v>
      </c>
      <c r="AC98" s="376" t="s">
        <v>45</v>
      </c>
      <c r="AD98" s="378"/>
      <c r="AE98" s="378"/>
      <c r="AF98" s="378"/>
      <c r="AG98" s="378"/>
      <c r="AH98" s="379">
        <v>0</v>
      </c>
      <c r="AI98" s="379">
        <v>0</v>
      </c>
      <c r="AJ98" s="378"/>
      <c r="AK98" s="378"/>
      <c r="AL98" s="376" t="s">
        <v>182</v>
      </c>
      <c r="AM98" s="378"/>
      <c r="AN98" s="378"/>
      <c r="AO98" s="379">
        <v>0</v>
      </c>
      <c r="AP98" s="384">
        <v>0</v>
      </c>
      <c r="AQ98" s="384">
        <v>0</v>
      </c>
      <c r="AR98" s="383"/>
      <c r="AS98" s="386">
        <f t="shared" si="98"/>
        <v>0</v>
      </c>
      <c r="AT98">
        <f t="shared" si="99"/>
        <v>0</v>
      </c>
      <c r="AU98" s="386" t="str">
        <f>IF(AT98=0,"",IF(AND(AT98=1,M98="F",SUMIF(C2:C201,C98,AS2:AS201)&lt;=1),SUMIF(C2:C201,C98,AS2:AS201),IF(AND(AT98=1,M98="F",SUMIF(C2:C201,C98,AS2:AS201)&gt;1),1,"")))</f>
        <v/>
      </c>
      <c r="AV98" s="386" t="str">
        <f>IF(AT98=0,"",IF(AND(AT98=3,M98="F",SUMIF(C2:C201,C98,AS2:AS201)&lt;=1),SUMIF(C2:C201,C98,AS2:AS201),IF(AND(AT98=3,M98="F",SUMIF(C2:C201,C98,AS2:AS201)&gt;1),1,"")))</f>
        <v/>
      </c>
      <c r="AW98" s="386">
        <f>SUMIF(C2:C201,C98,O2:O201)</f>
        <v>0</v>
      </c>
      <c r="AX98" s="386">
        <f>IF(AND(M98="F",AS98&lt;&gt;0),SUMIF(C2:C201,C98,W2:W201),0)</f>
        <v>0</v>
      </c>
      <c r="AY98" s="386" t="str">
        <f t="shared" si="100"/>
        <v/>
      </c>
      <c r="AZ98" s="386" t="str">
        <f t="shared" si="101"/>
        <v/>
      </c>
      <c r="BA98" s="386">
        <f t="shared" si="102"/>
        <v>0</v>
      </c>
      <c r="BB98" s="386">
        <f t="shared" ref="BB98:BB129" si="115">IF(AND(AT98=1,AK98="E",AU98&gt;=0.75,AW98=1),Health,IF(AND(AT98=1,AK98="E",AU98&gt;=0.75),Health*P98,IF(AND(AT98=1,AK98="E",AU98&gt;=0.5,AW98=1),PTHealth,IF(AND(AT98=1,AK98="E",AU98&gt;=0.5),PTHealth*P98,0))))</f>
        <v>0</v>
      </c>
      <c r="BC98" s="386">
        <f t="shared" ref="BC98:BC129" si="116">IF(AND(AT98=3,AK98="E",AV98&gt;=0.75,AW98=1),Health,IF(AND(AT98=3,AK98="E",AV98&gt;=0.75),Health*P98,IF(AND(AT98=3,AK98="E",AV98&gt;=0.5,AW98=1),PTHealth,IF(AND(AT98=3,AK98="E",AV98&gt;=0.5),PTHealth*P98,0))))</f>
        <v>0</v>
      </c>
      <c r="BD98" s="386">
        <f t="shared" ref="BD98:BD129" si="117">IF(AND(AT98&lt;&gt;0,AX98&gt;=MAXSSDI),SSDI*MAXSSDI*P98,IF(AT98&lt;&gt;0,SSDI*W98,0))</f>
        <v>0</v>
      </c>
      <c r="BE98" s="386">
        <f t="shared" ref="BE98:BE129" si="118">IF(AT98&lt;&gt;0,SSHI*W98,0)</f>
        <v>0</v>
      </c>
      <c r="BF98" s="386">
        <f t="shared" ref="BF98:BF129" si="119">IF(AND(AT98&lt;&gt;0,AN98&lt;&gt;"NE"),VLOOKUP(AN98,Retirement_Rates,3,FALSE)*W98,0)</f>
        <v>0</v>
      </c>
      <c r="BG98" s="386">
        <f t="shared" ref="BG98:BG129" si="120">IF(AND(AT98&lt;&gt;0,AJ98&lt;&gt;"PF"),Life*W98,0)</f>
        <v>0</v>
      </c>
      <c r="BH98" s="386">
        <f t="shared" ref="BH98:BH129" si="121">IF(AND(AT98&lt;&gt;0,AM98="Y"),UI*W98,0)</f>
        <v>0</v>
      </c>
      <c r="BI98" s="386">
        <f t="shared" ref="BI98:BI129" si="122">IF(AND(AT98&lt;&gt;0,N98&lt;&gt;"NR"),DHR*W98,0)</f>
        <v>0</v>
      </c>
      <c r="BJ98" s="386">
        <f t="shared" ref="BJ98:BJ129" si="123">IF(AT98&lt;&gt;0,WC*W98,0)</f>
        <v>0</v>
      </c>
      <c r="BK98" s="386">
        <f t="shared" ref="BK98:BK129" si="124">IF(OR(AND(AT98&lt;&gt;0,AJ98&lt;&gt;"PF",AN98&lt;&gt;"NE",AG98&lt;&gt;"A"),AND(AL98="E",OR(AT98=1,AT98=3))),Sick*W98,0)</f>
        <v>0</v>
      </c>
      <c r="BL98" s="386">
        <f t="shared" si="103"/>
        <v>0</v>
      </c>
      <c r="BM98" s="386">
        <f t="shared" si="104"/>
        <v>0</v>
      </c>
      <c r="BN98" s="386">
        <f t="shared" ref="BN98:BN129" si="125">IF(AND(AT98=1,AK98="E",AU98&gt;=0.75,AW98=1),HealthBY,IF(AND(AT98=1,AK98="E",AU98&gt;=0.75),HealthBY*P98,IF(AND(AT98=1,AK98="E",AU98&gt;=0.5,AW98=1),PTHealthBY,IF(AND(AT98=1,AK98="E",AU98&gt;=0.5),PTHealthBY*P98,0))))</f>
        <v>0</v>
      </c>
      <c r="BO98" s="386">
        <f t="shared" ref="BO98:BO129" si="126">IF(AND(AT98=3,AK98="E",AV98&gt;=0.75,AW98=1),HealthBY,IF(AND(AT98=3,AK98="E",AV98&gt;=0.75),HealthBY*P98,IF(AND(AT98=3,AK98="E",AV98&gt;=0.5,AW98=1),PTHealthBY,IF(AND(AT98=3,AK98="E",AV98&gt;=0.5),PTHealthBY*P98,0))))</f>
        <v>0</v>
      </c>
      <c r="BP98" s="386">
        <f t="shared" ref="BP98:BP129" si="127">IF(AND(AT98&lt;&gt;0,(AX98+BA98)&gt;=MAXSSDIBY),SSDIBY*MAXSSDIBY*P98,IF(AT98&lt;&gt;0,SSDIBY*W98,0))</f>
        <v>0</v>
      </c>
      <c r="BQ98" s="386">
        <f t="shared" ref="BQ98:BQ129" si="128">IF(AT98&lt;&gt;0,SSHIBY*W98,0)</f>
        <v>0</v>
      </c>
      <c r="BR98" s="386">
        <f t="shared" ref="BR98:BR129" si="129">IF(AND(AT98&lt;&gt;0,AN98&lt;&gt;"NE"),VLOOKUP(AN98,Retirement_Rates,4,FALSE)*W98,0)</f>
        <v>0</v>
      </c>
      <c r="BS98" s="386">
        <f t="shared" ref="BS98:BS129" si="130">IF(AND(AT98&lt;&gt;0,AJ98&lt;&gt;"PF"),LifeBY*W98,0)</f>
        <v>0</v>
      </c>
      <c r="BT98" s="386">
        <f t="shared" ref="BT98:BT129" si="131">IF(AND(AT98&lt;&gt;0,AM98="Y"),UIBY*W98,0)</f>
        <v>0</v>
      </c>
      <c r="BU98" s="386">
        <f t="shared" ref="BU98:BU129" si="132">IF(AND(AT98&lt;&gt;0,N98&lt;&gt;"NR"),DHRBY*W98,0)</f>
        <v>0</v>
      </c>
      <c r="BV98" s="386">
        <f t="shared" ref="BV98:BV129" si="133">IF(AT98&lt;&gt;0,WCBY*W98,0)</f>
        <v>0</v>
      </c>
      <c r="BW98" s="386">
        <f t="shared" ref="BW98:BW129" si="134">IF(OR(AND(AT98&lt;&gt;0,AJ98&lt;&gt;"PF",AN98&lt;&gt;"NE",AG98&lt;&gt;"A"),AND(AL98="E",OR(AT98=1,AT98=3))),SickBY*W98,0)</f>
        <v>0</v>
      </c>
      <c r="BX98" s="386">
        <f t="shared" si="105"/>
        <v>0</v>
      </c>
      <c r="BY98" s="386">
        <f t="shared" si="106"/>
        <v>0</v>
      </c>
      <c r="BZ98" s="386">
        <f t="shared" si="107"/>
        <v>0</v>
      </c>
      <c r="CA98" s="386">
        <f t="shared" si="108"/>
        <v>0</v>
      </c>
      <c r="CB98" s="386">
        <f t="shared" si="109"/>
        <v>0</v>
      </c>
      <c r="CC98" s="386">
        <f t="shared" ref="CC98:CC129" si="135">IF(AT98&lt;&gt;0,SSHICHG*Y98,0)</f>
        <v>0</v>
      </c>
      <c r="CD98" s="386">
        <f t="shared" ref="CD98:CD129" si="136">IF(AND(AT98&lt;&gt;0,AN98&lt;&gt;"NE"),VLOOKUP(AN98,Retirement_Rates,5,FALSE)*Y98,0)</f>
        <v>0</v>
      </c>
      <c r="CE98" s="386">
        <f t="shared" ref="CE98:CE129" si="137">IF(AND(AT98&lt;&gt;0,AJ98&lt;&gt;"PF"),LifeCHG*Y98,0)</f>
        <v>0</v>
      </c>
      <c r="CF98" s="386">
        <f t="shared" ref="CF98:CF129" si="138">IF(AND(AT98&lt;&gt;0,AM98="Y"),UICHG*Y98,0)</f>
        <v>0</v>
      </c>
      <c r="CG98" s="386">
        <f t="shared" ref="CG98:CG129" si="139">IF(AND(AT98&lt;&gt;0,N98&lt;&gt;"NR"),DHRCHG*Y98,0)</f>
        <v>0</v>
      </c>
      <c r="CH98" s="386">
        <f t="shared" ref="CH98:CH129" si="140">IF(AT98&lt;&gt;0,WCCHG*Y98,0)</f>
        <v>0</v>
      </c>
      <c r="CI98" s="386">
        <f t="shared" ref="CI98:CI129" si="141">IF(OR(AND(AT98&lt;&gt;0,AJ98&lt;&gt;"PF",AN98&lt;&gt;"NE",AG98&lt;&gt;"A"),AND(AL98="E",OR(AT98=1,AT98=3))),SickCHG*Y98,0)</f>
        <v>0</v>
      </c>
      <c r="CJ98" s="386">
        <f t="shared" si="110"/>
        <v>0</v>
      </c>
      <c r="CK98" s="386" t="str">
        <f t="shared" si="111"/>
        <v/>
      </c>
      <c r="CL98" s="386">
        <f t="shared" si="112"/>
        <v>545299.17000000004</v>
      </c>
      <c r="CM98" s="386">
        <f t="shared" si="113"/>
        <v>220585.64</v>
      </c>
      <c r="CN98" s="386" t="str">
        <f t="shared" si="114"/>
        <v>0126-00</v>
      </c>
    </row>
    <row r="99" spans="1:92" ht="15.75" thickBot="1" x14ac:dyDescent="0.3">
      <c r="A99" s="376" t="s">
        <v>162</v>
      </c>
      <c r="B99" s="376" t="s">
        <v>163</v>
      </c>
      <c r="C99" s="376" t="s">
        <v>305</v>
      </c>
      <c r="D99" s="376" t="s">
        <v>306</v>
      </c>
      <c r="E99" s="376" t="s">
        <v>375</v>
      </c>
      <c r="F99" s="377" t="s">
        <v>167</v>
      </c>
      <c r="G99" s="376" t="s">
        <v>376</v>
      </c>
      <c r="H99" s="378"/>
      <c r="I99" s="378"/>
      <c r="J99" s="376" t="s">
        <v>264</v>
      </c>
      <c r="K99" s="376" t="s">
        <v>307</v>
      </c>
      <c r="L99" s="376" t="s">
        <v>167</v>
      </c>
      <c r="M99" s="376" t="s">
        <v>172</v>
      </c>
      <c r="N99" s="376" t="s">
        <v>173</v>
      </c>
      <c r="O99" s="379">
        <v>1</v>
      </c>
      <c r="P99" s="384">
        <v>0.25</v>
      </c>
      <c r="Q99" s="384">
        <v>0.25</v>
      </c>
      <c r="R99" s="380">
        <v>80</v>
      </c>
      <c r="S99" s="384">
        <v>0.25</v>
      </c>
      <c r="T99" s="380">
        <v>15789.75</v>
      </c>
      <c r="U99" s="380">
        <v>0</v>
      </c>
      <c r="V99" s="380">
        <v>6134.6</v>
      </c>
      <c r="W99" s="380">
        <v>16374.8</v>
      </c>
      <c r="X99" s="380">
        <v>6480.35</v>
      </c>
      <c r="Y99" s="380">
        <v>16374.8</v>
      </c>
      <c r="Z99" s="380">
        <v>6670.04</v>
      </c>
      <c r="AA99" s="376" t="s">
        <v>308</v>
      </c>
      <c r="AB99" s="376" t="s">
        <v>309</v>
      </c>
      <c r="AC99" s="376" t="s">
        <v>310</v>
      </c>
      <c r="AD99" s="376" t="s">
        <v>311</v>
      </c>
      <c r="AE99" s="376" t="s">
        <v>307</v>
      </c>
      <c r="AF99" s="376" t="s">
        <v>178</v>
      </c>
      <c r="AG99" s="376" t="s">
        <v>179</v>
      </c>
      <c r="AH99" s="381">
        <v>31.49</v>
      </c>
      <c r="AI99" s="379">
        <v>6145</v>
      </c>
      <c r="AJ99" s="376" t="s">
        <v>180</v>
      </c>
      <c r="AK99" s="376" t="s">
        <v>181</v>
      </c>
      <c r="AL99" s="376" t="s">
        <v>182</v>
      </c>
      <c r="AM99" s="376" t="s">
        <v>183</v>
      </c>
      <c r="AN99" s="376" t="s">
        <v>66</v>
      </c>
      <c r="AO99" s="379">
        <v>80</v>
      </c>
      <c r="AP99" s="384">
        <v>1</v>
      </c>
      <c r="AQ99" s="384">
        <v>0.25</v>
      </c>
      <c r="AR99" s="382" t="s">
        <v>184</v>
      </c>
      <c r="AS99" s="386">
        <f t="shared" si="98"/>
        <v>0.25</v>
      </c>
      <c r="AT99">
        <f t="shared" si="99"/>
        <v>1</v>
      </c>
      <c r="AU99" s="386">
        <f>IF(AT99=0,"",IF(AND(AT99=1,M99="F",SUMIF(C2:C201,C99,AS2:AS201)&lt;=1),SUMIF(C2:C201,C99,AS2:AS201),IF(AND(AT99=1,M99="F",SUMIF(C2:C201,C99,AS2:AS201)&gt;1),1,"")))</f>
        <v>1</v>
      </c>
      <c r="AV99" s="386" t="str">
        <f>IF(AT99=0,"",IF(AND(AT99=3,M99="F",SUMIF(C2:C201,C99,AS2:AS201)&lt;=1),SUMIF(C2:C201,C99,AS2:AS201),IF(AND(AT99=3,M99="F",SUMIF(C2:C201,C99,AS2:AS201)&gt;1),1,"")))</f>
        <v/>
      </c>
      <c r="AW99" s="386">
        <f>SUMIF(C2:C201,C99,O2:O201)</f>
        <v>5</v>
      </c>
      <c r="AX99" s="386">
        <f>IF(AND(M99="F",AS99&lt;&gt;0),SUMIF(C2:C201,C99,W2:W201),0)</f>
        <v>65499.180000000008</v>
      </c>
      <c r="AY99" s="386">
        <f t="shared" si="100"/>
        <v>16374.8</v>
      </c>
      <c r="AZ99" s="386" t="str">
        <f t="shared" si="101"/>
        <v/>
      </c>
      <c r="BA99" s="386">
        <f t="shared" si="102"/>
        <v>0</v>
      </c>
      <c r="BB99" s="386">
        <f t="shared" si="115"/>
        <v>3125</v>
      </c>
      <c r="BC99" s="386">
        <f t="shared" si="116"/>
        <v>0</v>
      </c>
      <c r="BD99" s="386">
        <f t="shared" si="117"/>
        <v>1015.2375999999999</v>
      </c>
      <c r="BE99" s="386">
        <f t="shared" si="118"/>
        <v>237.43459999999999</v>
      </c>
      <c r="BF99" s="386">
        <f t="shared" si="119"/>
        <v>1955.15112</v>
      </c>
      <c r="BG99" s="386">
        <f t="shared" si="120"/>
        <v>118.062308</v>
      </c>
      <c r="BH99" s="386">
        <f t="shared" si="121"/>
        <v>0</v>
      </c>
      <c r="BI99" s="386">
        <f t="shared" si="122"/>
        <v>0</v>
      </c>
      <c r="BJ99" s="386">
        <f t="shared" si="123"/>
        <v>29.474639999999997</v>
      </c>
      <c r="BK99" s="386">
        <f t="shared" si="124"/>
        <v>0</v>
      </c>
      <c r="BL99" s="386">
        <f t="shared" si="103"/>
        <v>3355.3602679999999</v>
      </c>
      <c r="BM99" s="386">
        <f t="shared" si="104"/>
        <v>0</v>
      </c>
      <c r="BN99" s="386">
        <f t="shared" si="125"/>
        <v>3437.5</v>
      </c>
      <c r="BO99" s="386">
        <f t="shared" si="126"/>
        <v>0</v>
      </c>
      <c r="BP99" s="386">
        <f t="shared" si="127"/>
        <v>1015.2375999999999</v>
      </c>
      <c r="BQ99" s="386">
        <f t="shared" si="128"/>
        <v>237.43459999999999</v>
      </c>
      <c r="BR99" s="386">
        <f t="shared" si="129"/>
        <v>1830.70264</v>
      </c>
      <c r="BS99" s="386">
        <f t="shared" si="130"/>
        <v>118.062308</v>
      </c>
      <c r="BT99" s="386">
        <f t="shared" si="131"/>
        <v>0</v>
      </c>
      <c r="BU99" s="386">
        <f t="shared" si="132"/>
        <v>0</v>
      </c>
      <c r="BV99" s="386">
        <f t="shared" si="133"/>
        <v>31.112119999999997</v>
      </c>
      <c r="BW99" s="386">
        <f t="shared" si="134"/>
        <v>0</v>
      </c>
      <c r="BX99" s="386">
        <f t="shared" si="105"/>
        <v>3232.5492679999998</v>
      </c>
      <c r="BY99" s="386">
        <f t="shared" si="106"/>
        <v>0</v>
      </c>
      <c r="BZ99" s="386">
        <f t="shared" si="107"/>
        <v>312.5</v>
      </c>
      <c r="CA99" s="386">
        <f t="shared" si="108"/>
        <v>0</v>
      </c>
      <c r="CB99" s="386">
        <f t="shared" si="109"/>
        <v>0</v>
      </c>
      <c r="CC99" s="386">
        <f t="shared" si="135"/>
        <v>0</v>
      </c>
      <c r="CD99" s="386">
        <f t="shared" si="136"/>
        <v>-124.44848000000015</v>
      </c>
      <c r="CE99" s="386">
        <f t="shared" si="137"/>
        <v>0</v>
      </c>
      <c r="CF99" s="386">
        <f t="shared" si="138"/>
        <v>0</v>
      </c>
      <c r="CG99" s="386">
        <f t="shared" si="139"/>
        <v>0</v>
      </c>
      <c r="CH99" s="386">
        <f t="shared" si="140"/>
        <v>1.6374800000000007</v>
      </c>
      <c r="CI99" s="386">
        <f t="shared" si="141"/>
        <v>0</v>
      </c>
      <c r="CJ99" s="386">
        <f t="shared" si="110"/>
        <v>-122.81100000000015</v>
      </c>
      <c r="CK99" s="386" t="str">
        <f t="shared" si="111"/>
        <v/>
      </c>
      <c r="CL99" s="386" t="str">
        <f t="shared" si="112"/>
        <v/>
      </c>
      <c r="CM99" s="386" t="str">
        <f t="shared" si="113"/>
        <v/>
      </c>
      <c r="CN99" s="386" t="str">
        <f t="shared" si="114"/>
        <v>0126-00</v>
      </c>
    </row>
    <row r="100" spans="1:92" ht="15.75" thickBot="1" x14ac:dyDescent="0.3">
      <c r="A100" s="376" t="s">
        <v>162</v>
      </c>
      <c r="B100" s="376" t="s">
        <v>163</v>
      </c>
      <c r="C100" s="376" t="s">
        <v>448</v>
      </c>
      <c r="D100" s="376" t="s">
        <v>449</v>
      </c>
      <c r="E100" s="376" t="s">
        <v>375</v>
      </c>
      <c r="F100" s="377" t="s">
        <v>167</v>
      </c>
      <c r="G100" s="376" t="s">
        <v>376</v>
      </c>
      <c r="H100" s="378"/>
      <c r="I100" s="378"/>
      <c r="J100" s="376" t="s">
        <v>169</v>
      </c>
      <c r="K100" s="376" t="s">
        <v>450</v>
      </c>
      <c r="L100" s="376" t="s">
        <v>198</v>
      </c>
      <c r="M100" s="376" t="s">
        <v>172</v>
      </c>
      <c r="N100" s="376" t="s">
        <v>173</v>
      </c>
      <c r="O100" s="379">
        <v>1</v>
      </c>
      <c r="P100" s="384">
        <v>0</v>
      </c>
      <c r="Q100" s="384">
        <v>0</v>
      </c>
      <c r="R100" s="380">
        <v>80</v>
      </c>
      <c r="S100" s="384">
        <v>0</v>
      </c>
      <c r="T100" s="380">
        <v>3305.59</v>
      </c>
      <c r="U100" s="380">
        <v>0</v>
      </c>
      <c r="V100" s="380">
        <v>1396.57</v>
      </c>
      <c r="W100" s="380">
        <v>0</v>
      </c>
      <c r="X100" s="380">
        <v>0</v>
      </c>
      <c r="Y100" s="380">
        <v>0</v>
      </c>
      <c r="Z100" s="380">
        <v>0</v>
      </c>
      <c r="AA100" s="376" t="s">
        <v>451</v>
      </c>
      <c r="AB100" s="376" t="s">
        <v>452</v>
      </c>
      <c r="AC100" s="376" t="s">
        <v>453</v>
      </c>
      <c r="AD100" s="376" t="s">
        <v>241</v>
      </c>
      <c r="AE100" s="376" t="s">
        <v>450</v>
      </c>
      <c r="AF100" s="376" t="s">
        <v>178</v>
      </c>
      <c r="AG100" s="376" t="s">
        <v>179</v>
      </c>
      <c r="AH100" s="381">
        <v>25.49</v>
      </c>
      <c r="AI100" s="381">
        <v>9136.6</v>
      </c>
      <c r="AJ100" s="376" t="s">
        <v>180</v>
      </c>
      <c r="AK100" s="376" t="s">
        <v>181</v>
      </c>
      <c r="AL100" s="376" t="s">
        <v>182</v>
      </c>
      <c r="AM100" s="376" t="s">
        <v>183</v>
      </c>
      <c r="AN100" s="376" t="s">
        <v>66</v>
      </c>
      <c r="AO100" s="379">
        <v>80</v>
      </c>
      <c r="AP100" s="384">
        <v>1</v>
      </c>
      <c r="AQ100" s="384">
        <v>0</v>
      </c>
      <c r="AR100" s="382" t="s">
        <v>184</v>
      </c>
      <c r="AS100" s="386">
        <f t="shared" si="98"/>
        <v>0</v>
      </c>
      <c r="AT100">
        <f t="shared" si="99"/>
        <v>0</v>
      </c>
      <c r="AU100" s="386" t="str">
        <f>IF(AT100=0,"",IF(AND(AT100=1,M100="F",SUMIF(C2:C201,C100,AS2:AS201)&lt;=1),SUMIF(C2:C201,C100,AS2:AS201),IF(AND(AT100=1,M100="F",SUMIF(C2:C201,C100,AS2:AS201)&gt;1),1,"")))</f>
        <v/>
      </c>
      <c r="AV100" s="386" t="str">
        <f>IF(AT100=0,"",IF(AND(AT100=3,M100="F",SUMIF(C2:C201,C100,AS2:AS201)&lt;=1),SUMIF(C2:C201,C100,AS2:AS201),IF(AND(AT100=3,M100="F",SUMIF(C2:C201,C100,AS2:AS201)&gt;1),1,"")))</f>
        <v/>
      </c>
      <c r="AW100" s="386">
        <f>SUMIF(C2:C201,C100,O2:O201)</f>
        <v>2</v>
      </c>
      <c r="AX100" s="386">
        <f>IF(AND(M100="F",AS100&lt;&gt;0),SUMIF(C2:C201,C100,W2:W201),0)</f>
        <v>0</v>
      </c>
      <c r="AY100" s="386" t="str">
        <f t="shared" si="100"/>
        <v/>
      </c>
      <c r="AZ100" s="386" t="str">
        <f t="shared" si="101"/>
        <v/>
      </c>
      <c r="BA100" s="386">
        <f t="shared" si="102"/>
        <v>0</v>
      </c>
      <c r="BB100" s="386">
        <f t="shared" si="115"/>
        <v>0</v>
      </c>
      <c r="BC100" s="386">
        <f t="shared" si="116"/>
        <v>0</v>
      </c>
      <c r="BD100" s="386">
        <f t="shared" si="117"/>
        <v>0</v>
      </c>
      <c r="BE100" s="386">
        <f t="shared" si="118"/>
        <v>0</v>
      </c>
      <c r="BF100" s="386">
        <f t="shared" si="119"/>
        <v>0</v>
      </c>
      <c r="BG100" s="386">
        <f t="shared" si="120"/>
        <v>0</v>
      </c>
      <c r="BH100" s="386">
        <f t="shared" si="121"/>
        <v>0</v>
      </c>
      <c r="BI100" s="386">
        <f t="shared" si="122"/>
        <v>0</v>
      </c>
      <c r="BJ100" s="386">
        <f t="shared" si="123"/>
        <v>0</v>
      </c>
      <c r="BK100" s="386">
        <f t="shared" si="124"/>
        <v>0</v>
      </c>
      <c r="BL100" s="386">
        <f t="shared" si="103"/>
        <v>0</v>
      </c>
      <c r="BM100" s="386">
        <f t="shared" si="104"/>
        <v>0</v>
      </c>
      <c r="BN100" s="386">
        <f t="shared" si="125"/>
        <v>0</v>
      </c>
      <c r="BO100" s="386">
        <f t="shared" si="126"/>
        <v>0</v>
      </c>
      <c r="BP100" s="386">
        <f t="shared" si="127"/>
        <v>0</v>
      </c>
      <c r="BQ100" s="386">
        <f t="shared" si="128"/>
        <v>0</v>
      </c>
      <c r="BR100" s="386">
        <f t="shared" si="129"/>
        <v>0</v>
      </c>
      <c r="BS100" s="386">
        <f t="shared" si="130"/>
        <v>0</v>
      </c>
      <c r="BT100" s="386">
        <f t="shared" si="131"/>
        <v>0</v>
      </c>
      <c r="BU100" s="386">
        <f t="shared" si="132"/>
        <v>0</v>
      </c>
      <c r="BV100" s="386">
        <f t="shared" si="133"/>
        <v>0</v>
      </c>
      <c r="BW100" s="386">
        <f t="shared" si="134"/>
        <v>0</v>
      </c>
      <c r="BX100" s="386">
        <f t="shared" si="105"/>
        <v>0</v>
      </c>
      <c r="BY100" s="386">
        <f t="shared" si="106"/>
        <v>0</v>
      </c>
      <c r="BZ100" s="386">
        <f t="shared" si="107"/>
        <v>0</v>
      </c>
      <c r="CA100" s="386">
        <f t="shared" si="108"/>
        <v>0</v>
      </c>
      <c r="CB100" s="386">
        <f t="shared" si="109"/>
        <v>0</v>
      </c>
      <c r="CC100" s="386">
        <f t="shared" si="135"/>
        <v>0</v>
      </c>
      <c r="CD100" s="386">
        <f t="shared" si="136"/>
        <v>0</v>
      </c>
      <c r="CE100" s="386">
        <f t="shared" si="137"/>
        <v>0</v>
      </c>
      <c r="CF100" s="386">
        <f t="shared" si="138"/>
        <v>0</v>
      </c>
      <c r="CG100" s="386">
        <f t="shared" si="139"/>
        <v>0</v>
      </c>
      <c r="CH100" s="386">
        <f t="shared" si="140"/>
        <v>0</v>
      </c>
      <c r="CI100" s="386">
        <f t="shared" si="141"/>
        <v>0</v>
      </c>
      <c r="CJ100" s="386">
        <f t="shared" si="110"/>
        <v>0</v>
      </c>
      <c r="CK100" s="386" t="str">
        <f t="shared" si="111"/>
        <v/>
      </c>
      <c r="CL100" s="386" t="str">
        <f t="shared" si="112"/>
        <v/>
      </c>
      <c r="CM100" s="386" t="str">
        <f t="shared" si="113"/>
        <v/>
      </c>
      <c r="CN100" s="386" t="str">
        <f t="shared" si="114"/>
        <v>0126-00</v>
      </c>
    </row>
    <row r="101" spans="1:92" ht="15.75" thickBot="1" x14ac:dyDescent="0.3">
      <c r="A101" s="376" t="s">
        <v>162</v>
      </c>
      <c r="B101" s="376" t="s">
        <v>163</v>
      </c>
      <c r="C101" s="376" t="s">
        <v>454</v>
      </c>
      <c r="D101" s="376" t="s">
        <v>258</v>
      </c>
      <c r="E101" s="376" t="s">
        <v>375</v>
      </c>
      <c r="F101" s="377" t="s">
        <v>167</v>
      </c>
      <c r="G101" s="376" t="s">
        <v>376</v>
      </c>
      <c r="H101" s="378"/>
      <c r="I101" s="378"/>
      <c r="J101" s="376" t="s">
        <v>169</v>
      </c>
      <c r="K101" s="376" t="s">
        <v>259</v>
      </c>
      <c r="L101" s="376" t="s">
        <v>167</v>
      </c>
      <c r="M101" s="376" t="s">
        <v>172</v>
      </c>
      <c r="N101" s="376" t="s">
        <v>173</v>
      </c>
      <c r="O101" s="379">
        <v>1</v>
      </c>
      <c r="P101" s="384">
        <v>1</v>
      </c>
      <c r="Q101" s="384">
        <v>1</v>
      </c>
      <c r="R101" s="380">
        <v>80</v>
      </c>
      <c r="S101" s="384">
        <v>1</v>
      </c>
      <c r="T101" s="380">
        <v>106939.22</v>
      </c>
      <c r="U101" s="380">
        <v>0</v>
      </c>
      <c r="V101" s="380">
        <v>34051.839999999997</v>
      </c>
      <c r="W101" s="380">
        <v>109179.2</v>
      </c>
      <c r="X101" s="380">
        <v>34871.89</v>
      </c>
      <c r="Y101" s="380">
        <v>109179.2</v>
      </c>
      <c r="Z101" s="380">
        <v>35303.050000000003</v>
      </c>
      <c r="AA101" s="376" t="s">
        <v>455</v>
      </c>
      <c r="AB101" s="376" t="s">
        <v>456</v>
      </c>
      <c r="AC101" s="376" t="s">
        <v>457</v>
      </c>
      <c r="AD101" s="376" t="s">
        <v>171</v>
      </c>
      <c r="AE101" s="376" t="s">
        <v>458</v>
      </c>
      <c r="AF101" s="376" t="s">
        <v>178</v>
      </c>
      <c r="AG101" s="376" t="s">
        <v>179</v>
      </c>
      <c r="AH101" s="381">
        <v>52.49</v>
      </c>
      <c r="AI101" s="379">
        <v>9560</v>
      </c>
      <c r="AJ101" s="376" t="s">
        <v>180</v>
      </c>
      <c r="AK101" s="376" t="s">
        <v>181</v>
      </c>
      <c r="AL101" s="376" t="s">
        <v>182</v>
      </c>
      <c r="AM101" s="376" t="s">
        <v>183</v>
      </c>
      <c r="AN101" s="376" t="s">
        <v>66</v>
      </c>
      <c r="AO101" s="379">
        <v>80</v>
      </c>
      <c r="AP101" s="384">
        <v>1</v>
      </c>
      <c r="AQ101" s="384">
        <v>1</v>
      </c>
      <c r="AR101" s="382" t="s">
        <v>184</v>
      </c>
      <c r="AS101" s="386">
        <f t="shared" si="98"/>
        <v>1</v>
      </c>
      <c r="AT101">
        <f t="shared" si="99"/>
        <v>1</v>
      </c>
      <c r="AU101" s="386">
        <f>IF(AT101=0,"",IF(AND(AT101=1,M101="F",SUMIF(C2:C201,C101,AS2:AS201)&lt;=1),SUMIF(C2:C201,C101,AS2:AS201),IF(AND(AT101=1,M101="F",SUMIF(C2:C201,C101,AS2:AS201)&gt;1),1,"")))</f>
        <v>1</v>
      </c>
      <c r="AV101" s="386" t="str">
        <f>IF(AT101=0,"",IF(AND(AT101=3,M101="F",SUMIF(C2:C201,C101,AS2:AS201)&lt;=1),SUMIF(C2:C201,C101,AS2:AS201),IF(AND(AT101=3,M101="F",SUMIF(C2:C201,C101,AS2:AS201)&gt;1),1,"")))</f>
        <v/>
      </c>
      <c r="AW101" s="386">
        <f>SUMIF(C2:C201,C101,O2:O201)</f>
        <v>1</v>
      </c>
      <c r="AX101" s="386">
        <f>IF(AND(M101="F",AS101&lt;&gt;0),SUMIF(C2:C201,C101,W2:W201),0)</f>
        <v>109179.2</v>
      </c>
      <c r="AY101" s="386">
        <f t="shared" si="100"/>
        <v>109179.2</v>
      </c>
      <c r="AZ101" s="386" t="str">
        <f t="shared" si="101"/>
        <v/>
      </c>
      <c r="BA101" s="386">
        <f t="shared" si="102"/>
        <v>0</v>
      </c>
      <c r="BB101" s="386">
        <f t="shared" si="115"/>
        <v>12500</v>
      </c>
      <c r="BC101" s="386">
        <f t="shared" si="116"/>
        <v>0</v>
      </c>
      <c r="BD101" s="386">
        <f t="shared" si="117"/>
        <v>6769.1103999999996</v>
      </c>
      <c r="BE101" s="386">
        <f t="shared" si="118"/>
        <v>1583.0984000000001</v>
      </c>
      <c r="BF101" s="386">
        <f t="shared" si="119"/>
        <v>13035.99648</v>
      </c>
      <c r="BG101" s="386">
        <f t="shared" si="120"/>
        <v>787.18203200000005</v>
      </c>
      <c r="BH101" s="386">
        <f t="shared" si="121"/>
        <v>0</v>
      </c>
      <c r="BI101" s="386">
        <f t="shared" si="122"/>
        <v>0</v>
      </c>
      <c r="BJ101" s="386">
        <f t="shared" si="123"/>
        <v>196.52256</v>
      </c>
      <c r="BK101" s="386">
        <f t="shared" si="124"/>
        <v>0</v>
      </c>
      <c r="BL101" s="386">
        <f t="shared" si="103"/>
        <v>22371.909872000004</v>
      </c>
      <c r="BM101" s="386">
        <f t="shared" si="104"/>
        <v>0</v>
      </c>
      <c r="BN101" s="386">
        <f t="shared" si="125"/>
        <v>13750</v>
      </c>
      <c r="BO101" s="386">
        <f t="shared" si="126"/>
        <v>0</v>
      </c>
      <c r="BP101" s="386">
        <f t="shared" si="127"/>
        <v>6769.1103999999996</v>
      </c>
      <c r="BQ101" s="386">
        <f t="shared" si="128"/>
        <v>1583.0984000000001</v>
      </c>
      <c r="BR101" s="386">
        <f t="shared" si="129"/>
        <v>12206.234559999999</v>
      </c>
      <c r="BS101" s="386">
        <f t="shared" si="130"/>
        <v>787.18203200000005</v>
      </c>
      <c r="BT101" s="386">
        <f t="shared" si="131"/>
        <v>0</v>
      </c>
      <c r="BU101" s="386">
        <f t="shared" si="132"/>
        <v>0</v>
      </c>
      <c r="BV101" s="386">
        <f t="shared" si="133"/>
        <v>207.44048000000001</v>
      </c>
      <c r="BW101" s="386">
        <f t="shared" si="134"/>
        <v>0</v>
      </c>
      <c r="BX101" s="386">
        <f t="shared" si="105"/>
        <v>21553.065871999999</v>
      </c>
      <c r="BY101" s="386">
        <f t="shared" si="106"/>
        <v>0</v>
      </c>
      <c r="BZ101" s="386">
        <f t="shared" si="107"/>
        <v>1250</v>
      </c>
      <c r="CA101" s="386">
        <f t="shared" si="108"/>
        <v>0</v>
      </c>
      <c r="CB101" s="386">
        <f t="shared" si="109"/>
        <v>0</v>
      </c>
      <c r="CC101" s="386">
        <f t="shared" si="135"/>
        <v>0</v>
      </c>
      <c r="CD101" s="386">
        <f t="shared" si="136"/>
        <v>-829.76192000000106</v>
      </c>
      <c r="CE101" s="386">
        <f t="shared" si="137"/>
        <v>0</v>
      </c>
      <c r="CF101" s="386">
        <f t="shared" si="138"/>
        <v>0</v>
      </c>
      <c r="CG101" s="386">
        <f t="shared" si="139"/>
        <v>0</v>
      </c>
      <c r="CH101" s="386">
        <f t="shared" si="140"/>
        <v>10.917920000000004</v>
      </c>
      <c r="CI101" s="386">
        <f t="shared" si="141"/>
        <v>0</v>
      </c>
      <c r="CJ101" s="386">
        <f t="shared" si="110"/>
        <v>-818.84400000000107</v>
      </c>
      <c r="CK101" s="386" t="str">
        <f t="shared" si="111"/>
        <v/>
      </c>
      <c r="CL101" s="386" t="str">
        <f t="shared" si="112"/>
        <v/>
      </c>
      <c r="CM101" s="386" t="str">
        <f t="shared" si="113"/>
        <v/>
      </c>
      <c r="CN101" s="386" t="str">
        <f t="shared" si="114"/>
        <v>0126-00</v>
      </c>
    </row>
    <row r="102" spans="1:92" ht="15.75" thickBot="1" x14ac:dyDescent="0.3">
      <c r="A102" s="376" t="s">
        <v>162</v>
      </c>
      <c r="B102" s="376" t="s">
        <v>163</v>
      </c>
      <c r="C102" s="376" t="s">
        <v>361</v>
      </c>
      <c r="D102" s="376" t="s">
        <v>165</v>
      </c>
      <c r="E102" s="376" t="s">
        <v>375</v>
      </c>
      <c r="F102" s="377" t="s">
        <v>167</v>
      </c>
      <c r="G102" s="376" t="s">
        <v>376</v>
      </c>
      <c r="H102" s="378"/>
      <c r="I102" s="378"/>
      <c r="J102" s="376" t="s">
        <v>169</v>
      </c>
      <c r="K102" s="376" t="s">
        <v>170</v>
      </c>
      <c r="L102" s="376" t="s">
        <v>171</v>
      </c>
      <c r="M102" s="376" t="s">
        <v>172</v>
      </c>
      <c r="N102" s="376" t="s">
        <v>173</v>
      </c>
      <c r="O102" s="379">
        <v>1</v>
      </c>
      <c r="P102" s="384">
        <v>0</v>
      </c>
      <c r="Q102" s="384">
        <v>0</v>
      </c>
      <c r="R102" s="380">
        <v>80</v>
      </c>
      <c r="S102" s="384">
        <v>0</v>
      </c>
      <c r="T102" s="380">
        <v>10308.94</v>
      </c>
      <c r="U102" s="380">
        <v>0</v>
      </c>
      <c r="V102" s="380">
        <v>3308.04</v>
      </c>
      <c r="W102" s="380">
        <v>0</v>
      </c>
      <c r="X102" s="380">
        <v>0</v>
      </c>
      <c r="Y102" s="380">
        <v>0</v>
      </c>
      <c r="Z102" s="380">
        <v>0</v>
      </c>
      <c r="AA102" s="376" t="s">
        <v>362</v>
      </c>
      <c r="AB102" s="376" t="s">
        <v>363</v>
      </c>
      <c r="AC102" s="376" t="s">
        <v>364</v>
      </c>
      <c r="AD102" s="376" t="s">
        <v>290</v>
      </c>
      <c r="AE102" s="376" t="s">
        <v>170</v>
      </c>
      <c r="AF102" s="376" t="s">
        <v>178</v>
      </c>
      <c r="AG102" s="376" t="s">
        <v>179</v>
      </c>
      <c r="AH102" s="381">
        <v>42.03</v>
      </c>
      <c r="AI102" s="381">
        <v>34061.800000000003</v>
      </c>
      <c r="AJ102" s="376" t="s">
        <v>180</v>
      </c>
      <c r="AK102" s="376" t="s">
        <v>181</v>
      </c>
      <c r="AL102" s="376" t="s">
        <v>182</v>
      </c>
      <c r="AM102" s="376" t="s">
        <v>183</v>
      </c>
      <c r="AN102" s="376" t="s">
        <v>66</v>
      </c>
      <c r="AO102" s="379">
        <v>80</v>
      </c>
      <c r="AP102" s="384">
        <v>1</v>
      </c>
      <c r="AQ102" s="384">
        <v>0</v>
      </c>
      <c r="AR102" s="382" t="s">
        <v>184</v>
      </c>
      <c r="AS102" s="386">
        <f t="shared" si="98"/>
        <v>0</v>
      </c>
      <c r="AT102">
        <f t="shared" si="99"/>
        <v>0</v>
      </c>
      <c r="AU102" s="386" t="str">
        <f>IF(AT102=0,"",IF(AND(AT102=1,M102="F",SUMIF(C2:C201,C102,AS2:AS201)&lt;=1),SUMIF(C2:C201,C102,AS2:AS201),IF(AND(AT102=1,M102="F",SUMIF(C2:C201,C102,AS2:AS201)&gt;1),1,"")))</f>
        <v/>
      </c>
      <c r="AV102" s="386" t="str">
        <f>IF(AT102=0,"",IF(AND(AT102=3,M102="F",SUMIF(C2:C201,C102,AS2:AS201)&lt;=1),SUMIF(C2:C201,C102,AS2:AS201),IF(AND(AT102=3,M102="F",SUMIF(C2:C201,C102,AS2:AS201)&gt;1),1,"")))</f>
        <v/>
      </c>
      <c r="AW102" s="386">
        <f>SUMIF(C2:C201,C102,O2:O201)</f>
        <v>3</v>
      </c>
      <c r="AX102" s="386">
        <f>IF(AND(M102="F",AS102&lt;&gt;0),SUMIF(C2:C201,C102,W2:W201),0)</f>
        <v>0</v>
      </c>
      <c r="AY102" s="386" t="str">
        <f t="shared" si="100"/>
        <v/>
      </c>
      <c r="AZ102" s="386" t="str">
        <f t="shared" si="101"/>
        <v/>
      </c>
      <c r="BA102" s="386">
        <f t="shared" si="102"/>
        <v>0</v>
      </c>
      <c r="BB102" s="386">
        <f t="shared" si="115"/>
        <v>0</v>
      </c>
      <c r="BC102" s="386">
        <f t="shared" si="116"/>
        <v>0</v>
      </c>
      <c r="BD102" s="386">
        <f t="shared" si="117"/>
        <v>0</v>
      </c>
      <c r="BE102" s="386">
        <f t="shared" si="118"/>
        <v>0</v>
      </c>
      <c r="BF102" s="386">
        <f t="shared" si="119"/>
        <v>0</v>
      </c>
      <c r="BG102" s="386">
        <f t="shared" si="120"/>
        <v>0</v>
      </c>
      <c r="BH102" s="386">
        <f t="shared" si="121"/>
        <v>0</v>
      </c>
      <c r="BI102" s="386">
        <f t="shared" si="122"/>
        <v>0</v>
      </c>
      <c r="BJ102" s="386">
        <f t="shared" si="123"/>
        <v>0</v>
      </c>
      <c r="BK102" s="386">
        <f t="shared" si="124"/>
        <v>0</v>
      </c>
      <c r="BL102" s="386">
        <f t="shared" si="103"/>
        <v>0</v>
      </c>
      <c r="BM102" s="386">
        <f t="shared" si="104"/>
        <v>0</v>
      </c>
      <c r="BN102" s="386">
        <f t="shared" si="125"/>
        <v>0</v>
      </c>
      <c r="BO102" s="386">
        <f t="shared" si="126"/>
        <v>0</v>
      </c>
      <c r="BP102" s="386">
        <f t="shared" si="127"/>
        <v>0</v>
      </c>
      <c r="BQ102" s="386">
        <f t="shared" si="128"/>
        <v>0</v>
      </c>
      <c r="BR102" s="386">
        <f t="shared" si="129"/>
        <v>0</v>
      </c>
      <c r="BS102" s="386">
        <f t="shared" si="130"/>
        <v>0</v>
      </c>
      <c r="BT102" s="386">
        <f t="shared" si="131"/>
        <v>0</v>
      </c>
      <c r="BU102" s="386">
        <f t="shared" si="132"/>
        <v>0</v>
      </c>
      <c r="BV102" s="386">
        <f t="shared" si="133"/>
        <v>0</v>
      </c>
      <c r="BW102" s="386">
        <f t="shared" si="134"/>
        <v>0</v>
      </c>
      <c r="BX102" s="386">
        <f t="shared" si="105"/>
        <v>0</v>
      </c>
      <c r="BY102" s="386">
        <f t="shared" si="106"/>
        <v>0</v>
      </c>
      <c r="BZ102" s="386">
        <f t="shared" si="107"/>
        <v>0</v>
      </c>
      <c r="CA102" s="386">
        <f t="shared" si="108"/>
        <v>0</v>
      </c>
      <c r="CB102" s="386">
        <f t="shared" si="109"/>
        <v>0</v>
      </c>
      <c r="CC102" s="386">
        <f t="shared" si="135"/>
        <v>0</v>
      </c>
      <c r="CD102" s="386">
        <f t="shared" si="136"/>
        <v>0</v>
      </c>
      <c r="CE102" s="386">
        <f t="shared" si="137"/>
        <v>0</v>
      </c>
      <c r="CF102" s="386">
        <f t="shared" si="138"/>
        <v>0</v>
      </c>
      <c r="CG102" s="386">
        <f t="shared" si="139"/>
        <v>0</v>
      </c>
      <c r="CH102" s="386">
        <f t="shared" si="140"/>
        <v>0</v>
      </c>
      <c r="CI102" s="386">
        <f t="shared" si="141"/>
        <v>0</v>
      </c>
      <c r="CJ102" s="386">
        <f t="shared" si="110"/>
        <v>0</v>
      </c>
      <c r="CK102" s="386" t="str">
        <f t="shared" si="111"/>
        <v/>
      </c>
      <c r="CL102" s="386" t="str">
        <f t="shared" si="112"/>
        <v/>
      </c>
      <c r="CM102" s="386" t="str">
        <f t="shared" si="113"/>
        <v/>
      </c>
      <c r="CN102" s="386" t="str">
        <f t="shared" si="114"/>
        <v>0126-00</v>
      </c>
    </row>
    <row r="103" spans="1:92" ht="15.75" thickBot="1" x14ac:dyDescent="0.3">
      <c r="A103" s="376" t="s">
        <v>162</v>
      </c>
      <c r="B103" s="376" t="s">
        <v>163</v>
      </c>
      <c r="C103" s="376" t="s">
        <v>459</v>
      </c>
      <c r="D103" s="376" t="s">
        <v>165</v>
      </c>
      <c r="E103" s="376" t="s">
        <v>375</v>
      </c>
      <c r="F103" s="377" t="s">
        <v>167</v>
      </c>
      <c r="G103" s="376" t="s">
        <v>376</v>
      </c>
      <c r="H103" s="378"/>
      <c r="I103" s="378"/>
      <c r="J103" s="376" t="s">
        <v>169</v>
      </c>
      <c r="K103" s="376" t="s">
        <v>206</v>
      </c>
      <c r="L103" s="376" t="s">
        <v>198</v>
      </c>
      <c r="M103" s="376" t="s">
        <v>255</v>
      </c>
      <c r="N103" s="376" t="s">
        <v>173</v>
      </c>
      <c r="O103" s="379">
        <v>0</v>
      </c>
      <c r="P103" s="384">
        <v>1</v>
      </c>
      <c r="Q103" s="384">
        <v>1</v>
      </c>
      <c r="R103" s="380">
        <v>80</v>
      </c>
      <c r="S103" s="384">
        <v>1</v>
      </c>
      <c r="T103" s="380">
        <v>0</v>
      </c>
      <c r="U103" s="380">
        <v>0</v>
      </c>
      <c r="V103" s="380">
        <v>0</v>
      </c>
      <c r="W103" s="380">
        <v>71760</v>
      </c>
      <c r="X103" s="380">
        <v>32292</v>
      </c>
      <c r="Y103" s="380">
        <v>71760</v>
      </c>
      <c r="Z103" s="380">
        <v>33440.160000000003</v>
      </c>
      <c r="AA103" s="378"/>
      <c r="AB103" s="376" t="s">
        <v>45</v>
      </c>
      <c r="AC103" s="376" t="s">
        <v>45</v>
      </c>
      <c r="AD103" s="378"/>
      <c r="AE103" s="378"/>
      <c r="AF103" s="378"/>
      <c r="AG103" s="378"/>
      <c r="AH103" s="379">
        <v>0</v>
      </c>
      <c r="AI103" s="379">
        <v>0</v>
      </c>
      <c r="AJ103" s="378"/>
      <c r="AK103" s="378"/>
      <c r="AL103" s="376" t="s">
        <v>182</v>
      </c>
      <c r="AM103" s="378"/>
      <c r="AN103" s="378"/>
      <c r="AO103" s="379">
        <v>0</v>
      </c>
      <c r="AP103" s="384">
        <v>0</v>
      </c>
      <c r="AQ103" s="384">
        <v>0</v>
      </c>
      <c r="AR103" s="383"/>
      <c r="AS103" s="386">
        <f t="shared" si="98"/>
        <v>0</v>
      </c>
      <c r="AT103">
        <f t="shared" si="99"/>
        <v>0</v>
      </c>
      <c r="AU103" s="386" t="str">
        <f>IF(AT103=0,"",IF(AND(AT103=1,M103="F",SUMIF(C2:C201,C103,AS2:AS201)&lt;=1),SUMIF(C2:C201,C103,AS2:AS201),IF(AND(AT103=1,M103="F",SUMIF(C2:C201,C103,AS2:AS201)&gt;1),1,"")))</f>
        <v/>
      </c>
      <c r="AV103" s="386" t="str">
        <f>IF(AT103=0,"",IF(AND(AT103=3,M103="F",SUMIF(C2:C201,C103,AS2:AS201)&lt;=1),SUMIF(C2:C201,C103,AS2:AS201),IF(AND(AT103=3,M103="F",SUMIF(C2:C201,C103,AS2:AS201)&gt;1),1,"")))</f>
        <v/>
      </c>
      <c r="AW103" s="386">
        <f>SUMIF(C2:C201,C103,O2:O201)</f>
        <v>0</v>
      </c>
      <c r="AX103" s="386">
        <f>IF(AND(M103="F",AS103&lt;&gt;0),SUMIF(C2:C201,C103,W2:W201),0)</f>
        <v>0</v>
      </c>
      <c r="AY103" s="386" t="str">
        <f t="shared" si="100"/>
        <v/>
      </c>
      <c r="AZ103" s="386" t="str">
        <f t="shared" si="101"/>
        <v/>
      </c>
      <c r="BA103" s="386">
        <f t="shared" si="102"/>
        <v>0</v>
      </c>
      <c r="BB103" s="386">
        <f t="shared" si="115"/>
        <v>0</v>
      </c>
      <c r="BC103" s="386">
        <f t="shared" si="116"/>
        <v>0</v>
      </c>
      <c r="BD103" s="386">
        <f t="shared" si="117"/>
        <v>0</v>
      </c>
      <c r="BE103" s="386">
        <f t="shared" si="118"/>
        <v>0</v>
      </c>
      <c r="BF103" s="386">
        <f t="shared" si="119"/>
        <v>0</v>
      </c>
      <c r="BG103" s="386">
        <f t="shared" si="120"/>
        <v>0</v>
      </c>
      <c r="BH103" s="386">
        <f t="shared" si="121"/>
        <v>0</v>
      </c>
      <c r="BI103" s="386">
        <f t="shared" si="122"/>
        <v>0</v>
      </c>
      <c r="BJ103" s="386">
        <f t="shared" si="123"/>
        <v>0</v>
      </c>
      <c r="BK103" s="386">
        <f t="shared" si="124"/>
        <v>0</v>
      </c>
      <c r="BL103" s="386">
        <f t="shared" si="103"/>
        <v>0</v>
      </c>
      <c r="BM103" s="386">
        <f t="shared" si="104"/>
        <v>0</v>
      </c>
      <c r="BN103" s="386">
        <f t="shared" si="125"/>
        <v>0</v>
      </c>
      <c r="BO103" s="386">
        <f t="shared" si="126"/>
        <v>0</v>
      </c>
      <c r="BP103" s="386">
        <f t="shared" si="127"/>
        <v>0</v>
      </c>
      <c r="BQ103" s="386">
        <f t="shared" si="128"/>
        <v>0</v>
      </c>
      <c r="BR103" s="386">
        <f t="shared" si="129"/>
        <v>0</v>
      </c>
      <c r="BS103" s="386">
        <f t="shared" si="130"/>
        <v>0</v>
      </c>
      <c r="BT103" s="386">
        <f t="shared" si="131"/>
        <v>0</v>
      </c>
      <c r="BU103" s="386">
        <f t="shared" si="132"/>
        <v>0</v>
      </c>
      <c r="BV103" s="386">
        <f t="shared" si="133"/>
        <v>0</v>
      </c>
      <c r="BW103" s="386">
        <f t="shared" si="134"/>
        <v>0</v>
      </c>
      <c r="BX103" s="386">
        <f t="shared" si="105"/>
        <v>0</v>
      </c>
      <c r="BY103" s="386">
        <f t="shared" si="106"/>
        <v>0</v>
      </c>
      <c r="BZ103" s="386">
        <f t="shared" si="107"/>
        <v>0</v>
      </c>
      <c r="CA103" s="386">
        <f t="shared" si="108"/>
        <v>0</v>
      </c>
      <c r="CB103" s="386">
        <f t="shared" si="109"/>
        <v>0</v>
      </c>
      <c r="CC103" s="386">
        <f t="shared" si="135"/>
        <v>0</v>
      </c>
      <c r="CD103" s="386">
        <f t="shared" si="136"/>
        <v>0</v>
      </c>
      <c r="CE103" s="386">
        <f t="shared" si="137"/>
        <v>0</v>
      </c>
      <c r="CF103" s="386">
        <f t="shared" si="138"/>
        <v>0</v>
      </c>
      <c r="CG103" s="386">
        <f t="shared" si="139"/>
        <v>0</v>
      </c>
      <c r="CH103" s="386">
        <f t="shared" si="140"/>
        <v>0</v>
      </c>
      <c r="CI103" s="386">
        <f t="shared" si="141"/>
        <v>0</v>
      </c>
      <c r="CJ103" s="386">
        <f t="shared" si="110"/>
        <v>0</v>
      </c>
      <c r="CK103" s="386" t="str">
        <f t="shared" si="111"/>
        <v/>
      </c>
      <c r="CL103" s="386" t="str">
        <f t="shared" si="112"/>
        <v/>
      </c>
      <c r="CM103" s="386" t="str">
        <f t="shared" si="113"/>
        <v/>
      </c>
      <c r="CN103" s="386" t="str">
        <f t="shared" si="114"/>
        <v>0126-00</v>
      </c>
    </row>
    <row r="104" spans="1:92" ht="15.75" thickBot="1" x14ac:dyDescent="0.3">
      <c r="A104" s="376" t="s">
        <v>162</v>
      </c>
      <c r="B104" s="376" t="s">
        <v>163</v>
      </c>
      <c r="C104" s="376" t="s">
        <v>460</v>
      </c>
      <c r="D104" s="376" t="s">
        <v>378</v>
      </c>
      <c r="E104" s="376" t="s">
        <v>375</v>
      </c>
      <c r="F104" s="377" t="s">
        <v>167</v>
      </c>
      <c r="G104" s="376" t="s">
        <v>376</v>
      </c>
      <c r="H104" s="378"/>
      <c r="I104" s="378"/>
      <c r="J104" s="376" t="s">
        <v>169</v>
      </c>
      <c r="K104" s="376" t="s">
        <v>379</v>
      </c>
      <c r="L104" s="376" t="s">
        <v>167</v>
      </c>
      <c r="M104" s="376" t="s">
        <v>172</v>
      </c>
      <c r="N104" s="376" t="s">
        <v>173</v>
      </c>
      <c r="O104" s="379">
        <v>1</v>
      </c>
      <c r="P104" s="384">
        <v>0</v>
      </c>
      <c r="Q104" s="384">
        <v>0</v>
      </c>
      <c r="R104" s="380">
        <v>80</v>
      </c>
      <c r="S104" s="384">
        <v>0</v>
      </c>
      <c r="T104" s="380">
        <v>1672.12</v>
      </c>
      <c r="U104" s="380">
        <v>0</v>
      </c>
      <c r="V104" s="380">
        <v>727.99</v>
      </c>
      <c r="W104" s="380">
        <v>0</v>
      </c>
      <c r="X104" s="380">
        <v>0</v>
      </c>
      <c r="Y104" s="380">
        <v>0</v>
      </c>
      <c r="Z104" s="380">
        <v>0</v>
      </c>
      <c r="AA104" s="376" t="s">
        <v>461</v>
      </c>
      <c r="AB104" s="376" t="s">
        <v>462</v>
      </c>
      <c r="AC104" s="376" t="s">
        <v>463</v>
      </c>
      <c r="AD104" s="376" t="s">
        <v>198</v>
      </c>
      <c r="AE104" s="376" t="s">
        <v>379</v>
      </c>
      <c r="AF104" s="376" t="s">
        <v>178</v>
      </c>
      <c r="AG104" s="376" t="s">
        <v>179</v>
      </c>
      <c r="AH104" s="381">
        <v>22.88</v>
      </c>
      <c r="AI104" s="379">
        <v>4720</v>
      </c>
      <c r="AJ104" s="376" t="s">
        <v>180</v>
      </c>
      <c r="AK104" s="376" t="s">
        <v>181</v>
      </c>
      <c r="AL104" s="376" t="s">
        <v>182</v>
      </c>
      <c r="AM104" s="376" t="s">
        <v>183</v>
      </c>
      <c r="AN104" s="376" t="s">
        <v>66</v>
      </c>
      <c r="AO104" s="379">
        <v>80</v>
      </c>
      <c r="AP104" s="384">
        <v>1</v>
      </c>
      <c r="AQ104" s="384">
        <v>0</v>
      </c>
      <c r="AR104" s="382" t="s">
        <v>184</v>
      </c>
      <c r="AS104" s="386">
        <f t="shared" si="98"/>
        <v>0</v>
      </c>
      <c r="AT104">
        <f t="shared" si="99"/>
        <v>0</v>
      </c>
      <c r="AU104" s="386" t="str">
        <f>IF(AT104=0,"",IF(AND(AT104=1,M104="F",SUMIF(C2:C201,C104,AS2:AS201)&lt;=1),SUMIF(C2:C201,C104,AS2:AS201),IF(AND(AT104=1,M104="F",SUMIF(C2:C201,C104,AS2:AS201)&gt;1),1,"")))</f>
        <v/>
      </c>
      <c r="AV104" s="386" t="str">
        <f>IF(AT104=0,"",IF(AND(AT104=3,M104="F",SUMIF(C2:C201,C104,AS2:AS201)&lt;=1),SUMIF(C2:C201,C104,AS2:AS201),IF(AND(AT104=3,M104="F",SUMIF(C2:C201,C104,AS2:AS201)&gt;1),1,"")))</f>
        <v/>
      </c>
      <c r="AW104" s="386">
        <f>SUMIF(C2:C201,C104,O2:O201)</f>
        <v>2</v>
      </c>
      <c r="AX104" s="386">
        <f>IF(AND(M104="F",AS104&lt;&gt;0),SUMIF(C2:C201,C104,W2:W201),0)</f>
        <v>0</v>
      </c>
      <c r="AY104" s="386" t="str">
        <f t="shared" si="100"/>
        <v/>
      </c>
      <c r="AZ104" s="386" t="str">
        <f t="shared" si="101"/>
        <v/>
      </c>
      <c r="BA104" s="386">
        <f t="shared" si="102"/>
        <v>0</v>
      </c>
      <c r="BB104" s="386">
        <f t="shared" si="115"/>
        <v>0</v>
      </c>
      <c r="BC104" s="386">
        <f t="shared" si="116"/>
        <v>0</v>
      </c>
      <c r="BD104" s="386">
        <f t="shared" si="117"/>
        <v>0</v>
      </c>
      <c r="BE104" s="386">
        <f t="shared" si="118"/>
        <v>0</v>
      </c>
      <c r="BF104" s="386">
        <f t="shared" si="119"/>
        <v>0</v>
      </c>
      <c r="BG104" s="386">
        <f t="shared" si="120"/>
        <v>0</v>
      </c>
      <c r="BH104" s="386">
        <f t="shared" si="121"/>
        <v>0</v>
      </c>
      <c r="BI104" s="386">
        <f t="shared" si="122"/>
        <v>0</v>
      </c>
      <c r="BJ104" s="386">
        <f t="shared" si="123"/>
        <v>0</v>
      </c>
      <c r="BK104" s="386">
        <f t="shared" si="124"/>
        <v>0</v>
      </c>
      <c r="BL104" s="386">
        <f t="shared" si="103"/>
        <v>0</v>
      </c>
      <c r="BM104" s="386">
        <f t="shared" si="104"/>
        <v>0</v>
      </c>
      <c r="BN104" s="386">
        <f t="shared" si="125"/>
        <v>0</v>
      </c>
      <c r="BO104" s="386">
        <f t="shared" si="126"/>
        <v>0</v>
      </c>
      <c r="BP104" s="386">
        <f t="shared" si="127"/>
        <v>0</v>
      </c>
      <c r="BQ104" s="386">
        <f t="shared" si="128"/>
        <v>0</v>
      </c>
      <c r="BR104" s="386">
        <f t="shared" si="129"/>
        <v>0</v>
      </c>
      <c r="BS104" s="386">
        <f t="shared" si="130"/>
        <v>0</v>
      </c>
      <c r="BT104" s="386">
        <f t="shared" si="131"/>
        <v>0</v>
      </c>
      <c r="BU104" s="386">
        <f t="shared" si="132"/>
        <v>0</v>
      </c>
      <c r="BV104" s="386">
        <f t="shared" si="133"/>
        <v>0</v>
      </c>
      <c r="BW104" s="386">
        <f t="shared" si="134"/>
        <v>0</v>
      </c>
      <c r="BX104" s="386">
        <f t="shared" si="105"/>
        <v>0</v>
      </c>
      <c r="BY104" s="386">
        <f t="shared" si="106"/>
        <v>0</v>
      </c>
      <c r="BZ104" s="386">
        <f t="shared" si="107"/>
        <v>0</v>
      </c>
      <c r="CA104" s="386">
        <f t="shared" si="108"/>
        <v>0</v>
      </c>
      <c r="CB104" s="386">
        <f t="shared" si="109"/>
        <v>0</v>
      </c>
      <c r="CC104" s="386">
        <f t="shared" si="135"/>
        <v>0</v>
      </c>
      <c r="CD104" s="386">
        <f t="shared" si="136"/>
        <v>0</v>
      </c>
      <c r="CE104" s="386">
        <f t="shared" si="137"/>
        <v>0</v>
      </c>
      <c r="CF104" s="386">
        <f t="shared" si="138"/>
        <v>0</v>
      </c>
      <c r="CG104" s="386">
        <f t="shared" si="139"/>
        <v>0</v>
      </c>
      <c r="CH104" s="386">
        <f t="shared" si="140"/>
        <v>0</v>
      </c>
      <c r="CI104" s="386">
        <f t="shared" si="141"/>
        <v>0</v>
      </c>
      <c r="CJ104" s="386">
        <f t="shared" si="110"/>
        <v>0</v>
      </c>
      <c r="CK104" s="386" t="str">
        <f t="shared" si="111"/>
        <v/>
      </c>
      <c r="CL104" s="386" t="str">
        <f t="shared" si="112"/>
        <v/>
      </c>
      <c r="CM104" s="386" t="str">
        <f t="shared" si="113"/>
        <v/>
      </c>
      <c r="CN104" s="386" t="str">
        <f t="shared" si="114"/>
        <v>0126-00</v>
      </c>
    </row>
    <row r="105" spans="1:92" ht="15.75" thickBot="1" x14ac:dyDescent="0.3">
      <c r="A105" s="376" t="s">
        <v>162</v>
      </c>
      <c r="B105" s="376" t="s">
        <v>163</v>
      </c>
      <c r="C105" s="376" t="s">
        <v>365</v>
      </c>
      <c r="D105" s="376" t="s">
        <v>165</v>
      </c>
      <c r="E105" s="376" t="s">
        <v>375</v>
      </c>
      <c r="F105" s="377" t="s">
        <v>167</v>
      </c>
      <c r="G105" s="376" t="s">
        <v>376</v>
      </c>
      <c r="H105" s="378"/>
      <c r="I105" s="378"/>
      <c r="J105" s="376" t="s">
        <v>169</v>
      </c>
      <c r="K105" s="376" t="s">
        <v>193</v>
      </c>
      <c r="L105" s="376" t="s">
        <v>194</v>
      </c>
      <c r="M105" s="376" t="s">
        <v>172</v>
      </c>
      <c r="N105" s="376" t="s">
        <v>173</v>
      </c>
      <c r="O105" s="379">
        <v>1</v>
      </c>
      <c r="P105" s="384">
        <v>0</v>
      </c>
      <c r="Q105" s="384">
        <v>0</v>
      </c>
      <c r="R105" s="380">
        <v>80</v>
      </c>
      <c r="S105" s="384">
        <v>0</v>
      </c>
      <c r="T105" s="380">
        <v>2272.08</v>
      </c>
      <c r="U105" s="380">
        <v>0</v>
      </c>
      <c r="V105" s="380">
        <v>873.04</v>
      </c>
      <c r="W105" s="380">
        <v>0</v>
      </c>
      <c r="X105" s="380">
        <v>0</v>
      </c>
      <c r="Y105" s="380">
        <v>0</v>
      </c>
      <c r="Z105" s="380">
        <v>0</v>
      </c>
      <c r="AA105" s="376" t="s">
        <v>366</v>
      </c>
      <c r="AB105" s="376" t="s">
        <v>367</v>
      </c>
      <c r="AC105" s="376" t="s">
        <v>368</v>
      </c>
      <c r="AD105" s="376" t="s">
        <v>290</v>
      </c>
      <c r="AE105" s="376" t="s">
        <v>193</v>
      </c>
      <c r="AF105" s="376" t="s">
        <v>178</v>
      </c>
      <c r="AG105" s="376" t="s">
        <v>179</v>
      </c>
      <c r="AH105" s="381">
        <v>29.37</v>
      </c>
      <c r="AI105" s="381">
        <v>51911.6</v>
      </c>
      <c r="AJ105" s="376" t="s">
        <v>180</v>
      </c>
      <c r="AK105" s="376" t="s">
        <v>181</v>
      </c>
      <c r="AL105" s="376" t="s">
        <v>182</v>
      </c>
      <c r="AM105" s="376" t="s">
        <v>183</v>
      </c>
      <c r="AN105" s="376" t="s">
        <v>66</v>
      </c>
      <c r="AO105" s="379">
        <v>80</v>
      </c>
      <c r="AP105" s="384">
        <v>1</v>
      </c>
      <c r="AQ105" s="384">
        <v>0</v>
      </c>
      <c r="AR105" s="382" t="s">
        <v>184</v>
      </c>
      <c r="AS105" s="386">
        <f t="shared" si="98"/>
        <v>0</v>
      </c>
      <c r="AT105">
        <f t="shared" si="99"/>
        <v>0</v>
      </c>
      <c r="AU105" s="386" t="str">
        <f>IF(AT105=0,"",IF(AND(AT105=1,M105="F",SUMIF(C2:C201,C105,AS2:AS201)&lt;=1),SUMIF(C2:C201,C105,AS2:AS201),IF(AND(AT105=1,M105="F",SUMIF(C2:C201,C105,AS2:AS201)&gt;1),1,"")))</f>
        <v/>
      </c>
      <c r="AV105" s="386" t="str">
        <f>IF(AT105=0,"",IF(AND(AT105=3,M105="F",SUMIF(C2:C201,C105,AS2:AS201)&lt;=1),SUMIF(C2:C201,C105,AS2:AS201),IF(AND(AT105=3,M105="F",SUMIF(C2:C201,C105,AS2:AS201)&gt;1),1,"")))</f>
        <v/>
      </c>
      <c r="AW105" s="386">
        <f>SUMIF(C2:C201,C105,O2:O201)</f>
        <v>3</v>
      </c>
      <c r="AX105" s="386">
        <f>IF(AND(M105="F",AS105&lt;&gt;0),SUMIF(C2:C201,C105,W2:W201),0)</f>
        <v>0</v>
      </c>
      <c r="AY105" s="386" t="str">
        <f t="shared" si="100"/>
        <v/>
      </c>
      <c r="AZ105" s="386" t="str">
        <f t="shared" si="101"/>
        <v/>
      </c>
      <c r="BA105" s="386">
        <f t="shared" si="102"/>
        <v>0</v>
      </c>
      <c r="BB105" s="386">
        <f t="shared" si="115"/>
        <v>0</v>
      </c>
      <c r="BC105" s="386">
        <f t="shared" si="116"/>
        <v>0</v>
      </c>
      <c r="BD105" s="386">
        <f t="shared" si="117"/>
        <v>0</v>
      </c>
      <c r="BE105" s="386">
        <f t="shared" si="118"/>
        <v>0</v>
      </c>
      <c r="BF105" s="386">
        <f t="shared" si="119"/>
        <v>0</v>
      </c>
      <c r="BG105" s="386">
        <f t="shared" si="120"/>
        <v>0</v>
      </c>
      <c r="BH105" s="386">
        <f t="shared" si="121"/>
        <v>0</v>
      </c>
      <c r="BI105" s="386">
        <f t="shared" si="122"/>
        <v>0</v>
      </c>
      <c r="BJ105" s="386">
        <f t="shared" si="123"/>
        <v>0</v>
      </c>
      <c r="BK105" s="386">
        <f t="shared" si="124"/>
        <v>0</v>
      </c>
      <c r="BL105" s="386">
        <f t="shared" si="103"/>
        <v>0</v>
      </c>
      <c r="BM105" s="386">
        <f t="shared" si="104"/>
        <v>0</v>
      </c>
      <c r="BN105" s="386">
        <f t="shared" si="125"/>
        <v>0</v>
      </c>
      <c r="BO105" s="386">
        <f t="shared" si="126"/>
        <v>0</v>
      </c>
      <c r="BP105" s="386">
        <f t="shared" si="127"/>
        <v>0</v>
      </c>
      <c r="BQ105" s="386">
        <f t="shared" si="128"/>
        <v>0</v>
      </c>
      <c r="BR105" s="386">
        <f t="shared" si="129"/>
        <v>0</v>
      </c>
      <c r="BS105" s="386">
        <f t="shared" si="130"/>
        <v>0</v>
      </c>
      <c r="BT105" s="386">
        <f t="shared" si="131"/>
        <v>0</v>
      </c>
      <c r="BU105" s="386">
        <f t="shared" si="132"/>
        <v>0</v>
      </c>
      <c r="BV105" s="386">
        <f t="shared" si="133"/>
        <v>0</v>
      </c>
      <c r="BW105" s="386">
        <f t="shared" si="134"/>
        <v>0</v>
      </c>
      <c r="BX105" s="386">
        <f t="shared" si="105"/>
        <v>0</v>
      </c>
      <c r="BY105" s="386">
        <f t="shared" si="106"/>
        <v>0</v>
      </c>
      <c r="BZ105" s="386">
        <f t="shared" si="107"/>
        <v>0</v>
      </c>
      <c r="CA105" s="386">
        <f t="shared" si="108"/>
        <v>0</v>
      </c>
      <c r="CB105" s="386">
        <f t="shared" si="109"/>
        <v>0</v>
      </c>
      <c r="CC105" s="386">
        <f t="shared" si="135"/>
        <v>0</v>
      </c>
      <c r="CD105" s="386">
        <f t="shared" si="136"/>
        <v>0</v>
      </c>
      <c r="CE105" s="386">
        <f t="shared" si="137"/>
        <v>0</v>
      </c>
      <c r="CF105" s="386">
        <f t="shared" si="138"/>
        <v>0</v>
      </c>
      <c r="CG105" s="386">
        <f t="shared" si="139"/>
        <v>0</v>
      </c>
      <c r="CH105" s="386">
        <f t="shared" si="140"/>
        <v>0</v>
      </c>
      <c r="CI105" s="386">
        <f t="shared" si="141"/>
        <v>0</v>
      </c>
      <c r="CJ105" s="386">
        <f t="shared" si="110"/>
        <v>0</v>
      </c>
      <c r="CK105" s="386" t="str">
        <f t="shared" si="111"/>
        <v/>
      </c>
      <c r="CL105" s="386" t="str">
        <f t="shared" si="112"/>
        <v/>
      </c>
      <c r="CM105" s="386" t="str">
        <f t="shared" si="113"/>
        <v/>
      </c>
      <c r="CN105" s="386" t="str">
        <f t="shared" si="114"/>
        <v>0126-00</v>
      </c>
    </row>
    <row r="106" spans="1:92" ht="15.75" thickBot="1" x14ac:dyDescent="0.3">
      <c r="A106" s="376" t="s">
        <v>162</v>
      </c>
      <c r="B106" s="376" t="s">
        <v>163</v>
      </c>
      <c r="C106" s="376" t="s">
        <v>323</v>
      </c>
      <c r="D106" s="376" t="s">
        <v>324</v>
      </c>
      <c r="E106" s="376" t="s">
        <v>375</v>
      </c>
      <c r="F106" s="377" t="s">
        <v>167</v>
      </c>
      <c r="G106" s="376" t="s">
        <v>376</v>
      </c>
      <c r="H106" s="378"/>
      <c r="I106" s="378"/>
      <c r="J106" s="376" t="s">
        <v>169</v>
      </c>
      <c r="K106" s="376" t="s">
        <v>325</v>
      </c>
      <c r="L106" s="376" t="s">
        <v>167</v>
      </c>
      <c r="M106" s="376" t="s">
        <v>172</v>
      </c>
      <c r="N106" s="376" t="s">
        <v>173</v>
      </c>
      <c r="O106" s="379">
        <v>1</v>
      </c>
      <c r="P106" s="384">
        <v>0</v>
      </c>
      <c r="Q106" s="384">
        <v>0</v>
      </c>
      <c r="R106" s="380">
        <v>80</v>
      </c>
      <c r="S106" s="384">
        <v>0</v>
      </c>
      <c r="T106" s="380">
        <v>1808.74</v>
      </c>
      <c r="U106" s="380">
        <v>0</v>
      </c>
      <c r="V106" s="380">
        <v>718.96</v>
      </c>
      <c r="W106" s="380">
        <v>0</v>
      </c>
      <c r="X106" s="380">
        <v>0</v>
      </c>
      <c r="Y106" s="380">
        <v>0</v>
      </c>
      <c r="Z106" s="380">
        <v>0</v>
      </c>
      <c r="AA106" s="376" t="s">
        <v>326</v>
      </c>
      <c r="AB106" s="376" t="s">
        <v>327</v>
      </c>
      <c r="AC106" s="376" t="s">
        <v>328</v>
      </c>
      <c r="AD106" s="376" t="s">
        <v>198</v>
      </c>
      <c r="AE106" s="376" t="s">
        <v>325</v>
      </c>
      <c r="AF106" s="376" t="s">
        <v>178</v>
      </c>
      <c r="AG106" s="376" t="s">
        <v>179</v>
      </c>
      <c r="AH106" s="381">
        <v>27.78</v>
      </c>
      <c r="AI106" s="381">
        <v>12821.7</v>
      </c>
      <c r="AJ106" s="376" t="s">
        <v>180</v>
      </c>
      <c r="AK106" s="376" t="s">
        <v>181</v>
      </c>
      <c r="AL106" s="376" t="s">
        <v>182</v>
      </c>
      <c r="AM106" s="376" t="s">
        <v>183</v>
      </c>
      <c r="AN106" s="376" t="s">
        <v>66</v>
      </c>
      <c r="AO106" s="379">
        <v>80</v>
      </c>
      <c r="AP106" s="384">
        <v>1</v>
      </c>
      <c r="AQ106" s="384">
        <v>0</v>
      </c>
      <c r="AR106" s="382" t="s">
        <v>184</v>
      </c>
      <c r="AS106" s="386">
        <f t="shared" si="98"/>
        <v>0</v>
      </c>
      <c r="AT106">
        <f t="shared" si="99"/>
        <v>0</v>
      </c>
      <c r="AU106" s="386" t="str">
        <f>IF(AT106=0,"",IF(AND(AT106=1,M106="F",SUMIF(C2:C201,C106,AS2:AS201)&lt;=1),SUMIF(C2:C201,C106,AS2:AS201),IF(AND(AT106=1,M106="F",SUMIF(C2:C201,C106,AS2:AS201)&gt;1),1,"")))</f>
        <v/>
      </c>
      <c r="AV106" s="386" t="str">
        <f>IF(AT106=0,"",IF(AND(AT106=3,M106="F",SUMIF(C2:C201,C106,AS2:AS201)&lt;=1),SUMIF(C2:C201,C106,AS2:AS201),IF(AND(AT106=3,M106="F",SUMIF(C2:C201,C106,AS2:AS201)&gt;1),1,"")))</f>
        <v/>
      </c>
      <c r="AW106" s="386">
        <f>SUMIF(C2:C201,C106,O2:O201)</f>
        <v>3</v>
      </c>
      <c r="AX106" s="386">
        <f>IF(AND(M106="F",AS106&lt;&gt;0),SUMIF(C2:C201,C106,W2:W201),0)</f>
        <v>0</v>
      </c>
      <c r="AY106" s="386" t="str">
        <f t="shared" si="100"/>
        <v/>
      </c>
      <c r="AZ106" s="386" t="str">
        <f t="shared" si="101"/>
        <v/>
      </c>
      <c r="BA106" s="386">
        <f t="shared" si="102"/>
        <v>0</v>
      </c>
      <c r="BB106" s="386">
        <f t="shared" si="115"/>
        <v>0</v>
      </c>
      <c r="BC106" s="386">
        <f t="shared" si="116"/>
        <v>0</v>
      </c>
      <c r="BD106" s="386">
        <f t="shared" si="117"/>
        <v>0</v>
      </c>
      <c r="BE106" s="386">
        <f t="shared" si="118"/>
        <v>0</v>
      </c>
      <c r="BF106" s="386">
        <f t="shared" si="119"/>
        <v>0</v>
      </c>
      <c r="BG106" s="386">
        <f t="shared" si="120"/>
        <v>0</v>
      </c>
      <c r="BH106" s="386">
        <f t="shared" si="121"/>
        <v>0</v>
      </c>
      <c r="BI106" s="386">
        <f t="shared" si="122"/>
        <v>0</v>
      </c>
      <c r="BJ106" s="386">
        <f t="shared" si="123"/>
        <v>0</v>
      </c>
      <c r="BK106" s="386">
        <f t="shared" si="124"/>
        <v>0</v>
      </c>
      <c r="BL106" s="386">
        <f t="shared" si="103"/>
        <v>0</v>
      </c>
      <c r="BM106" s="386">
        <f t="shared" si="104"/>
        <v>0</v>
      </c>
      <c r="BN106" s="386">
        <f t="shared" si="125"/>
        <v>0</v>
      </c>
      <c r="BO106" s="386">
        <f t="shared" si="126"/>
        <v>0</v>
      </c>
      <c r="BP106" s="386">
        <f t="shared" si="127"/>
        <v>0</v>
      </c>
      <c r="BQ106" s="386">
        <f t="shared" si="128"/>
        <v>0</v>
      </c>
      <c r="BR106" s="386">
        <f t="shared" si="129"/>
        <v>0</v>
      </c>
      <c r="BS106" s="386">
        <f t="shared" si="130"/>
        <v>0</v>
      </c>
      <c r="BT106" s="386">
        <f t="shared" si="131"/>
        <v>0</v>
      </c>
      <c r="BU106" s="386">
        <f t="shared" si="132"/>
        <v>0</v>
      </c>
      <c r="BV106" s="386">
        <f t="shared" si="133"/>
        <v>0</v>
      </c>
      <c r="BW106" s="386">
        <f t="shared" si="134"/>
        <v>0</v>
      </c>
      <c r="BX106" s="386">
        <f t="shared" si="105"/>
        <v>0</v>
      </c>
      <c r="BY106" s="386">
        <f t="shared" si="106"/>
        <v>0</v>
      </c>
      <c r="BZ106" s="386">
        <f t="shared" si="107"/>
        <v>0</v>
      </c>
      <c r="CA106" s="386">
        <f t="shared" si="108"/>
        <v>0</v>
      </c>
      <c r="CB106" s="386">
        <f t="shared" si="109"/>
        <v>0</v>
      </c>
      <c r="CC106" s="386">
        <f t="shared" si="135"/>
        <v>0</v>
      </c>
      <c r="CD106" s="386">
        <f t="shared" si="136"/>
        <v>0</v>
      </c>
      <c r="CE106" s="386">
        <f t="shared" si="137"/>
        <v>0</v>
      </c>
      <c r="CF106" s="386">
        <f t="shared" si="138"/>
        <v>0</v>
      </c>
      <c r="CG106" s="386">
        <f t="shared" si="139"/>
        <v>0</v>
      </c>
      <c r="CH106" s="386">
        <f t="shared" si="140"/>
        <v>0</v>
      </c>
      <c r="CI106" s="386">
        <f t="shared" si="141"/>
        <v>0</v>
      </c>
      <c r="CJ106" s="386">
        <f t="shared" si="110"/>
        <v>0</v>
      </c>
      <c r="CK106" s="386" t="str">
        <f t="shared" si="111"/>
        <v/>
      </c>
      <c r="CL106" s="386" t="str">
        <f t="shared" si="112"/>
        <v/>
      </c>
      <c r="CM106" s="386" t="str">
        <f t="shared" si="113"/>
        <v/>
      </c>
      <c r="CN106" s="386" t="str">
        <f t="shared" si="114"/>
        <v>0126-00</v>
      </c>
    </row>
    <row r="107" spans="1:92" ht="15.75" thickBot="1" x14ac:dyDescent="0.3">
      <c r="A107" s="376" t="s">
        <v>162</v>
      </c>
      <c r="B107" s="376" t="s">
        <v>163</v>
      </c>
      <c r="C107" s="376" t="s">
        <v>369</v>
      </c>
      <c r="D107" s="376" t="s">
        <v>165</v>
      </c>
      <c r="E107" s="376" t="s">
        <v>375</v>
      </c>
      <c r="F107" s="377" t="s">
        <v>167</v>
      </c>
      <c r="G107" s="376" t="s">
        <v>376</v>
      </c>
      <c r="H107" s="378"/>
      <c r="I107" s="378"/>
      <c r="J107" s="376" t="s">
        <v>169</v>
      </c>
      <c r="K107" s="376" t="s">
        <v>206</v>
      </c>
      <c r="L107" s="376" t="s">
        <v>198</v>
      </c>
      <c r="M107" s="376" t="s">
        <v>172</v>
      </c>
      <c r="N107" s="376" t="s">
        <v>173</v>
      </c>
      <c r="O107" s="379">
        <v>1</v>
      </c>
      <c r="P107" s="384">
        <v>0</v>
      </c>
      <c r="Q107" s="384">
        <v>0</v>
      </c>
      <c r="R107" s="380">
        <v>80</v>
      </c>
      <c r="S107" s="384">
        <v>0</v>
      </c>
      <c r="T107" s="380">
        <v>2346.25</v>
      </c>
      <c r="U107" s="380">
        <v>0</v>
      </c>
      <c r="V107" s="380">
        <v>918.81</v>
      </c>
      <c r="W107" s="380">
        <v>0</v>
      </c>
      <c r="X107" s="380">
        <v>0</v>
      </c>
      <c r="Y107" s="380">
        <v>0</v>
      </c>
      <c r="Z107" s="380">
        <v>0</v>
      </c>
      <c r="AA107" s="376" t="s">
        <v>370</v>
      </c>
      <c r="AB107" s="376" t="s">
        <v>371</v>
      </c>
      <c r="AC107" s="376" t="s">
        <v>372</v>
      </c>
      <c r="AD107" s="376" t="s">
        <v>198</v>
      </c>
      <c r="AE107" s="376" t="s">
        <v>193</v>
      </c>
      <c r="AF107" s="376" t="s">
        <v>178</v>
      </c>
      <c r="AG107" s="376" t="s">
        <v>179</v>
      </c>
      <c r="AH107" s="381">
        <v>29.84</v>
      </c>
      <c r="AI107" s="381">
        <v>13371.8</v>
      </c>
      <c r="AJ107" s="376" t="s">
        <v>180</v>
      </c>
      <c r="AK107" s="376" t="s">
        <v>181</v>
      </c>
      <c r="AL107" s="376" t="s">
        <v>182</v>
      </c>
      <c r="AM107" s="376" t="s">
        <v>183</v>
      </c>
      <c r="AN107" s="376" t="s">
        <v>66</v>
      </c>
      <c r="AO107" s="379">
        <v>80</v>
      </c>
      <c r="AP107" s="384">
        <v>1</v>
      </c>
      <c r="AQ107" s="384">
        <v>0</v>
      </c>
      <c r="AR107" s="382" t="s">
        <v>184</v>
      </c>
      <c r="AS107" s="386">
        <f t="shared" si="98"/>
        <v>0</v>
      </c>
      <c r="AT107">
        <f t="shared" si="99"/>
        <v>0</v>
      </c>
      <c r="AU107" s="386" t="str">
        <f>IF(AT107=0,"",IF(AND(AT107=1,M107="F",SUMIF(C2:C201,C107,AS2:AS201)&lt;=1),SUMIF(C2:C201,C107,AS2:AS201),IF(AND(AT107=1,M107="F",SUMIF(C2:C201,C107,AS2:AS201)&gt;1),1,"")))</f>
        <v/>
      </c>
      <c r="AV107" s="386" t="str">
        <f>IF(AT107=0,"",IF(AND(AT107=3,M107="F",SUMIF(C2:C201,C107,AS2:AS201)&lt;=1),SUMIF(C2:C201,C107,AS2:AS201),IF(AND(AT107=3,M107="F",SUMIF(C2:C201,C107,AS2:AS201)&gt;1),1,"")))</f>
        <v/>
      </c>
      <c r="AW107" s="386">
        <f>SUMIF(C2:C201,C107,O2:O201)</f>
        <v>3</v>
      </c>
      <c r="AX107" s="386">
        <f>IF(AND(M107="F",AS107&lt;&gt;0),SUMIF(C2:C201,C107,W2:W201),0)</f>
        <v>0</v>
      </c>
      <c r="AY107" s="386" t="str">
        <f t="shared" si="100"/>
        <v/>
      </c>
      <c r="AZ107" s="386" t="str">
        <f t="shared" si="101"/>
        <v/>
      </c>
      <c r="BA107" s="386">
        <f t="shared" si="102"/>
        <v>0</v>
      </c>
      <c r="BB107" s="386">
        <f t="shared" si="115"/>
        <v>0</v>
      </c>
      <c r="BC107" s="386">
        <f t="shared" si="116"/>
        <v>0</v>
      </c>
      <c r="BD107" s="386">
        <f t="shared" si="117"/>
        <v>0</v>
      </c>
      <c r="BE107" s="386">
        <f t="shared" si="118"/>
        <v>0</v>
      </c>
      <c r="BF107" s="386">
        <f t="shared" si="119"/>
        <v>0</v>
      </c>
      <c r="BG107" s="386">
        <f t="shared" si="120"/>
        <v>0</v>
      </c>
      <c r="BH107" s="386">
        <f t="shared" si="121"/>
        <v>0</v>
      </c>
      <c r="BI107" s="386">
        <f t="shared" si="122"/>
        <v>0</v>
      </c>
      <c r="BJ107" s="386">
        <f t="shared" si="123"/>
        <v>0</v>
      </c>
      <c r="BK107" s="386">
        <f t="shared" si="124"/>
        <v>0</v>
      </c>
      <c r="BL107" s="386">
        <f t="shared" si="103"/>
        <v>0</v>
      </c>
      <c r="BM107" s="386">
        <f t="shared" si="104"/>
        <v>0</v>
      </c>
      <c r="BN107" s="386">
        <f t="shared" si="125"/>
        <v>0</v>
      </c>
      <c r="BO107" s="386">
        <f t="shared" si="126"/>
        <v>0</v>
      </c>
      <c r="BP107" s="386">
        <f t="shared" si="127"/>
        <v>0</v>
      </c>
      <c r="BQ107" s="386">
        <f t="shared" si="128"/>
        <v>0</v>
      </c>
      <c r="BR107" s="386">
        <f t="shared" si="129"/>
        <v>0</v>
      </c>
      <c r="BS107" s="386">
        <f t="shared" si="130"/>
        <v>0</v>
      </c>
      <c r="BT107" s="386">
        <f t="shared" si="131"/>
        <v>0</v>
      </c>
      <c r="BU107" s="386">
        <f t="shared" si="132"/>
        <v>0</v>
      </c>
      <c r="BV107" s="386">
        <f t="shared" si="133"/>
        <v>0</v>
      </c>
      <c r="BW107" s="386">
        <f t="shared" si="134"/>
        <v>0</v>
      </c>
      <c r="BX107" s="386">
        <f t="shared" si="105"/>
        <v>0</v>
      </c>
      <c r="BY107" s="386">
        <f t="shared" si="106"/>
        <v>0</v>
      </c>
      <c r="BZ107" s="386">
        <f t="shared" si="107"/>
        <v>0</v>
      </c>
      <c r="CA107" s="386">
        <f t="shared" si="108"/>
        <v>0</v>
      </c>
      <c r="CB107" s="386">
        <f t="shared" si="109"/>
        <v>0</v>
      </c>
      <c r="CC107" s="386">
        <f t="shared" si="135"/>
        <v>0</v>
      </c>
      <c r="CD107" s="386">
        <f t="shared" si="136"/>
        <v>0</v>
      </c>
      <c r="CE107" s="386">
        <f t="shared" si="137"/>
        <v>0</v>
      </c>
      <c r="CF107" s="386">
        <f t="shared" si="138"/>
        <v>0</v>
      </c>
      <c r="CG107" s="386">
        <f t="shared" si="139"/>
        <v>0</v>
      </c>
      <c r="CH107" s="386">
        <f t="shared" si="140"/>
        <v>0</v>
      </c>
      <c r="CI107" s="386">
        <f t="shared" si="141"/>
        <v>0</v>
      </c>
      <c r="CJ107" s="386">
        <f t="shared" si="110"/>
        <v>0</v>
      </c>
      <c r="CK107" s="386" t="str">
        <f t="shared" si="111"/>
        <v/>
      </c>
      <c r="CL107" s="386" t="str">
        <f t="shared" si="112"/>
        <v/>
      </c>
      <c r="CM107" s="386" t="str">
        <f t="shared" si="113"/>
        <v/>
      </c>
      <c r="CN107" s="386" t="str">
        <f t="shared" si="114"/>
        <v>0126-00</v>
      </c>
    </row>
    <row r="108" spans="1:92" ht="15.75" thickBot="1" x14ac:dyDescent="0.3">
      <c r="A108" s="376" t="s">
        <v>162</v>
      </c>
      <c r="B108" s="376" t="s">
        <v>163</v>
      </c>
      <c r="C108" s="376" t="s">
        <v>464</v>
      </c>
      <c r="D108" s="376" t="s">
        <v>465</v>
      </c>
      <c r="E108" s="376" t="s">
        <v>375</v>
      </c>
      <c r="F108" s="377" t="s">
        <v>167</v>
      </c>
      <c r="G108" s="376" t="s">
        <v>376</v>
      </c>
      <c r="H108" s="378"/>
      <c r="I108" s="378"/>
      <c r="J108" s="376" t="s">
        <v>169</v>
      </c>
      <c r="K108" s="376" t="s">
        <v>466</v>
      </c>
      <c r="L108" s="376" t="s">
        <v>167</v>
      </c>
      <c r="M108" s="376" t="s">
        <v>255</v>
      </c>
      <c r="N108" s="376" t="s">
        <v>173</v>
      </c>
      <c r="O108" s="379">
        <v>0</v>
      </c>
      <c r="P108" s="384">
        <v>0</v>
      </c>
      <c r="Q108" s="384">
        <v>0</v>
      </c>
      <c r="R108" s="380">
        <v>80</v>
      </c>
      <c r="S108" s="384">
        <v>0</v>
      </c>
      <c r="T108" s="380">
        <v>1463.86</v>
      </c>
      <c r="U108" s="380">
        <v>0</v>
      </c>
      <c r="V108" s="380">
        <v>569.67999999999995</v>
      </c>
      <c r="W108" s="380">
        <v>0</v>
      </c>
      <c r="X108" s="380">
        <v>0</v>
      </c>
      <c r="Y108" s="380">
        <v>0</v>
      </c>
      <c r="Z108" s="380">
        <v>0</v>
      </c>
      <c r="AA108" s="378"/>
      <c r="AB108" s="376" t="s">
        <v>45</v>
      </c>
      <c r="AC108" s="376" t="s">
        <v>45</v>
      </c>
      <c r="AD108" s="378"/>
      <c r="AE108" s="378"/>
      <c r="AF108" s="378"/>
      <c r="AG108" s="378"/>
      <c r="AH108" s="379">
        <v>0</v>
      </c>
      <c r="AI108" s="379">
        <v>0</v>
      </c>
      <c r="AJ108" s="378"/>
      <c r="AK108" s="378"/>
      <c r="AL108" s="376" t="s">
        <v>182</v>
      </c>
      <c r="AM108" s="378"/>
      <c r="AN108" s="378"/>
      <c r="AO108" s="379">
        <v>0</v>
      </c>
      <c r="AP108" s="384">
        <v>0</v>
      </c>
      <c r="AQ108" s="384">
        <v>0</v>
      </c>
      <c r="AR108" s="383"/>
      <c r="AS108" s="386">
        <f t="shared" si="98"/>
        <v>0</v>
      </c>
      <c r="AT108">
        <f t="shared" si="99"/>
        <v>0</v>
      </c>
      <c r="AU108" s="386" t="str">
        <f>IF(AT108=0,"",IF(AND(AT108=1,M108="F",SUMIF(C2:C201,C108,AS2:AS201)&lt;=1),SUMIF(C2:C201,C108,AS2:AS201),IF(AND(AT108=1,M108="F",SUMIF(C2:C201,C108,AS2:AS201)&gt;1),1,"")))</f>
        <v/>
      </c>
      <c r="AV108" s="386" t="str">
        <f>IF(AT108=0,"",IF(AND(AT108=3,M108="F",SUMIF(C2:C201,C108,AS2:AS201)&lt;=1),SUMIF(C2:C201,C108,AS2:AS201),IF(AND(AT108=3,M108="F",SUMIF(C2:C201,C108,AS2:AS201)&gt;1),1,"")))</f>
        <v/>
      </c>
      <c r="AW108" s="386">
        <f>SUMIF(C2:C201,C108,O2:O201)</f>
        <v>0</v>
      </c>
      <c r="AX108" s="386">
        <f>IF(AND(M108="F",AS108&lt;&gt;0),SUMIF(C2:C201,C108,W2:W201),0)</f>
        <v>0</v>
      </c>
      <c r="AY108" s="386" t="str">
        <f t="shared" si="100"/>
        <v/>
      </c>
      <c r="AZ108" s="386" t="str">
        <f t="shared" si="101"/>
        <v/>
      </c>
      <c r="BA108" s="386">
        <f t="shared" si="102"/>
        <v>0</v>
      </c>
      <c r="BB108" s="386">
        <f t="shared" si="115"/>
        <v>0</v>
      </c>
      <c r="BC108" s="386">
        <f t="shared" si="116"/>
        <v>0</v>
      </c>
      <c r="BD108" s="386">
        <f t="shared" si="117"/>
        <v>0</v>
      </c>
      <c r="BE108" s="386">
        <f t="shared" si="118"/>
        <v>0</v>
      </c>
      <c r="BF108" s="386">
        <f t="shared" si="119"/>
        <v>0</v>
      </c>
      <c r="BG108" s="386">
        <f t="shared" si="120"/>
        <v>0</v>
      </c>
      <c r="BH108" s="386">
        <f t="shared" si="121"/>
        <v>0</v>
      </c>
      <c r="BI108" s="386">
        <f t="shared" si="122"/>
        <v>0</v>
      </c>
      <c r="BJ108" s="386">
        <f t="shared" si="123"/>
        <v>0</v>
      </c>
      <c r="BK108" s="386">
        <f t="shared" si="124"/>
        <v>0</v>
      </c>
      <c r="BL108" s="386">
        <f t="shared" si="103"/>
        <v>0</v>
      </c>
      <c r="BM108" s="386">
        <f t="shared" si="104"/>
        <v>0</v>
      </c>
      <c r="BN108" s="386">
        <f t="shared" si="125"/>
        <v>0</v>
      </c>
      <c r="BO108" s="386">
        <f t="shared" si="126"/>
        <v>0</v>
      </c>
      <c r="BP108" s="386">
        <f t="shared" si="127"/>
        <v>0</v>
      </c>
      <c r="BQ108" s="386">
        <f t="shared" si="128"/>
        <v>0</v>
      </c>
      <c r="BR108" s="386">
        <f t="shared" si="129"/>
        <v>0</v>
      </c>
      <c r="BS108" s="386">
        <f t="shared" si="130"/>
        <v>0</v>
      </c>
      <c r="BT108" s="386">
        <f t="shared" si="131"/>
        <v>0</v>
      </c>
      <c r="BU108" s="386">
        <f t="shared" si="132"/>
        <v>0</v>
      </c>
      <c r="BV108" s="386">
        <f t="shared" si="133"/>
        <v>0</v>
      </c>
      <c r="BW108" s="386">
        <f t="shared" si="134"/>
        <v>0</v>
      </c>
      <c r="BX108" s="386">
        <f t="shared" si="105"/>
        <v>0</v>
      </c>
      <c r="BY108" s="386">
        <f t="shared" si="106"/>
        <v>0</v>
      </c>
      <c r="BZ108" s="386">
        <f t="shared" si="107"/>
        <v>0</v>
      </c>
      <c r="CA108" s="386">
        <f t="shared" si="108"/>
        <v>0</v>
      </c>
      <c r="CB108" s="386">
        <f t="shared" si="109"/>
        <v>0</v>
      </c>
      <c r="CC108" s="386">
        <f t="shared" si="135"/>
        <v>0</v>
      </c>
      <c r="CD108" s="386">
        <f t="shared" si="136"/>
        <v>0</v>
      </c>
      <c r="CE108" s="386">
        <f t="shared" si="137"/>
        <v>0</v>
      </c>
      <c r="CF108" s="386">
        <f t="shared" si="138"/>
        <v>0</v>
      </c>
      <c r="CG108" s="386">
        <f t="shared" si="139"/>
        <v>0</v>
      </c>
      <c r="CH108" s="386">
        <f t="shared" si="140"/>
        <v>0</v>
      </c>
      <c r="CI108" s="386">
        <f t="shared" si="141"/>
        <v>0</v>
      </c>
      <c r="CJ108" s="386">
        <f t="shared" si="110"/>
        <v>0</v>
      </c>
      <c r="CK108" s="386" t="str">
        <f t="shared" si="111"/>
        <v/>
      </c>
      <c r="CL108" s="386" t="str">
        <f t="shared" si="112"/>
        <v/>
      </c>
      <c r="CM108" s="386" t="str">
        <f t="shared" si="113"/>
        <v/>
      </c>
      <c r="CN108" s="386" t="str">
        <f t="shared" si="114"/>
        <v>0126-00</v>
      </c>
    </row>
    <row r="109" spans="1:92" ht="15.75" thickBot="1" x14ac:dyDescent="0.3">
      <c r="A109" s="376" t="s">
        <v>162</v>
      </c>
      <c r="B109" s="376" t="s">
        <v>163</v>
      </c>
      <c r="C109" s="376" t="s">
        <v>351</v>
      </c>
      <c r="D109" s="376" t="s">
        <v>352</v>
      </c>
      <c r="E109" s="376" t="s">
        <v>375</v>
      </c>
      <c r="F109" s="377" t="s">
        <v>167</v>
      </c>
      <c r="G109" s="376" t="s">
        <v>376</v>
      </c>
      <c r="H109" s="378"/>
      <c r="I109" s="378"/>
      <c r="J109" s="376" t="s">
        <v>220</v>
      </c>
      <c r="K109" s="376" t="s">
        <v>353</v>
      </c>
      <c r="L109" s="376" t="s">
        <v>222</v>
      </c>
      <c r="M109" s="376" t="s">
        <v>172</v>
      </c>
      <c r="N109" s="376" t="s">
        <v>173</v>
      </c>
      <c r="O109" s="379">
        <v>1</v>
      </c>
      <c r="P109" s="384">
        <v>0</v>
      </c>
      <c r="Q109" s="384">
        <v>0</v>
      </c>
      <c r="R109" s="380">
        <v>80</v>
      </c>
      <c r="S109" s="384">
        <v>0</v>
      </c>
      <c r="T109" s="380">
        <v>7584.71</v>
      </c>
      <c r="U109" s="380">
        <v>0</v>
      </c>
      <c r="V109" s="380">
        <v>2362.0500000000002</v>
      </c>
      <c r="W109" s="380">
        <v>0</v>
      </c>
      <c r="X109" s="380">
        <v>0</v>
      </c>
      <c r="Y109" s="380">
        <v>0</v>
      </c>
      <c r="Z109" s="380">
        <v>0</v>
      </c>
      <c r="AA109" s="376" t="s">
        <v>354</v>
      </c>
      <c r="AB109" s="376" t="s">
        <v>355</v>
      </c>
      <c r="AC109" s="376" t="s">
        <v>213</v>
      </c>
      <c r="AD109" s="376" t="s">
        <v>231</v>
      </c>
      <c r="AE109" s="376" t="s">
        <v>353</v>
      </c>
      <c r="AF109" s="376" t="s">
        <v>178</v>
      </c>
      <c r="AG109" s="376" t="s">
        <v>179</v>
      </c>
      <c r="AH109" s="381">
        <v>50.45</v>
      </c>
      <c r="AI109" s="381">
        <v>22028.5</v>
      </c>
      <c r="AJ109" s="376" t="s">
        <v>180</v>
      </c>
      <c r="AK109" s="376" t="s">
        <v>181</v>
      </c>
      <c r="AL109" s="376" t="s">
        <v>182</v>
      </c>
      <c r="AM109" s="376" t="s">
        <v>183</v>
      </c>
      <c r="AN109" s="376" t="s">
        <v>66</v>
      </c>
      <c r="AO109" s="379">
        <v>80</v>
      </c>
      <c r="AP109" s="384">
        <v>1</v>
      </c>
      <c r="AQ109" s="384">
        <v>0</v>
      </c>
      <c r="AR109" s="382" t="s">
        <v>184</v>
      </c>
      <c r="AS109" s="386">
        <f t="shared" si="98"/>
        <v>0</v>
      </c>
      <c r="AT109">
        <f t="shared" si="99"/>
        <v>0</v>
      </c>
      <c r="AU109" s="386" t="str">
        <f>IF(AT109=0,"",IF(AND(AT109=1,M109="F",SUMIF(C2:C201,C109,AS2:AS201)&lt;=1),SUMIF(C2:C201,C109,AS2:AS201),IF(AND(AT109=1,M109="F",SUMIF(C2:C201,C109,AS2:AS201)&gt;1),1,"")))</f>
        <v/>
      </c>
      <c r="AV109" s="386" t="str">
        <f>IF(AT109=0,"",IF(AND(AT109=3,M109="F",SUMIF(C2:C201,C109,AS2:AS201)&lt;=1),SUMIF(C2:C201,C109,AS2:AS201),IF(AND(AT109=3,M109="F",SUMIF(C2:C201,C109,AS2:AS201)&gt;1),1,"")))</f>
        <v/>
      </c>
      <c r="AW109" s="386">
        <f>SUMIF(C2:C201,C109,O2:O201)</f>
        <v>5</v>
      </c>
      <c r="AX109" s="386">
        <f>IF(AND(M109="F",AS109&lt;&gt;0),SUMIF(C2:C201,C109,W2:W201),0)</f>
        <v>0</v>
      </c>
      <c r="AY109" s="386" t="str">
        <f t="shared" si="100"/>
        <v/>
      </c>
      <c r="AZ109" s="386" t="str">
        <f t="shared" si="101"/>
        <v/>
      </c>
      <c r="BA109" s="386">
        <f t="shared" si="102"/>
        <v>0</v>
      </c>
      <c r="BB109" s="386">
        <f t="shared" si="115"/>
        <v>0</v>
      </c>
      <c r="BC109" s="386">
        <f t="shared" si="116"/>
        <v>0</v>
      </c>
      <c r="BD109" s="386">
        <f t="shared" si="117"/>
        <v>0</v>
      </c>
      <c r="BE109" s="386">
        <f t="shared" si="118"/>
        <v>0</v>
      </c>
      <c r="BF109" s="386">
        <f t="shared" si="119"/>
        <v>0</v>
      </c>
      <c r="BG109" s="386">
        <f t="shared" si="120"/>
        <v>0</v>
      </c>
      <c r="BH109" s="386">
        <f t="shared" si="121"/>
        <v>0</v>
      </c>
      <c r="BI109" s="386">
        <f t="shared" si="122"/>
        <v>0</v>
      </c>
      <c r="BJ109" s="386">
        <f t="shared" si="123"/>
        <v>0</v>
      </c>
      <c r="BK109" s="386">
        <f t="shared" si="124"/>
        <v>0</v>
      </c>
      <c r="BL109" s="386">
        <f t="shared" si="103"/>
        <v>0</v>
      </c>
      <c r="BM109" s="386">
        <f t="shared" si="104"/>
        <v>0</v>
      </c>
      <c r="BN109" s="386">
        <f t="shared" si="125"/>
        <v>0</v>
      </c>
      <c r="BO109" s="386">
        <f t="shared" si="126"/>
        <v>0</v>
      </c>
      <c r="BP109" s="386">
        <f t="shared" si="127"/>
        <v>0</v>
      </c>
      <c r="BQ109" s="386">
        <f t="shared" si="128"/>
        <v>0</v>
      </c>
      <c r="BR109" s="386">
        <f t="shared" si="129"/>
        <v>0</v>
      </c>
      <c r="BS109" s="386">
        <f t="shared" si="130"/>
        <v>0</v>
      </c>
      <c r="BT109" s="386">
        <f t="shared" si="131"/>
        <v>0</v>
      </c>
      <c r="BU109" s="386">
        <f t="shared" si="132"/>
        <v>0</v>
      </c>
      <c r="BV109" s="386">
        <f t="shared" si="133"/>
        <v>0</v>
      </c>
      <c r="BW109" s="386">
        <f t="shared" si="134"/>
        <v>0</v>
      </c>
      <c r="BX109" s="386">
        <f t="shared" si="105"/>
        <v>0</v>
      </c>
      <c r="BY109" s="386">
        <f t="shared" si="106"/>
        <v>0</v>
      </c>
      <c r="BZ109" s="386">
        <f t="shared" si="107"/>
        <v>0</v>
      </c>
      <c r="CA109" s="386">
        <f t="shared" si="108"/>
        <v>0</v>
      </c>
      <c r="CB109" s="386">
        <f t="shared" si="109"/>
        <v>0</v>
      </c>
      <c r="CC109" s="386">
        <f t="shared" si="135"/>
        <v>0</v>
      </c>
      <c r="CD109" s="386">
        <f t="shared" si="136"/>
        <v>0</v>
      </c>
      <c r="CE109" s="386">
        <f t="shared" si="137"/>
        <v>0</v>
      </c>
      <c r="CF109" s="386">
        <f t="shared" si="138"/>
        <v>0</v>
      </c>
      <c r="CG109" s="386">
        <f t="shared" si="139"/>
        <v>0</v>
      </c>
      <c r="CH109" s="386">
        <f t="shared" si="140"/>
        <v>0</v>
      </c>
      <c r="CI109" s="386">
        <f t="shared" si="141"/>
        <v>0</v>
      </c>
      <c r="CJ109" s="386">
        <f t="shared" si="110"/>
        <v>0</v>
      </c>
      <c r="CK109" s="386" t="str">
        <f t="shared" si="111"/>
        <v/>
      </c>
      <c r="CL109" s="386" t="str">
        <f t="shared" si="112"/>
        <v/>
      </c>
      <c r="CM109" s="386" t="str">
        <f t="shared" si="113"/>
        <v/>
      </c>
      <c r="CN109" s="386" t="str">
        <f t="shared" si="114"/>
        <v>0126-00</v>
      </c>
    </row>
    <row r="110" spans="1:92" ht="15.75" thickBot="1" x14ac:dyDescent="0.3">
      <c r="A110" s="376" t="s">
        <v>162</v>
      </c>
      <c r="B110" s="376" t="s">
        <v>163</v>
      </c>
      <c r="C110" s="376" t="s">
        <v>164</v>
      </c>
      <c r="D110" s="376" t="s">
        <v>165</v>
      </c>
      <c r="E110" s="376" t="s">
        <v>375</v>
      </c>
      <c r="F110" s="377" t="s">
        <v>167</v>
      </c>
      <c r="G110" s="376" t="s">
        <v>376</v>
      </c>
      <c r="H110" s="378"/>
      <c r="I110" s="378"/>
      <c r="J110" s="376" t="s">
        <v>169</v>
      </c>
      <c r="K110" s="376" t="s">
        <v>170</v>
      </c>
      <c r="L110" s="376" t="s">
        <v>171</v>
      </c>
      <c r="M110" s="376" t="s">
        <v>172</v>
      </c>
      <c r="N110" s="376" t="s">
        <v>173</v>
      </c>
      <c r="O110" s="379">
        <v>1</v>
      </c>
      <c r="P110" s="384">
        <v>0</v>
      </c>
      <c r="Q110" s="384">
        <v>0</v>
      </c>
      <c r="R110" s="380">
        <v>80</v>
      </c>
      <c r="S110" s="384">
        <v>0</v>
      </c>
      <c r="T110" s="380">
        <v>2312.16</v>
      </c>
      <c r="U110" s="380">
        <v>0</v>
      </c>
      <c r="V110" s="380">
        <v>825.23</v>
      </c>
      <c r="W110" s="380">
        <v>0</v>
      </c>
      <c r="X110" s="380">
        <v>0</v>
      </c>
      <c r="Y110" s="380">
        <v>0</v>
      </c>
      <c r="Z110" s="380">
        <v>0</v>
      </c>
      <c r="AA110" s="376" t="s">
        <v>174</v>
      </c>
      <c r="AB110" s="376" t="s">
        <v>175</v>
      </c>
      <c r="AC110" s="376" t="s">
        <v>176</v>
      </c>
      <c r="AD110" s="376" t="s">
        <v>177</v>
      </c>
      <c r="AE110" s="376" t="s">
        <v>170</v>
      </c>
      <c r="AF110" s="376" t="s">
        <v>178</v>
      </c>
      <c r="AG110" s="376" t="s">
        <v>179</v>
      </c>
      <c r="AH110" s="381">
        <v>35.24</v>
      </c>
      <c r="AI110" s="381">
        <v>61196.3</v>
      </c>
      <c r="AJ110" s="376" t="s">
        <v>180</v>
      </c>
      <c r="AK110" s="376" t="s">
        <v>181</v>
      </c>
      <c r="AL110" s="376" t="s">
        <v>182</v>
      </c>
      <c r="AM110" s="376" t="s">
        <v>183</v>
      </c>
      <c r="AN110" s="376" t="s">
        <v>66</v>
      </c>
      <c r="AO110" s="379">
        <v>80</v>
      </c>
      <c r="AP110" s="384">
        <v>1</v>
      </c>
      <c r="AQ110" s="384">
        <v>0</v>
      </c>
      <c r="AR110" s="382" t="s">
        <v>184</v>
      </c>
      <c r="AS110" s="386">
        <f t="shared" si="98"/>
        <v>0</v>
      </c>
      <c r="AT110">
        <f t="shared" si="99"/>
        <v>0</v>
      </c>
      <c r="AU110" s="386" t="str">
        <f>IF(AT110=0,"",IF(AND(AT110=1,M110="F",SUMIF(C2:C201,C110,AS2:AS201)&lt;=1),SUMIF(C2:C201,C110,AS2:AS201),IF(AND(AT110=1,M110="F",SUMIF(C2:C201,C110,AS2:AS201)&gt;1),1,"")))</f>
        <v/>
      </c>
      <c r="AV110" s="386" t="str">
        <f>IF(AT110=0,"",IF(AND(AT110=3,M110="F",SUMIF(C2:C201,C110,AS2:AS201)&lt;=1),SUMIF(C2:C201,C110,AS2:AS201),IF(AND(AT110=3,M110="F",SUMIF(C2:C201,C110,AS2:AS201)&gt;1),1,"")))</f>
        <v/>
      </c>
      <c r="AW110" s="386">
        <f>SUMIF(C2:C201,C110,O2:O201)</f>
        <v>3</v>
      </c>
      <c r="AX110" s="386">
        <f>IF(AND(M110="F",AS110&lt;&gt;0),SUMIF(C2:C201,C110,W2:W201),0)</f>
        <v>0</v>
      </c>
      <c r="AY110" s="386" t="str">
        <f t="shared" si="100"/>
        <v/>
      </c>
      <c r="AZ110" s="386" t="str">
        <f t="shared" si="101"/>
        <v/>
      </c>
      <c r="BA110" s="386">
        <f t="shared" si="102"/>
        <v>0</v>
      </c>
      <c r="BB110" s="386">
        <f t="shared" si="115"/>
        <v>0</v>
      </c>
      <c r="BC110" s="386">
        <f t="shared" si="116"/>
        <v>0</v>
      </c>
      <c r="BD110" s="386">
        <f t="shared" si="117"/>
        <v>0</v>
      </c>
      <c r="BE110" s="386">
        <f t="shared" si="118"/>
        <v>0</v>
      </c>
      <c r="BF110" s="386">
        <f t="shared" si="119"/>
        <v>0</v>
      </c>
      <c r="BG110" s="386">
        <f t="shared" si="120"/>
        <v>0</v>
      </c>
      <c r="BH110" s="386">
        <f t="shared" si="121"/>
        <v>0</v>
      </c>
      <c r="BI110" s="386">
        <f t="shared" si="122"/>
        <v>0</v>
      </c>
      <c r="BJ110" s="386">
        <f t="shared" si="123"/>
        <v>0</v>
      </c>
      <c r="BK110" s="386">
        <f t="shared" si="124"/>
        <v>0</v>
      </c>
      <c r="BL110" s="386">
        <f t="shared" si="103"/>
        <v>0</v>
      </c>
      <c r="BM110" s="386">
        <f t="shared" si="104"/>
        <v>0</v>
      </c>
      <c r="BN110" s="386">
        <f t="shared" si="125"/>
        <v>0</v>
      </c>
      <c r="BO110" s="386">
        <f t="shared" si="126"/>
        <v>0</v>
      </c>
      <c r="BP110" s="386">
        <f t="shared" si="127"/>
        <v>0</v>
      </c>
      <c r="BQ110" s="386">
        <f t="shared" si="128"/>
        <v>0</v>
      </c>
      <c r="BR110" s="386">
        <f t="shared" si="129"/>
        <v>0</v>
      </c>
      <c r="BS110" s="386">
        <f t="shared" si="130"/>
        <v>0</v>
      </c>
      <c r="BT110" s="386">
        <f t="shared" si="131"/>
        <v>0</v>
      </c>
      <c r="BU110" s="386">
        <f t="shared" si="132"/>
        <v>0</v>
      </c>
      <c r="BV110" s="386">
        <f t="shared" si="133"/>
        <v>0</v>
      </c>
      <c r="BW110" s="386">
        <f t="shared" si="134"/>
        <v>0</v>
      </c>
      <c r="BX110" s="386">
        <f t="shared" si="105"/>
        <v>0</v>
      </c>
      <c r="BY110" s="386">
        <f t="shared" si="106"/>
        <v>0</v>
      </c>
      <c r="BZ110" s="386">
        <f t="shared" si="107"/>
        <v>0</v>
      </c>
      <c r="CA110" s="386">
        <f t="shared" si="108"/>
        <v>0</v>
      </c>
      <c r="CB110" s="386">
        <f t="shared" si="109"/>
        <v>0</v>
      </c>
      <c r="CC110" s="386">
        <f t="shared" si="135"/>
        <v>0</v>
      </c>
      <c r="CD110" s="386">
        <f t="shared" si="136"/>
        <v>0</v>
      </c>
      <c r="CE110" s="386">
        <f t="shared" si="137"/>
        <v>0</v>
      </c>
      <c r="CF110" s="386">
        <f t="shared" si="138"/>
        <v>0</v>
      </c>
      <c r="CG110" s="386">
        <f t="shared" si="139"/>
        <v>0</v>
      </c>
      <c r="CH110" s="386">
        <f t="shared" si="140"/>
        <v>0</v>
      </c>
      <c r="CI110" s="386">
        <f t="shared" si="141"/>
        <v>0</v>
      </c>
      <c r="CJ110" s="386">
        <f t="shared" si="110"/>
        <v>0</v>
      </c>
      <c r="CK110" s="386" t="str">
        <f t="shared" si="111"/>
        <v/>
      </c>
      <c r="CL110" s="386" t="str">
        <f t="shared" si="112"/>
        <v/>
      </c>
      <c r="CM110" s="386" t="str">
        <f t="shared" si="113"/>
        <v/>
      </c>
      <c r="CN110" s="386" t="str">
        <f t="shared" si="114"/>
        <v>0126-00</v>
      </c>
    </row>
    <row r="111" spans="1:92" ht="15.75" thickBot="1" x14ac:dyDescent="0.3">
      <c r="A111" s="376" t="s">
        <v>162</v>
      </c>
      <c r="B111" s="376" t="s">
        <v>163</v>
      </c>
      <c r="C111" s="376" t="s">
        <v>467</v>
      </c>
      <c r="D111" s="376" t="s">
        <v>468</v>
      </c>
      <c r="E111" s="376" t="s">
        <v>375</v>
      </c>
      <c r="F111" s="377" t="s">
        <v>167</v>
      </c>
      <c r="G111" s="376" t="s">
        <v>376</v>
      </c>
      <c r="H111" s="378"/>
      <c r="I111" s="378"/>
      <c r="J111" s="376" t="s">
        <v>169</v>
      </c>
      <c r="K111" s="376" t="s">
        <v>469</v>
      </c>
      <c r="L111" s="376" t="s">
        <v>470</v>
      </c>
      <c r="M111" s="376" t="s">
        <v>172</v>
      </c>
      <c r="N111" s="376" t="s">
        <v>173</v>
      </c>
      <c r="O111" s="379">
        <v>1</v>
      </c>
      <c r="P111" s="384">
        <v>0</v>
      </c>
      <c r="Q111" s="384">
        <v>0</v>
      </c>
      <c r="R111" s="380">
        <v>80</v>
      </c>
      <c r="S111" s="384">
        <v>0</v>
      </c>
      <c r="T111" s="380">
        <v>2569.3200000000002</v>
      </c>
      <c r="U111" s="380">
        <v>0</v>
      </c>
      <c r="V111" s="380">
        <v>809.67</v>
      </c>
      <c r="W111" s="380">
        <v>0</v>
      </c>
      <c r="X111" s="380">
        <v>0</v>
      </c>
      <c r="Y111" s="380">
        <v>0</v>
      </c>
      <c r="Z111" s="380">
        <v>0</v>
      </c>
      <c r="AA111" s="376" t="s">
        <v>471</v>
      </c>
      <c r="AB111" s="376" t="s">
        <v>472</v>
      </c>
      <c r="AC111" s="376" t="s">
        <v>473</v>
      </c>
      <c r="AD111" s="376" t="s">
        <v>198</v>
      </c>
      <c r="AE111" s="376" t="s">
        <v>469</v>
      </c>
      <c r="AF111" s="376" t="s">
        <v>178</v>
      </c>
      <c r="AG111" s="376" t="s">
        <v>179</v>
      </c>
      <c r="AH111" s="381">
        <v>52.14</v>
      </c>
      <c r="AI111" s="381">
        <v>42679.3</v>
      </c>
      <c r="AJ111" s="376" t="s">
        <v>180</v>
      </c>
      <c r="AK111" s="376" t="s">
        <v>181</v>
      </c>
      <c r="AL111" s="376" t="s">
        <v>182</v>
      </c>
      <c r="AM111" s="376" t="s">
        <v>183</v>
      </c>
      <c r="AN111" s="376" t="s">
        <v>66</v>
      </c>
      <c r="AO111" s="379">
        <v>80</v>
      </c>
      <c r="AP111" s="384">
        <v>1</v>
      </c>
      <c r="AQ111" s="384">
        <v>0</v>
      </c>
      <c r="AR111" s="382" t="s">
        <v>184</v>
      </c>
      <c r="AS111" s="386">
        <f t="shared" si="98"/>
        <v>0</v>
      </c>
      <c r="AT111">
        <f t="shared" si="99"/>
        <v>0</v>
      </c>
      <c r="AU111" s="386" t="str">
        <f>IF(AT111=0,"",IF(AND(AT111=1,M111="F",SUMIF(C2:C201,C111,AS2:AS201)&lt;=1),SUMIF(C2:C201,C111,AS2:AS201),IF(AND(AT111=1,M111="F",SUMIF(C2:C201,C111,AS2:AS201)&gt;1),1,"")))</f>
        <v/>
      </c>
      <c r="AV111" s="386" t="str">
        <f>IF(AT111=0,"",IF(AND(AT111=3,M111="F",SUMIF(C2:C201,C111,AS2:AS201)&lt;=1),SUMIF(C2:C201,C111,AS2:AS201),IF(AND(AT111=3,M111="F",SUMIF(C2:C201,C111,AS2:AS201)&gt;1),1,"")))</f>
        <v/>
      </c>
      <c r="AW111" s="386">
        <f>SUMIF(C2:C201,C111,O2:O201)</f>
        <v>2</v>
      </c>
      <c r="AX111" s="386">
        <f>IF(AND(M111="F",AS111&lt;&gt;0),SUMIF(C2:C201,C111,W2:W201),0)</f>
        <v>0</v>
      </c>
      <c r="AY111" s="386" t="str">
        <f t="shared" si="100"/>
        <v/>
      </c>
      <c r="AZ111" s="386" t="str">
        <f t="shared" si="101"/>
        <v/>
      </c>
      <c r="BA111" s="386">
        <f t="shared" si="102"/>
        <v>0</v>
      </c>
      <c r="BB111" s="386">
        <f t="shared" si="115"/>
        <v>0</v>
      </c>
      <c r="BC111" s="386">
        <f t="shared" si="116"/>
        <v>0</v>
      </c>
      <c r="BD111" s="386">
        <f t="shared" si="117"/>
        <v>0</v>
      </c>
      <c r="BE111" s="386">
        <f t="shared" si="118"/>
        <v>0</v>
      </c>
      <c r="BF111" s="386">
        <f t="shared" si="119"/>
        <v>0</v>
      </c>
      <c r="BG111" s="386">
        <f t="shared" si="120"/>
        <v>0</v>
      </c>
      <c r="BH111" s="386">
        <f t="shared" si="121"/>
        <v>0</v>
      </c>
      <c r="BI111" s="386">
        <f t="shared" si="122"/>
        <v>0</v>
      </c>
      <c r="BJ111" s="386">
        <f t="shared" si="123"/>
        <v>0</v>
      </c>
      <c r="BK111" s="386">
        <f t="shared" si="124"/>
        <v>0</v>
      </c>
      <c r="BL111" s="386">
        <f t="shared" si="103"/>
        <v>0</v>
      </c>
      <c r="BM111" s="386">
        <f t="shared" si="104"/>
        <v>0</v>
      </c>
      <c r="BN111" s="386">
        <f t="shared" si="125"/>
        <v>0</v>
      </c>
      <c r="BO111" s="386">
        <f t="shared" si="126"/>
        <v>0</v>
      </c>
      <c r="BP111" s="386">
        <f t="shared" si="127"/>
        <v>0</v>
      </c>
      <c r="BQ111" s="386">
        <f t="shared" si="128"/>
        <v>0</v>
      </c>
      <c r="BR111" s="386">
        <f t="shared" si="129"/>
        <v>0</v>
      </c>
      <c r="BS111" s="386">
        <f t="shared" si="130"/>
        <v>0</v>
      </c>
      <c r="BT111" s="386">
        <f t="shared" si="131"/>
        <v>0</v>
      </c>
      <c r="BU111" s="386">
        <f t="shared" si="132"/>
        <v>0</v>
      </c>
      <c r="BV111" s="386">
        <f t="shared" si="133"/>
        <v>0</v>
      </c>
      <c r="BW111" s="386">
        <f t="shared" si="134"/>
        <v>0</v>
      </c>
      <c r="BX111" s="386">
        <f t="shared" si="105"/>
        <v>0</v>
      </c>
      <c r="BY111" s="386">
        <f t="shared" si="106"/>
        <v>0</v>
      </c>
      <c r="BZ111" s="386">
        <f t="shared" si="107"/>
        <v>0</v>
      </c>
      <c r="CA111" s="386">
        <f t="shared" si="108"/>
        <v>0</v>
      </c>
      <c r="CB111" s="386">
        <f t="shared" si="109"/>
        <v>0</v>
      </c>
      <c r="CC111" s="386">
        <f t="shared" si="135"/>
        <v>0</v>
      </c>
      <c r="CD111" s="386">
        <f t="shared" si="136"/>
        <v>0</v>
      </c>
      <c r="CE111" s="386">
        <f t="shared" si="137"/>
        <v>0</v>
      </c>
      <c r="CF111" s="386">
        <f t="shared" si="138"/>
        <v>0</v>
      </c>
      <c r="CG111" s="386">
        <f t="shared" si="139"/>
        <v>0</v>
      </c>
      <c r="CH111" s="386">
        <f t="shared" si="140"/>
        <v>0</v>
      </c>
      <c r="CI111" s="386">
        <f t="shared" si="141"/>
        <v>0</v>
      </c>
      <c r="CJ111" s="386">
        <f t="shared" si="110"/>
        <v>0</v>
      </c>
      <c r="CK111" s="386" t="str">
        <f t="shared" si="111"/>
        <v/>
      </c>
      <c r="CL111" s="386" t="str">
        <f t="shared" si="112"/>
        <v/>
      </c>
      <c r="CM111" s="386" t="str">
        <f t="shared" si="113"/>
        <v/>
      </c>
      <c r="CN111" s="386" t="str">
        <f t="shared" si="114"/>
        <v>0126-00</v>
      </c>
    </row>
    <row r="112" spans="1:92" ht="15.75" thickBot="1" x14ac:dyDescent="0.3">
      <c r="A112" s="376" t="s">
        <v>162</v>
      </c>
      <c r="B112" s="376" t="s">
        <v>163</v>
      </c>
      <c r="C112" s="376" t="s">
        <v>474</v>
      </c>
      <c r="D112" s="376" t="s">
        <v>475</v>
      </c>
      <c r="E112" s="376" t="s">
        <v>375</v>
      </c>
      <c r="F112" s="377" t="s">
        <v>167</v>
      </c>
      <c r="G112" s="376" t="s">
        <v>376</v>
      </c>
      <c r="H112" s="378"/>
      <c r="I112" s="378"/>
      <c r="J112" s="376" t="s">
        <v>169</v>
      </c>
      <c r="K112" s="376" t="s">
        <v>476</v>
      </c>
      <c r="L112" s="376" t="s">
        <v>167</v>
      </c>
      <c r="M112" s="376" t="s">
        <v>172</v>
      </c>
      <c r="N112" s="376" t="s">
        <v>173</v>
      </c>
      <c r="O112" s="379">
        <v>1</v>
      </c>
      <c r="P112" s="384">
        <v>0</v>
      </c>
      <c r="Q112" s="384">
        <v>0</v>
      </c>
      <c r="R112" s="380">
        <v>80</v>
      </c>
      <c r="S112" s="384">
        <v>0</v>
      </c>
      <c r="T112" s="380">
        <v>5750.68</v>
      </c>
      <c r="U112" s="380">
        <v>0</v>
      </c>
      <c r="V112" s="380">
        <v>2029.22</v>
      </c>
      <c r="W112" s="380">
        <v>0</v>
      </c>
      <c r="X112" s="380">
        <v>0</v>
      </c>
      <c r="Y112" s="380">
        <v>0</v>
      </c>
      <c r="Z112" s="380">
        <v>0</v>
      </c>
      <c r="AA112" s="376" t="s">
        <v>477</v>
      </c>
      <c r="AB112" s="376" t="s">
        <v>478</v>
      </c>
      <c r="AC112" s="376" t="s">
        <v>479</v>
      </c>
      <c r="AD112" s="376" t="s">
        <v>480</v>
      </c>
      <c r="AE112" s="376" t="s">
        <v>476</v>
      </c>
      <c r="AF112" s="376" t="s">
        <v>178</v>
      </c>
      <c r="AG112" s="376" t="s">
        <v>179</v>
      </c>
      <c r="AH112" s="381">
        <v>37.26</v>
      </c>
      <c r="AI112" s="381">
        <v>62581.599999999999</v>
      </c>
      <c r="AJ112" s="376" t="s">
        <v>180</v>
      </c>
      <c r="AK112" s="376" t="s">
        <v>181</v>
      </c>
      <c r="AL112" s="376" t="s">
        <v>182</v>
      </c>
      <c r="AM112" s="376" t="s">
        <v>183</v>
      </c>
      <c r="AN112" s="376" t="s">
        <v>66</v>
      </c>
      <c r="AO112" s="379">
        <v>80</v>
      </c>
      <c r="AP112" s="384">
        <v>1</v>
      </c>
      <c r="AQ112" s="384">
        <v>0</v>
      </c>
      <c r="AR112" s="382" t="s">
        <v>184</v>
      </c>
      <c r="AS112" s="386">
        <f t="shared" si="98"/>
        <v>0</v>
      </c>
      <c r="AT112">
        <f t="shared" si="99"/>
        <v>0</v>
      </c>
      <c r="AU112" s="386" t="str">
        <f>IF(AT112=0,"",IF(AND(AT112=1,M112="F",SUMIF(C2:C201,C112,AS2:AS201)&lt;=1),SUMIF(C2:C201,C112,AS2:AS201),IF(AND(AT112=1,M112="F",SUMIF(C2:C201,C112,AS2:AS201)&gt;1),1,"")))</f>
        <v/>
      </c>
      <c r="AV112" s="386" t="str">
        <f>IF(AT112=0,"",IF(AND(AT112=3,M112="F",SUMIF(C2:C201,C112,AS2:AS201)&lt;=1),SUMIF(C2:C201,C112,AS2:AS201),IF(AND(AT112=3,M112="F",SUMIF(C2:C201,C112,AS2:AS201)&gt;1),1,"")))</f>
        <v/>
      </c>
      <c r="AW112" s="386">
        <f>SUMIF(C2:C201,C112,O2:O201)</f>
        <v>2</v>
      </c>
      <c r="AX112" s="386">
        <f>IF(AND(M112="F",AS112&lt;&gt;0),SUMIF(C2:C201,C112,W2:W201),0)</f>
        <v>0</v>
      </c>
      <c r="AY112" s="386" t="str">
        <f t="shared" si="100"/>
        <v/>
      </c>
      <c r="AZ112" s="386" t="str">
        <f t="shared" si="101"/>
        <v/>
      </c>
      <c r="BA112" s="386">
        <f t="shared" si="102"/>
        <v>0</v>
      </c>
      <c r="BB112" s="386">
        <f t="shared" si="115"/>
        <v>0</v>
      </c>
      <c r="BC112" s="386">
        <f t="shared" si="116"/>
        <v>0</v>
      </c>
      <c r="BD112" s="386">
        <f t="shared" si="117"/>
        <v>0</v>
      </c>
      <c r="BE112" s="386">
        <f t="shared" si="118"/>
        <v>0</v>
      </c>
      <c r="BF112" s="386">
        <f t="shared" si="119"/>
        <v>0</v>
      </c>
      <c r="BG112" s="386">
        <f t="shared" si="120"/>
        <v>0</v>
      </c>
      <c r="BH112" s="386">
        <f t="shared" si="121"/>
        <v>0</v>
      </c>
      <c r="BI112" s="386">
        <f t="shared" si="122"/>
        <v>0</v>
      </c>
      <c r="BJ112" s="386">
        <f t="shared" si="123"/>
        <v>0</v>
      </c>
      <c r="BK112" s="386">
        <f t="shared" si="124"/>
        <v>0</v>
      </c>
      <c r="BL112" s="386">
        <f t="shared" si="103"/>
        <v>0</v>
      </c>
      <c r="BM112" s="386">
        <f t="shared" si="104"/>
        <v>0</v>
      </c>
      <c r="BN112" s="386">
        <f t="shared" si="125"/>
        <v>0</v>
      </c>
      <c r="BO112" s="386">
        <f t="shared" si="126"/>
        <v>0</v>
      </c>
      <c r="BP112" s="386">
        <f t="shared" si="127"/>
        <v>0</v>
      </c>
      <c r="BQ112" s="386">
        <f t="shared" si="128"/>
        <v>0</v>
      </c>
      <c r="BR112" s="386">
        <f t="shared" si="129"/>
        <v>0</v>
      </c>
      <c r="BS112" s="386">
        <f t="shared" si="130"/>
        <v>0</v>
      </c>
      <c r="BT112" s="386">
        <f t="shared" si="131"/>
        <v>0</v>
      </c>
      <c r="BU112" s="386">
        <f t="shared" si="132"/>
        <v>0</v>
      </c>
      <c r="BV112" s="386">
        <f t="shared" si="133"/>
        <v>0</v>
      </c>
      <c r="BW112" s="386">
        <f t="shared" si="134"/>
        <v>0</v>
      </c>
      <c r="BX112" s="386">
        <f t="shared" si="105"/>
        <v>0</v>
      </c>
      <c r="BY112" s="386">
        <f t="shared" si="106"/>
        <v>0</v>
      </c>
      <c r="BZ112" s="386">
        <f t="shared" si="107"/>
        <v>0</v>
      </c>
      <c r="CA112" s="386">
        <f t="shared" si="108"/>
        <v>0</v>
      </c>
      <c r="CB112" s="386">
        <f t="shared" si="109"/>
        <v>0</v>
      </c>
      <c r="CC112" s="386">
        <f t="shared" si="135"/>
        <v>0</v>
      </c>
      <c r="CD112" s="386">
        <f t="shared" si="136"/>
        <v>0</v>
      </c>
      <c r="CE112" s="386">
        <f t="shared" si="137"/>
        <v>0</v>
      </c>
      <c r="CF112" s="386">
        <f t="shared" si="138"/>
        <v>0</v>
      </c>
      <c r="CG112" s="386">
        <f t="shared" si="139"/>
        <v>0</v>
      </c>
      <c r="CH112" s="386">
        <f t="shared" si="140"/>
        <v>0</v>
      </c>
      <c r="CI112" s="386">
        <f t="shared" si="141"/>
        <v>0</v>
      </c>
      <c r="CJ112" s="386">
        <f t="shared" si="110"/>
        <v>0</v>
      </c>
      <c r="CK112" s="386" t="str">
        <f t="shared" si="111"/>
        <v/>
      </c>
      <c r="CL112" s="386" t="str">
        <f t="shared" si="112"/>
        <v/>
      </c>
      <c r="CM112" s="386" t="str">
        <f t="shared" si="113"/>
        <v/>
      </c>
      <c r="CN112" s="386" t="str">
        <f t="shared" si="114"/>
        <v>0126-00</v>
      </c>
    </row>
    <row r="113" spans="1:92" ht="15.75" thickBot="1" x14ac:dyDescent="0.3">
      <c r="A113" s="376" t="s">
        <v>162</v>
      </c>
      <c r="B113" s="376" t="s">
        <v>163</v>
      </c>
      <c r="C113" s="376" t="s">
        <v>481</v>
      </c>
      <c r="D113" s="376" t="s">
        <v>482</v>
      </c>
      <c r="E113" s="376" t="s">
        <v>375</v>
      </c>
      <c r="F113" s="377" t="s">
        <v>167</v>
      </c>
      <c r="G113" s="376" t="s">
        <v>376</v>
      </c>
      <c r="H113" s="378"/>
      <c r="I113" s="378"/>
      <c r="J113" s="376" t="s">
        <v>169</v>
      </c>
      <c r="K113" s="376" t="s">
        <v>483</v>
      </c>
      <c r="L113" s="376" t="s">
        <v>167</v>
      </c>
      <c r="M113" s="376" t="s">
        <v>172</v>
      </c>
      <c r="N113" s="376" t="s">
        <v>173</v>
      </c>
      <c r="O113" s="379">
        <v>1</v>
      </c>
      <c r="P113" s="384">
        <v>0</v>
      </c>
      <c r="Q113" s="384">
        <v>0</v>
      </c>
      <c r="R113" s="380">
        <v>80</v>
      </c>
      <c r="S113" s="384">
        <v>0</v>
      </c>
      <c r="T113" s="380">
        <v>2000</v>
      </c>
      <c r="U113" s="380">
        <v>0</v>
      </c>
      <c r="V113" s="380">
        <v>571.32000000000005</v>
      </c>
      <c r="W113" s="380">
        <v>0</v>
      </c>
      <c r="X113" s="380">
        <v>0</v>
      </c>
      <c r="Y113" s="380">
        <v>0</v>
      </c>
      <c r="Z113" s="380">
        <v>0</v>
      </c>
      <c r="AA113" s="376" t="s">
        <v>484</v>
      </c>
      <c r="AB113" s="376" t="s">
        <v>485</v>
      </c>
      <c r="AC113" s="376" t="s">
        <v>486</v>
      </c>
      <c r="AD113" s="376" t="s">
        <v>311</v>
      </c>
      <c r="AE113" s="376" t="s">
        <v>483</v>
      </c>
      <c r="AF113" s="376" t="s">
        <v>178</v>
      </c>
      <c r="AG113" s="376" t="s">
        <v>179</v>
      </c>
      <c r="AH113" s="381">
        <v>59.83</v>
      </c>
      <c r="AI113" s="379">
        <v>44304</v>
      </c>
      <c r="AJ113" s="376" t="s">
        <v>180</v>
      </c>
      <c r="AK113" s="376" t="s">
        <v>181</v>
      </c>
      <c r="AL113" s="376" t="s">
        <v>182</v>
      </c>
      <c r="AM113" s="376" t="s">
        <v>183</v>
      </c>
      <c r="AN113" s="376" t="s">
        <v>66</v>
      </c>
      <c r="AO113" s="379">
        <v>80</v>
      </c>
      <c r="AP113" s="384">
        <v>1</v>
      </c>
      <c r="AQ113" s="384">
        <v>0</v>
      </c>
      <c r="AR113" s="382" t="s">
        <v>184</v>
      </c>
      <c r="AS113" s="386">
        <f t="shared" si="98"/>
        <v>0</v>
      </c>
      <c r="AT113">
        <f t="shared" si="99"/>
        <v>0</v>
      </c>
      <c r="AU113" s="386" t="str">
        <f>IF(AT113=0,"",IF(AND(AT113=1,M113="F",SUMIF(C2:C201,C113,AS2:AS201)&lt;=1),SUMIF(C2:C201,C113,AS2:AS201),IF(AND(AT113=1,M113="F",SUMIF(C2:C201,C113,AS2:AS201)&gt;1),1,"")))</f>
        <v/>
      </c>
      <c r="AV113" s="386" t="str">
        <f>IF(AT113=0,"",IF(AND(AT113=3,M113="F",SUMIF(C2:C201,C113,AS2:AS201)&lt;=1),SUMIF(C2:C201,C113,AS2:AS201),IF(AND(AT113=3,M113="F",SUMIF(C2:C201,C113,AS2:AS201)&gt;1),1,"")))</f>
        <v/>
      </c>
      <c r="AW113" s="386">
        <f>SUMIF(C2:C201,C113,O2:O201)</f>
        <v>2</v>
      </c>
      <c r="AX113" s="386">
        <f>IF(AND(M113="F",AS113&lt;&gt;0),SUMIF(C2:C201,C113,W2:W201),0)</f>
        <v>0</v>
      </c>
      <c r="AY113" s="386" t="str">
        <f t="shared" si="100"/>
        <v/>
      </c>
      <c r="AZ113" s="386" t="str">
        <f t="shared" si="101"/>
        <v/>
      </c>
      <c r="BA113" s="386">
        <f t="shared" si="102"/>
        <v>0</v>
      </c>
      <c r="BB113" s="386">
        <f t="shared" si="115"/>
        <v>0</v>
      </c>
      <c r="BC113" s="386">
        <f t="shared" si="116"/>
        <v>0</v>
      </c>
      <c r="BD113" s="386">
        <f t="shared" si="117"/>
        <v>0</v>
      </c>
      <c r="BE113" s="386">
        <f t="shared" si="118"/>
        <v>0</v>
      </c>
      <c r="BF113" s="386">
        <f t="shared" si="119"/>
        <v>0</v>
      </c>
      <c r="BG113" s="386">
        <f t="shared" si="120"/>
        <v>0</v>
      </c>
      <c r="BH113" s="386">
        <f t="shared" si="121"/>
        <v>0</v>
      </c>
      <c r="BI113" s="386">
        <f t="shared" si="122"/>
        <v>0</v>
      </c>
      <c r="BJ113" s="386">
        <f t="shared" si="123"/>
        <v>0</v>
      </c>
      <c r="BK113" s="386">
        <f t="shared" si="124"/>
        <v>0</v>
      </c>
      <c r="BL113" s="386">
        <f t="shared" si="103"/>
        <v>0</v>
      </c>
      <c r="BM113" s="386">
        <f t="shared" si="104"/>
        <v>0</v>
      </c>
      <c r="BN113" s="386">
        <f t="shared" si="125"/>
        <v>0</v>
      </c>
      <c r="BO113" s="386">
        <f t="shared" si="126"/>
        <v>0</v>
      </c>
      <c r="BP113" s="386">
        <f t="shared" si="127"/>
        <v>0</v>
      </c>
      <c r="BQ113" s="386">
        <f t="shared" si="128"/>
        <v>0</v>
      </c>
      <c r="BR113" s="386">
        <f t="shared" si="129"/>
        <v>0</v>
      </c>
      <c r="BS113" s="386">
        <f t="shared" si="130"/>
        <v>0</v>
      </c>
      <c r="BT113" s="386">
        <f t="shared" si="131"/>
        <v>0</v>
      </c>
      <c r="BU113" s="386">
        <f t="shared" si="132"/>
        <v>0</v>
      </c>
      <c r="BV113" s="386">
        <f t="shared" si="133"/>
        <v>0</v>
      </c>
      <c r="BW113" s="386">
        <f t="shared" si="134"/>
        <v>0</v>
      </c>
      <c r="BX113" s="386">
        <f t="shared" si="105"/>
        <v>0</v>
      </c>
      <c r="BY113" s="386">
        <f t="shared" si="106"/>
        <v>0</v>
      </c>
      <c r="BZ113" s="386">
        <f t="shared" si="107"/>
        <v>0</v>
      </c>
      <c r="CA113" s="386">
        <f t="shared" si="108"/>
        <v>0</v>
      </c>
      <c r="CB113" s="386">
        <f t="shared" si="109"/>
        <v>0</v>
      </c>
      <c r="CC113" s="386">
        <f t="shared" si="135"/>
        <v>0</v>
      </c>
      <c r="CD113" s="386">
        <f t="shared" si="136"/>
        <v>0</v>
      </c>
      <c r="CE113" s="386">
        <f t="shared" si="137"/>
        <v>0</v>
      </c>
      <c r="CF113" s="386">
        <f t="shared" si="138"/>
        <v>0</v>
      </c>
      <c r="CG113" s="386">
        <f t="shared" si="139"/>
        <v>0</v>
      </c>
      <c r="CH113" s="386">
        <f t="shared" si="140"/>
        <v>0</v>
      </c>
      <c r="CI113" s="386">
        <f t="shared" si="141"/>
        <v>0</v>
      </c>
      <c r="CJ113" s="386">
        <f t="shared" si="110"/>
        <v>0</v>
      </c>
      <c r="CK113" s="386" t="str">
        <f t="shared" si="111"/>
        <v/>
      </c>
      <c r="CL113" s="386" t="str">
        <f t="shared" si="112"/>
        <v/>
      </c>
      <c r="CM113" s="386" t="str">
        <f t="shared" si="113"/>
        <v/>
      </c>
      <c r="CN113" s="386" t="str">
        <f t="shared" si="114"/>
        <v>0126-00</v>
      </c>
    </row>
    <row r="114" spans="1:92" ht="15.75" thickBot="1" x14ac:dyDescent="0.3">
      <c r="A114" s="376" t="s">
        <v>162</v>
      </c>
      <c r="B114" s="376" t="s">
        <v>163</v>
      </c>
      <c r="C114" s="376" t="s">
        <v>487</v>
      </c>
      <c r="D114" s="376" t="s">
        <v>390</v>
      </c>
      <c r="E114" s="376" t="s">
        <v>375</v>
      </c>
      <c r="F114" s="377" t="s">
        <v>167</v>
      </c>
      <c r="G114" s="376" t="s">
        <v>376</v>
      </c>
      <c r="H114" s="378"/>
      <c r="I114" s="378"/>
      <c r="J114" s="376" t="s">
        <v>169</v>
      </c>
      <c r="K114" s="376" t="s">
        <v>391</v>
      </c>
      <c r="L114" s="376" t="s">
        <v>167</v>
      </c>
      <c r="M114" s="376" t="s">
        <v>172</v>
      </c>
      <c r="N114" s="376" t="s">
        <v>173</v>
      </c>
      <c r="O114" s="379">
        <v>1</v>
      </c>
      <c r="P114" s="384">
        <v>0</v>
      </c>
      <c r="Q114" s="384">
        <v>0</v>
      </c>
      <c r="R114" s="380">
        <v>80</v>
      </c>
      <c r="S114" s="384">
        <v>0</v>
      </c>
      <c r="T114" s="380">
        <v>3472.63</v>
      </c>
      <c r="U114" s="380">
        <v>0</v>
      </c>
      <c r="V114" s="380">
        <v>1520.72</v>
      </c>
      <c r="W114" s="380">
        <v>0</v>
      </c>
      <c r="X114" s="380">
        <v>0</v>
      </c>
      <c r="Y114" s="380">
        <v>0</v>
      </c>
      <c r="Z114" s="380">
        <v>0</v>
      </c>
      <c r="AA114" s="376" t="s">
        <v>488</v>
      </c>
      <c r="AB114" s="376" t="s">
        <v>489</v>
      </c>
      <c r="AC114" s="376" t="s">
        <v>490</v>
      </c>
      <c r="AD114" s="376" t="s">
        <v>285</v>
      </c>
      <c r="AE114" s="376" t="s">
        <v>391</v>
      </c>
      <c r="AF114" s="376" t="s">
        <v>178</v>
      </c>
      <c r="AG114" s="376" t="s">
        <v>179</v>
      </c>
      <c r="AH114" s="381">
        <v>23.29</v>
      </c>
      <c r="AI114" s="379">
        <v>3240</v>
      </c>
      <c r="AJ114" s="376" t="s">
        <v>180</v>
      </c>
      <c r="AK114" s="376" t="s">
        <v>181</v>
      </c>
      <c r="AL114" s="376" t="s">
        <v>182</v>
      </c>
      <c r="AM114" s="376" t="s">
        <v>183</v>
      </c>
      <c r="AN114" s="376" t="s">
        <v>66</v>
      </c>
      <c r="AO114" s="379">
        <v>80</v>
      </c>
      <c r="AP114" s="384">
        <v>1</v>
      </c>
      <c r="AQ114" s="384">
        <v>0</v>
      </c>
      <c r="AR114" s="382" t="s">
        <v>184</v>
      </c>
      <c r="AS114" s="386">
        <f t="shared" si="98"/>
        <v>0</v>
      </c>
      <c r="AT114">
        <f t="shared" si="99"/>
        <v>0</v>
      </c>
      <c r="AU114" s="386" t="str">
        <f>IF(AT114=0,"",IF(AND(AT114=1,M114="F",SUMIF(C2:C201,C114,AS2:AS201)&lt;=1),SUMIF(C2:C201,C114,AS2:AS201),IF(AND(AT114=1,M114="F",SUMIF(C2:C201,C114,AS2:AS201)&gt;1),1,"")))</f>
        <v/>
      </c>
      <c r="AV114" s="386" t="str">
        <f>IF(AT114=0,"",IF(AND(AT114=3,M114="F",SUMIF(C2:C201,C114,AS2:AS201)&lt;=1),SUMIF(C2:C201,C114,AS2:AS201),IF(AND(AT114=3,M114="F",SUMIF(C2:C201,C114,AS2:AS201)&gt;1),1,"")))</f>
        <v/>
      </c>
      <c r="AW114" s="386">
        <f>SUMIF(C2:C201,C114,O2:O201)</f>
        <v>2</v>
      </c>
      <c r="AX114" s="386">
        <f>IF(AND(M114="F",AS114&lt;&gt;0),SUMIF(C2:C201,C114,W2:W201),0)</f>
        <v>0</v>
      </c>
      <c r="AY114" s="386" t="str">
        <f t="shared" si="100"/>
        <v/>
      </c>
      <c r="AZ114" s="386" t="str">
        <f t="shared" si="101"/>
        <v/>
      </c>
      <c r="BA114" s="386">
        <f t="shared" si="102"/>
        <v>0</v>
      </c>
      <c r="BB114" s="386">
        <f t="shared" si="115"/>
        <v>0</v>
      </c>
      <c r="BC114" s="386">
        <f t="shared" si="116"/>
        <v>0</v>
      </c>
      <c r="BD114" s="386">
        <f t="shared" si="117"/>
        <v>0</v>
      </c>
      <c r="BE114" s="386">
        <f t="shared" si="118"/>
        <v>0</v>
      </c>
      <c r="BF114" s="386">
        <f t="shared" si="119"/>
        <v>0</v>
      </c>
      <c r="BG114" s="386">
        <f t="shared" si="120"/>
        <v>0</v>
      </c>
      <c r="BH114" s="386">
        <f t="shared" si="121"/>
        <v>0</v>
      </c>
      <c r="BI114" s="386">
        <f t="shared" si="122"/>
        <v>0</v>
      </c>
      <c r="BJ114" s="386">
        <f t="shared" si="123"/>
        <v>0</v>
      </c>
      <c r="BK114" s="386">
        <f t="shared" si="124"/>
        <v>0</v>
      </c>
      <c r="BL114" s="386">
        <f t="shared" si="103"/>
        <v>0</v>
      </c>
      <c r="BM114" s="386">
        <f t="shared" si="104"/>
        <v>0</v>
      </c>
      <c r="BN114" s="386">
        <f t="shared" si="125"/>
        <v>0</v>
      </c>
      <c r="BO114" s="386">
        <f t="shared" si="126"/>
        <v>0</v>
      </c>
      <c r="BP114" s="386">
        <f t="shared" si="127"/>
        <v>0</v>
      </c>
      <c r="BQ114" s="386">
        <f t="shared" si="128"/>
        <v>0</v>
      </c>
      <c r="BR114" s="386">
        <f t="shared" si="129"/>
        <v>0</v>
      </c>
      <c r="BS114" s="386">
        <f t="shared" si="130"/>
        <v>0</v>
      </c>
      <c r="BT114" s="386">
        <f t="shared" si="131"/>
        <v>0</v>
      </c>
      <c r="BU114" s="386">
        <f t="shared" si="132"/>
        <v>0</v>
      </c>
      <c r="BV114" s="386">
        <f t="shared" si="133"/>
        <v>0</v>
      </c>
      <c r="BW114" s="386">
        <f t="shared" si="134"/>
        <v>0</v>
      </c>
      <c r="BX114" s="386">
        <f t="shared" si="105"/>
        <v>0</v>
      </c>
      <c r="BY114" s="386">
        <f t="shared" si="106"/>
        <v>0</v>
      </c>
      <c r="BZ114" s="386">
        <f t="shared" si="107"/>
        <v>0</v>
      </c>
      <c r="CA114" s="386">
        <f t="shared" si="108"/>
        <v>0</v>
      </c>
      <c r="CB114" s="386">
        <f t="shared" si="109"/>
        <v>0</v>
      </c>
      <c r="CC114" s="386">
        <f t="shared" si="135"/>
        <v>0</v>
      </c>
      <c r="CD114" s="386">
        <f t="shared" si="136"/>
        <v>0</v>
      </c>
      <c r="CE114" s="386">
        <f t="shared" si="137"/>
        <v>0</v>
      </c>
      <c r="CF114" s="386">
        <f t="shared" si="138"/>
        <v>0</v>
      </c>
      <c r="CG114" s="386">
        <f t="shared" si="139"/>
        <v>0</v>
      </c>
      <c r="CH114" s="386">
        <f t="shared" si="140"/>
        <v>0</v>
      </c>
      <c r="CI114" s="386">
        <f t="shared" si="141"/>
        <v>0</v>
      </c>
      <c r="CJ114" s="386">
        <f t="shared" si="110"/>
        <v>0</v>
      </c>
      <c r="CK114" s="386" t="str">
        <f t="shared" si="111"/>
        <v/>
      </c>
      <c r="CL114" s="386" t="str">
        <f t="shared" si="112"/>
        <v/>
      </c>
      <c r="CM114" s="386" t="str">
        <f t="shared" si="113"/>
        <v/>
      </c>
      <c r="CN114" s="386" t="str">
        <f t="shared" si="114"/>
        <v>0126-00</v>
      </c>
    </row>
    <row r="115" spans="1:92" ht="15.75" thickBot="1" x14ac:dyDescent="0.3">
      <c r="A115" s="376" t="s">
        <v>162</v>
      </c>
      <c r="B115" s="376" t="s">
        <v>163</v>
      </c>
      <c r="C115" s="376" t="s">
        <v>491</v>
      </c>
      <c r="D115" s="376" t="s">
        <v>390</v>
      </c>
      <c r="E115" s="376" t="s">
        <v>375</v>
      </c>
      <c r="F115" s="377" t="s">
        <v>167</v>
      </c>
      <c r="G115" s="376" t="s">
        <v>376</v>
      </c>
      <c r="H115" s="378"/>
      <c r="I115" s="378"/>
      <c r="J115" s="376" t="s">
        <v>169</v>
      </c>
      <c r="K115" s="376" t="s">
        <v>391</v>
      </c>
      <c r="L115" s="376" t="s">
        <v>167</v>
      </c>
      <c r="M115" s="376" t="s">
        <v>172</v>
      </c>
      <c r="N115" s="376" t="s">
        <v>173</v>
      </c>
      <c r="O115" s="379">
        <v>1</v>
      </c>
      <c r="P115" s="384">
        <v>0</v>
      </c>
      <c r="Q115" s="384">
        <v>0</v>
      </c>
      <c r="R115" s="380">
        <v>80</v>
      </c>
      <c r="S115" s="384">
        <v>0</v>
      </c>
      <c r="T115" s="380">
        <v>4294.71</v>
      </c>
      <c r="U115" s="380">
        <v>0</v>
      </c>
      <c r="V115" s="380">
        <v>1635.3</v>
      </c>
      <c r="W115" s="380">
        <v>0</v>
      </c>
      <c r="X115" s="380">
        <v>0</v>
      </c>
      <c r="Y115" s="380">
        <v>0</v>
      </c>
      <c r="Z115" s="380">
        <v>0</v>
      </c>
      <c r="AA115" s="376" t="s">
        <v>492</v>
      </c>
      <c r="AB115" s="376" t="s">
        <v>493</v>
      </c>
      <c r="AC115" s="376" t="s">
        <v>494</v>
      </c>
      <c r="AD115" s="376" t="s">
        <v>285</v>
      </c>
      <c r="AE115" s="376" t="s">
        <v>391</v>
      </c>
      <c r="AF115" s="376" t="s">
        <v>178</v>
      </c>
      <c r="AG115" s="376" t="s">
        <v>179</v>
      </c>
      <c r="AH115" s="381">
        <v>28.84</v>
      </c>
      <c r="AI115" s="381">
        <v>17759.400000000001</v>
      </c>
      <c r="AJ115" s="376" t="s">
        <v>180</v>
      </c>
      <c r="AK115" s="376" t="s">
        <v>181</v>
      </c>
      <c r="AL115" s="376" t="s">
        <v>182</v>
      </c>
      <c r="AM115" s="376" t="s">
        <v>183</v>
      </c>
      <c r="AN115" s="376" t="s">
        <v>66</v>
      </c>
      <c r="AO115" s="379">
        <v>80</v>
      </c>
      <c r="AP115" s="384">
        <v>1</v>
      </c>
      <c r="AQ115" s="384">
        <v>0</v>
      </c>
      <c r="AR115" s="382" t="s">
        <v>184</v>
      </c>
      <c r="AS115" s="386">
        <f t="shared" si="98"/>
        <v>0</v>
      </c>
      <c r="AT115">
        <f t="shared" si="99"/>
        <v>0</v>
      </c>
      <c r="AU115" s="386" t="str">
        <f>IF(AT115=0,"",IF(AND(AT115=1,M115="F",SUMIF(C2:C201,C115,AS2:AS201)&lt;=1),SUMIF(C2:C201,C115,AS2:AS201),IF(AND(AT115=1,M115="F",SUMIF(C2:C201,C115,AS2:AS201)&gt;1),1,"")))</f>
        <v/>
      </c>
      <c r="AV115" s="386" t="str">
        <f>IF(AT115=0,"",IF(AND(AT115=3,M115="F",SUMIF(C2:C201,C115,AS2:AS201)&lt;=1),SUMIF(C2:C201,C115,AS2:AS201),IF(AND(AT115=3,M115="F",SUMIF(C2:C201,C115,AS2:AS201)&gt;1),1,"")))</f>
        <v/>
      </c>
      <c r="AW115" s="386">
        <f>SUMIF(C2:C201,C115,O2:O201)</f>
        <v>2</v>
      </c>
      <c r="AX115" s="386">
        <f>IF(AND(M115="F",AS115&lt;&gt;0),SUMIF(C2:C201,C115,W2:W201),0)</f>
        <v>0</v>
      </c>
      <c r="AY115" s="386" t="str">
        <f t="shared" si="100"/>
        <v/>
      </c>
      <c r="AZ115" s="386" t="str">
        <f t="shared" si="101"/>
        <v/>
      </c>
      <c r="BA115" s="386">
        <f t="shared" si="102"/>
        <v>0</v>
      </c>
      <c r="BB115" s="386">
        <f t="shared" si="115"/>
        <v>0</v>
      </c>
      <c r="BC115" s="386">
        <f t="shared" si="116"/>
        <v>0</v>
      </c>
      <c r="BD115" s="386">
        <f t="shared" si="117"/>
        <v>0</v>
      </c>
      <c r="BE115" s="386">
        <f t="shared" si="118"/>
        <v>0</v>
      </c>
      <c r="BF115" s="386">
        <f t="shared" si="119"/>
        <v>0</v>
      </c>
      <c r="BG115" s="386">
        <f t="shared" si="120"/>
        <v>0</v>
      </c>
      <c r="BH115" s="386">
        <f t="shared" si="121"/>
        <v>0</v>
      </c>
      <c r="BI115" s="386">
        <f t="shared" si="122"/>
        <v>0</v>
      </c>
      <c r="BJ115" s="386">
        <f t="shared" si="123"/>
        <v>0</v>
      </c>
      <c r="BK115" s="386">
        <f t="shared" si="124"/>
        <v>0</v>
      </c>
      <c r="BL115" s="386">
        <f t="shared" si="103"/>
        <v>0</v>
      </c>
      <c r="BM115" s="386">
        <f t="shared" si="104"/>
        <v>0</v>
      </c>
      <c r="BN115" s="386">
        <f t="shared" si="125"/>
        <v>0</v>
      </c>
      <c r="BO115" s="386">
        <f t="shared" si="126"/>
        <v>0</v>
      </c>
      <c r="BP115" s="386">
        <f t="shared" si="127"/>
        <v>0</v>
      </c>
      <c r="BQ115" s="386">
        <f t="shared" si="128"/>
        <v>0</v>
      </c>
      <c r="BR115" s="386">
        <f t="shared" si="129"/>
        <v>0</v>
      </c>
      <c r="BS115" s="386">
        <f t="shared" si="130"/>
        <v>0</v>
      </c>
      <c r="BT115" s="386">
        <f t="shared" si="131"/>
        <v>0</v>
      </c>
      <c r="BU115" s="386">
        <f t="shared" si="132"/>
        <v>0</v>
      </c>
      <c r="BV115" s="386">
        <f t="shared" si="133"/>
        <v>0</v>
      </c>
      <c r="BW115" s="386">
        <f t="shared" si="134"/>
        <v>0</v>
      </c>
      <c r="BX115" s="386">
        <f t="shared" si="105"/>
        <v>0</v>
      </c>
      <c r="BY115" s="386">
        <f t="shared" si="106"/>
        <v>0</v>
      </c>
      <c r="BZ115" s="386">
        <f t="shared" si="107"/>
        <v>0</v>
      </c>
      <c r="CA115" s="386">
        <f t="shared" si="108"/>
        <v>0</v>
      </c>
      <c r="CB115" s="386">
        <f t="shared" si="109"/>
        <v>0</v>
      </c>
      <c r="CC115" s="386">
        <f t="shared" si="135"/>
        <v>0</v>
      </c>
      <c r="CD115" s="386">
        <f t="shared" si="136"/>
        <v>0</v>
      </c>
      <c r="CE115" s="386">
        <f t="shared" si="137"/>
        <v>0</v>
      </c>
      <c r="CF115" s="386">
        <f t="shared" si="138"/>
        <v>0</v>
      </c>
      <c r="CG115" s="386">
        <f t="shared" si="139"/>
        <v>0</v>
      </c>
      <c r="CH115" s="386">
        <f t="shared" si="140"/>
        <v>0</v>
      </c>
      <c r="CI115" s="386">
        <f t="shared" si="141"/>
        <v>0</v>
      </c>
      <c r="CJ115" s="386">
        <f t="shared" si="110"/>
        <v>0</v>
      </c>
      <c r="CK115" s="386" t="str">
        <f t="shared" si="111"/>
        <v/>
      </c>
      <c r="CL115" s="386" t="str">
        <f t="shared" si="112"/>
        <v/>
      </c>
      <c r="CM115" s="386" t="str">
        <f t="shared" si="113"/>
        <v/>
      </c>
      <c r="CN115" s="386" t="str">
        <f t="shared" si="114"/>
        <v>0126-00</v>
      </c>
    </row>
    <row r="116" spans="1:92" ht="15.75" thickBot="1" x14ac:dyDescent="0.3">
      <c r="A116" s="376" t="s">
        <v>162</v>
      </c>
      <c r="B116" s="376" t="s">
        <v>163</v>
      </c>
      <c r="C116" s="376" t="s">
        <v>185</v>
      </c>
      <c r="D116" s="376" t="s">
        <v>186</v>
      </c>
      <c r="E116" s="376" t="s">
        <v>375</v>
      </c>
      <c r="F116" s="377" t="s">
        <v>167</v>
      </c>
      <c r="G116" s="376" t="s">
        <v>376</v>
      </c>
      <c r="H116" s="378"/>
      <c r="I116" s="378"/>
      <c r="J116" s="376" t="s">
        <v>169</v>
      </c>
      <c r="K116" s="376" t="s">
        <v>187</v>
      </c>
      <c r="L116" s="376" t="s">
        <v>179</v>
      </c>
      <c r="M116" s="376" t="s">
        <v>172</v>
      </c>
      <c r="N116" s="376" t="s">
        <v>173</v>
      </c>
      <c r="O116" s="379">
        <v>1</v>
      </c>
      <c r="P116" s="384">
        <v>0</v>
      </c>
      <c r="Q116" s="384">
        <v>0</v>
      </c>
      <c r="R116" s="380">
        <v>80</v>
      </c>
      <c r="S116" s="384">
        <v>0</v>
      </c>
      <c r="T116" s="380">
        <v>1292.6500000000001</v>
      </c>
      <c r="U116" s="380">
        <v>0</v>
      </c>
      <c r="V116" s="380">
        <v>595.16</v>
      </c>
      <c r="W116" s="380">
        <v>0</v>
      </c>
      <c r="X116" s="380">
        <v>0</v>
      </c>
      <c r="Y116" s="380">
        <v>0</v>
      </c>
      <c r="Z116" s="380">
        <v>0</v>
      </c>
      <c r="AA116" s="376" t="s">
        <v>188</v>
      </c>
      <c r="AB116" s="376" t="s">
        <v>189</v>
      </c>
      <c r="AC116" s="376" t="s">
        <v>190</v>
      </c>
      <c r="AD116" s="376" t="s">
        <v>191</v>
      </c>
      <c r="AE116" s="376" t="s">
        <v>187</v>
      </c>
      <c r="AF116" s="376" t="s">
        <v>178</v>
      </c>
      <c r="AG116" s="376" t="s">
        <v>179</v>
      </c>
      <c r="AH116" s="381">
        <v>22.37</v>
      </c>
      <c r="AI116" s="379">
        <v>3643</v>
      </c>
      <c r="AJ116" s="376" t="s">
        <v>180</v>
      </c>
      <c r="AK116" s="376" t="s">
        <v>181</v>
      </c>
      <c r="AL116" s="376" t="s">
        <v>182</v>
      </c>
      <c r="AM116" s="376" t="s">
        <v>183</v>
      </c>
      <c r="AN116" s="376" t="s">
        <v>66</v>
      </c>
      <c r="AO116" s="379">
        <v>80</v>
      </c>
      <c r="AP116" s="384">
        <v>1</v>
      </c>
      <c r="AQ116" s="384">
        <v>0</v>
      </c>
      <c r="AR116" s="382" t="s">
        <v>184</v>
      </c>
      <c r="AS116" s="386">
        <f t="shared" si="98"/>
        <v>0</v>
      </c>
      <c r="AT116">
        <f t="shared" si="99"/>
        <v>0</v>
      </c>
      <c r="AU116" s="386" t="str">
        <f>IF(AT116=0,"",IF(AND(AT116=1,M116="F",SUMIF(C2:C201,C116,AS2:AS201)&lt;=1),SUMIF(C2:C201,C116,AS2:AS201),IF(AND(AT116=1,M116="F",SUMIF(C2:C201,C116,AS2:AS201)&gt;1),1,"")))</f>
        <v/>
      </c>
      <c r="AV116" s="386" t="str">
        <f>IF(AT116=0,"",IF(AND(AT116=3,M116="F",SUMIF(C2:C201,C116,AS2:AS201)&lt;=1),SUMIF(C2:C201,C116,AS2:AS201),IF(AND(AT116=3,M116="F",SUMIF(C2:C201,C116,AS2:AS201)&gt;1),1,"")))</f>
        <v/>
      </c>
      <c r="AW116" s="386">
        <f>SUMIF(C2:C201,C116,O2:O201)</f>
        <v>3</v>
      </c>
      <c r="AX116" s="386">
        <f>IF(AND(M116="F",AS116&lt;&gt;0),SUMIF(C2:C201,C116,W2:W201),0)</f>
        <v>0</v>
      </c>
      <c r="AY116" s="386" t="str">
        <f t="shared" si="100"/>
        <v/>
      </c>
      <c r="AZ116" s="386" t="str">
        <f t="shared" si="101"/>
        <v/>
      </c>
      <c r="BA116" s="386">
        <f t="shared" si="102"/>
        <v>0</v>
      </c>
      <c r="BB116" s="386">
        <f t="shared" si="115"/>
        <v>0</v>
      </c>
      <c r="BC116" s="386">
        <f t="shared" si="116"/>
        <v>0</v>
      </c>
      <c r="BD116" s="386">
        <f t="shared" si="117"/>
        <v>0</v>
      </c>
      <c r="BE116" s="386">
        <f t="shared" si="118"/>
        <v>0</v>
      </c>
      <c r="BF116" s="386">
        <f t="shared" si="119"/>
        <v>0</v>
      </c>
      <c r="BG116" s="386">
        <f t="shared" si="120"/>
        <v>0</v>
      </c>
      <c r="BH116" s="386">
        <f t="shared" si="121"/>
        <v>0</v>
      </c>
      <c r="BI116" s="386">
        <f t="shared" si="122"/>
        <v>0</v>
      </c>
      <c r="BJ116" s="386">
        <f t="shared" si="123"/>
        <v>0</v>
      </c>
      <c r="BK116" s="386">
        <f t="shared" si="124"/>
        <v>0</v>
      </c>
      <c r="BL116" s="386">
        <f t="shared" si="103"/>
        <v>0</v>
      </c>
      <c r="BM116" s="386">
        <f t="shared" si="104"/>
        <v>0</v>
      </c>
      <c r="BN116" s="386">
        <f t="shared" si="125"/>
        <v>0</v>
      </c>
      <c r="BO116" s="386">
        <f t="shared" si="126"/>
        <v>0</v>
      </c>
      <c r="BP116" s="386">
        <f t="shared" si="127"/>
        <v>0</v>
      </c>
      <c r="BQ116" s="386">
        <f t="shared" si="128"/>
        <v>0</v>
      </c>
      <c r="BR116" s="386">
        <f t="shared" si="129"/>
        <v>0</v>
      </c>
      <c r="BS116" s="386">
        <f t="shared" si="130"/>
        <v>0</v>
      </c>
      <c r="BT116" s="386">
        <f t="shared" si="131"/>
        <v>0</v>
      </c>
      <c r="BU116" s="386">
        <f t="shared" si="132"/>
        <v>0</v>
      </c>
      <c r="BV116" s="386">
        <f t="shared" si="133"/>
        <v>0</v>
      </c>
      <c r="BW116" s="386">
        <f t="shared" si="134"/>
        <v>0</v>
      </c>
      <c r="BX116" s="386">
        <f t="shared" si="105"/>
        <v>0</v>
      </c>
      <c r="BY116" s="386">
        <f t="shared" si="106"/>
        <v>0</v>
      </c>
      <c r="BZ116" s="386">
        <f t="shared" si="107"/>
        <v>0</v>
      </c>
      <c r="CA116" s="386">
        <f t="shared" si="108"/>
        <v>0</v>
      </c>
      <c r="CB116" s="386">
        <f t="shared" si="109"/>
        <v>0</v>
      </c>
      <c r="CC116" s="386">
        <f t="shared" si="135"/>
        <v>0</v>
      </c>
      <c r="CD116" s="386">
        <f t="shared" si="136"/>
        <v>0</v>
      </c>
      <c r="CE116" s="386">
        <f t="shared" si="137"/>
        <v>0</v>
      </c>
      <c r="CF116" s="386">
        <f t="shared" si="138"/>
        <v>0</v>
      </c>
      <c r="CG116" s="386">
        <f t="shared" si="139"/>
        <v>0</v>
      </c>
      <c r="CH116" s="386">
        <f t="shared" si="140"/>
        <v>0</v>
      </c>
      <c r="CI116" s="386">
        <f t="shared" si="141"/>
        <v>0</v>
      </c>
      <c r="CJ116" s="386">
        <f t="shared" si="110"/>
        <v>0</v>
      </c>
      <c r="CK116" s="386" t="str">
        <f t="shared" si="111"/>
        <v/>
      </c>
      <c r="CL116" s="386" t="str">
        <f t="shared" si="112"/>
        <v/>
      </c>
      <c r="CM116" s="386" t="str">
        <f t="shared" si="113"/>
        <v/>
      </c>
      <c r="CN116" s="386" t="str">
        <f t="shared" si="114"/>
        <v>0126-00</v>
      </c>
    </row>
    <row r="117" spans="1:92" ht="15.75" thickBot="1" x14ac:dyDescent="0.3">
      <c r="A117" s="376" t="s">
        <v>162</v>
      </c>
      <c r="B117" s="376" t="s">
        <v>163</v>
      </c>
      <c r="C117" s="376" t="s">
        <v>218</v>
      </c>
      <c r="D117" s="376" t="s">
        <v>219</v>
      </c>
      <c r="E117" s="376" t="s">
        <v>166</v>
      </c>
      <c r="F117" s="377" t="s">
        <v>167</v>
      </c>
      <c r="G117" s="376" t="s">
        <v>495</v>
      </c>
      <c r="H117" s="378"/>
      <c r="I117" s="378"/>
      <c r="J117" s="376" t="s">
        <v>220</v>
      </c>
      <c r="K117" s="376" t="s">
        <v>221</v>
      </c>
      <c r="L117" s="376" t="s">
        <v>222</v>
      </c>
      <c r="M117" s="376" t="s">
        <v>172</v>
      </c>
      <c r="N117" s="376" t="s">
        <v>173</v>
      </c>
      <c r="O117" s="379">
        <v>1</v>
      </c>
      <c r="P117" s="384">
        <v>0.15</v>
      </c>
      <c r="Q117" s="384">
        <v>0.15</v>
      </c>
      <c r="R117" s="380">
        <v>80</v>
      </c>
      <c r="S117" s="384">
        <v>0.15</v>
      </c>
      <c r="T117" s="380">
        <v>11723.03</v>
      </c>
      <c r="U117" s="380">
        <v>0</v>
      </c>
      <c r="V117" s="380">
        <v>4140.05</v>
      </c>
      <c r="W117" s="380">
        <v>12164.88</v>
      </c>
      <c r="X117" s="380">
        <v>4367.7</v>
      </c>
      <c r="Y117" s="380">
        <v>12164.88</v>
      </c>
      <c r="Z117" s="380">
        <v>4463.96</v>
      </c>
      <c r="AA117" s="376" t="s">
        <v>223</v>
      </c>
      <c r="AB117" s="376" t="s">
        <v>189</v>
      </c>
      <c r="AC117" s="376" t="s">
        <v>224</v>
      </c>
      <c r="AD117" s="376" t="s">
        <v>225</v>
      </c>
      <c r="AE117" s="376" t="s">
        <v>221</v>
      </c>
      <c r="AF117" s="376" t="s">
        <v>178</v>
      </c>
      <c r="AG117" s="376" t="s">
        <v>179</v>
      </c>
      <c r="AH117" s="381">
        <v>38.99</v>
      </c>
      <c r="AI117" s="381">
        <v>19300.7</v>
      </c>
      <c r="AJ117" s="376" t="s">
        <v>180</v>
      </c>
      <c r="AK117" s="376" t="s">
        <v>181</v>
      </c>
      <c r="AL117" s="376" t="s">
        <v>182</v>
      </c>
      <c r="AM117" s="376" t="s">
        <v>183</v>
      </c>
      <c r="AN117" s="376" t="s">
        <v>66</v>
      </c>
      <c r="AO117" s="379">
        <v>80</v>
      </c>
      <c r="AP117" s="384">
        <v>1</v>
      </c>
      <c r="AQ117" s="384">
        <v>0.15</v>
      </c>
      <c r="AR117" s="382" t="s">
        <v>184</v>
      </c>
      <c r="AS117" s="386">
        <f t="shared" si="98"/>
        <v>0.15</v>
      </c>
      <c r="AT117">
        <f t="shared" si="99"/>
        <v>1</v>
      </c>
      <c r="AU117" s="386">
        <f>IF(AT117=0,"",IF(AND(AT117=1,M117="F",SUMIF(C2:C201,C117,AS2:AS201)&lt;=1),SUMIF(C2:C201,C117,AS2:AS201),IF(AND(AT117=1,M117="F",SUMIF(C2:C201,C117,AS2:AS201)&gt;1),1,"")))</f>
        <v>1</v>
      </c>
      <c r="AV117" s="386" t="str">
        <f>IF(AT117=0,"",IF(AND(AT117=3,M117="F",SUMIF(C2:C201,C117,AS2:AS201)&lt;=1),SUMIF(C2:C201,C117,AS2:AS201),IF(AND(AT117=3,M117="F",SUMIF(C2:C201,C117,AS2:AS201)&gt;1),1,"")))</f>
        <v/>
      </c>
      <c r="AW117" s="386">
        <f>SUMIF(C2:C201,C117,O2:O201)</f>
        <v>4</v>
      </c>
      <c r="AX117" s="386">
        <f>IF(AND(M117="F",AS117&lt;&gt;0),SUMIF(C2:C201,C117,W2:W201),0)</f>
        <v>81099.199999999997</v>
      </c>
      <c r="AY117" s="386">
        <f t="shared" si="100"/>
        <v>12164.88</v>
      </c>
      <c r="AZ117" s="386" t="str">
        <f t="shared" si="101"/>
        <v/>
      </c>
      <c r="BA117" s="386">
        <f t="shared" si="102"/>
        <v>0</v>
      </c>
      <c r="BB117" s="386">
        <f t="shared" si="115"/>
        <v>1875</v>
      </c>
      <c r="BC117" s="386">
        <f t="shared" si="116"/>
        <v>0</v>
      </c>
      <c r="BD117" s="386">
        <f t="shared" si="117"/>
        <v>754.22255999999993</v>
      </c>
      <c r="BE117" s="386">
        <f t="shared" si="118"/>
        <v>176.39076</v>
      </c>
      <c r="BF117" s="386">
        <f t="shared" si="119"/>
        <v>1452.486672</v>
      </c>
      <c r="BG117" s="386">
        <f t="shared" si="120"/>
        <v>87.708784800000004</v>
      </c>
      <c r="BH117" s="386">
        <f t="shared" si="121"/>
        <v>0</v>
      </c>
      <c r="BI117" s="386">
        <f t="shared" si="122"/>
        <v>0</v>
      </c>
      <c r="BJ117" s="386">
        <f t="shared" si="123"/>
        <v>21.896783999999997</v>
      </c>
      <c r="BK117" s="386">
        <f t="shared" si="124"/>
        <v>0</v>
      </c>
      <c r="BL117" s="386">
        <f t="shared" si="103"/>
        <v>2492.7055608000001</v>
      </c>
      <c r="BM117" s="386">
        <f t="shared" si="104"/>
        <v>0</v>
      </c>
      <c r="BN117" s="386">
        <f t="shared" si="125"/>
        <v>2062.5</v>
      </c>
      <c r="BO117" s="386">
        <f t="shared" si="126"/>
        <v>0</v>
      </c>
      <c r="BP117" s="386">
        <f t="shared" si="127"/>
        <v>754.22255999999993</v>
      </c>
      <c r="BQ117" s="386">
        <f t="shared" si="128"/>
        <v>176.39076</v>
      </c>
      <c r="BR117" s="386">
        <f t="shared" si="129"/>
        <v>1360.0335839999998</v>
      </c>
      <c r="BS117" s="386">
        <f t="shared" si="130"/>
        <v>87.708784800000004</v>
      </c>
      <c r="BT117" s="386">
        <f t="shared" si="131"/>
        <v>0</v>
      </c>
      <c r="BU117" s="386">
        <f t="shared" si="132"/>
        <v>0</v>
      </c>
      <c r="BV117" s="386">
        <f t="shared" si="133"/>
        <v>23.113271999999998</v>
      </c>
      <c r="BW117" s="386">
        <f t="shared" si="134"/>
        <v>0</v>
      </c>
      <c r="BX117" s="386">
        <f t="shared" si="105"/>
        <v>2401.4689607999999</v>
      </c>
      <c r="BY117" s="386">
        <f t="shared" si="106"/>
        <v>0</v>
      </c>
      <c r="BZ117" s="386">
        <f t="shared" si="107"/>
        <v>187.5</v>
      </c>
      <c r="CA117" s="386">
        <f t="shared" si="108"/>
        <v>0</v>
      </c>
      <c r="CB117" s="386">
        <f t="shared" si="109"/>
        <v>0</v>
      </c>
      <c r="CC117" s="386">
        <f t="shared" si="135"/>
        <v>0</v>
      </c>
      <c r="CD117" s="386">
        <f t="shared" si="136"/>
        <v>-92.453088000000108</v>
      </c>
      <c r="CE117" s="386">
        <f t="shared" si="137"/>
        <v>0</v>
      </c>
      <c r="CF117" s="386">
        <f t="shared" si="138"/>
        <v>0</v>
      </c>
      <c r="CG117" s="386">
        <f t="shared" si="139"/>
        <v>0</v>
      </c>
      <c r="CH117" s="386">
        <f t="shared" si="140"/>
        <v>1.2164880000000005</v>
      </c>
      <c r="CI117" s="386">
        <f t="shared" si="141"/>
        <v>0</v>
      </c>
      <c r="CJ117" s="386">
        <f t="shared" si="110"/>
        <v>-91.236600000000109</v>
      </c>
      <c r="CK117" s="386" t="str">
        <f t="shared" si="111"/>
        <v/>
      </c>
      <c r="CL117" s="386" t="str">
        <f t="shared" si="112"/>
        <v/>
      </c>
      <c r="CM117" s="386" t="str">
        <f t="shared" si="113"/>
        <v/>
      </c>
      <c r="CN117" s="386" t="str">
        <f t="shared" si="114"/>
        <v>0001-00</v>
      </c>
    </row>
    <row r="118" spans="1:92" ht="15.75" thickBot="1" x14ac:dyDescent="0.3">
      <c r="A118" s="376" t="s">
        <v>162</v>
      </c>
      <c r="B118" s="376" t="s">
        <v>163</v>
      </c>
      <c r="C118" s="376" t="s">
        <v>226</v>
      </c>
      <c r="D118" s="376" t="s">
        <v>227</v>
      </c>
      <c r="E118" s="376" t="s">
        <v>166</v>
      </c>
      <c r="F118" s="377" t="s">
        <v>167</v>
      </c>
      <c r="G118" s="376" t="s">
        <v>495</v>
      </c>
      <c r="H118" s="378"/>
      <c r="I118" s="378"/>
      <c r="J118" s="376" t="s">
        <v>220</v>
      </c>
      <c r="K118" s="376" t="s">
        <v>228</v>
      </c>
      <c r="L118" s="376" t="s">
        <v>167</v>
      </c>
      <c r="M118" s="376" t="s">
        <v>172</v>
      </c>
      <c r="N118" s="376" t="s">
        <v>173</v>
      </c>
      <c r="O118" s="379">
        <v>1</v>
      </c>
      <c r="P118" s="384">
        <v>0.05</v>
      </c>
      <c r="Q118" s="384">
        <v>0.05</v>
      </c>
      <c r="R118" s="380">
        <v>80</v>
      </c>
      <c r="S118" s="384">
        <v>0.05</v>
      </c>
      <c r="T118" s="380">
        <v>4630.7299999999996</v>
      </c>
      <c r="U118" s="380">
        <v>0</v>
      </c>
      <c r="V118" s="380">
        <v>1472.11</v>
      </c>
      <c r="W118" s="380">
        <v>4896.32</v>
      </c>
      <c r="X118" s="380">
        <v>1628.3</v>
      </c>
      <c r="Y118" s="380">
        <v>4896.32</v>
      </c>
      <c r="Z118" s="380">
        <v>1654.08</v>
      </c>
      <c r="AA118" s="376" t="s">
        <v>229</v>
      </c>
      <c r="AB118" s="376" t="s">
        <v>230</v>
      </c>
      <c r="AC118" s="376" t="s">
        <v>213</v>
      </c>
      <c r="AD118" s="376" t="s">
        <v>231</v>
      </c>
      <c r="AE118" s="376" t="s">
        <v>228</v>
      </c>
      <c r="AF118" s="376" t="s">
        <v>178</v>
      </c>
      <c r="AG118" s="376" t="s">
        <v>179</v>
      </c>
      <c r="AH118" s="381">
        <v>47.08</v>
      </c>
      <c r="AI118" s="381">
        <v>8742.5</v>
      </c>
      <c r="AJ118" s="376" t="s">
        <v>180</v>
      </c>
      <c r="AK118" s="376" t="s">
        <v>181</v>
      </c>
      <c r="AL118" s="376" t="s">
        <v>182</v>
      </c>
      <c r="AM118" s="376" t="s">
        <v>183</v>
      </c>
      <c r="AN118" s="376" t="s">
        <v>66</v>
      </c>
      <c r="AO118" s="379">
        <v>80</v>
      </c>
      <c r="AP118" s="384">
        <v>1</v>
      </c>
      <c r="AQ118" s="384">
        <v>0.05</v>
      </c>
      <c r="AR118" s="382" t="s">
        <v>184</v>
      </c>
      <c r="AS118" s="386">
        <f t="shared" si="98"/>
        <v>0.05</v>
      </c>
      <c r="AT118">
        <f t="shared" si="99"/>
        <v>1</v>
      </c>
      <c r="AU118" s="386">
        <f>IF(AT118=0,"",IF(AND(AT118=1,M118="F",SUMIF(C2:C201,C118,AS2:AS201)&lt;=1),SUMIF(C2:C201,C118,AS2:AS201),IF(AND(AT118=1,M118="F",SUMIF(C2:C201,C118,AS2:AS201)&gt;1),1,"")))</f>
        <v>1</v>
      </c>
      <c r="AV118" s="386" t="str">
        <f>IF(AT118=0,"",IF(AND(AT118=3,M118="F",SUMIF(C2:C201,C118,AS2:AS201)&lt;=1),SUMIF(C2:C201,C118,AS2:AS201),IF(AND(AT118=3,M118="F",SUMIF(C2:C201,C118,AS2:AS201)&gt;1),1,"")))</f>
        <v/>
      </c>
      <c r="AW118" s="386">
        <f>SUMIF(C2:C201,C118,O2:O201)</f>
        <v>5</v>
      </c>
      <c r="AX118" s="386">
        <f>IF(AND(M118="F",AS118&lt;&gt;0),SUMIF(C2:C201,C118,W2:W201),0)</f>
        <v>97926.399999999994</v>
      </c>
      <c r="AY118" s="386">
        <f t="shared" si="100"/>
        <v>4896.32</v>
      </c>
      <c r="AZ118" s="386" t="str">
        <f t="shared" si="101"/>
        <v/>
      </c>
      <c r="BA118" s="386">
        <f t="shared" si="102"/>
        <v>0</v>
      </c>
      <c r="BB118" s="386">
        <f t="shared" si="115"/>
        <v>625</v>
      </c>
      <c r="BC118" s="386">
        <f t="shared" si="116"/>
        <v>0</v>
      </c>
      <c r="BD118" s="386">
        <f t="shared" si="117"/>
        <v>303.57183999999995</v>
      </c>
      <c r="BE118" s="386">
        <f t="shared" si="118"/>
        <v>70.996639999999999</v>
      </c>
      <c r="BF118" s="386">
        <f t="shared" si="119"/>
        <v>584.62060799999995</v>
      </c>
      <c r="BG118" s="386">
        <f t="shared" si="120"/>
        <v>35.302467200000002</v>
      </c>
      <c r="BH118" s="386">
        <f t="shared" si="121"/>
        <v>0</v>
      </c>
      <c r="BI118" s="386">
        <f t="shared" si="122"/>
        <v>0</v>
      </c>
      <c r="BJ118" s="386">
        <f t="shared" si="123"/>
        <v>8.8133759999999999</v>
      </c>
      <c r="BK118" s="386">
        <f t="shared" si="124"/>
        <v>0</v>
      </c>
      <c r="BL118" s="386">
        <f t="shared" si="103"/>
        <v>1003.3049311999998</v>
      </c>
      <c r="BM118" s="386">
        <f t="shared" si="104"/>
        <v>0</v>
      </c>
      <c r="BN118" s="386">
        <f t="shared" si="125"/>
        <v>687.5</v>
      </c>
      <c r="BO118" s="386">
        <f t="shared" si="126"/>
        <v>0</v>
      </c>
      <c r="BP118" s="386">
        <f t="shared" si="127"/>
        <v>303.57183999999995</v>
      </c>
      <c r="BQ118" s="386">
        <f t="shared" si="128"/>
        <v>70.996639999999999</v>
      </c>
      <c r="BR118" s="386">
        <f t="shared" si="129"/>
        <v>547.40857599999993</v>
      </c>
      <c r="BS118" s="386">
        <f t="shared" si="130"/>
        <v>35.302467200000002</v>
      </c>
      <c r="BT118" s="386">
        <f t="shared" si="131"/>
        <v>0</v>
      </c>
      <c r="BU118" s="386">
        <f t="shared" si="132"/>
        <v>0</v>
      </c>
      <c r="BV118" s="386">
        <f t="shared" si="133"/>
        <v>9.3030080000000002</v>
      </c>
      <c r="BW118" s="386">
        <f t="shared" si="134"/>
        <v>0</v>
      </c>
      <c r="BX118" s="386">
        <f t="shared" si="105"/>
        <v>966.58253119999995</v>
      </c>
      <c r="BY118" s="386">
        <f t="shared" si="106"/>
        <v>0</v>
      </c>
      <c r="BZ118" s="386">
        <f t="shared" si="107"/>
        <v>62.5</v>
      </c>
      <c r="CA118" s="386">
        <f t="shared" si="108"/>
        <v>0</v>
      </c>
      <c r="CB118" s="386">
        <f t="shared" si="109"/>
        <v>0</v>
      </c>
      <c r="CC118" s="386">
        <f t="shared" si="135"/>
        <v>0</v>
      </c>
      <c r="CD118" s="386">
        <f t="shared" si="136"/>
        <v>-37.212032000000043</v>
      </c>
      <c r="CE118" s="386">
        <f t="shared" si="137"/>
        <v>0</v>
      </c>
      <c r="CF118" s="386">
        <f t="shared" si="138"/>
        <v>0</v>
      </c>
      <c r="CG118" s="386">
        <f t="shared" si="139"/>
        <v>0</v>
      </c>
      <c r="CH118" s="386">
        <f t="shared" si="140"/>
        <v>0.48963200000000018</v>
      </c>
      <c r="CI118" s="386">
        <f t="shared" si="141"/>
        <v>0</v>
      </c>
      <c r="CJ118" s="386">
        <f t="shared" si="110"/>
        <v>-36.722400000000043</v>
      </c>
      <c r="CK118" s="386" t="str">
        <f t="shared" si="111"/>
        <v/>
      </c>
      <c r="CL118" s="386" t="str">
        <f t="shared" si="112"/>
        <v/>
      </c>
      <c r="CM118" s="386" t="str">
        <f t="shared" si="113"/>
        <v/>
      </c>
      <c r="CN118" s="386" t="str">
        <f t="shared" si="114"/>
        <v>0001-00</v>
      </c>
    </row>
    <row r="119" spans="1:92" ht="15.75" thickBot="1" x14ac:dyDescent="0.3">
      <c r="A119" s="376" t="s">
        <v>162</v>
      </c>
      <c r="B119" s="376" t="s">
        <v>163</v>
      </c>
      <c r="C119" s="376" t="s">
        <v>383</v>
      </c>
      <c r="D119" s="376" t="s">
        <v>384</v>
      </c>
      <c r="E119" s="376" t="s">
        <v>166</v>
      </c>
      <c r="F119" s="377" t="s">
        <v>167</v>
      </c>
      <c r="G119" s="376" t="s">
        <v>495</v>
      </c>
      <c r="H119" s="378"/>
      <c r="I119" s="378"/>
      <c r="J119" s="376" t="s">
        <v>169</v>
      </c>
      <c r="K119" s="376" t="s">
        <v>385</v>
      </c>
      <c r="L119" s="376" t="s">
        <v>167</v>
      </c>
      <c r="M119" s="376" t="s">
        <v>172</v>
      </c>
      <c r="N119" s="376" t="s">
        <v>173</v>
      </c>
      <c r="O119" s="379">
        <v>1</v>
      </c>
      <c r="P119" s="384">
        <v>1</v>
      </c>
      <c r="Q119" s="384">
        <v>1</v>
      </c>
      <c r="R119" s="380">
        <v>80</v>
      </c>
      <c r="S119" s="384">
        <v>1</v>
      </c>
      <c r="T119" s="380">
        <v>87833.7</v>
      </c>
      <c r="U119" s="380">
        <v>0</v>
      </c>
      <c r="V119" s="380">
        <v>27896.79</v>
      </c>
      <c r="W119" s="380">
        <v>90147.199999999997</v>
      </c>
      <c r="X119" s="380">
        <v>30972.04</v>
      </c>
      <c r="Y119" s="380">
        <v>90147.199999999997</v>
      </c>
      <c r="Z119" s="380">
        <v>31545.93</v>
      </c>
      <c r="AA119" s="376" t="s">
        <v>386</v>
      </c>
      <c r="AB119" s="376" t="s">
        <v>387</v>
      </c>
      <c r="AC119" s="376" t="s">
        <v>388</v>
      </c>
      <c r="AD119" s="376" t="s">
        <v>340</v>
      </c>
      <c r="AE119" s="376" t="s">
        <v>385</v>
      </c>
      <c r="AF119" s="376" t="s">
        <v>178</v>
      </c>
      <c r="AG119" s="376" t="s">
        <v>179</v>
      </c>
      <c r="AH119" s="381">
        <v>43.34</v>
      </c>
      <c r="AI119" s="381">
        <v>53579.1</v>
      </c>
      <c r="AJ119" s="376" t="s">
        <v>180</v>
      </c>
      <c r="AK119" s="376" t="s">
        <v>181</v>
      </c>
      <c r="AL119" s="376" t="s">
        <v>182</v>
      </c>
      <c r="AM119" s="376" t="s">
        <v>183</v>
      </c>
      <c r="AN119" s="376" t="s">
        <v>66</v>
      </c>
      <c r="AO119" s="379">
        <v>80</v>
      </c>
      <c r="AP119" s="384">
        <v>1</v>
      </c>
      <c r="AQ119" s="384">
        <v>1</v>
      </c>
      <c r="AR119" s="382" t="s">
        <v>184</v>
      </c>
      <c r="AS119" s="386">
        <f t="shared" si="98"/>
        <v>1</v>
      </c>
      <c r="AT119">
        <f t="shared" si="99"/>
        <v>1</v>
      </c>
      <c r="AU119" s="386">
        <f>IF(AT119=0,"",IF(AND(AT119=1,M119="F",SUMIF(C2:C201,C119,AS2:AS201)&lt;=1),SUMIF(C2:C201,C119,AS2:AS201),IF(AND(AT119=1,M119="F",SUMIF(C2:C201,C119,AS2:AS201)&gt;1),1,"")))</f>
        <v>1</v>
      </c>
      <c r="AV119" s="386" t="str">
        <f>IF(AT119=0,"",IF(AND(AT119=3,M119="F",SUMIF(C2:C201,C119,AS2:AS201)&lt;=1),SUMIF(C2:C201,C119,AS2:AS201),IF(AND(AT119=3,M119="F",SUMIF(C2:C201,C119,AS2:AS201)&gt;1),1,"")))</f>
        <v/>
      </c>
      <c r="AW119" s="386">
        <f>SUMIF(C2:C201,C119,O2:O201)</f>
        <v>2</v>
      </c>
      <c r="AX119" s="386">
        <f>IF(AND(M119="F",AS119&lt;&gt;0),SUMIF(C2:C201,C119,W2:W201),0)</f>
        <v>90147.199999999997</v>
      </c>
      <c r="AY119" s="386">
        <f t="shared" si="100"/>
        <v>90147.199999999997</v>
      </c>
      <c r="AZ119" s="386" t="str">
        <f t="shared" si="101"/>
        <v/>
      </c>
      <c r="BA119" s="386">
        <f t="shared" si="102"/>
        <v>0</v>
      </c>
      <c r="BB119" s="386">
        <f t="shared" si="115"/>
        <v>12500</v>
      </c>
      <c r="BC119" s="386">
        <f t="shared" si="116"/>
        <v>0</v>
      </c>
      <c r="BD119" s="386">
        <f t="shared" si="117"/>
        <v>5589.1264000000001</v>
      </c>
      <c r="BE119" s="386">
        <f t="shared" si="118"/>
        <v>1307.1343999999999</v>
      </c>
      <c r="BF119" s="386">
        <f t="shared" si="119"/>
        <v>10763.57568</v>
      </c>
      <c r="BG119" s="386">
        <f t="shared" si="120"/>
        <v>649.96131200000002</v>
      </c>
      <c r="BH119" s="386">
        <f t="shared" si="121"/>
        <v>0</v>
      </c>
      <c r="BI119" s="386">
        <f t="shared" si="122"/>
        <v>0</v>
      </c>
      <c r="BJ119" s="386">
        <f t="shared" si="123"/>
        <v>162.26496</v>
      </c>
      <c r="BK119" s="386">
        <f t="shared" si="124"/>
        <v>0</v>
      </c>
      <c r="BL119" s="386">
        <f t="shared" si="103"/>
        <v>18472.062751999998</v>
      </c>
      <c r="BM119" s="386">
        <f t="shared" si="104"/>
        <v>0</v>
      </c>
      <c r="BN119" s="386">
        <f t="shared" si="125"/>
        <v>13750</v>
      </c>
      <c r="BO119" s="386">
        <f t="shared" si="126"/>
        <v>0</v>
      </c>
      <c r="BP119" s="386">
        <f t="shared" si="127"/>
        <v>5589.1264000000001</v>
      </c>
      <c r="BQ119" s="386">
        <f t="shared" si="128"/>
        <v>1307.1343999999999</v>
      </c>
      <c r="BR119" s="386">
        <f t="shared" si="129"/>
        <v>10078.45696</v>
      </c>
      <c r="BS119" s="386">
        <f t="shared" si="130"/>
        <v>649.96131200000002</v>
      </c>
      <c r="BT119" s="386">
        <f t="shared" si="131"/>
        <v>0</v>
      </c>
      <c r="BU119" s="386">
        <f t="shared" si="132"/>
        <v>0</v>
      </c>
      <c r="BV119" s="386">
        <f t="shared" si="133"/>
        <v>171.27967999999998</v>
      </c>
      <c r="BW119" s="386">
        <f t="shared" si="134"/>
        <v>0</v>
      </c>
      <c r="BX119" s="386">
        <f t="shared" si="105"/>
        <v>17795.958751999999</v>
      </c>
      <c r="BY119" s="386">
        <f t="shared" si="106"/>
        <v>0</v>
      </c>
      <c r="BZ119" s="386">
        <f t="shared" si="107"/>
        <v>1250</v>
      </c>
      <c r="CA119" s="386">
        <f t="shared" si="108"/>
        <v>0</v>
      </c>
      <c r="CB119" s="386">
        <f t="shared" si="109"/>
        <v>0</v>
      </c>
      <c r="CC119" s="386">
        <f t="shared" si="135"/>
        <v>0</v>
      </c>
      <c r="CD119" s="386">
        <f t="shared" si="136"/>
        <v>-685.11872000000085</v>
      </c>
      <c r="CE119" s="386">
        <f t="shared" si="137"/>
        <v>0</v>
      </c>
      <c r="CF119" s="386">
        <f t="shared" si="138"/>
        <v>0</v>
      </c>
      <c r="CG119" s="386">
        <f t="shared" si="139"/>
        <v>0</v>
      </c>
      <c r="CH119" s="386">
        <f t="shared" si="140"/>
        <v>9.0147200000000041</v>
      </c>
      <c r="CI119" s="386">
        <f t="shared" si="141"/>
        <v>0</v>
      </c>
      <c r="CJ119" s="386">
        <f t="shared" si="110"/>
        <v>-676.10400000000084</v>
      </c>
      <c r="CK119" s="386" t="str">
        <f t="shared" si="111"/>
        <v/>
      </c>
      <c r="CL119" s="386" t="str">
        <f t="shared" si="112"/>
        <v/>
      </c>
      <c r="CM119" s="386" t="str">
        <f t="shared" si="113"/>
        <v/>
      </c>
      <c r="CN119" s="386" t="str">
        <f t="shared" si="114"/>
        <v>0001-00</v>
      </c>
    </row>
    <row r="120" spans="1:92" ht="15.75" thickBot="1" x14ac:dyDescent="0.3">
      <c r="A120" s="376" t="s">
        <v>162</v>
      </c>
      <c r="B120" s="376" t="s">
        <v>163</v>
      </c>
      <c r="C120" s="376" t="s">
        <v>389</v>
      </c>
      <c r="D120" s="376" t="s">
        <v>390</v>
      </c>
      <c r="E120" s="376" t="s">
        <v>166</v>
      </c>
      <c r="F120" s="377" t="s">
        <v>167</v>
      </c>
      <c r="G120" s="376" t="s">
        <v>495</v>
      </c>
      <c r="H120" s="378"/>
      <c r="I120" s="378"/>
      <c r="J120" s="376" t="s">
        <v>169</v>
      </c>
      <c r="K120" s="376" t="s">
        <v>391</v>
      </c>
      <c r="L120" s="376" t="s">
        <v>167</v>
      </c>
      <c r="M120" s="376" t="s">
        <v>172</v>
      </c>
      <c r="N120" s="376" t="s">
        <v>173</v>
      </c>
      <c r="O120" s="379">
        <v>1</v>
      </c>
      <c r="P120" s="384">
        <v>1</v>
      </c>
      <c r="Q120" s="384">
        <v>1</v>
      </c>
      <c r="R120" s="380">
        <v>80</v>
      </c>
      <c r="S120" s="384">
        <v>1</v>
      </c>
      <c r="T120" s="380">
        <v>57425.63</v>
      </c>
      <c r="U120" s="380">
        <v>0</v>
      </c>
      <c r="V120" s="380">
        <v>22620.81</v>
      </c>
      <c r="W120" s="380">
        <v>59529.599999999999</v>
      </c>
      <c r="X120" s="380">
        <v>24698.18</v>
      </c>
      <c r="Y120" s="380">
        <v>59529.599999999999</v>
      </c>
      <c r="Z120" s="380">
        <v>25501.7</v>
      </c>
      <c r="AA120" s="376" t="s">
        <v>392</v>
      </c>
      <c r="AB120" s="376" t="s">
        <v>393</v>
      </c>
      <c r="AC120" s="376" t="s">
        <v>394</v>
      </c>
      <c r="AD120" s="376" t="s">
        <v>171</v>
      </c>
      <c r="AE120" s="376" t="s">
        <v>391</v>
      </c>
      <c r="AF120" s="376" t="s">
        <v>178</v>
      </c>
      <c r="AG120" s="376" t="s">
        <v>179</v>
      </c>
      <c r="AH120" s="381">
        <v>28.62</v>
      </c>
      <c r="AI120" s="379">
        <v>15759</v>
      </c>
      <c r="AJ120" s="376" t="s">
        <v>180</v>
      </c>
      <c r="AK120" s="376" t="s">
        <v>181</v>
      </c>
      <c r="AL120" s="376" t="s">
        <v>182</v>
      </c>
      <c r="AM120" s="376" t="s">
        <v>183</v>
      </c>
      <c r="AN120" s="376" t="s">
        <v>66</v>
      </c>
      <c r="AO120" s="379">
        <v>80</v>
      </c>
      <c r="AP120" s="384">
        <v>1</v>
      </c>
      <c r="AQ120" s="384">
        <v>1</v>
      </c>
      <c r="AR120" s="382" t="s">
        <v>184</v>
      </c>
      <c r="AS120" s="386">
        <f t="shared" si="98"/>
        <v>1</v>
      </c>
      <c r="AT120">
        <f t="shared" si="99"/>
        <v>1</v>
      </c>
      <c r="AU120" s="386">
        <f>IF(AT120=0,"",IF(AND(AT120=1,M120="F",SUMIF(C2:C201,C120,AS2:AS201)&lt;=1),SUMIF(C2:C201,C120,AS2:AS201),IF(AND(AT120=1,M120="F",SUMIF(C2:C201,C120,AS2:AS201)&gt;1),1,"")))</f>
        <v>1</v>
      </c>
      <c r="AV120" s="386" t="str">
        <f>IF(AT120=0,"",IF(AND(AT120=3,M120="F",SUMIF(C2:C201,C120,AS2:AS201)&lt;=1),SUMIF(C2:C201,C120,AS2:AS201),IF(AND(AT120=3,M120="F",SUMIF(C2:C201,C120,AS2:AS201)&gt;1),1,"")))</f>
        <v/>
      </c>
      <c r="AW120" s="386">
        <f>SUMIF(C2:C201,C120,O2:O201)</f>
        <v>2</v>
      </c>
      <c r="AX120" s="386">
        <f>IF(AND(M120="F",AS120&lt;&gt;0),SUMIF(C2:C201,C120,W2:W201),0)</f>
        <v>59529.599999999999</v>
      </c>
      <c r="AY120" s="386">
        <f t="shared" si="100"/>
        <v>59529.599999999999</v>
      </c>
      <c r="AZ120" s="386" t="str">
        <f t="shared" si="101"/>
        <v/>
      </c>
      <c r="BA120" s="386">
        <f t="shared" si="102"/>
        <v>0</v>
      </c>
      <c r="BB120" s="386">
        <f t="shared" si="115"/>
        <v>12500</v>
      </c>
      <c r="BC120" s="386">
        <f t="shared" si="116"/>
        <v>0</v>
      </c>
      <c r="BD120" s="386">
        <f t="shared" si="117"/>
        <v>3690.8352</v>
      </c>
      <c r="BE120" s="386">
        <f t="shared" si="118"/>
        <v>863.17920000000004</v>
      </c>
      <c r="BF120" s="386">
        <f t="shared" si="119"/>
        <v>7107.8342400000001</v>
      </c>
      <c r="BG120" s="386">
        <f t="shared" si="120"/>
        <v>429.208416</v>
      </c>
      <c r="BH120" s="386">
        <f t="shared" si="121"/>
        <v>0</v>
      </c>
      <c r="BI120" s="386">
        <f t="shared" si="122"/>
        <v>0</v>
      </c>
      <c r="BJ120" s="386">
        <f t="shared" si="123"/>
        <v>107.15328</v>
      </c>
      <c r="BK120" s="386">
        <f t="shared" si="124"/>
        <v>0</v>
      </c>
      <c r="BL120" s="386">
        <f t="shared" si="103"/>
        <v>12198.210336</v>
      </c>
      <c r="BM120" s="386">
        <f t="shared" si="104"/>
        <v>0</v>
      </c>
      <c r="BN120" s="386">
        <f t="shared" si="125"/>
        <v>13750</v>
      </c>
      <c r="BO120" s="386">
        <f t="shared" si="126"/>
        <v>0</v>
      </c>
      <c r="BP120" s="386">
        <f t="shared" si="127"/>
        <v>3690.8352</v>
      </c>
      <c r="BQ120" s="386">
        <f t="shared" si="128"/>
        <v>863.17920000000004</v>
      </c>
      <c r="BR120" s="386">
        <f t="shared" si="129"/>
        <v>6655.4092799999999</v>
      </c>
      <c r="BS120" s="386">
        <f t="shared" si="130"/>
        <v>429.208416</v>
      </c>
      <c r="BT120" s="386">
        <f t="shared" si="131"/>
        <v>0</v>
      </c>
      <c r="BU120" s="386">
        <f t="shared" si="132"/>
        <v>0</v>
      </c>
      <c r="BV120" s="386">
        <f t="shared" si="133"/>
        <v>113.10624</v>
      </c>
      <c r="BW120" s="386">
        <f t="shared" si="134"/>
        <v>0</v>
      </c>
      <c r="BX120" s="386">
        <f t="shared" si="105"/>
        <v>11751.738335999999</v>
      </c>
      <c r="BY120" s="386">
        <f t="shared" si="106"/>
        <v>0</v>
      </c>
      <c r="BZ120" s="386">
        <f t="shared" si="107"/>
        <v>1250</v>
      </c>
      <c r="CA120" s="386">
        <f t="shared" si="108"/>
        <v>0</v>
      </c>
      <c r="CB120" s="386">
        <f t="shared" si="109"/>
        <v>0</v>
      </c>
      <c r="CC120" s="386">
        <f t="shared" si="135"/>
        <v>0</v>
      </c>
      <c r="CD120" s="386">
        <f t="shared" si="136"/>
        <v>-452.42496000000057</v>
      </c>
      <c r="CE120" s="386">
        <f t="shared" si="137"/>
        <v>0</v>
      </c>
      <c r="CF120" s="386">
        <f t="shared" si="138"/>
        <v>0</v>
      </c>
      <c r="CG120" s="386">
        <f t="shared" si="139"/>
        <v>0</v>
      </c>
      <c r="CH120" s="386">
        <f t="shared" si="140"/>
        <v>5.9529600000000027</v>
      </c>
      <c r="CI120" s="386">
        <f t="shared" si="141"/>
        <v>0</v>
      </c>
      <c r="CJ120" s="386">
        <f t="shared" si="110"/>
        <v>-446.47200000000055</v>
      </c>
      <c r="CK120" s="386" t="str">
        <f t="shared" si="111"/>
        <v/>
      </c>
      <c r="CL120" s="386" t="str">
        <f t="shared" si="112"/>
        <v/>
      </c>
      <c r="CM120" s="386" t="str">
        <f t="shared" si="113"/>
        <v/>
      </c>
      <c r="CN120" s="386" t="str">
        <f t="shared" si="114"/>
        <v>0001-00</v>
      </c>
    </row>
    <row r="121" spans="1:92" ht="15.75" thickBot="1" x14ac:dyDescent="0.3">
      <c r="A121" s="376" t="s">
        <v>162</v>
      </c>
      <c r="B121" s="376" t="s">
        <v>163</v>
      </c>
      <c r="C121" s="376" t="s">
        <v>243</v>
      </c>
      <c r="D121" s="376" t="s">
        <v>244</v>
      </c>
      <c r="E121" s="376" t="s">
        <v>166</v>
      </c>
      <c r="F121" s="377" t="s">
        <v>167</v>
      </c>
      <c r="G121" s="376" t="s">
        <v>495</v>
      </c>
      <c r="H121" s="378"/>
      <c r="I121" s="378"/>
      <c r="J121" s="376" t="s">
        <v>220</v>
      </c>
      <c r="K121" s="376" t="s">
        <v>245</v>
      </c>
      <c r="L121" s="376" t="s">
        <v>179</v>
      </c>
      <c r="M121" s="376" t="s">
        <v>172</v>
      </c>
      <c r="N121" s="376" t="s">
        <v>173</v>
      </c>
      <c r="O121" s="379">
        <v>1</v>
      </c>
      <c r="P121" s="384">
        <v>0.1</v>
      </c>
      <c r="Q121" s="384">
        <v>0.1</v>
      </c>
      <c r="R121" s="380">
        <v>80</v>
      </c>
      <c r="S121" s="384">
        <v>0.1</v>
      </c>
      <c r="T121" s="380">
        <v>3737.6</v>
      </c>
      <c r="U121" s="380">
        <v>0</v>
      </c>
      <c r="V121" s="380">
        <v>1938.24</v>
      </c>
      <c r="W121" s="380">
        <v>4160</v>
      </c>
      <c r="X121" s="380">
        <v>2102.42</v>
      </c>
      <c r="Y121" s="380">
        <v>4160</v>
      </c>
      <c r="Z121" s="380">
        <v>2196.2199999999998</v>
      </c>
      <c r="AA121" s="376" t="s">
        <v>246</v>
      </c>
      <c r="AB121" s="376" t="s">
        <v>247</v>
      </c>
      <c r="AC121" s="376" t="s">
        <v>248</v>
      </c>
      <c r="AD121" s="376" t="s">
        <v>171</v>
      </c>
      <c r="AE121" s="376" t="s">
        <v>245</v>
      </c>
      <c r="AF121" s="376" t="s">
        <v>178</v>
      </c>
      <c r="AG121" s="376" t="s">
        <v>179</v>
      </c>
      <c r="AH121" s="379">
        <v>20</v>
      </c>
      <c r="AI121" s="379">
        <v>264</v>
      </c>
      <c r="AJ121" s="376" t="s">
        <v>180</v>
      </c>
      <c r="AK121" s="376" t="s">
        <v>181</v>
      </c>
      <c r="AL121" s="376" t="s">
        <v>182</v>
      </c>
      <c r="AM121" s="376" t="s">
        <v>183</v>
      </c>
      <c r="AN121" s="376" t="s">
        <v>66</v>
      </c>
      <c r="AO121" s="379">
        <v>80</v>
      </c>
      <c r="AP121" s="384">
        <v>1</v>
      </c>
      <c r="AQ121" s="384">
        <v>0.1</v>
      </c>
      <c r="AR121" s="382" t="s">
        <v>184</v>
      </c>
      <c r="AS121" s="386">
        <f t="shared" si="98"/>
        <v>0.1</v>
      </c>
      <c r="AT121">
        <f t="shared" si="99"/>
        <v>1</v>
      </c>
      <c r="AU121" s="386">
        <f>IF(AT121=0,"",IF(AND(AT121=1,M121="F",SUMIF(C2:C201,C121,AS2:AS201)&lt;=1),SUMIF(C2:C201,C121,AS2:AS201),IF(AND(AT121=1,M121="F",SUMIF(C2:C201,C121,AS2:AS201)&gt;1),1,"")))</f>
        <v>1</v>
      </c>
      <c r="AV121" s="386" t="str">
        <f>IF(AT121=0,"",IF(AND(AT121=3,M121="F",SUMIF(C2:C201,C121,AS2:AS201)&lt;=1),SUMIF(C2:C201,C121,AS2:AS201),IF(AND(AT121=3,M121="F",SUMIF(C2:C201,C121,AS2:AS201)&gt;1),1,"")))</f>
        <v/>
      </c>
      <c r="AW121" s="386">
        <f>SUMIF(C2:C201,C121,O2:O201)</f>
        <v>4</v>
      </c>
      <c r="AX121" s="386">
        <f>IF(AND(M121="F",AS121&lt;&gt;0),SUMIF(C2:C201,C121,W2:W201),0)</f>
        <v>41600</v>
      </c>
      <c r="AY121" s="386">
        <f t="shared" si="100"/>
        <v>4160</v>
      </c>
      <c r="AZ121" s="386" t="str">
        <f t="shared" si="101"/>
        <v/>
      </c>
      <c r="BA121" s="386">
        <f t="shared" si="102"/>
        <v>0</v>
      </c>
      <c r="BB121" s="386">
        <f t="shared" si="115"/>
        <v>1250</v>
      </c>
      <c r="BC121" s="386">
        <f t="shared" si="116"/>
        <v>0</v>
      </c>
      <c r="BD121" s="386">
        <f t="shared" si="117"/>
        <v>257.92</v>
      </c>
      <c r="BE121" s="386">
        <f t="shared" si="118"/>
        <v>60.32</v>
      </c>
      <c r="BF121" s="386">
        <f t="shared" si="119"/>
        <v>496.70400000000001</v>
      </c>
      <c r="BG121" s="386">
        <f t="shared" si="120"/>
        <v>29.993600000000001</v>
      </c>
      <c r="BH121" s="386">
        <f t="shared" si="121"/>
        <v>0</v>
      </c>
      <c r="BI121" s="386">
        <f t="shared" si="122"/>
        <v>0</v>
      </c>
      <c r="BJ121" s="386">
        <f t="shared" si="123"/>
        <v>7.4879999999999995</v>
      </c>
      <c r="BK121" s="386">
        <f t="shared" si="124"/>
        <v>0</v>
      </c>
      <c r="BL121" s="386">
        <f t="shared" si="103"/>
        <v>852.42560000000003</v>
      </c>
      <c r="BM121" s="386">
        <f t="shared" si="104"/>
        <v>0</v>
      </c>
      <c r="BN121" s="386">
        <f t="shared" si="125"/>
        <v>1375</v>
      </c>
      <c r="BO121" s="386">
        <f t="shared" si="126"/>
        <v>0</v>
      </c>
      <c r="BP121" s="386">
        <f t="shared" si="127"/>
        <v>257.92</v>
      </c>
      <c r="BQ121" s="386">
        <f t="shared" si="128"/>
        <v>60.32</v>
      </c>
      <c r="BR121" s="386">
        <f t="shared" si="129"/>
        <v>465.08799999999997</v>
      </c>
      <c r="BS121" s="386">
        <f t="shared" si="130"/>
        <v>29.993600000000001</v>
      </c>
      <c r="BT121" s="386">
        <f t="shared" si="131"/>
        <v>0</v>
      </c>
      <c r="BU121" s="386">
        <f t="shared" si="132"/>
        <v>0</v>
      </c>
      <c r="BV121" s="386">
        <f t="shared" si="133"/>
        <v>7.9039999999999999</v>
      </c>
      <c r="BW121" s="386">
        <f t="shared" si="134"/>
        <v>0</v>
      </c>
      <c r="BX121" s="386">
        <f t="shared" si="105"/>
        <v>821.22559999999999</v>
      </c>
      <c r="BY121" s="386">
        <f t="shared" si="106"/>
        <v>0</v>
      </c>
      <c r="BZ121" s="386">
        <f t="shared" si="107"/>
        <v>125</v>
      </c>
      <c r="CA121" s="386">
        <f t="shared" si="108"/>
        <v>0</v>
      </c>
      <c r="CB121" s="386">
        <f t="shared" si="109"/>
        <v>0</v>
      </c>
      <c r="CC121" s="386">
        <f t="shared" si="135"/>
        <v>0</v>
      </c>
      <c r="CD121" s="386">
        <f t="shared" si="136"/>
        <v>-31.616000000000039</v>
      </c>
      <c r="CE121" s="386">
        <f t="shared" si="137"/>
        <v>0</v>
      </c>
      <c r="CF121" s="386">
        <f t="shared" si="138"/>
        <v>0</v>
      </c>
      <c r="CG121" s="386">
        <f t="shared" si="139"/>
        <v>0</v>
      </c>
      <c r="CH121" s="386">
        <f t="shared" si="140"/>
        <v>0.4160000000000002</v>
      </c>
      <c r="CI121" s="386">
        <f t="shared" si="141"/>
        <v>0</v>
      </c>
      <c r="CJ121" s="386">
        <f t="shared" si="110"/>
        <v>-31.200000000000038</v>
      </c>
      <c r="CK121" s="386" t="str">
        <f t="shared" si="111"/>
        <v/>
      </c>
      <c r="CL121" s="386" t="str">
        <f t="shared" si="112"/>
        <v/>
      </c>
      <c r="CM121" s="386" t="str">
        <f t="shared" si="113"/>
        <v/>
      </c>
      <c r="CN121" s="386" t="str">
        <f t="shared" si="114"/>
        <v>0001-00</v>
      </c>
    </row>
    <row r="122" spans="1:92" ht="15.75" thickBot="1" x14ac:dyDescent="0.3">
      <c r="A122" s="376" t="s">
        <v>162</v>
      </c>
      <c r="B122" s="376" t="s">
        <v>163</v>
      </c>
      <c r="C122" s="376" t="s">
        <v>496</v>
      </c>
      <c r="D122" s="376" t="s">
        <v>258</v>
      </c>
      <c r="E122" s="376" t="s">
        <v>166</v>
      </c>
      <c r="F122" s="377" t="s">
        <v>167</v>
      </c>
      <c r="G122" s="376" t="s">
        <v>495</v>
      </c>
      <c r="H122" s="378"/>
      <c r="I122" s="378"/>
      <c r="J122" s="376" t="s">
        <v>169</v>
      </c>
      <c r="K122" s="376" t="s">
        <v>259</v>
      </c>
      <c r="L122" s="376" t="s">
        <v>167</v>
      </c>
      <c r="M122" s="376" t="s">
        <v>172</v>
      </c>
      <c r="N122" s="376" t="s">
        <v>173</v>
      </c>
      <c r="O122" s="379">
        <v>1</v>
      </c>
      <c r="P122" s="384">
        <v>1</v>
      </c>
      <c r="Q122" s="384">
        <v>1</v>
      </c>
      <c r="R122" s="380">
        <v>80</v>
      </c>
      <c r="S122" s="384">
        <v>1</v>
      </c>
      <c r="T122" s="380">
        <v>132427.20000000001</v>
      </c>
      <c r="U122" s="380">
        <v>0</v>
      </c>
      <c r="V122" s="380">
        <v>39321.06</v>
      </c>
      <c r="W122" s="380">
        <v>132891.20000000001</v>
      </c>
      <c r="X122" s="380">
        <v>39730.71</v>
      </c>
      <c r="Y122" s="380">
        <v>132891.20000000001</v>
      </c>
      <c r="Z122" s="380">
        <v>39984.03</v>
      </c>
      <c r="AA122" s="376" t="s">
        <v>497</v>
      </c>
      <c r="AB122" s="376" t="s">
        <v>498</v>
      </c>
      <c r="AC122" s="376" t="s">
        <v>499</v>
      </c>
      <c r="AD122" s="376" t="s">
        <v>181</v>
      </c>
      <c r="AE122" s="376" t="s">
        <v>259</v>
      </c>
      <c r="AF122" s="376" t="s">
        <v>178</v>
      </c>
      <c r="AG122" s="376" t="s">
        <v>179</v>
      </c>
      <c r="AH122" s="381">
        <v>63.89</v>
      </c>
      <c r="AI122" s="379">
        <v>7080</v>
      </c>
      <c r="AJ122" s="376" t="s">
        <v>180</v>
      </c>
      <c r="AK122" s="376" t="s">
        <v>181</v>
      </c>
      <c r="AL122" s="376" t="s">
        <v>182</v>
      </c>
      <c r="AM122" s="376" t="s">
        <v>183</v>
      </c>
      <c r="AN122" s="376" t="s">
        <v>66</v>
      </c>
      <c r="AO122" s="379">
        <v>80</v>
      </c>
      <c r="AP122" s="384">
        <v>1</v>
      </c>
      <c r="AQ122" s="384">
        <v>1</v>
      </c>
      <c r="AR122" s="382" t="s">
        <v>184</v>
      </c>
      <c r="AS122" s="386">
        <f t="shared" si="98"/>
        <v>1</v>
      </c>
      <c r="AT122">
        <f t="shared" si="99"/>
        <v>1</v>
      </c>
      <c r="AU122" s="386">
        <f>IF(AT122=0,"",IF(AND(AT122=1,M122="F",SUMIF(C2:C201,C122,AS2:AS201)&lt;=1),SUMIF(C2:C201,C122,AS2:AS201),IF(AND(AT122=1,M122="F",SUMIF(C2:C201,C122,AS2:AS201)&gt;1),1,"")))</f>
        <v>1</v>
      </c>
      <c r="AV122" s="386" t="str">
        <f>IF(AT122=0,"",IF(AND(AT122=3,M122="F",SUMIF(C2:C201,C122,AS2:AS201)&lt;=1),SUMIF(C2:C201,C122,AS2:AS201),IF(AND(AT122=3,M122="F",SUMIF(C2:C201,C122,AS2:AS201)&gt;1),1,"")))</f>
        <v/>
      </c>
      <c r="AW122" s="386">
        <f>SUMIF(C2:C201,C122,O2:O201)</f>
        <v>1</v>
      </c>
      <c r="AX122" s="386">
        <f>IF(AND(M122="F",AS122&lt;&gt;0),SUMIF(C2:C201,C122,W2:W201),0)</f>
        <v>132891.20000000001</v>
      </c>
      <c r="AY122" s="386">
        <f t="shared" si="100"/>
        <v>132891.20000000001</v>
      </c>
      <c r="AZ122" s="386" t="str">
        <f t="shared" si="101"/>
        <v/>
      </c>
      <c r="BA122" s="386">
        <f t="shared" si="102"/>
        <v>0</v>
      </c>
      <c r="BB122" s="386">
        <f t="shared" si="115"/>
        <v>12500</v>
      </c>
      <c r="BC122" s="386">
        <f t="shared" si="116"/>
        <v>0</v>
      </c>
      <c r="BD122" s="386">
        <f t="shared" si="117"/>
        <v>8239.2543999999998</v>
      </c>
      <c r="BE122" s="386">
        <f t="shared" si="118"/>
        <v>1926.9224000000004</v>
      </c>
      <c r="BF122" s="386">
        <f t="shared" si="119"/>
        <v>15867.209280000003</v>
      </c>
      <c r="BG122" s="386">
        <f t="shared" si="120"/>
        <v>958.14555200000007</v>
      </c>
      <c r="BH122" s="386">
        <f t="shared" si="121"/>
        <v>0</v>
      </c>
      <c r="BI122" s="386">
        <f t="shared" si="122"/>
        <v>0</v>
      </c>
      <c r="BJ122" s="386">
        <f t="shared" si="123"/>
        <v>239.20416</v>
      </c>
      <c r="BK122" s="386">
        <f t="shared" si="124"/>
        <v>0</v>
      </c>
      <c r="BL122" s="386">
        <f t="shared" si="103"/>
        <v>27230.735792000007</v>
      </c>
      <c r="BM122" s="386">
        <f t="shared" si="104"/>
        <v>0</v>
      </c>
      <c r="BN122" s="386">
        <f t="shared" si="125"/>
        <v>13750</v>
      </c>
      <c r="BO122" s="386">
        <f t="shared" si="126"/>
        <v>0</v>
      </c>
      <c r="BP122" s="386">
        <f t="shared" si="127"/>
        <v>8239.2543999999998</v>
      </c>
      <c r="BQ122" s="386">
        <f t="shared" si="128"/>
        <v>1926.9224000000004</v>
      </c>
      <c r="BR122" s="386">
        <f t="shared" si="129"/>
        <v>14857.23616</v>
      </c>
      <c r="BS122" s="386">
        <f t="shared" si="130"/>
        <v>958.14555200000007</v>
      </c>
      <c r="BT122" s="386">
        <f t="shared" si="131"/>
        <v>0</v>
      </c>
      <c r="BU122" s="386">
        <f t="shared" si="132"/>
        <v>0</v>
      </c>
      <c r="BV122" s="386">
        <f t="shared" si="133"/>
        <v>252.49328000000003</v>
      </c>
      <c r="BW122" s="386">
        <f t="shared" si="134"/>
        <v>0</v>
      </c>
      <c r="BX122" s="386">
        <f t="shared" si="105"/>
        <v>26234.051792000002</v>
      </c>
      <c r="BY122" s="386">
        <f t="shared" si="106"/>
        <v>0</v>
      </c>
      <c r="BZ122" s="386">
        <f t="shared" si="107"/>
        <v>1250</v>
      </c>
      <c r="CA122" s="386">
        <f t="shared" si="108"/>
        <v>0</v>
      </c>
      <c r="CB122" s="386">
        <f t="shared" si="109"/>
        <v>0</v>
      </c>
      <c r="CC122" s="386">
        <f t="shared" si="135"/>
        <v>0</v>
      </c>
      <c r="CD122" s="386">
        <f t="shared" si="136"/>
        <v>-1009.9731200000014</v>
      </c>
      <c r="CE122" s="386">
        <f t="shared" si="137"/>
        <v>0</v>
      </c>
      <c r="CF122" s="386">
        <f t="shared" si="138"/>
        <v>0</v>
      </c>
      <c r="CG122" s="386">
        <f t="shared" si="139"/>
        <v>0</v>
      </c>
      <c r="CH122" s="386">
        <f t="shared" si="140"/>
        <v>13.289120000000008</v>
      </c>
      <c r="CI122" s="386">
        <f t="shared" si="141"/>
        <v>0</v>
      </c>
      <c r="CJ122" s="386">
        <f t="shared" si="110"/>
        <v>-996.68400000000133</v>
      </c>
      <c r="CK122" s="386" t="str">
        <f t="shared" si="111"/>
        <v/>
      </c>
      <c r="CL122" s="386" t="str">
        <f t="shared" si="112"/>
        <v/>
      </c>
      <c r="CM122" s="386" t="str">
        <f t="shared" si="113"/>
        <v/>
      </c>
      <c r="CN122" s="386" t="str">
        <f t="shared" si="114"/>
        <v>0001-00</v>
      </c>
    </row>
    <row r="123" spans="1:92" ht="15.75" thickBot="1" x14ac:dyDescent="0.3">
      <c r="A123" s="376" t="s">
        <v>162</v>
      </c>
      <c r="B123" s="376" t="s">
        <v>163</v>
      </c>
      <c r="C123" s="376" t="s">
        <v>257</v>
      </c>
      <c r="D123" s="376" t="s">
        <v>258</v>
      </c>
      <c r="E123" s="376" t="s">
        <v>166</v>
      </c>
      <c r="F123" s="377" t="s">
        <v>167</v>
      </c>
      <c r="G123" s="376" t="s">
        <v>495</v>
      </c>
      <c r="H123" s="378"/>
      <c r="I123" s="378"/>
      <c r="J123" s="376" t="s">
        <v>220</v>
      </c>
      <c r="K123" s="376" t="s">
        <v>259</v>
      </c>
      <c r="L123" s="376" t="s">
        <v>167</v>
      </c>
      <c r="M123" s="376" t="s">
        <v>172</v>
      </c>
      <c r="N123" s="376" t="s">
        <v>173</v>
      </c>
      <c r="O123" s="379">
        <v>1</v>
      </c>
      <c r="P123" s="384">
        <v>0.05</v>
      </c>
      <c r="Q123" s="384">
        <v>0.05</v>
      </c>
      <c r="R123" s="380">
        <v>80</v>
      </c>
      <c r="S123" s="384">
        <v>0.05</v>
      </c>
      <c r="T123" s="380">
        <v>5958.44</v>
      </c>
      <c r="U123" s="380">
        <v>0</v>
      </c>
      <c r="V123" s="380">
        <v>1771.81</v>
      </c>
      <c r="W123" s="380">
        <v>6429.28</v>
      </c>
      <c r="X123" s="380">
        <v>1942.42</v>
      </c>
      <c r="Y123" s="380">
        <v>6429.28</v>
      </c>
      <c r="Z123" s="380">
        <v>1956.7</v>
      </c>
      <c r="AA123" s="376" t="s">
        <v>260</v>
      </c>
      <c r="AB123" s="376" t="s">
        <v>261</v>
      </c>
      <c r="AC123" s="376" t="s">
        <v>241</v>
      </c>
      <c r="AD123" s="376" t="s">
        <v>182</v>
      </c>
      <c r="AE123" s="376" t="s">
        <v>259</v>
      </c>
      <c r="AF123" s="376" t="s">
        <v>178</v>
      </c>
      <c r="AG123" s="376" t="s">
        <v>179</v>
      </c>
      <c r="AH123" s="381">
        <v>61.82</v>
      </c>
      <c r="AI123" s="379">
        <v>4977</v>
      </c>
      <c r="AJ123" s="376" t="s">
        <v>180</v>
      </c>
      <c r="AK123" s="376" t="s">
        <v>181</v>
      </c>
      <c r="AL123" s="376" t="s">
        <v>182</v>
      </c>
      <c r="AM123" s="376" t="s">
        <v>183</v>
      </c>
      <c r="AN123" s="376" t="s">
        <v>66</v>
      </c>
      <c r="AO123" s="379">
        <v>80</v>
      </c>
      <c r="AP123" s="384">
        <v>1</v>
      </c>
      <c r="AQ123" s="384">
        <v>0.05</v>
      </c>
      <c r="AR123" s="382" t="s">
        <v>184</v>
      </c>
      <c r="AS123" s="386">
        <f t="shared" si="98"/>
        <v>0.05</v>
      </c>
      <c r="AT123">
        <f t="shared" si="99"/>
        <v>1</v>
      </c>
      <c r="AU123" s="386">
        <f>IF(AT123=0,"",IF(AND(AT123=1,M123="F",SUMIF(C2:C201,C123,AS2:AS201)&lt;=1),SUMIF(C2:C201,C123,AS2:AS201),IF(AND(AT123=1,M123="F",SUMIF(C2:C201,C123,AS2:AS201)&gt;1),1,"")))</f>
        <v>1</v>
      </c>
      <c r="AV123" s="386" t="str">
        <f>IF(AT123=0,"",IF(AND(AT123=3,M123="F",SUMIF(C2:C201,C123,AS2:AS201)&lt;=1),SUMIF(C2:C201,C123,AS2:AS201),IF(AND(AT123=3,M123="F",SUMIF(C2:C201,C123,AS2:AS201)&gt;1),1,"")))</f>
        <v/>
      </c>
      <c r="AW123" s="386">
        <f>SUMIF(C2:C201,C123,O2:O201)</f>
        <v>5</v>
      </c>
      <c r="AX123" s="386">
        <f>IF(AND(M123="F",AS123&lt;&gt;0),SUMIF(C2:C201,C123,W2:W201),0)</f>
        <v>128585.59999999999</v>
      </c>
      <c r="AY123" s="386">
        <f t="shared" si="100"/>
        <v>6429.28</v>
      </c>
      <c r="AZ123" s="386" t="str">
        <f t="shared" si="101"/>
        <v/>
      </c>
      <c r="BA123" s="386">
        <f t="shared" si="102"/>
        <v>0</v>
      </c>
      <c r="BB123" s="386">
        <f t="shared" si="115"/>
        <v>625</v>
      </c>
      <c r="BC123" s="386">
        <f t="shared" si="116"/>
        <v>0</v>
      </c>
      <c r="BD123" s="386">
        <f t="shared" si="117"/>
        <v>398.61536000000001</v>
      </c>
      <c r="BE123" s="386">
        <f t="shared" si="118"/>
        <v>93.224559999999997</v>
      </c>
      <c r="BF123" s="386">
        <f t="shared" si="119"/>
        <v>767.65603199999998</v>
      </c>
      <c r="BG123" s="386">
        <f t="shared" si="120"/>
        <v>46.355108799999996</v>
      </c>
      <c r="BH123" s="386">
        <f t="shared" si="121"/>
        <v>0</v>
      </c>
      <c r="BI123" s="386">
        <f t="shared" si="122"/>
        <v>0</v>
      </c>
      <c r="BJ123" s="386">
        <f t="shared" si="123"/>
        <v>11.572704</v>
      </c>
      <c r="BK123" s="386">
        <f t="shared" si="124"/>
        <v>0</v>
      </c>
      <c r="BL123" s="386">
        <f t="shared" si="103"/>
        <v>1317.4237647999998</v>
      </c>
      <c r="BM123" s="386">
        <f t="shared" si="104"/>
        <v>0</v>
      </c>
      <c r="BN123" s="386">
        <f t="shared" si="125"/>
        <v>687.5</v>
      </c>
      <c r="BO123" s="386">
        <f t="shared" si="126"/>
        <v>0</v>
      </c>
      <c r="BP123" s="386">
        <f t="shared" si="127"/>
        <v>398.61536000000001</v>
      </c>
      <c r="BQ123" s="386">
        <f t="shared" si="128"/>
        <v>93.224559999999997</v>
      </c>
      <c r="BR123" s="386">
        <f t="shared" si="129"/>
        <v>718.79350399999998</v>
      </c>
      <c r="BS123" s="386">
        <f t="shared" si="130"/>
        <v>46.355108799999996</v>
      </c>
      <c r="BT123" s="386">
        <f t="shared" si="131"/>
        <v>0</v>
      </c>
      <c r="BU123" s="386">
        <f t="shared" si="132"/>
        <v>0</v>
      </c>
      <c r="BV123" s="386">
        <f t="shared" si="133"/>
        <v>12.215631999999999</v>
      </c>
      <c r="BW123" s="386">
        <f t="shared" si="134"/>
        <v>0</v>
      </c>
      <c r="BX123" s="386">
        <f t="shared" si="105"/>
        <v>1269.2041647999999</v>
      </c>
      <c r="BY123" s="386">
        <f t="shared" si="106"/>
        <v>0</v>
      </c>
      <c r="BZ123" s="386">
        <f t="shared" si="107"/>
        <v>62.5</v>
      </c>
      <c r="CA123" s="386">
        <f t="shared" si="108"/>
        <v>0</v>
      </c>
      <c r="CB123" s="386">
        <f t="shared" si="109"/>
        <v>0</v>
      </c>
      <c r="CC123" s="386">
        <f t="shared" si="135"/>
        <v>0</v>
      </c>
      <c r="CD123" s="386">
        <f t="shared" si="136"/>
        <v>-48.862528000000061</v>
      </c>
      <c r="CE123" s="386">
        <f t="shared" si="137"/>
        <v>0</v>
      </c>
      <c r="CF123" s="386">
        <f t="shared" si="138"/>
        <v>0</v>
      </c>
      <c r="CG123" s="386">
        <f t="shared" si="139"/>
        <v>0</v>
      </c>
      <c r="CH123" s="386">
        <f t="shared" si="140"/>
        <v>0.64292800000000028</v>
      </c>
      <c r="CI123" s="386">
        <f t="shared" si="141"/>
        <v>0</v>
      </c>
      <c r="CJ123" s="386">
        <f t="shared" si="110"/>
        <v>-48.219600000000064</v>
      </c>
      <c r="CK123" s="386" t="str">
        <f t="shared" si="111"/>
        <v/>
      </c>
      <c r="CL123" s="386" t="str">
        <f t="shared" si="112"/>
        <v/>
      </c>
      <c r="CM123" s="386" t="str">
        <f t="shared" si="113"/>
        <v/>
      </c>
      <c r="CN123" s="386" t="str">
        <f t="shared" si="114"/>
        <v>0001-00</v>
      </c>
    </row>
    <row r="124" spans="1:92" ht="15.75" thickBot="1" x14ac:dyDescent="0.3">
      <c r="A124" s="376" t="s">
        <v>162</v>
      </c>
      <c r="B124" s="376" t="s">
        <v>163</v>
      </c>
      <c r="C124" s="376" t="s">
        <v>262</v>
      </c>
      <c r="D124" s="376" t="s">
        <v>263</v>
      </c>
      <c r="E124" s="376" t="s">
        <v>166</v>
      </c>
      <c r="F124" s="377" t="s">
        <v>167</v>
      </c>
      <c r="G124" s="376" t="s">
        <v>495</v>
      </c>
      <c r="H124" s="378"/>
      <c r="I124" s="378"/>
      <c r="J124" s="376" t="s">
        <v>264</v>
      </c>
      <c r="K124" s="376" t="s">
        <v>265</v>
      </c>
      <c r="L124" s="376" t="s">
        <v>182</v>
      </c>
      <c r="M124" s="376" t="s">
        <v>172</v>
      </c>
      <c r="N124" s="376" t="s">
        <v>173</v>
      </c>
      <c r="O124" s="379">
        <v>1</v>
      </c>
      <c r="P124" s="384">
        <v>0.02</v>
      </c>
      <c r="Q124" s="384">
        <v>0.02</v>
      </c>
      <c r="R124" s="380">
        <v>80</v>
      </c>
      <c r="S124" s="384">
        <v>0.02</v>
      </c>
      <c r="T124" s="380">
        <v>1489.81</v>
      </c>
      <c r="U124" s="380">
        <v>0</v>
      </c>
      <c r="V124" s="380">
        <v>538.91999999999996</v>
      </c>
      <c r="W124" s="380">
        <v>1363.23</v>
      </c>
      <c r="X124" s="380">
        <v>529.33000000000004</v>
      </c>
      <c r="Y124" s="380">
        <v>1363.23</v>
      </c>
      <c r="Z124" s="380">
        <v>544.11</v>
      </c>
      <c r="AA124" s="376" t="s">
        <v>266</v>
      </c>
      <c r="AB124" s="376" t="s">
        <v>267</v>
      </c>
      <c r="AC124" s="376" t="s">
        <v>268</v>
      </c>
      <c r="AD124" s="376" t="s">
        <v>182</v>
      </c>
      <c r="AE124" s="376" t="s">
        <v>265</v>
      </c>
      <c r="AF124" s="376" t="s">
        <v>178</v>
      </c>
      <c r="AG124" s="376" t="s">
        <v>179</v>
      </c>
      <c r="AH124" s="381">
        <v>32.770000000000003</v>
      </c>
      <c r="AI124" s="379">
        <v>8538</v>
      </c>
      <c r="AJ124" s="376" t="s">
        <v>180</v>
      </c>
      <c r="AK124" s="376" t="s">
        <v>181</v>
      </c>
      <c r="AL124" s="376" t="s">
        <v>182</v>
      </c>
      <c r="AM124" s="376" t="s">
        <v>183</v>
      </c>
      <c r="AN124" s="376" t="s">
        <v>66</v>
      </c>
      <c r="AO124" s="379">
        <v>80</v>
      </c>
      <c r="AP124" s="384">
        <v>1</v>
      </c>
      <c r="AQ124" s="384">
        <v>0.02</v>
      </c>
      <c r="AR124" s="382" t="s">
        <v>184</v>
      </c>
      <c r="AS124" s="386">
        <f t="shared" si="98"/>
        <v>0.02</v>
      </c>
      <c r="AT124">
        <f t="shared" si="99"/>
        <v>1</v>
      </c>
      <c r="AU124" s="386">
        <f>IF(AT124=0,"",IF(AND(AT124=1,M124="F",SUMIF(C2:C201,C124,AS2:AS201)&lt;=1),SUMIF(C2:C201,C124,AS2:AS201),IF(AND(AT124=1,M124="F",SUMIF(C2:C201,C124,AS2:AS201)&gt;1),1,"")))</f>
        <v>1</v>
      </c>
      <c r="AV124" s="386" t="str">
        <f>IF(AT124=0,"",IF(AND(AT124=3,M124="F",SUMIF(C2:C201,C124,AS2:AS201)&lt;=1),SUMIF(C2:C201,C124,AS2:AS201),IF(AND(AT124=3,M124="F",SUMIF(C2:C201,C124,AS2:AS201)&gt;1),1,"")))</f>
        <v/>
      </c>
      <c r="AW124" s="386">
        <f>SUMIF(C2:C201,C124,O2:O201)</f>
        <v>5</v>
      </c>
      <c r="AX124" s="386">
        <f>IF(AND(M124="F",AS124&lt;&gt;0),SUMIF(C2:C201,C124,W2:W201),0)</f>
        <v>68161.590000000011</v>
      </c>
      <c r="AY124" s="386">
        <f t="shared" si="100"/>
        <v>1363.23</v>
      </c>
      <c r="AZ124" s="386" t="str">
        <f t="shared" si="101"/>
        <v/>
      </c>
      <c r="BA124" s="386">
        <f t="shared" si="102"/>
        <v>0</v>
      </c>
      <c r="BB124" s="386">
        <f t="shared" si="115"/>
        <v>250</v>
      </c>
      <c r="BC124" s="386">
        <f t="shared" si="116"/>
        <v>0</v>
      </c>
      <c r="BD124" s="386">
        <f t="shared" si="117"/>
        <v>84.520260000000007</v>
      </c>
      <c r="BE124" s="386">
        <f t="shared" si="118"/>
        <v>19.766835</v>
      </c>
      <c r="BF124" s="386">
        <f t="shared" si="119"/>
        <v>162.76966200000001</v>
      </c>
      <c r="BG124" s="386">
        <f t="shared" si="120"/>
        <v>9.8288883000000009</v>
      </c>
      <c r="BH124" s="386">
        <f t="shared" si="121"/>
        <v>0</v>
      </c>
      <c r="BI124" s="386">
        <f t="shared" si="122"/>
        <v>0</v>
      </c>
      <c r="BJ124" s="386">
        <f t="shared" si="123"/>
        <v>2.4538139999999999</v>
      </c>
      <c r="BK124" s="386">
        <f t="shared" si="124"/>
        <v>0</v>
      </c>
      <c r="BL124" s="386">
        <f t="shared" si="103"/>
        <v>279.33945930000004</v>
      </c>
      <c r="BM124" s="386">
        <f t="shared" si="104"/>
        <v>0</v>
      </c>
      <c r="BN124" s="386">
        <f t="shared" si="125"/>
        <v>275</v>
      </c>
      <c r="BO124" s="386">
        <f t="shared" si="126"/>
        <v>0</v>
      </c>
      <c r="BP124" s="386">
        <f t="shared" si="127"/>
        <v>84.520260000000007</v>
      </c>
      <c r="BQ124" s="386">
        <f t="shared" si="128"/>
        <v>19.766835</v>
      </c>
      <c r="BR124" s="386">
        <f t="shared" si="129"/>
        <v>152.40911399999999</v>
      </c>
      <c r="BS124" s="386">
        <f t="shared" si="130"/>
        <v>9.8288883000000009</v>
      </c>
      <c r="BT124" s="386">
        <f t="shared" si="131"/>
        <v>0</v>
      </c>
      <c r="BU124" s="386">
        <f t="shared" si="132"/>
        <v>0</v>
      </c>
      <c r="BV124" s="386">
        <f t="shared" si="133"/>
        <v>2.5901369999999999</v>
      </c>
      <c r="BW124" s="386">
        <f t="shared" si="134"/>
        <v>0</v>
      </c>
      <c r="BX124" s="386">
        <f t="shared" si="105"/>
        <v>269.11523430000005</v>
      </c>
      <c r="BY124" s="386">
        <f t="shared" si="106"/>
        <v>0</v>
      </c>
      <c r="BZ124" s="386">
        <f t="shared" si="107"/>
        <v>25</v>
      </c>
      <c r="CA124" s="386">
        <f t="shared" si="108"/>
        <v>0</v>
      </c>
      <c r="CB124" s="386">
        <f t="shared" si="109"/>
        <v>0</v>
      </c>
      <c r="CC124" s="386">
        <f t="shared" si="135"/>
        <v>0</v>
      </c>
      <c r="CD124" s="386">
        <f t="shared" si="136"/>
        <v>-10.360548000000014</v>
      </c>
      <c r="CE124" s="386">
        <f t="shared" si="137"/>
        <v>0</v>
      </c>
      <c r="CF124" s="386">
        <f t="shared" si="138"/>
        <v>0</v>
      </c>
      <c r="CG124" s="386">
        <f t="shared" si="139"/>
        <v>0</v>
      </c>
      <c r="CH124" s="386">
        <f t="shared" si="140"/>
        <v>0.13632300000000006</v>
      </c>
      <c r="CI124" s="386">
        <f t="shared" si="141"/>
        <v>0</v>
      </c>
      <c r="CJ124" s="386">
        <f t="shared" si="110"/>
        <v>-10.224225000000013</v>
      </c>
      <c r="CK124" s="386" t="str">
        <f t="shared" si="111"/>
        <v/>
      </c>
      <c r="CL124" s="386" t="str">
        <f t="shared" si="112"/>
        <v/>
      </c>
      <c r="CM124" s="386" t="str">
        <f t="shared" si="113"/>
        <v/>
      </c>
      <c r="CN124" s="386" t="str">
        <f t="shared" si="114"/>
        <v>0001-00</v>
      </c>
    </row>
    <row r="125" spans="1:92" ht="15.75" thickBot="1" x14ac:dyDescent="0.3">
      <c r="A125" s="376" t="s">
        <v>162</v>
      </c>
      <c r="B125" s="376" t="s">
        <v>163</v>
      </c>
      <c r="C125" s="376" t="s">
        <v>399</v>
      </c>
      <c r="D125" s="376" t="s">
        <v>400</v>
      </c>
      <c r="E125" s="376" t="s">
        <v>166</v>
      </c>
      <c r="F125" s="377" t="s">
        <v>167</v>
      </c>
      <c r="G125" s="376" t="s">
        <v>495</v>
      </c>
      <c r="H125" s="378"/>
      <c r="I125" s="378"/>
      <c r="J125" s="376" t="s">
        <v>169</v>
      </c>
      <c r="K125" s="376" t="s">
        <v>401</v>
      </c>
      <c r="L125" s="376" t="s">
        <v>167</v>
      </c>
      <c r="M125" s="376" t="s">
        <v>172</v>
      </c>
      <c r="N125" s="376" t="s">
        <v>173</v>
      </c>
      <c r="O125" s="379">
        <v>1</v>
      </c>
      <c r="P125" s="384">
        <v>1</v>
      </c>
      <c r="Q125" s="384">
        <v>1</v>
      </c>
      <c r="R125" s="380">
        <v>80</v>
      </c>
      <c r="S125" s="384">
        <v>1</v>
      </c>
      <c r="T125" s="380">
        <v>98316.85</v>
      </c>
      <c r="U125" s="380">
        <v>0</v>
      </c>
      <c r="V125" s="380">
        <v>31262.05</v>
      </c>
      <c r="W125" s="380">
        <v>96636.800000000003</v>
      </c>
      <c r="X125" s="380">
        <v>32301.83</v>
      </c>
      <c r="Y125" s="380">
        <v>96636.800000000003</v>
      </c>
      <c r="Z125" s="380">
        <v>32827.050000000003</v>
      </c>
      <c r="AA125" s="376" t="s">
        <v>402</v>
      </c>
      <c r="AB125" s="376" t="s">
        <v>403</v>
      </c>
      <c r="AC125" s="376" t="s">
        <v>404</v>
      </c>
      <c r="AD125" s="376" t="s">
        <v>177</v>
      </c>
      <c r="AE125" s="376" t="s">
        <v>401</v>
      </c>
      <c r="AF125" s="376" t="s">
        <v>178</v>
      </c>
      <c r="AG125" s="376" t="s">
        <v>179</v>
      </c>
      <c r="AH125" s="381">
        <v>46.46</v>
      </c>
      <c r="AI125" s="381">
        <v>67964.5</v>
      </c>
      <c r="AJ125" s="376" t="s">
        <v>180</v>
      </c>
      <c r="AK125" s="376" t="s">
        <v>181</v>
      </c>
      <c r="AL125" s="376" t="s">
        <v>182</v>
      </c>
      <c r="AM125" s="376" t="s">
        <v>183</v>
      </c>
      <c r="AN125" s="376" t="s">
        <v>66</v>
      </c>
      <c r="AO125" s="379">
        <v>80</v>
      </c>
      <c r="AP125" s="384">
        <v>1</v>
      </c>
      <c r="AQ125" s="384">
        <v>1</v>
      </c>
      <c r="AR125" s="382" t="s">
        <v>184</v>
      </c>
      <c r="AS125" s="386">
        <f t="shared" si="98"/>
        <v>1</v>
      </c>
      <c r="AT125">
        <f t="shared" si="99"/>
        <v>1</v>
      </c>
      <c r="AU125" s="386">
        <f>IF(AT125=0,"",IF(AND(AT125=1,M125="F",SUMIF(C2:C201,C125,AS2:AS201)&lt;=1),SUMIF(C2:C201,C125,AS2:AS201),IF(AND(AT125=1,M125="F",SUMIF(C2:C201,C125,AS2:AS201)&gt;1),1,"")))</f>
        <v>1</v>
      </c>
      <c r="AV125" s="386" t="str">
        <f>IF(AT125=0,"",IF(AND(AT125=3,M125="F",SUMIF(C2:C201,C125,AS2:AS201)&lt;=1),SUMIF(C2:C201,C125,AS2:AS201),IF(AND(AT125=3,M125="F",SUMIF(C2:C201,C125,AS2:AS201)&gt;1),1,"")))</f>
        <v/>
      </c>
      <c r="AW125" s="386">
        <f>SUMIF(C2:C201,C125,O2:O201)</f>
        <v>2</v>
      </c>
      <c r="AX125" s="386">
        <f>IF(AND(M125="F",AS125&lt;&gt;0),SUMIF(C2:C201,C125,W2:W201),0)</f>
        <v>96636.800000000003</v>
      </c>
      <c r="AY125" s="386">
        <f t="shared" si="100"/>
        <v>96636.800000000003</v>
      </c>
      <c r="AZ125" s="386" t="str">
        <f t="shared" si="101"/>
        <v/>
      </c>
      <c r="BA125" s="386">
        <f t="shared" si="102"/>
        <v>0</v>
      </c>
      <c r="BB125" s="386">
        <f t="shared" si="115"/>
        <v>12500</v>
      </c>
      <c r="BC125" s="386">
        <f t="shared" si="116"/>
        <v>0</v>
      </c>
      <c r="BD125" s="386">
        <f t="shared" si="117"/>
        <v>5991.4816000000001</v>
      </c>
      <c r="BE125" s="386">
        <f t="shared" si="118"/>
        <v>1401.2336</v>
      </c>
      <c r="BF125" s="386">
        <f t="shared" si="119"/>
        <v>11538.433920000001</v>
      </c>
      <c r="BG125" s="386">
        <f t="shared" si="120"/>
        <v>696.75132800000006</v>
      </c>
      <c r="BH125" s="386">
        <f t="shared" si="121"/>
        <v>0</v>
      </c>
      <c r="BI125" s="386">
        <f t="shared" si="122"/>
        <v>0</v>
      </c>
      <c r="BJ125" s="386">
        <f t="shared" si="123"/>
        <v>173.94623999999999</v>
      </c>
      <c r="BK125" s="386">
        <f t="shared" si="124"/>
        <v>0</v>
      </c>
      <c r="BL125" s="386">
        <f t="shared" si="103"/>
        <v>19801.846688000001</v>
      </c>
      <c r="BM125" s="386">
        <f t="shared" si="104"/>
        <v>0</v>
      </c>
      <c r="BN125" s="386">
        <f t="shared" si="125"/>
        <v>13750</v>
      </c>
      <c r="BO125" s="386">
        <f t="shared" si="126"/>
        <v>0</v>
      </c>
      <c r="BP125" s="386">
        <f t="shared" si="127"/>
        <v>5991.4816000000001</v>
      </c>
      <c r="BQ125" s="386">
        <f t="shared" si="128"/>
        <v>1401.2336</v>
      </c>
      <c r="BR125" s="386">
        <f t="shared" si="129"/>
        <v>10803.99424</v>
      </c>
      <c r="BS125" s="386">
        <f t="shared" si="130"/>
        <v>696.75132800000006</v>
      </c>
      <c r="BT125" s="386">
        <f t="shared" si="131"/>
        <v>0</v>
      </c>
      <c r="BU125" s="386">
        <f t="shared" si="132"/>
        <v>0</v>
      </c>
      <c r="BV125" s="386">
        <f t="shared" si="133"/>
        <v>183.60992000000002</v>
      </c>
      <c r="BW125" s="386">
        <f t="shared" si="134"/>
        <v>0</v>
      </c>
      <c r="BX125" s="386">
        <f t="shared" si="105"/>
        <v>19077.070687999996</v>
      </c>
      <c r="BY125" s="386">
        <f t="shared" si="106"/>
        <v>0</v>
      </c>
      <c r="BZ125" s="386">
        <f t="shared" si="107"/>
        <v>1250</v>
      </c>
      <c r="CA125" s="386">
        <f t="shared" si="108"/>
        <v>0</v>
      </c>
      <c r="CB125" s="386">
        <f t="shared" si="109"/>
        <v>0</v>
      </c>
      <c r="CC125" s="386">
        <f t="shared" si="135"/>
        <v>0</v>
      </c>
      <c r="CD125" s="386">
        <f t="shared" si="136"/>
        <v>-734.43968000000098</v>
      </c>
      <c r="CE125" s="386">
        <f t="shared" si="137"/>
        <v>0</v>
      </c>
      <c r="CF125" s="386">
        <f t="shared" si="138"/>
        <v>0</v>
      </c>
      <c r="CG125" s="386">
        <f t="shared" si="139"/>
        <v>0</v>
      </c>
      <c r="CH125" s="386">
        <f t="shared" si="140"/>
        <v>9.6636800000000047</v>
      </c>
      <c r="CI125" s="386">
        <f t="shared" si="141"/>
        <v>0</v>
      </c>
      <c r="CJ125" s="386">
        <f t="shared" si="110"/>
        <v>-724.77600000000098</v>
      </c>
      <c r="CK125" s="386" t="str">
        <f t="shared" si="111"/>
        <v/>
      </c>
      <c r="CL125" s="386" t="str">
        <f t="shared" si="112"/>
        <v/>
      </c>
      <c r="CM125" s="386" t="str">
        <f t="shared" si="113"/>
        <v/>
      </c>
      <c r="CN125" s="386" t="str">
        <f t="shared" si="114"/>
        <v>0001-00</v>
      </c>
    </row>
    <row r="126" spans="1:92" ht="15.75" thickBot="1" x14ac:dyDescent="0.3">
      <c r="A126" s="376" t="s">
        <v>162</v>
      </c>
      <c r="B126" s="376" t="s">
        <v>163</v>
      </c>
      <c r="C126" s="376" t="s">
        <v>405</v>
      </c>
      <c r="D126" s="376" t="s">
        <v>406</v>
      </c>
      <c r="E126" s="376" t="s">
        <v>166</v>
      </c>
      <c r="F126" s="377" t="s">
        <v>167</v>
      </c>
      <c r="G126" s="376" t="s">
        <v>495</v>
      </c>
      <c r="H126" s="378"/>
      <c r="I126" s="378"/>
      <c r="J126" s="376" t="s">
        <v>169</v>
      </c>
      <c r="K126" s="376" t="s">
        <v>407</v>
      </c>
      <c r="L126" s="376" t="s">
        <v>198</v>
      </c>
      <c r="M126" s="376" t="s">
        <v>172</v>
      </c>
      <c r="N126" s="376" t="s">
        <v>173</v>
      </c>
      <c r="O126" s="379">
        <v>1</v>
      </c>
      <c r="P126" s="384">
        <v>1</v>
      </c>
      <c r="Q126" s="384">
        <v>1</v>
      </c>
      <c r="R126" s="380">
        <v>80</v>
      </c>
      <c r="S126" s="384">
        <v>1</v>
      </c>
      <c r="T126" s="380">
        <v>49195.63</v>
      </c>
      <c r="U126" s="380">
        <v>0</v>
      </c>
      <c r="V126" s="380">
        <v>21174.99</v>
      </c>
      <c r="W126" s="380">
        <v>54537.599999999999</v>
      </c>
      <c r="X126" s="380">
        <v>23675.27</v>
      </c>
      <c r="Y126" s="380">
        <v>54537.599999999999</v>
      </c>
      <c r="Z126" s="380">
        <v>24516.25</v>
      </c>
      <c r="AA126" s="376" t="s">
        <v>408</v>
      </c>
      <c r="AB126" s="376" t="s">
        <v>409</v>
      </c>
      <c r="AC126" s="376" t="s">
        <v>410</v>
      </c>
      <c r="AD126" s="376" t="s">
        <v>411</v>
      </c>
      <c r="AE126" s="376" t="s">
        <v>407</v>
      </c>
      <c r="AF126" s="376" t="s">
        <v>178</v>
      </c>
      <c r="AG126" s="376" t="s">
        <v>179</v>
      </c>
      <c r="AH126" s="381">
        <v>26.22</v>
      </c>
      <c r="AI126" s="379">
        <v>3022</v>
      </c>
      <c r="AJ126" s="376" t="s">
        <v>180</v>
      </c>
      <c r="AK126" s="376" t="s">
        <v>181</v>
      </c>
      <c r="AL126" s="376" t="s">
        <v>182</v>
      </c>
      <c r="AM126" s="376" t="s">
        <v>183</v>
      </c>
      <c r="AN126" s="376" t="s">
        <v>66</v>
      </c>
      <c r="AO126" s="379">
        <v>80</v>
      </c>
      <c r="AP126" s="384">
        <v>1</v>
      </c>
      <c r="AQ126" s="384">
        <v>1</v>
      </c>
      <c r="AR126" s="382" t="s">
        <v>184</v>
      </c>
      <c r="AS126" s="386">
        <f t="shared" si="98"/>
        <v>1</v>
      </c>
      <c r="AT126">
        <f t="shared" si="99"/>
        <v>1</v>
      </c>
      <c r="AU126" s="386">
        <f>IF(AT126=0,"",IF(AND(AT126=1,M126="F",SUMIF(C2:C201,C126,AS2:AS201)&lt;=1),SUMIF(C2:C201,C126,AS2:AS201),IF(AND(AT126=1,M126="F",SUMIF(C2:C201,C126,AS2:AS201)&gt;1),1,"")))</f>
        <v>1</v>
      </c>
      <c r="AV126" s="386" t="str">
        <f>IF(AT126=0,"",IF(AND(AT126=3,M126="F",SUMIF(C2:C201,C126,AS2:AS201)&lt;=1),SUMIF(C2:C201,C126,AS2:AS201),IF(AND(AT126=3,M126="F",SUMIF(C2:C201,C126,AS2:AS201)&gt;1),1,"")))</f>
        <v/>
      </c>
      <c r="AW126" s="386">
        <f>SUMIF(C2:C201,C126,O2:O201)</f>
        <v>2</v>
      </c>
      <c r="AX126" s="386">
        <f>IF(AND(M126="F",AS126&lt;&gt;0),SUMIF(C2:C201,C126,W2:W201),0)</f>
        <v>54537.599999999999</v>
      </c>
      <c r="AY126" s="386">
        <f t="shared" si="100"/>
        <v>54537.599999999999</v>
      </c>
      <c r="AZ126" s="386" t="str">
        <f t="shared" si="101"/>
        <v/>
      </c>
      <c r="BA126" s="386">
        <f t="shared" si="102"/>
        <v>0</v>
      </c>
      <c r="BB126" s="386">
        <f t="shared" si="115"/>
        <v>12500</v>
      </c>
      <c r="BC126" s="386">
        <f t="shared" si="116"/>
        <v>0</v>
      </c>
      <c r="BD126" s="386">
        <f t="shared" si="117"/>
        <v>3381.3312000000001</v>
      </c>
      <c r="BE126" s="386">
        <f t="shared" si="118"/>
        <v>790.79520000000002</v>
      </c>
      <c r="BF126" s="386">
        <f t="shared" si="119"/>
        <v>6511.7894400000005</v>
      </c>
      <c r="BG126" s="386">
        <f t="shared" si="120"/>
        <v>393.21609599999999</v>
      </c>
      <c r="BH126" s="386">
        <f t="shared" si="121"/>
        <v>0</v>
      </c>
      <c r="BI126" s="386">
        <f t="shared" si="122"/>
        <v>0</v>
      </c>
      <c r="BJ126" s="386">
        <f t="shared" si="123"/>
        <v>98.16767999999999</v>
      </c>
      <c r="BK126" s="386">
        <f t="shared" si="124"/>
        <v>0</v>
      </c>
      <c r="BL126" s="386">
        <f t="shared" si="103"/>
        <v>11175.299616000002</v>
      </c>
      <c r="BM126" s="386">
        <f t="shared" si="104"/>
        <v>0</v>
      </c>
      <c r="BN126" s="386">
        <f t="shared" si="125"/>
        <v>13750</v>
      </c>
      <c r="BO126" s="386">
        <f t="shared" si="126"/>
        <v>0</v>
      </c>
      <c r="BP126" s="386">
        <f t="shared" si="127"/>
        <v>3381.3312000000001</v>
      </c>
      <c r="BQ126" s="386">
        <f t="shared" si="128"/>
        <v>790.79520000000002</v>
      </c>
      <c r="BR126" s="386">
        <f t="shared" si="129"/>
        <v>6097.30368</v>
      </c>
      <c r="BS126" s="386">
        <f t="shared" si="130"/>
        <v>393.21609599999999</v>
      </c>
      <c r="BT126" s="386">
        <f t="shared" si="131"/>
        <v>0</v>
      </c>
      <c r="BU126" s="386">
        <f t="shared" si="132"/>
        <v>0</v>
      </c>
      <c r="BV126" s="386">
        <f t="shared" si="133"/>
        <v>103.62143999999999</v>
      </c>
      <c r="BW126" s="386">
        <f t="shared" si="134"/>
        <v>0</v>
      </c>
      <c r="BX126" s="386">
        <f t="shared" si="105"/>
        <v>10766.267616000001</v>
      </c>
      <c r="BY126" s="386">
        <f t="shared" si="106"/>
        <v>0</v>
      </c>
      <c r="BZ126" s="386">
        <f t="shared" si="107"/>
        <v>1250</v>
      </c>
      <c r="CA126" s="386">
        <f t="shared" si="108"/>
        <v>0</v>
      </c>
      <c r="CB126" s="386">
        <f t="shared" si="109"/>
        <v>0</v>
      </c>
      <c r="CC126" s="386">
        <f t="shared" si="135"/>
        <v>0</v>
      </c>
      <c r="CD126" s="386">
        <f t="shared" si="136"/>
        <v>-414.48576000000048</v>
      </c>
      <c r="CE126" s="386">
        <f t="shared" si="137"/>
        <v>0</v>
      </c>
      <c r="CF126" s="386">
        <f t="shared" si="138"/>
        <v>0</v>
      </c>
      <c r="CG126" s="386">
        <f t="shared" si="139"/>
        <v>0</v>
      </c>
      <c r="CH126" s="386">
        <f t="shared" si="140"/>
        <v>5.4537600000000026</v>
      </c>
      <c r="CI126" s="386">
        <f t="shared" si="141"/>
        <v>0</v>
      </c>
      <c r="CJ126" s="386">
        <f t="shared" si="110"/>
        <v>-409.03200000000049</v>
      </c>
      <c r="CK126" s="386" t="str">
        <f t="shared" si="111"/>
        <v/>
      </c>
      <c r="CL126" s="386" t="str">
        <f t="shared" si="112"/>
        <v/>
      </c>
      <c r="CM126" s="386" t="str">
        <f t="shared" si="113"/>
        <v/>
      </c>
      <c r="CN126" s="386" t="str">
        <f t="shared" si="114"/>
        <v>0001-00</v>
      </c>
    </row>
    <row r="127" spans="1:92" ht="15.75" thickBot="1" x14ac:dyDescent="0.3">
      <c r="A127" s="376" t="s">
        <v>162</v>
      </c>
      <c r="B127" s="376" t="s">
        <v>163</v>
      </c>
      <c r="C127" s="376" t="s">
        <v>269</v>
      </c>
      <c r="D127" s="376" t="s">
        <v>270</v>
      </c>
      <c r="E127" s="376" t="s">
        <v>166</v>
      </c>
      <c r="F127" s="377" t="s">
        <v>167</v>
      </c>
      <c r="G127" s="376" t="s">
        <v>495</v>
      </c>
      <c r="H127" s="378"/>
      <c r="I127" s="378"/>
      <c r="J127" s="376" t="s">
        <v>220</v>
      </c>
      <c r="K127" s="376" t="s">
        <v>271</v>
      </c>
      <c r="L127" s="376" t="s">
        <v>167</v>
      </c>
      <c r="M127" s="376" t="s">
        <v>172</v>
      </c>
      <c r="N127" s="376" t="s">
        <v>173</v>
      </c>
      <c r="O127" s="379">
        <v>1</v>
      </c>
      <c r="P127" s="384">
        <v>0.05</v>
      </c>
      <c r="Q127" s="384">
        <v>0.05</v>
      </c>
      <c r="R127" s="380">
        <v>80</v>
      </c>
      <c r="S127" s="384">
        <v>0.05</v>
      </c>
      <c r="T127" s="380">
        <v>6335.59</v>
      </c>
      <c r="U127" s="380">
        <v>0</v>
      </c>
      <c r="V127" s="380">
        <v>1884.94</v>
      </c>
      <c r="W127" s="380">
        <v>6668.48</v>
      </c>
      <c r="X127" s="380">
        <v>1991.43</v>
      </c>
      <c r="Y127" s="380">
        <v>6668.48</v>
      </c>
      <c r="Z127" s="380">
        <v>2003.92</v>
      </c>
      <c r="AA127" s="376" t="s">
        <v>272</v>
      </c>
      <c r="AB127" s="376" t="s">
        <v>273</v>
      </c>
      <c r="AC127" s="376" t="s">
        <v>274</v>
      </c>
      <c r="AD127" s="376" t="s">
        <v>275</v>
      </c>
      <c r="AE127" s="376" t="s">
        <v>271</v>
      </c>
      <c r="AF127" s="376" t="s">
        <v>178</v>
      </c>
      <c r="AG127" s="376" t="s">
        <v>179</v>
      </c>
      <c r="AH127" s="381">
        <v>64.12</v>
      </c>
      <c r="AI127" s="381">
        <v>43348.5</v>
      </c>
      <c r="AJ127" s="376" t="s">
        <v>180</v>
      </c>
      <c r="AK127" s="376" t="s">
        <v>181</v>
      </c>
      <c r="AL127" s="376" t="s">
        <v>182</v>
      </c>
      <c r="AM127" s="376" t="s">
        <v>183</v>
      </c>
      <c r="AN127" s="376" t="s">
        <v>66</v>
      </c>
      <c r="AO127" s="379">
        <v>80</v>
      </c>
      <c r="AP127" s="384">
        <v>1</v>
      </c>
      <c r="AQ127" s="384">
        <v>0.05</v>
      </c>
      <c r="AR127" s="382" t="s">
        <v>184</v>
      </c>
      <c r="AS127" s="386">
        <f t="shared" si="98"/>
        <v>0.05</v>
      </c>
      <c r="AT127">
        <f t="shared" si="99"/>
        <v>1</v>
      </c>
      <c r="AU127" s="386">
        <f>IF(AT127=0,"",IF(AND(AT127=1,M127="F",SUMIF(C2:C201,C127,AS2:AS201)&lt;=1),SUMIF(C2:C201,C127,AS2:AS201),IF(AND(AT127=1,M127="F",SUMIF(C2:C201,C127,AS2:AS201)&gt;1),1,"")))</f>
        <v>1</v>
      </c>
      <c r="AV127" s="386" t="str">
        <f>IF(AT127=0,"",IF(AND(AT127=3,M127="F",SUMIF(C2:C201,C127,AS2:AS201)&lt;=1),SUMIF(C2:C201,C127,AS2:AS201),IF(AND(AT127=3,M127="F",SUMIF(C2:C201,C127,AS2:AS201)&gt;1),1,"")))</f>
        <v/>
      </c>
      <c r="AW127" s="386">
        <f>SUMIF(C2:C201,C127,O2:O201)</f>
        <v>4</v>
      </c>
      <c r="AX127" s="386">
        <f>IF(AND(M127="F",AS127&lt;&gt;0),SUMIF(C2:C201,C127,W2:W201),0)</f>
        <v>133369.59999999998</v>
      </c>
      <c r="AY127" s="386">
        <f t="shared" si="100"/>
        <v>6668.48</v>
      </c>
      <c r="AZ127" s="386" t="str">
        <f t="shared" si="101"/>
        <v/>
      </c>
      <c r="BA127" s="386">
        <f t="shared" si="102"/>
        <v>0</v>
      </c>
      <c r="BB127" s="386">
        <f t="shared" si="115"/>
        <v>625</v>
      </c>
      <c r="BC127" s="386">
        <f t="shared" si="116"/>
        <v>0</v>
      </c>
      <c r="BD127" s="386">
        <f t="shared" si="117"/>
        <v>413.44575999999995</v>
      </c>
      <c r="BE127" s="386">
        <f t="shared" si="118"/>
        <v>96.692959999999999</v>
      </c>
      <c r="BF127" s="386">
        <f t="shared" si="119"/>
        <v>796.21651199999997</v>
      </c>
      <c r="BG127" s="386">
        <f t="shared" si="120"/>
        <v>48.079740799999996</v>
      </c>
      <c r="BH127" s="386">
        <f t="shared" si="121"/>
        <v>0</v>
      </c>
      <c r="BI127" s="386">
        <f t="shared" si="122"/>
        <v>0</v>
      </c>
      <c r="BJ127" s="386">
        <f t="shared" si="123"/>
        <v>12.003264</v>
      </c>
      <c r="BK127" s="386">
        <f t="shared" si="124"/>
        <v>0</v>
      </c>
      <c r="BL127" s="386">
        <f t="shared" si="103"/>
        <v>1366.4382367999999</v>
      </c>
      <c r="BM127" s="386">
        <f t="shared" si="104"/>
        <v>0</v>
      </c>
      <c r="BN127" s="386">
        <f t="shared" si="125"/>
        <v>687.5</v>
      </c>
      <c r="BO127" s="386">
        <f t="shared" si="126"/>
        <v>0</v>
      </c>
      <c r="BP127" s="386">
        <f t="shared" si="127"/>
        <v>413.44575999999995</v>
      </c>
      <c r="BQ127" s="386">
        <f t="shared" si="128"/>
        <v>96.692959999999999</v>
      </c>
      <c r="BR127" s="386">
        <f t="shared" si="129"/>
        <v>745.5360639999999</v>
      </c>
      <c r="BS127" s="386">
        <f t="shared" si="130"/>
        <v>48.079740799999996</v>
      </c>
      <c r="BT127" s="386">
        <f t="shared" si="131"/>
        <v>0</v>
      </c>
      <c r="BU127" s="386">
        <f t="shared" si="132"/>
        <v>0</v>
      </c>
      <c r="BV127" s="386">
        <f t="shared" si="133"/>
        <v>12.670112</v>
      </c>
      <c r="BW127" s="386">
        <f t="shared" si="134"/>
        <v>0</v>
      </c>
      <c r="BX127" s="386">
        <f t="shared" si="105"/>
        <v>1316.4246367999999</v>
      </c>
      <c r="BY127" s="386">
        <f t="shared" si="106"/>
        <v>0</v>
      </c>
      <c r="BZ127" s="386">
        <f t="shared" si="107"/>
        <v>62.5</v>
      </c>
      <c r="CA127" s="386">
        <f t="shared" si="108"/>
        <v>0</v>
      </c>
      <c r="CB127" s="386">
        <f t="shared" si="109"/>
        <v>0</v>
      </c>
      <c r="CC127" s="386">
        <f t="shared" si="135"/>
        <v>0</v>
      </c>
      <c r="CD127" s="386">
        <f t="shared" si="136"/>
        <v>-50.680448000000062</v>
      </c>
      <c r="CE127" s="386">
        <f t="shared" si="137"/>
        <v>0</v>
      </c>
      <c r="CF127" s="386">
        <f t="shared" si="138"/>
        <v>0</v>
      </c>
      <c r="CG127" s="386">
        <f t="shared" si="139"/>
        <v>0</v>
      </c>
      <c r="CH127" s="386">
        <f t="shared" si="140"/>
        <v>0.66684800000000022</v>
      </c>
      <c r="CI127" s="386">
        <f t="shared" si="141"/>
        <v>0</v>
      </c>
      <c r="CJ127" s="386">
        <f t="shared" si="110"/>
        <v>-50.013600000000061</v>
      </c>
      <c r="CK127" s="386" t="str">
        <f t="shared" si="111"/>
        <v/>
      </c>
      <c r="CL127" s="386" t="str">
        <f t="shared" si="112"/>
        <v/>
      </c>
      <c r="CM127" s="386" t="str">
        <f t="shared" si="113"/>
        <v/>
      </c>
      <c r="CN127" s="386" t="str">
        <f t="shared" si="114"/>
        <v>0001-00</v>
      </c>
    </row>
    <row r="128" spans="1:92" ht="15.75" thickBot="1" x14ac:dyDescent="0.3">
      <c r="A128" s="376" t="s">
        <v>162</v>
      </c>
      <c r="B128" s="376" t="s">
        <v>163</v>
      </c>
      <c r="C128" s="376" t="s">
        <v>500</v>
      </c>
      <c r="D128" s="376" t="s">
        <v>413</v>
      </c>
      <c r="E128" s="376" t="s">
        <v>166</v>
      </c>
      <c r="F128" s="377" t="s">
        <v>167</v>
      </c>
      <c r="G128" s="376" t="s">
        <v>495</v>
      </c>
      <c r="H128" s="378"/>
      <c r="I128" s="378"/>
      <c r="J128" s="376" t="s">
        <v>169</v>
      </c>
      <c r="K128" s="376" t="s">
        <v>414</v>
      </c>
      <c r="L128" s="376" t="s">
        <v>167</v>
      </c>
      <c r="M128" s="376" t="s">
        <v>172</v>
      </c>
      <c r="N128" s="376" t="s">
        <v>173</v>
      </c>
      <c r="O128" s="379">
        <v>1</v>
      </c>
      <c r="P128" s="384">
        <v>1</v>
      </c>
      <c r="Q128" s="384">
        <v>1</v>
      </c>
      <c r="R128" s="380">
        <v>80</v>
      </c>
      <c r="S128" s="384">
        <v>1</v>
      </c>
      <c r="T128" s="380">
        <v>1280</v>
      </c>
      <c r="U128" s="380">
        <v>0</v>
      </c>
      <c r="V128" s="380">
        <v>802.51</v>
      </c>
      <c r="W128" s="380">
        <v>41600</v>
      </c>
      <c r="X128" s="380">
        <v>21024.25</v>
      </c>
      <c r="Y128" s="380">
        <v>41600</v>
      </c>
      <c r="Z128" s="380">
        <v>21962.25</v>
      </c>
      <c r="AA128" s="376" t="s">
        <v>501</v>
      </c>
      <c r="AB128" s="376" t="s">
        <v>502</v>
      </c>
      <c r="AC128" s="376" t="s">
        <v>503</v>
      </c>
      <c r="AD128" s="376" t="s">
        <v>285</v>
      </c>
      <c r="AE128" s="376" t="s">
        <v>414</v>
      </c>
      <c r="AF128" s="376" t="s">
        <v>178</v>
      </c>
      <c r="AG128" s="376" t="s">
        <v>179</v>
      </c>
      <c r="AH128" s="379">
        <v>20</v>
      </c>
      <c r="AI128" s="381">
        <v>2931.3</v>
      </c>
      <c r="AJ128" s="376" t="s">
        <v>180</v>
      </c>
      <c r="AK128" s="376" t="s">
        <v>181</v>
      </c>
      <c r="AL128" s="376" t="s">
        <v>182</v>
      </c>
      <c r="AM128" s="376" t="s">
        <v>183</v>
      </c>
      <c r="AN128" s="376" t="s">
        <v>66</v>
      </c>
      <c r="AO128" s="379">
        <v>80</v>
      </c>
      <c r="AP128" s="384">
        <v>1</v>
      </c>
      <c r="AQ128" s="384">
        <v>1</v>
      </c>
      <c r="AR128" s="382" t="s">
        <v>184</v>
      </c>
      <c r="AS128" s="386">
        <f t="shared" si="98"/>
        <v>1</v>
      </c>
      <c r="AT128">
        <f t="shared" si="99"/>
        <v>1</v>
      </c>
      <c r="AU128" s="386">
        <f>IF(AT128=0,"",IF(AND(AT128=1,M128="F",SUMIF(C2:C201,C128,AS2:AS201)&lt;=1),SUMIF(C2:C201,C128,AS2:AS201),IF(AND(AT128=1,M128="F",SUMIF(C2:C201,C128,AS2:AS201)&gt;1),1,"")))</f>
        <v>1</v>
      </c>
      <c r="AV128" s="386" t="str">
        <f>IF(AT128=0,"",IF(AND(AT128=3,M128="F",SUMIF(C2:C201,C128,AS2:AS201)&lt;=1),SUMIF(C2:C201,C128,AS2:AS201),IF(AND(AT128=3,M128="F",SUMIF(C2:C201,C128,AS2:AS201)&gt;1),1,"")))</f>
        <v/>
      </c>
      <c r="AW128" s="386">
        <f>SUMIF(C2:C201,C128,O2:O201)</f>
        <v>1</v>
      </c>
      <c r="AX128" s="386">
        <f>IF(AND(M128="F",AS128&lt;&gt;0),SUMIF(C2:C201,C128,W2:W201),0)</f>
        <v>41600</v>
      </c>
      <c r="AY128" s="386">
        <f t="shared" si="100"/>
        <v>41600</v>
      </c>
      <c r="AZ128" s="386" t="str">
        <f t="shared" si="101"/>
        <v/>
      </c>
      <c r="BA128" s="386">
        <f t="shared" si="102"/>
        <v>0</v>
      </c>
      <c r="BB128" s="386">
        <f t="shared" si="115"/>
        <v>12500</v>
      </c>
      <c r="BC128" s="386">
        <f t="shared" si="116"/>
        <v>0</v>
      </c>
      <c r="BD128" s="386">
        <f t="shared" si="117"/>
        <v>2579.1999999999998</v>
      </c>
      <c r="BE128" s="386">
        <f t="shared" si="118"/>
        <v>603.20000000000005</v>
      </c>
      <c r="BF128" s="386">
        <f t="shared" si="119"/>
        <v>4967.04</v>
      </c>
      <c r="BG128" s="386">
        <f t="shared" si="120"/>
        <v>299.93600000000004</v>
      </c>
      <c r="BH128" s="386">
        <f t="shared" si="121"/>
        <v>0</v>
      </c>
      <c r="BI128" s="386">
        <f t="shared" si="122"/>
        <v>0</v>
      </c>
      <c r="BJ128" s="386">
        <f t="shared" si="123"/>
        <v>74.88</v>
      </c>
      <c r="BK128" s="386">
        <f t="shared" si="124"/>
        <v>0</v>
      </c>
      <c r="BL128" s="386">
        <f t="shared" si="103"/>
        <v>8524.2559999999994</v>
      </c>
      <c r="BM128" s="386">
        <f t="shared" si="104"/>
        <v>0</v>
      </c>
      <c r="BN128" s="386">
        <f t="shared" si="125"/>
        <v>13750</v>
      </c>
      <c r="BO128" s="386">
        <f t="shared" si="126"/>
        <v>0</v>
      </c>
      <c r="BP128" s="386">
        <f t="shared" si="127"/>
        <v>2579.1999999999998</v>
      </c>
      <c r="BQ128" s="386">
        <f t="shared" si="128"/>
        <v>603.20000000000005</v>
      </c>
      <c r="BR128" s="386">
        <f t="shared" si="129"/>
        <v>4650.88</v>
      </c>
      <c r="BS128" s="386">
        <f t="shared" si="130"/>
        <v>299.93600000000004</v>
      </c>
      <c r="BT128" s="386">
        <f t="shared" si="131"/>
        <v>0</v>
      </c>
      <c r="BU128" s="386">
        <f t="shared" si="132"/>
        <v>0</v>
      </c>
      <c r="BV128" s="386">
        <f t="shared" si="133"/>
        <v>79.040000000000006</v>
      </c>
      <c r="BW128" s="386">
        <f t="shared" si="134"/>
        <v>0</v>
      </c>
      <c r="BX128" s="386">
        <f t="shared" si="105"/>
        <v>8212.2559999999994</v>
      </c>
      <c r="BY128" s="386">
        <f t="shared" si="106"/>
        <v>0</v>
      </c>
      <c r="BZ128" s="386">
        <f t="shared" si="107"/>
        <v>1250</v>
      </c>
      <c r="CA128" s="386">
        <f t="shared" si="108"/>
        <v>0</v>
      </c>
      <c r="CB128" s="386">
        <f t="shared" si="109"/>
        <v>0</v>
      </c>
      <c r="CC128" s="386">
        <f t="shared" si="135"/>
        <v>0</v>
      </c>
      <c r="CD128" s="386">
        <f t="shared" si="136"/>
        <v>-316.16000000000042</v>
      </c>
      <c r="CE128" s="386">
        <f t="shared" si="137"/>
        <v>0</v>
      </c>
      <c r="CF128" s="386">
        <f t="shared" si="138"/>
        <v>0</v>
      </c>
      <c r="CG128" s="386">
        <f t="shared" si="139"/>
        <v>0</v>
      </c>
      <c r="CH128" s="386">
        <f t="shared" si="140"/>
        <v>4.1600000000000019</v>
      </c>
      <c r="CI128" s="386">
        <f t="shared" si="141"/>
        <v>0</v>
      </c>
      <c r="CJ128" s="386">
        <f t="shared" si="110"/>
        <v>-312.0000000000004</v>
      </c>
      <c r="CK128" s="386" t="str">
        <f t="shared" si="111"/>
        <v/>
      </c>
      <c r="CL128" s="386" t="str">
        <f t="shared" si="112"/>
        <v/>
      </c>
      <c r="CM128" s="386" t="str">
        <f t="shared" si="113"/>
        <v/>
      </c>
      <c r="CN128" s="386" t="str">
        <f t="shared" si="114"/>
        <v>0001-00</v>
      </c>
    </row>
    <row r="129" spans="1:92" ht="15.75" thickBot="1" x14ac:dyDescent="0.3">
      <c r="A129" s="376" t="s">
        <v>162</v>
      </c>
      <c r="B129" s="376" t="s">
        <v>163</v>
      </c>
      <c r="C129" s="376" t="s">
        <v>412</v>
      </c>
      <c r="D129" s="376" t="s">
        <v>413</v>
      </c>
      <c r="E129" s="376" t="s">
        <v>166</v>
      </c>
      <c r="F129" s="377" t="s">
        <v>167</v>
      </c>
      <c r="G129" s="376" t="s">
        <v>495</v>
      </c>
      <c r="H129" s="378"/>
      <c r="I129" s="378"/>
      <c r="J129" s="376" t="s">
        <v>169</v>
      </c>
      <c r="K129" s="376" t="s">
        <v>414</v>
      </c>
      <c r="L129" s="376" t="s">
        <v>167</v>
      </c>
      <c r="M129" s="376" t="s">
        <v>172</v>
      </c>
      <c r="N129" s="376" t="s">
        <v>173</v>
      </c>
      <c r="O129" s="379">
        <v>1</v>
      </c>
      <c r="P129" s="384">
        <v>1</v>
      </c>
      <c r="Q129" s="384">
        <v>1</v>
      </c>
      <c r="R129" s="380">
        <v>80</v>
      </c>
      <c r="S129" s="384">
        <v>1</v>
      </c>
      <c r="T129" s="380">
        <v>53405.61</v>
      </c>
      <c r="U129" s="380">
        <v>0</v>
      </c>
      <c r="V129" s="380">
        <v>21957.24</v>
      </c>
      <c r="W129" s="380">
        <v>51833.599999999999</v>
      </c>
      <c r="X129" s="380">
        <v>23121.21</v>
      </c>
      <c r="Y129" s="380">
        <v>51833.599999999999</v>
      </c>
      <c r="Z129" s="380">
        <v>23982.45</v>
      </c>
      <c r="AA129" s="376" t="s">
        <v>415</v>
      </c>
      <c r="AB129" s="376" t="s">
        <v>416</v>
      </c>
      <c r="AC129" s="376" t="s">
        <v>417</v>
      </c>
      <c r="AD129" s="376" t="s">
        <v>179</v>
      </c>
      <c r="AE129" s="376" t="s">
        <v>414</v>
      </c>
      <c r="AF129" s="376" t="s">
        <v>178</v>
      </c>
      <c r="AG129" s="376" t="s">
        <v>179</v>
      </c>
      <c r="AH129" s="381">
        <v>24.92</v>
      </c>
      <c r="AI129" s="381">
        <v>9517.2000000000007</v>
      </c>
      <c r="AJ129" s="376" t="s">
        <v>180</v>
      </c>
      <c r="AK129" s="376" t="s">
        <v>181</v>
      </c>
      <c r="AL129" s="376" t="s">
        <v>182</v>
      </c>
      <c r="AM129" s="376" t="s">
        <v>183</v>
      </c>
      <c r="AN129" s="376" t="s">
        <v>66</v>
      </c>
      <c r="AO129" s="379">
        <v>80</v>
      </c>
      <c r="AP129" s="384">
        <v>1</v>
      </c>
      <c r="AQ129" s="384">
        <v>1</v>
      </c>
      <c r="AR129" s="382" t="s">
        <v>184</v>
      </c>
      <c r="AS129" s="386">
        <f t="shared" si="98"/>
        <v>1</v>
      </c>
      <c r="AT129">
        <f t="shared" si="99"/>
        <v>1</v>
      </c>
      <c r="AU129" s="386">
        <f>IF(AT129=0,"",IF(AND(AT129=1,M129="F",SUMIF(C2:C201,C129,AS2:AS201)&lt;=1),SUMIF(C2:C201,C129,AS2:AS201),IF(AND(AT129=1,M129="F",SUMIF(C2:C201,C129,AS2:AS201)&gt;1),1,"")))</f>
        <v>1</v>
      </c>
      <c r="AV129" s="386" t="str">
        <f>IF(AT129=0,"",IF(AND(AT129=3,M129="F",SUMIF(C2:C201,C129,AS2:AS201)&lt;=1),SUMIF(C2:C201,C129,AS2:AS201),IF(AND(AT129=3,M129="F",SUMIF(C2:C201,C129,AS2:AS201)&gt;1),1,"")))</f>
        <v/>
      </c>
      <c r="AW129" s="386">
        <f>SUMIF(C2:C201,C129,O2:O201)</f>
        <v>2</v>
      </c>
      <c r="AX129" s="386">
        <f>IF(AND(M129="F",AS129&lt;&gt;0),SUMIF(C2:C201,C129,W2:W201),0)</f>
        <v>51833.599999999999</v>
      </c>
      <c r="AY129" s="386">
        <f t="shared" si="100"/>
        <v>51833.599999999999</v>
      </c>
      <c r="AZ129" s="386" t="str">
        <f t="shared" si="101"/>
        <v/>
      </c>
      <c r="BA129" s="386">
        <f t="shared" si="102"/>
        <v>0</v>
      </c>
      <c r="BB129" s="386">
        <f t="shared" si="115"/>
        <v>12500</v>
      </c>
      <c r="BC129" s="386">
        <f t="shared" si="116"/>
        <v>0</v>
      </c>
      <c r="BD129" s="386">
        <f t="shared" si="117"/>
        <v>3213.6831999999999</v>
      </c>
      <c r="BE129" s="386">
        <f t="shared" si="118"/>
        <v>751.58720000000005</v>
      </c>
      <c r="BF129" s="386">
        <f t="shared" si="119"/>
        <v>6188.9318400000002</v>
      </c>
      <c r="BG129" s="386">
        <f t="shared" si="120"/>
        <v>373.72025600000001</v>
      </c>
      <c r="BH129" s="386">
        <f t="shared" si="121"/>
        <v>0</v>
      </c>
      <c r="BI129" s="386">
        <f t="shared" si="122"/>
        <v>0</v>
      </c>
      <c r="BJ129" s="386">
        <f t="shared" si="123"/>
        <v>93.300479999999993</v>
      </c>
      <c r="BK129" s="386">
        <f t="shared" si="124"/>
        <v>0</v>
      </c>
      <c r="BL129" s="386">
        <f t="shared" si="103"/>
        <v>10621.222976000001</v>
      </c>
      <c r="BM129" s="386">
        <f t="shared" si="104"/>
        <v>0</v>
      </c>
      <c r="BN129" s="386">
        <f t="shared" si="125"/>
        <v>13750</v>
      </c>
      <c r="BO129" s="386">
        <f t="shared" si="126"/>
        <v>0</v>
      </c>
      <c r="BP129" s="386">
        <f t="shared" si="127"/>
        <v>3213.6831999999999</v>
      </c>
      <c r="BQ129" s="386">
        <f t="shared" si="128"/>
        <v>751.58720000000005</v>
      </c>
      <c r="BR129" s="386">
        <f t="shared" si="129"/>
        <v>5794.9964799999998</v>
      </c>
      <c r="BS129" s="386">
        <f t="shared" si="130"/>
        <v>373.72025600000001</v>
      </c>
      <c r="BT129" s="386">
        <f t="shared" si="131"/>
        <v>0</v>
      </c>
      <c r="BU129" s="386">
        <f t="shared" si="132"/>
        <v>0</v>
      </c>
      <c r="BV129" s="386">
        <f t="shared" si="133"/>
        <v>98.483840000000001</v>
      </c>
      <c r="BW129" s="386">
        <f t="shared" si="134"/>
        <v>0</v>
      </c>
      <c r="BX129" s="386">
        <f t="shared" si="105"/>
        <v>10232.470976000001</v>
      </c>
      <c r="BY129" s="386">
        <f t="shared" si="106"/>
        <v>0</v>
      </c>
      <c r="BZ129" s="386">
        <f t="shared" si="107"/>
        <v>1250</v>
      </c>
      <c r="CA129" s="386">
        <f t="shared" si="108"/>
        <v>0</v>
      </c>
      <c r="CB129" s="386">
        <f t="shared" si="109"/>
        <v>0</v>
      </c>
      <c r="CC129" s="386">
        <f t="shared" si="135"/>
        <v>0</v>
      </c>
      <c r="CD129" s="386">
        <f t="shared" si="136"/>
        <v>-393.93536000000046</v>
      </c>
      <c r="CE129" s="386">
        <f t="shared" si="137"/>
        <v>0</v>
      </c>
      <c r="CF129" s="386">
        <f t="shared" si="138"/>
        <v>0</v>
      </c>
      <c r="CG129" s="386">
        <f t="shared" si="139"/>
        <v>0</v>
      </c>
      <c r="CH129" s="386">
        <f t="shared" si="140"/>
        <v>5.1833600000000022</v>
      </c>
      <c r="CI129" s="386">
        <f t="shared" si="141"/>
        <v>0</v>
      </c>
      <c r="CJ129" s="386">
        <f t="shared" si="110"/>
        <v>-388.75200000000046</v>
      </c>
      <c r="CK129" s="386" t="str">
        <f t="shared" si="111"/>
        <v/>
      </c>
      <c r="CL129" s="386" t="str">
        <f t="shared" si="112"/>
        <v/>
      </c>
      <c r="CM129" s="386" t="str">
        <f t="shared" si="113"/>
        <v/>
      </c>
      <c r="CN129" s="386" t="str">
        <f t="shared" si="114"/>
        <v>0001-00</v>
      </c>
    </row>
    <row r="130" spans="1:92" ht="15.75" thickBot="1" x14ac:dyDescent="0.3">
      <c r="A130" s="376" t="s">
        <v>162</v>
      </c>
      <c r="B130" s="376" t="s">
        <v>163</v>
      </c>
      <c r="C130" s="376" t="s">
        <v>426</v>
      </c>
      <c r="D130" s="376" t="s">
        <v>427</v>
      </c>
      <c r="E130" s="376" t="s">
        <v>166</v>
      </c>
      <c r="F130" s="377" t="s">
        <v>167</v>
      </c>
      <c r="G130" s="376" t="s">
        <v>495</v>
      </c>
      <c r="H130" s="378"/>
      <c r="I130" s="378"/>
      <c r="J130" s="376" t="s">
        <v>169</v>
      </c>
      <c r="K130" s="376" t="s">
        <v>428</v>
      </c>
      <c r="L130" s="376" t="s">
        <v>167</v>
      </c>
      <c r="M130" s="376" t="s">
        <v>172</v>
      </c>
      <c r="N130" s="376" t="s">
        <v>173</v>
      </c>
      <c r="O130" s="379">
        <v>1</v>
      </c>
      <c r="P130" s="384">
        <v>1</v>
      </c>
      <c r="Q130" s="384">
        <v>1</v>
      </c>
      <c r="R130" s="380">
        <v>80</v>
      </c>
      <c r="S130" s="384">
        <v>1</v>
      </c>
      <c r="T130" s="380">
        <v>75872.800000000003</v>
      </c>
      <c r="U130" s="380">
        <v>0</v>
      </c>
      <c r="V130" s="380">
        <v>26450.14</v>
      </c>
      <c r="W130" s="380">
        <v>78852.800000000003</v>
      </c>
      <c r="X130" s="380">
        <v>28657.7</v>
      </c>
      <c r="Y130" s="380">
        <v>78852.800000000003</v>
      </c>
      <c r="Z130" s="380">
        <v>29316.31</v>
      </c>
      <c r="AA130" s="376" t="s">
        <v>429</v>
      </c>
      <c r="AB130" s="376" t="s">
        <v>430</v>
      </c>
      <c r="AC130" s="376" t="s">
        <v>431</v>
      </c>
      <c r="AD130" s="376" t="s">
        <v>432</v>
      </c>
      <c r="AE130" s="376" t="s">
        <v>428</v>
      </c>
      <c r="AF130" s="376" t="s">
        <v>178</v>
      </c>
      <c r="AG130" s="376" t="s">
        <v>179</v>
      </c>
      <c r="AH130" s="381">
        <v>37.909999999999997</v>
      </c>
      <c r="AI130" s="381">
        <v>31041.5</v>
      </c>
      <c r="AJ130" s="376" t="s">
        <v>180</v>
      </c>
      <c r="AK130" s="376" t="s">
        <v>181</v>
      </c>
      <c r="AL130" s="376" t="s">
        <v>182</v>
      </c>
      <c r="AM130" s="376" t="s">
        <v>183</v>
      </c>
      <c r="AN130" s="376" t="s">
        <v>66</v>
      </c>
      <c r="AO130" s="379">
        <v>80</v>
      </c>
      <c r="AP130" s="384">
        <v>1</v>
      </c>
      <c r="AQ130" s="384">
        <v>1</v>
      </c>
      <c r="AR130" s="382" t="s">
        <v>184</v>
      </c>
      <c r="AS130" s="386">
        <f t="shared" si="98"/>
        <v>1</v>
      </c>
      <c r="AT130">
        <f t="shared" si="99"/>
        <v>1</v>
      </c>
      <c r="AU130" s="386">
        <f>IF(AT130=0,"",IF(AND(AT130=1,M130="F",SUMIF(C2:C201,C130,AS2:AS201)&lt;=1),SUMIF(C2:C201,C130,AS2:AS201),IF(AND(AT130=1,M130="F",SUMIF(C2:C201,C130,AS2:AS201)&gt;1),1,"")))</f>
        <v>1</v>
      </c>
      <c r="AV130" s="386" t="str">
        <f>IF(AT130=0,"",IF(AND(AT130=3,M130="F",SUMIF(C2:C201,C130,AS2:AS201)&lt;=1),SUMIF(C2:C201,C130,AS2:AS201),IF(AND(AT130=3,M130="F",SUMIF(C2:C201,C130,AS2:AS201)&gt;1),1,"")))</f>
        <v/>
      </c>
      <c r="AW130" s="386">
        <f>SUMIF(C2:C201,C130,O2:O201)</f>
        <v>2</v>
      </c>
      <c r="AX130" s="386">
        <f>IF(AND(M130="F",AS130&lt;&gt;0),SUMIF(C2:C201,C130,W2:W201),0)</f>
        <v>78852.800000000003</v>
      </c>
      <c r="AY130" s="386">
        <f t="shared" si="100"/>
        <v>78852.800000000003</v>
      </c>
      <c r="AZ130" s="386" t="str">
        <f t="shared" si="101"/>
        <v/>
      </c>
      <c r="BA130" s="386">
        <f t="shared" si="102"/>
        <v>0</v>
      </c>
      <c r="BB130" s="386">
        <f t="shared" ref="BB130:BB161" si="142">IF(AND(AT130=1,AK130="E",AU130&gt;=0.75,AW130=1),Health,IF(AND(AT130=1,AK130="E",AU130&gt;=0.75),Health*P130,IF(AND(AT130=1,AK130="E",AU130&gt;=0.5,AW130=1),PTHealth,IF(AND(AT130=1,AK130="E",AU130&gt;=0.5),PTHealth*P130,0))))</f>
        <v>12500</v>
      </c>
      <c r="BC130" s="386">
        <f t="shared" ref="BC130:BC161" si="143">IF(AND(AT130=3,AK130="E",AV130&gt;=0.75,AW130=1),Health,IF(AND(AT130=3,AK130="E",AV130&gt;=0.75),Health*P130,IF(AND(AT130=3,AK130="E",AV130&gt;=0.5,AW130=1),PTHealth,IF(AND(AT130=3,AK130="E",AV130&gt;=0.5),PTHealth*P130,0))))</f>
        <v>0</v>
      </c>
      <c r="BD130" s="386">
        <f t="shared" ref="BD130:BD161" si="144">IF(AND(AT130&lt;&gt;0,AX130&gt;=MAXSSDI),SSDI*MAXSSDI*P130,IF(AT130&lt;&gt;0,SSDI*W130,0))</f>
        <v>4888.8735999999999</v>
      </c>
      <c r="BE130" s="386">
        <f t="shared" ref="BE130:BE161" si="145">IF(AT130&lt;&gt;0,SSHI*W130,0)</f>
        <v>1143.3656000000001</v>
      </c>
      <c r="BF130" s="386">
        <f t="shared" ref="BF130:BF161" si="146">IF(AND(AT130&lt;&gt;0,AN130&lt;&gt;"NE"),VLOOKUP(AN130,Retirement_Rates,3,FALSE)*W130,0)</f>
        <v>9415.0243200000004</v>
      </c>
      <c r="BG130" s="386">
        <f t="shared" ref="BG130:BG161" si="147">IF(AND(AT130&lt;&gt;0,AJ130&lt;&gt;"PF"),Life*W130,0)</f>
        <v>568.52868799999999</v>
      </c>
      <c r="BH130" s="386">
        <f t="shared" ref="BH130:BH161" si="148">IF(AND(AT130&lt;&gt;0,AM130="Y"),UI*W130,0)</f>
        <v>0</v>
      </c>
      <c r="BI130" s="386">
        <f t="shared" ref="BI130:BI161" si="149">IF(AND(AT130&lt;&gt;0,N130&lt;&gt;"NR"),DHR*W130,0)</f>
        <v>0</v>
      </c>
      <c r="BJ130" s="386">
        <f t="shared" ref="BJ130:BJ161" si="150">IF(AT130&lt;&gt;0,WC*W130,0)</f>
        <v>141.93504000000001</v>
      </c>
      <c r="BK130" s="386">
        <f t="shared" ref="BK130:BK161" si="151">IF(OR(AND(AT130&lt;&gt;0,AJ130&lt;&gt;"PF",AN130&lt;&gt;"NE",AG130&lt;&gt;"A"),AND(AL130="E",OR(AT130=1,AT130=3))),Sick*W130,0)</f>
        <v>0</v>
      </c>
      <c r="BL130" s="386">
        <f t="shared" si="103"/>
        <v>16157.727248000001</v>
      </c>
      <c r="BM130" s="386">
        <f t="shared" si="104"/>
        <v>0</v>
      </c>
      <c r="BN130" s="386">
        <f t="shared" ref="BN130:BN161" si="152">IF(AND(AT130=1,AK130="E",AU130&gt;=0.75,AW130=1),HealthBY,IF(AND(AT130=1,AK130="E",AU130&gt;=0.75),HealthBY*P130,IF(AND(AT130=1,AK130="E",AU130&gt;=0.5,AW130=1),PTHealthBY,IF(AND(AT130=1,AK130="E",AU130&gt;=0.5),PTHealthBY*P130,0))))</f>
        <v>13750</v>
      </c>
      <c r="BO130" s="386">
        <f t="shared" ref="BO130:BO161" si="153">IF(AND(AT130=3,AK130="E",AV130&gt;=0.75,AW130=1),HealthBY,IF(AND(AT130=3,AK130="E",AV130&gt;=0.75),HealthBY*P130,IF(AND(AT130=3,AK130="E",AV130&gt;=0.5,AW130=1),PTHealthBY,IF(AND(AT130=3,AK130="E",AV130&gt;=0.5),PTHealthBY*P130,0))))</f>
        <v>0</v>
      </c>
      <c r="BP130" s="386">
        <f t="shared" ref="BP130:BP161" si="154">IF(AND(AT130&lt;&gt;0,(AX130+BA130)&gt;=MAXSSDIBY),SSDIBY*MAXSSDIBY*P130,IF(AT130&lt;&gt;0,SSDIBY*W130,0))</f>
        <v>4888.8735999999999</v>
      </c>
      <c r="BQ130" s="386">
        <f t="shared" ref="BQ130:BQ161" si="155">IF(AT130&lt;&gt;0,SSHIBY*W130,0)</f>
        <v>1143.3656000000001</v>
      </c>
      <c r="BR130" s="386">
        <f t="shared" ref="BR130:BR161" si="156">IF(AND(AT130&lt;&gt;0,AN130&lt;&gt;"NE"),VLOOKUP(AN130,Retirement_Rates,4,FALSE)*W130,0)</f>
        <v>8815.7430399999994</v>
      </c>
      <c r="BS130" s="386">
        <f t="shared" ref="BS130:BS161" si="157">IF(AND(AT130&lt;&gt;0,AJ130&lt;&gt;"PF"),LifeBY*W130,0)</f>
        <v>568.52868799999999</v>
      </c>
      <c r="BT130" s="386">
        <f t="shared" ref="BT130:BT161" si="158">IF(AND(AT130&lt;&gt;0,AM130="Y"),UIBY*W130,0)</f>
        <v>0</v>
      </c>
      <c r="BU130" s="386">
        <f t="shared" ref="BU130:BU161" si="159">IF(AND(AT130&lt;&gt;0,N130&lt;&gt;"NR"),DHRBY*W130,0)</f>
        <v>0</v>
      </c>
      <c r="BV130" s="386">
        <f t="shared" ref="BV130:BV161" si="160">IF(AT130&lt;&gt;0,WCBY*W130,0)</f>
        <v>149.82032000000001</v>
      </c>
      <c r="BW130" s="386">
        <f t="shared" ref="BW130:BW161" si="161">IF(OR(AND(AT130&lt;&gt;0,AJ130&lt;&gt;"PF",AN130&lt;&gt;"NE",AG130&lt;&gt;"A"),AND(AL130="E",OR(AT130=1,AT130=3))),SickBY*W130,0)</f>
        <v>0</v>
      </c>
      <c r="BX130" s="386">
        <f t="shared" si="105"/>
        <v>15566.331248</v>
      </c>
      <c r="BY130" s="386">
        <f t="shared" si="106"/>
        <v>0</v>
      </c>
      <c r="BZ130" s="386">
        <f t="shared" si="107"/>
        <v>1250</v>
      </c>
      <c r="CA130" s="386">
        <f t="shared" si="108"/>
        <v>0</v>
      </c>
      <c r="CB130" s="386">
        <f t="shared" si="109"/>
        <v>0</v>
      </c>
      <c r="CC130" s="386">
        <f t="shared" ref="CC130:CC161" si="162">IF(AT130&lt;&gt;0,SSHICHG*Y130,0)</f>
        <v>0</v>
      </c>
      <c r="CD130" s="386">
        <f t="shared" ref="CD130:CD161" si="163">IF(AND(AT130&lt;&gt;0,AN130&lt;&gt;"NE"),VLOOKUP(AN130,Retirement_Rates,5,FALSE)*Y130,0)</f>
        <v>-599.28128000000072</v>
      </c>
      <c r="CE130" s="386">
        <f t="shared" ref="CE130:CE161" si="164">IF(AND(AT130&lt;&gt;0,AJ130&lt;&gt;"PF"),LifeCHG*Y130,0)</f>
        <v>0</v>
      </c>
      <c r="CF130" s="386">
        <f t="shared" ref="CF130:CF161" si="165">IF(AND(AT130&lt;&gt;0,AM130="Y"),UICHG*Y130,0)</f>
        <v>0</v>
      </c>
      <c r="CG130" s="386">
        <f t="shared" ref="CG130:CG161" si="166">IF(AND(AT130&lt;&gt;0,N130&lt;&gt;"NR"),DHRCHG*Y130,0)</f>
        <v>0</v>
      </c>
      <c r="CH130" s="386">
        <f t="shared" ref="CH130:CH161" si="167">IF(AT130&lt;&gt;0,WCCHG*Y130,0)</f>
        <v>7.8852800000000043</v>
      </c>
      <c r="CI130" s="386">
        <f t="shared" ref="CI130:CI161" si="168">IF(OR(AND(AT130&lt;&gt;0,AJ130&lt;&gt;"PF",AN130&lt;&gt;"NE",AG130&lt;&gt;"A"),AND(AL130="E",OR(AT130=1,AT130=3))),SickCHG*Y130,0)</f>
        <v>0</v>
      </c>
      <c r="CJ130" s="386">
        <f t="shared" si="110"/>
        <v>-591.39600000000075</v>
      </c>
      <c r="CK130" s="386" t="str">
        <f t="shared" si="111"/>
        <v/>
      </c>
      <c r="CL130" s="386" t="str">
        <f t="shared" si="112"/>
        <v/>
      </c>
      <c r="CM130" s="386" t="str">
        <f t="shared" si="113"/>
        <v/>
      </c>
      <c r="CN130" s="386" t="str">
        <f t="shared" si="114"/>
        <v>0001-00</v>
      </c>
    </row>
    <row r="131" spans="1:92" ht="15.75" thickBot="1" x14ac:dyDescent="0.3">
      <c r="A131" s="376" t="s">
        <v>162</v>
      </c>
      <c r="B131" s="376" t="s">
        <v>163</v>
      </c>
      <c r="C131" s="376" t="s">
        <v>438</v>
      </c>
      <c r="D131" s="376" t="s">
        <v>439</v>
      </c>
      <c r="E131" s="376" t="s">
        <v>166</v>
      </c>
      <c r="F131" s="377" t="s">
        <v>167</v>
      </c>
      <c r="G131" s="376" t="s">
        <v>495</v>
      </c>
      <c r="H131" s="378"/>
      <c r="I131" s="378"/>
      <c r="J131" s="376" t="s">
        <v>169</v>
      </c>
      <c r="K131" s="376" t="s">
        <v>440</v>
      </c>
      <c r="L131" s="376" t="s">
        <v>167</v>
      </c>
      <c r="M131" s="376" t="s">
        <v>172</v>
      </c>
      <c r="N131" s="376" t="s">
        <v>173</v>
      </c>
      <c r="O131" s="379">
        <v>1</v>
      </c>
      <c r="P131" s="384">
        <v>1</v>
      </c>
      <c r="Q131" s="384">
        <v>1</v>
      </c>
      <c r="R131" s="380">
        <v>80</v>
      </c>
      <c r="S131" s="384">
        <v>1</v>
      </c>
      <c r="T131" s="380">
        <v>94902.41</v>
      </c>
      <c r="U131" s="380">
        <v>0</v>
      </c>
      <c r="V131" s="380">
        <v>30095.15</v>
      </c>
      <c r="W131" s="380">
        <v>93142.399999999994</v>
      </c>
      <c r="X131" s="380">
        <v>31585.78</v>
      </c>
      <c r="Y131" s="380">
        <v>93142.399999999994</v>
      </c>
      <c r="Z131" s="380">
        <v>32137.22</v>
      </c>
      <c r="AA131" s="376" t="s">
        <v>441</v>
      </c>
      <c r="AB131" s="376" t="s">
        <v>442</v>
      </c>
      <c r="AC131" s="376" t="s">
        <v>443</v>
      </c>
      <c r="AD131" s="376" t="s">
        <v>198</v>
      </c>
      <c r="AE131" s="376" t="s">
        <v>440</v>
      </c>
      <c r="AF131" s="376" t="s">
        <v>178</v>
      </c>
      <c r="AG131" s="376" t="s">
        <v>179</v>
      </c>
      <c r="AH131" s="381">
        <v>44.78</v>
      </c>
      <c r="AI131" s="381">
        <v>54567.1</v>
      </c>
      <c r="AJ131" s="376" t="s">
        <v>180</v>
      </c>
      <c r="AK131" s="376" t="s">
        <v>181</v>
      </c>
      <c r="AL131" s="376" t="s">
        <v>182</v>
      </c>
      <c r="AM131" s="376" t="s">
        <v>183</v>
      </c>
      <c r="AN131" s="376" t="s">
        <v>66</v>
      </c>
      <c r="AO131" s="379">
        <v>80</v>
      </c>
      <c r="AP131" s="384">
        <v>1</v>
      </c>
      <c r="AQ131" s="384">
        <v>1</v>
      </c>
      <c r="AR131" s="382" t="s">
        <v>184</v>
      </c>
      <c r="AS131" s="386">
        <f t="shared" ref="AS131:AS194" si="169">IF(((AO131/80)*AP131*P131)&gt;1,AQ131,((AO131/80)*AP131*P131))</f>
        <v>1</v>
      </c>
      <c r="AT131">
        <f t="shared" ref="AT131:AT194" si="170">IF(AND(M131="F",N131&lt;&gt;"NG",AS131&lt;&gt;0,AND(AR131&lt;&gt;6,AR131&lt;&gt;36,AR131&lt;&gt;56),AG131&lt;&gt;"A",OR(AG131="H",AJ131="FS")),1,IF(AND(M131="F",N131&lt;&gt;"NG",AS131&lt;&gt;0,AG131="A"),3,0))</f>
        <v>1</v>
      </c>
      <c r="AU131" s="386">
        <f>IF(AT131=0,"",IF(AND(AT131=1,M131="F",SUMIF(C2:C201,C131,AS2:AS201)&lt;=1),SUMIF(C2:C201,C131,AS2:AS201),IF(AND(AT131=1,M131="F",SUMIF(C2:C201,C131,AS2:AS201)&gt;1),1,"")))</f>
        <v>1</v>
      </c>
      <c r="AV131" s="386" t="str">
        <f>IF(AT131=0,"",IF(AND(AT131=3,M131="F",SUMIF(C2:C201,C131,AS2:AS201)&lt;=1),SUMIF(C2:C201,C131,AS2:AS201),IF(AND(AT131=3,M131="F",SUMIF(C2:C201,C131,AS2:AS201)&gt;1),1,"")))</f>
        <v/>
      </c>
      <c r="AW131" s="386">
        <f>SUMIF(C2:C201,C131,O2:O201)</f>
        <v>2</v>
      </c>
      <c r="AX131" s="386">
        <f>IF(AND(M131="F",AS131&lt;&gt;0),SUMIF(C2:C201,C131,W2:W201),0)</f>
        <v>93142.399999999994</v>
      </c>
      <c r="AY131" s="386">
        <f t="shared" ref="AY131:AY194" si="171">IF(AT131=1,W131,"")</f>
        <v>93142.399999999994</v>
      </c>
      <c r="AZ131" s="386" t="str">
        <f t="shared" ref="AZ131:AZ194" si="172">IF(AT131=3,W131,"")</f>
        <v/>
      </c>
      <c r="BA131" s="386">
        <f t="shared" ref="BA131:BA194" si="173">IF(AT131=1,Y131-W131,0)</f>
        <v>0</v>
      </c>
      <c r="BB131" s="386">
        <f t="shared" si="142"/>
        <v>12500</v>
      </c>
      <c r="BC131" s="386">
        <f t="shared" si="143"/>
        <v>0</v>
      </c>
      <c r="BD131" s="386">
        <f t="shared" si="144"/>
        <v>5774.8287999999993</v>
      </c>
      <c r="BE131" s="386">
        <f t="shared" si="145"/>
        <v>1350.5647999999999</v>
      </c>
      <c r="BF131" s="386">
        <f t="shared" si="146"/>
        <v>11121.20256</v>
      </c>
      <c r="BG131" s="386">
        <f t="shared" si="147"/>
        <v>671.55670399999997</v>
      </c>
      <c r="BH131" s="386">
        <f t="shared" si="148"/>
        <v>0</v>
      </c>
      <c r="BI131" s="386">
        <f t="shared" si="149"/>
        <v>0</v>
      </c>
      <c r="BJ131" s="386">
        <f t="shared" si="150"/>
        <v>167.65631999999999</v>
      </c>
      <c r="BK131" s="386">
        <f t="shared" si="151"/>
        <v>0</v>
      </c>
      <c r="BL131" s="386">
        <f t="shared" ref="BL131:BL194" si="174">IF(AT131=1,SUM(BD131:BK131),0)</f>
        <v>19085.809183999998</v>
      </c>
      <c r="BM131" s="386">
        <f t="shared" ref="BM131:BM194" si="175">IF(AT131=3,SUM(BD131:BK131),0)</f>
        <v>0</v>
      </c>
      <c r="BN131" s="386">
        <f t="shared" si="152"/>
        <v>13750</v>
      </c>
      <c r="BO131" s="386">
        <f t="shared" si="153"/>
        <v>0</v>
      </c>
      <c r="BP131" s="386">
        <f t="shared" si="154"/>
        <v>5774.8287999999993</v>
      </c>
      <c r="BQ131" s="386">
        <f t="shared" si="155"/>
        <v>1350.5647999999999</v>
      </c>
      <c r="BR131" s="386">
        <f t="shared" si="156"/>
        <v>10413.320319999999</v>
      </c>
      <c r="BS131" s="386">
        <f t="shared" si="157"/>
        <v>671.55670399999997</v>
      </c>
      <c r="BT131" s="386">
        <f t="shared" si="158"/>
        <v>0</v>
      </c>
      <c r="BU131" s="386">
        <f t="shared" si="159"/>
        <v>0</v>
      </c>
      <c r="BV131" s="386">
        <f t="shared" si="160"/>
        <v>176.97055999999998</v>
      </c>
      <c r="BW131" s="386">
        <f t="shared" si="161"/>
        <v>0</v>
      </c>
      <c r="BX131" s="386">
        <f t="shared" ref="BX131:BX194" si="176">IF(AT131=1,SUM(BP131:BW131),0)</f>
        <v>18387.241183999999</v>
      </c>
      <c r="BY131" s="386">
        <f t="shared" ref="BY131:BY194" si="177">IF(AT131=3,SUM(BP131:BW131),0)</f>
        <v>0</v>
      </c>
      <c r="BZ131" s="386">
        <f t="shared" ref="BZ131:BZ194" si="178">IF(AT131=1,BN131-BB131,0)</f>
        <v>1250</v>
      </c>
      <c r="CA131" s="386">
        <f t="shared" ref="CA131:CA194" si="179">IF(AT131=3,BO131-BC131,0)</f>
        <v>0</v>
      </c>
      <c r="CB131" s="386">
        <f t="shared" ref="CB131:CB194" si="180">BP131-BD131</f>
        <v>0</v>
      </c>
      <c r="CC131" s="386">
        <f t="shared" si="162"/>
        <v>0</v>
      </c>
      <c r="CD131" s="386">
        <f t="shared" si="163"/>
        <v>-707.88224000000082</v>
      </c>
      <c r="CE131" s="386">
        <f t="shared" si="164"/>
        <v>0</v>
      </c>
      <c r="CF131" s="386">
        <f t="shared" si="165"/>
        <v>0</v>
      </c>
      <c r="CG131" s="386">
        <f t="shared" si="166"/>
        <v>0</v>
      </c>
      <c r="CH131" s="386">
        <f t="shared" si="167"/>
        <v>9.3142400000000034</v>
      </c>
      <c r="CI131" s="386">
        <f t="shared" si="168"/>
        <v>0</v>
      </c>
      <c r="CJ131" s="386">
        <f t="shared" ref="CJ131:CJ194" si="181">IF(AT131=1,SUM(CB131:CI131),0)</f>
        <v>-698.56800000000078</v>
      </c>
      <c r="CK131" s="386" t="str">
        <f t="shared" ref="CK131:CK194" si="182">IF(AT131=3,SUM(CB131:CI131),"")</f>
        <v/>
      </c>
      <c r="CL131" s="386" t="str">
        <f t="shared" ref="CL131:CL194" si="183">IF(OR(N131="NG",AG131="D"),(T131+U131),"")</f>
        <v/>
      </c>
      <c r="CM131" s="386" t="str">
        <f t="shared" ref="CM131:CM194" si="184">IF(OR(N131="NG",AG131="D"),V131,"")</f>
        <v/>
      </c>
      <c r="CN131" s="386" t="str">
        <f t="shared" ref="CN131:CN194" si="185">E131 &amp; "-" &amp; F131</f>
        <v>0001-00</v>
      </c>
    </row>
    <row r="132" spans="1:92" ht="15.75" thickBot="1" x14ac:dyDescent="0.3">
      <c r="A132" s="376" t="s">
        <v>162</v>
      </c>
      <c r="B132" s="376" t="s">
        <v>163</v>
      </c>
      <c r="C132" s="376" t="s">
        <v>305</v>
      </c>
      <c r="D132" s="376" t="s">
        <v>306</v>
      </c>
      <c r="E132" s="376" t="s">
        <v>166</v>
      </c>
      <c r="F132" s="377" t="s">
        <v>167</v>
      </c>
      <c r="G132" s="376" t="s">
        <v>495</v>
      </c>
      <c r="H132" s="378"/>
      <c r="I132" s="378"/>
      <c r="J132" s="376" t="s">
        <v>264</v>
      </c>
      <c r="K132" s="376" t="s">
        <v>307</v>
      </c>
      <c r="L132" s="376" t="s">
        <v>167</v>
      </c>
      <c r="M132" s="376" t="s">
        <v>172</v>
      </c>
      <c r="N132" s="376" t="s">
        <v>173</v>
      </c>
      <c r="O132" s="379">
        <v>1</v>
      </c>
      <c r="P132" s="384">
        <v>0.08</v>
      </c>
      <c r="Q132" s="384">
        <v>0.08</v>
      </c>
      <c r="R132" s="380">
        <v>80</v>
      </c>
      <c r="S132" s="384">
        <v>0.08</v>
      </c>
      <c r="T132" s="380">
        <v>5052.8</v>
      </c>
      <c r="U132" s="380">
        <v>0</v>
      </c>
      <c r="V132" s="380">
        <v>1963.07</v>
      </c>
      <c r="W132" s="380">
        <v>5239.93</v>
      </c>
      <c r="X132" s="380">
        <v>2073.71</v>
      </c>
      <c r="Y132" s="380">
        <v>5239.93</v>
      </c>
      <c r="Z132" s="380">
        <v>2134.41</v>
      </c>
      <c r="AA132" s="376" t="s">
        <v>308</v>
      </c>
      <c r="AB132" s="376" t="s">
        <v>309</v>
      </c>
      <c r="AC132" s="376" t="s">
        <v>310</v>
      </c>
      <c r="AD132" s="376" t="s">
        <v>311</v>
      </c>
      <c r="AE132" s="376" t="s">
        <v>307</v>
      </c>
      <c r="AF132" s="376" t="s">
        <v>178</v>
      </c>
      <c r="AG132" s="376" t="s">
        <v>179</v>
      </c>
      <c r="AH132" s="381">
        <v>31.49</v>
      </c>
      <c r="AI132" s="379">
        <v>6145</v>
      </c>
      <c r="AJ132" s="376" t="s">
        <v>180</v>
      </c>
      <c r="AK132" s="376" t="s">
        <v>181</v>
      </c>
      <c r="AL132" s="376" t="s">
        <v>182</v>
      </c>
      <c r="AM132" s="376" t="s">
        <v>183</v>
      </c>
      <c r="AN132" s="376" t="s">
        <v>66</v>
      </c>
      <c r="AO132" s="379">
        <v>80</v>
      </c>
      <c r="AP132" s="384">
        <v>1</v>
      </c>
      <c r="AQ132" s="384">
        <v>0.08</v>
      </c>
      <c r="AR132" s="382" t="s">
        <v>184</v>
      </c>
      <c r="AS132" s="386">
        <f t="shared" si="169"/>
        <v>0.08</v>
      </c>
      <c r="AT132">
        <f t="shared" si="170"/>
        <v>1</v>
      </c>
      <c r="AU132" s="386">
        <f>IF(AT132=0,"",IF(AND(AT132=1,M132="F",SUMIF(C2:C201,C132,AS2:AS201)&lt;=1),SUMIF(C2:C201,C132,AS2:AS201),IF(AND(AT132=1,M132="F",SUMIF(C2:C201,C132,AS2:AS201)&gt;1),1,"")))</f>
        <v>1</v>
      </c>
      <c r="AV132" s="386" t="str">
        <f>IF(AT132=0,"",IF(AND(AT132=3,M132="F",SUMIF(C2:C201,C132,AS2:AS201)&lt;=1),SUMIF(C2:C201,C132,AS2:AS201),IF(AND(AT132=3,M132="F",SUMIF(C2:C201,C132,AS2:AS201)&gt;1),1,"")))</f>
        <v/>
      </c>
      <c r="AW132" s="386">
        <f>SUMIF(C2:C201,C132,O2:O201)</f>
        <v>5</v>
      </c>
      <c r="AX132" s="386">
        <f>IF(AND(M132="F",AS132&lt;&gt;0),SUMIF(C2:C201,C132,W2:W201),0)</f>
        <v>65499.180000000008</v>
      </c>
      <c r="AY132" s="386">
        <f t="shared" si="171"/>
        <v>5239.93</v>
      </c>
      <c r="AZ132" s="386" t="str">
        <f t="shared" si="172"/>
        <v/>
      </c>
      <c r="BA132" s="386">
        <f t="shared" si="173"/>
        <v>0</v>
      </c>
      <c r="BB132" s="386">
        <f t="shared" si="142"/>
        <v>1000</v>
      </c>
      <c r="BC132" s="386">
        <f t="shared" si="143"/>
        <v>0</v>
      </c>
      <c r="BD132" s="386">
        <f t="shared" si="144"/>
        <v>324.87566000000004</v>
      </c>
      <c r="BE132" s="386">
        <f t="shared" si="145"/>
        <v>75.978985000000009</v>
      </c>
      <c r="BF132" s="386">
        <f t="shared" si="146"/>
        <v>625.64764200000002</v>
      </c>
      <c r="BG132" s="386">
        <f t="shared" si="147"/>
        <v>37.779895300000007</v>
      </c>
      <c r="BH132" s="386">
        <f t="shared" si="148"/>
        <v>0</v>
      </c>
      <c r="BI132" s="386">
        <f t="shared" si="149"/>
        <v>0</v>
      </c>
      <c r="BJ132" s="386">
        <f t="shared" si="150"/>
        <v>9.4318740000000005</v>
      </c>
      <c r="BK132" s="386">
        <f t="shared" si="151"/>
        <v>0</v>
      </c>
      <c r="BL132" s="386">
        <f t="shared" si="174"/>
        <v>1073.7140563</v>
      </c>
      <c r="BM132" s="386">
        <f t="shared" si="175"/>
        <v>0</v>
      </c>
      <c r="BN132" s="386">
        <f t="shared" si="152"/>
        <v>1100</v>
      </c>
      <c r="BO132" s="386">
        <f t="shared" si="153"/>
        <v>0</v>
      </c>
      <c r="BP132" s="386">
        <f t="shared" si="154"/>
        <v>324.87566000000004</v>
      </c>
      <c r="BQ132" s="386">
        <f t="shared" si="155"/>
        <v>75.978985000000009</v>
      </c>
      <c r="BR132" s="386">
        <f t="shared" si="156"/>
        <v>585.82417399999997</v>
      </c>
      <c r="BS132" s="386">
        <f t="shared" si="157"/>
        <v>37.779895300000007</v>
      </c>
      <c r="BT132" s="386">
        <f t="shared" si="158"/>
        <v>0</v>
      </c>
      <c r="BU132" s="386">
        <f t="shared" si="159"/>
        <v>0</v>
      </c>
      <c r="BV132" s="386">
        <f t="shared" si="160"/>
        <v>9.9558670000000014</v>
      </c>
      <c r="BW132" s="386">
        <f t="shared" si="161"/>
        <v>0</v>
      </c>
      <c r="BX132" s="386">
        <f t="shared" si="176"/>
        <v>1034.4145812999998</v>
      </c>
      <c r="BY132" s="386">
        <f t="shared" si="177"/>
        <v>0</v>
      </c>
      <c r="BZ132" s="386">
        <f t="shared" si="178"/>
        <v>100</v>
      </c>
      <c r="CA132" s="386">
        <f t="shared" si="179"/>
        <v>0</v>
      </c>
      <c r="CB132" s="386">
        <f t="shared" si="180"/>
        <v>0</v>
      </c>
      <c r="CC132" s="386">
        <f t="shared" si="162"/>
        <v>0</v>
      </c>
      <c r="CD132" s="386">
        <f t="shared" si="163"/>
        <v>-39.823468000000055</v>
      </c>
      <c r="CE132" s="386">
        <f t="shared" si="164"/>
        <v>0</v>
      </c>
      <c r="CF132" s="386">
        <f t="shared" si="165"/>
        <v>0</v>
      </c>
      <c r="CG132" s="386">
        <f t="shared" si="166"/>
        <v>0</v>
      </c>
      <c r="CH132" s="386">
        <f t="shared" si="167"/>
        <v>0.52399300000000026</v>
      </c>
      <c r="CI132" s="386">
        <f t="shared" si="168"/>
        <v>0</v>
      </c>
      <c r="CJ132" s="386">
        <f t="shared" si="181"/>
        <v>-39.299475000000058</v>
      </c>
      <c r="CK132" s="386" t="str">
        <f t="shared" si="182"/>
        <v/>
      </c>
      <c r="CL132" s="386" t="str">
        <f t="shared" si="183"/>
        <v/>
      </c>
      <c r="CM132" s="386" t="str">
        <f t="shared" si="184"/>
        <v/>
      </c>
      <c r="CN132" s="386" t="str">
        <f t="shared" si="185"/>
        <v>0001-00</v>
      </c>
    </row>
    <row r="133" spans="1:92" ht="15.75" thickBot="1" x14ac:dyDescent="0.3">
      <c r="A133" s="376" t="s">
        <v>162</v>
      </c>
      <c r="B133" s="376" t="s">
        <v>163</v>
      </c>
      <c r="C133" s="376" t="s">
        <v>460</v>
      </c>
      <c r="D133" s="376" t="s">
        <v>378</v>
      </c>
      <c r="E133" s="376" t="s">
        <v>166</v>
      </c>
      <c r="F133" s="377" t="s">
        <v>167</v>
      </c>
      <c r="G133" s="376" t="s">
        <v>495</v>
      </c>
      <c r="H133" s="378"/>
      <c r="I133" s="378"/>
      <c r="J133" s="376" t="s">
        <v>169</v>
      </c>
      <c r="K133" s="376" t="s">
        <v>379</v>
      </c>
      <c r="L133" s="376" t="s">
        <v>167</v>
      </c>
      <c r="M133" s="376" t="s">
        <v>172</v>
      </c>
      <c r="N133" s="376" t="s">
        <v>173</v>
      </c>
      <c r="O133" s="379">
        <v>1</v>
      </c>
      <c r="P133" s="384">
        <v>1</v>
      </c>
      <c r="Q133" s="384">
        <v>1</v>
      </c>
      <c r="R133" s="380">
        <v>80</v>
      </c>
      <c r="S133" s="384">
        <v>1</v>
      </c>
      <c r="T133" s="380">
        <v>39972.400000000001</v>
      </c>
      <c r="U133" s="380">
        <v>0</v>
      </c>
      <c r="V133" s="380">
        <v>17563.82</v>
      </c>
      <c r="W133" s="380">
        <v>47590.400000000001</v>
      </c>
      <c r="X133" s="380">
        <v>22251.73</v>
      </c>
      <c r="Y133" s="380">
        <v>47590.400000000001</v>
      </c>
      <c r="Z133" s="380">
        <v>23144.799999999999</v>
      </c>
      <c r="AA133" s="376" t="s">
        <v>461</v>
      </c>
      <c r="AB133" s="376" t="s">
        <v>462</v>
      </c>
      <c r="AC133" s="376" t="s">
        <v>463</v>
      </c>
      <c r="AD133" s="376" t="s">
        <v>198</v>
      </c>
      <c r="AE133" s="376" t="s">
        <v>379</v>
      </c>
      <c r="AF133" s="376" t="s">
        <v>178</v>
      </c>
      <c r="AG133" s="376" t="s">
        <v>179</v>
      </c>
      <c r="AH133" s="381">
        <v>22.88</v>
      </c>
      <c r="AI133" s="379">
        <v>4720</v>
      </c>
      <c r="AJ133" s="376" t="s">
        <v>180</v>
      </c>
      <c r="AK133" s="376" t="s">
        <v>181</v>
      </c>
      <c r="AL133" s="376" t="s">
        <v>182</v>
      </c>
      <c r="AM133" s="376" t="s">
        <v>183</v>
      </c>
      <c r="AN133" s="376" t="s">
        <v>66</v>
      </c>
      <c r="AO133" s="379">
        <v>80</v>
      </c>
      <c r="AP133" s="384">
        <v>1</v>
      </c>
      <c r="AQ133" s="384">
        <v>1</v>
      </c>
      <c r="AR133" s="382" t="s">
        <v>184</v>
      </c>
      <c r="AS133" s="386">
        <f t="shared" si="169"/>
        <v>1</v>
      </c>
      <c r="AT133">
        <f t="shared" si="170"/>
        <v>1</v>
      </c>
      <c r="AU133" s="386">
        <f>IF(AT133=0,"",IF(AND(AT133=1,M133="F",SUMIF(C2:C201,C133,AS2:AS201)&lt;=1),SUMIF(C2:C201,C133,AS2:AS201),IF(AND(AT133=1,M133="F",SUMIF(C2:C201,C133,AS2:AS201)&gt;1),1,"")))</f>
        <v>1</v>
      </c>
      <c r="AV133" s="386" t="str">
        <f>IF(AT133=0,"",IF(AND(AT133=3,M133="F",SUMIF(C2:C201,C133,AS2:AS201)&lt;=1),SUMIF(C2:C201,C133,AS2:AS201),IF(AND(AT133=3,M133="F",SUMIF(C2:C201,C133,AS2:AS201)&gt;1),1,"")))</f>
        <v/>
      </c>
      <c r="AW133" s="386">
        <f>SUMIF(C2:C201,C133,O2:O201)</f>
        <v>2</v>
      </c>
      <c r="AX133" s="386">
        <f>IF(AND(M133="F",AS133&lt;&gt;0),SUMIF(C2:C201,C133,W2:W201),0)</f>
        <v>47590.400000000001</v>
      </c>
      <c r="AY133" s="386">
        <f t="shared" si="171"/>
        <v>47590.400000000001</v>
      </c>
      <c r="AZ133" s="386" t="str">
        <f t="shared" si="172"/>
        <v/>
      </c>
      <c r="BA133" s="386">
        <f t="shared" si="173"/>
        <v>0</v>
      </c>
      <c r="BB133" s="386">
        <f t="shared" si="142"/>
        <v>12500</v>
      </c>
      <c r="BC133" s="386">
        <f t="shared" si="143"/>
        <v>0</v>
      </c>
      <c r="BD133" s="386">
        <f t="shared" si="144"/>
        <v>2950.6048000000001</v>
      </c>
      <c r="BE133" s="386">
        <f t="shared" si="145"/>
        <v>690.06080000000009</v>
      </c>
      <c r="BF133" s="386">
        <f t="shared" si="146"/>
        <v>5682.2937600000005</v>
      </c>
      <c r="BG133" s="386">
        <f t="shared" si="147"/>
        <v>343.12678400000004</v>
      </c>
      <c r="BH133" s="386">
        <f t="shared" si="148"/>
        <v>0</v>
      </c>
      <c r="BI133" s="386">
        <f t="shared" si="149"/>
        <v>0</v>
      </c>
      <c r="BJ133" s="386">
        <f t="shared" si="150"/>
        <v>85.662720000000007</v>
      </c>
      <c r="BK133" s="386">
        <f t="shared" si="151"/>
        <v>0</v>
      </c>
      <c r="BL133" s="386">
        <f t="shared" si="174"/>
        <v>9751.748864000001</v>
      </c>
      <c r="BM133" s="386">
        <f t="shared" si="175"/>
        <v>0</v>
      </c>
      <c r="BN133" s="386">
        <f t="shared" si="152"/>
        <v>13750</v>
      </c>
      <c r="BO133" s="386">
        <f t="shared" si="153"/>
        <v>0</v>
      </c>
      <c r="BP133" s="386">
        <f t="shared" si="154"/>
        <v>2950.6048000000001</v>
      </c>
      <c r="BQ133" s="386">
        <f t="shared" si="155"/>
        <v>690.06080000000009</v>
      </c>
      <c r="BR133" s="386">
        <f t="shared" si="156"/>
        <v>5320.6067199999998</v>
      </c>
      <c r="BS133" s="386">
        <f t="shared" si="157"/>
        <v>343.12678400000004</v>
      </c>
      <c r="BT133" s="386">
        <f t="shared" si="158"/>
        <v>0</v>
      </c>
      <c r="BU133" s="386">
        <f t="shared" si="159"/>
        <v>0</v>
      </c>
      <c r="BV133" s="386">
        <f t="shared" si="160"/>
        <v>90.421760000000006</v>
      </c>
      <c r="BW133" s="386">
        <f t="shared" si="161"/>
        <v>0</v>
      </c>
      <c r="BX133" s="386">
        <f t="shared" si="176"/>
        <v>9394.8208639999993</v>
      </c>
      <c r="BY133" s="386">
        <f t="shared" si="177"/>
        <v>0</v>
      </c>
      <c r="BZ133" s="386">
        <f t="shared" si="178"/>
        <v>1250</v>
      </c>
      <c r="CA133" s="386">
        <f t="shared" si="179"/>
        <v>0</v>
      </c>
      <c r="CB133" s="386">
        <f t="shared" si="180"/>
        <v>0</v>
      </c>
      <c r="CC133" s="386">
        <f t="shared" si="162"/>
        <v>0</v>
      </c>
      <c r="CD133" s="386">
        <f t="shared" si="163"/>
        <v>-361.68704000000048</v>
      </c>
      <c r="CE133" s="386">
        <f t="shared" si="164"/>
        <v>0</v>
      </c>
      <c r="CF133" s="386">
        <f t="shared" si="165"/>
        <v>0</v>
      </c>
      <c r="CG133" s="386">
        <f t="shared" si="166"/>
        <v>0</v>
      </c>
      <c r="CH133" s="386">
        <f t="shared" si="167"/>
        <v>4.7590400000000024</v>
      </c>
      <c r="CI133" s="386">
        <f t="shared" si="168"/>
        <v>0</v>
      </c>
      <c r="CJ133" s="386">
        <f t="shared" si="181"/>
        <v>-356.92800000000045</v>
      </c>
      <c r="CK133" s="386" t="str">
        <f t="shared" si="182"/>
        <v/>
      </c>
      <c r="CL133" s="386" t="str">
        <f t="shared" si="183"/>
        <v/>
      </c>
      <c r="CM133" s="386" t="str">
        <f t="shared" si="184"/>
        <v/>
      </c>
      <c r="CN133" s="386" t="str">
        <f t="shared" si="185"/>
        <v>0001-00</v>
      </c>
    </row>
    <row r="134" spans="1:92" ht="15.75" thickBot="1" x14ac:dyDescent="0.3">
      <c r="A134" s="376" t="s">
        <v>162</v>
      </c>
      <c r="B134" s="376" t="s">
        <v>163</v>
      </c>
      <c r="C134" s="376" t="s">
        <v>418</v>
      </c>
      <c r="D134" s="376" t="s">
        <v>313</v>
      </c>
      <c r="E134" s="376" t="s">
        <v>166</v>
      </c>
      <c r="F134" s="377" t="s">
        <v>167</v>
      </c>
      <c r="G134" s="376" t="s">
        <v>495</v>
      </c>
      <c r="H134" s="378"/>
      <c r="I134" s="378"/>
      <c r="J134" s="376" t="s">
        <v>169</v>
      </c>
      <c r="K134" s="376" t="s">
        <v>314</v>
      </c>
      <c r="L134" s="376" t="s">
        <v>167</v>
      </c>
      <c r="M134" s="376" t="s">
        <v>172</v>
      </c>
      <c r="N134" s="376" t="s">
        <v>315</v>
      </c>
      <c r="O134" s="379">
        <v>0</v>
      </c>
      <c r="P134" s="384">
        <v>1</v>
      </c>
      <c r="Q134" s="384">
        <v>0</v>
      </c>
      <c r="R134" s="380">
        <v>0</v>
      </c>
      <c r="S134" s="384">
        <v>0</v>
      </c>
      <c r="T134" s="380">
        <v>0</v>
      </c>
      <c r="U134" s="380">
        <v>0</v>
      </c>
      <c r="V134" s="380">
        <v>0</v>
      </c>
      <c r="W134" s="380">
        <v>38087.699999999997</v>
      </c>
      <c r="X134" s="380">
        <v>9359.7999999999993</v>
      </c>
      <c r="Y134" s="380">
        <v>38087.699999999997</v>
      </c>
      <c r="Z134" s="380">
        <v>9359.7999999999993</v>
      </c>
      <c r="AA134" s="378"/>
      <c r="AB134" s="376" t="s">
        <v>45</v>
      </c>
      <c r="AC134" s="376" t="s">
        <v>45</v>
      </c>
      <c r="AD134" s="378"/>
      <c r="AE134" s="378"/>
      <c r="AF134" s="378"/>
      <c r="AG134" s="378"/>
      <c r="AH134" s="379">
        <v>0</v>
      </c>
      <c r="AI134" s="379">
        <v>0</v>
      </c>
      <c r="AJ134" s="378"/>
      <c r="AK134" s="378"/>
      <c r="AL134" s="376" t="s">
        <v>182</v>
      </c>
      <c r="AM134" s="378"/>
      <c r="AN134" s="378"/>
      <c r="AO134" s="379">
        <v>0</v>
      </c>
      <c r="AP134" s="384">
        <v>0</v>
      </c>
      <c r="AQ134" s="384">
        <v>0</v>
      </c>
      <c r="AR134" s="383"/>
      <c r="AS134" s="386">
        <f t="shared" si="169"/>
        <v>0</v>
      </c>
      <c r="AT134">
        <f t="shared" si="170"/>
        <v>0</v>
      </c>
      <c r="AU134" s="386" t="str">
        <f>IF(AT134=0,"",IF(AND(AT134=1,M134="F",SUMIF(C2:C201,C134,AS2:AS201)&lt;=1),SUMIF(C2:C201,C134,AS2:AS201),IF(AND(AT134=1,M134="F",SUMIF(C2:C201,C134,AS2:AS201)&gt;1),1,"")))</f>
        <v/>
      </c>
      <c r="AV134" s="386" t="str">
        <f>IF(AT134=0,"",IF(AND(AT134=3,M134="F",SUMIF(C2:C201,C134,AS2:AS201)&lt;=1),SUMIF(C2:C201,C134,AS2:AS201),IF(AND(AT134=3,M134="F",SUMIF(C2:C201,C134,AS2:AS201)&gt;1),1,"")))</f>
        <v/>
      </c>
      <c r="AW134" s="386">
        <f>SUMIF(C2:C201,C134,O2:O201)</f>
        <v>0</v>
      </c>
      <c r="AX134" s="386">
        <f>IF(AND(M134="F",AS134&lt;&gt;0),SUMIF(C2:C201,C134,W2:W201),0)</f>
        <v>0</v>
      </c>
      <c r="AY134" s="386" t="str">
        <f t="shared" si="171"/>
        <v/>
      </c>
      <c r="AZ134" s="386" t="str">
        <f t="shared" si="172"/>
        <v/>
      </c>
      <c r="BA134" s="386">
        <f t="shared" si="173"/>
        <v>0</v>
      </c>
      <c r="BB134" s="386">
        <f t="shared" si="142"/>
        <v>0</v>
      </c>
      <c r="BC134" s="386">
        <f t="shared" si="143"/>
        <v>0</v>
      </c>
      <c r="BD134" s="386">
        <f t="shared" si="144"/>
        <v>0</v>
      </c>
      <c r="BE134" s="386">
        <f t="shared" si="145"/>
        <v>0</v>
      </c>
      <c r="BF134" s="386">
        <f t="shared" si="146"/>
        <v>0</v>
      </c>
      <c r="BG134" s="386">
        <f t="shared" si="147"/>
        <v>0</v>
      </c>
      <c r="BH134" s="386">
        <f t="shared" si="148"/>
        <v>0</v>
      </c>
      <c r="BI134" s="386">
        <f t="shared" si="149"/>
        <v>0</v>
      </c>
      <c r="BJ134" s="386">
        <f t="shared" si="150"/>
        <v>0</v>
      </c>
      <c r="BK134" s="386">
        <f t="shared" si="151"/>
        <v>0</v>
      </c>
      <c r="BL134" s="386">
        <f t="shared" si="174"/>
        <v>0</v>
      </c>
      <c r="BM134" s="386">
        <f t="shared" si="175"/>
        <v>0</v>
      </c>
      <c r="BN134" s="386">
        <f t="shared" si="152"/>
        <v>0</v>
      </c>
      <c r="BO134" s="386">
        <f t="shared" si="153"/>
        <v>0</v>
      </c>
      <c r="BP134" s="386">
        <f t="shared" si="154"/>
        <v>0</v>
      </c>
      <c r="BQ134" s="386">
        <f t="shared" si="155"/>
        <v>0</v>
      </c>
      <c r="BR134" s="386">
        <f t="shared" si="156"/>
        <v>0</v>
      </c>
      <c r="BS134" s="386">
        <f t="shared" si="157"/>
        <v>0</v>
      </c>
      <c r="BT134" s="386">
        <f t="shared" si="158"/>
        <v>0</v>
      </c>
      <c r="BU134" s="386">
        <f t="shared" si="159"/>
        <v>0</v>
      </c>
      <c r="BV134" s="386">
        <f t="shared" si="160"/>
        <v>0</v>
      </c>
      <c r="BW134" s="386">
        <f t="shared" si="161"/>
        <v>0</v>
      </c>
      <c r="BX134" s="386">
        <f t="shared" si="176"/>
        <v>0</v>
      </c>
      <c r="BY134" s="386">
        <f t="shared" si="177"/>
        <v>0</v>
      </c>
      <c r="BZ134" s="386">
        <f t="shared" si="178"/>
        <v>0</v>
      </c>
      <c r="CA134" s="386">
        <f t="shared" si="179"/>
        <v>0</v>
      </c>
      <c r="CB134" s="386">
        <f t="shared" si="180"/>
        <v>0</v>
      </c>
      <c r="CC134" s="386">
        <f t="shared" si="162"/>
        <v>0</v>
      </c>
      <c r="CD134" s="386">
        <f t="shared" si="163"/>
        <v>0</v>
      </c>
      <c r="CE134" s="386">
        <f t="shared" si="164"/>
        <v>0</v>
      </c>
      <c r="CF134" s="386">
        <f t="shared" si="165"/>
        <v>0</v>
      </c>
      <c r="CG134" s="386">
        <f t="shared" si="166"/>
        <v>0</v>
      </c>
      <c r="CH134" s="386">
        <f t="shared" si="167"/>
        <v>0</v>
      </c>
      <c r="CI134" s="386">
        <f t="shared" si="168"/>
        <v>0</v>
      </c>
      <c r="CJ134" s="386">
        <f t="shared" si="181"/>
        <v>0</v>
      </c>
      <c r="CK134" s="386" t="str">
        <f t="shared" si="182"/>
        <v/>
      </c>
      <c r="CL134" s="386">
        <f t="shared" si="183"/>
        <v>0</v>
      </c>
      <c r="CM134" s="386">
        <f t="shared" si="184"/>
        <v>0</v>
      </c>
      <c r="CN134" s="386" t="str">
        <f t="shared" si="185"/>
        <v>0001-00</v>
      </c>
    </row>
    <row r="135" spans="1:92" ht="15.75" thickBot="1" x14ac:dyDescent="0.3">
      <c r="A135" s="376" t="s">
        <v>162</v>
      </c>
      <c r="B135" s="376" t="s">
        <v>163</v>
      </c>
      <c r="C135" s="376" t="s">
        <v>334</v>
      </c>
      <c r="D135" s="376" t="s">
        <v>335</v>
      </c>
      <c r="E135" s="376" t="s">
        <v>166</v>
      </c>
      <c r="F135" s="377" t="s">
        <v>167</v>
      </c>
      <c r="G135" s="376" t="s">
        <v>495</v>
      </c>
      <c r="H135" s="378"/>
      <c r="I135" s="378"/>
      <c r="J135" s="376" t="s">
        <v>220</v>
      </c>
      <c r="K135" s="376" t="s">
        <v>336</v>
      </c>
      <c r="L135" s="376" t="s">
        <v>167</v>
      </c>
      <c r="M135" s="376" t="s">
        <v>172</v>
      </c>
      <c r="N135" s="376" t="s">
        <v>173</v>
      </c>
      <c r="O135" s="379">
        <v>1</v>
      </c>
      <c r="P135" s="384">
        <v>0.05</v>
      </c>
      <c r="Q135" s="384">
        <v>0.05</v>
      </c>
      <c r="R135" s="380">
        <v>80</v>
      </c>
      <c r="S135" s="384">
        <v>0.05</v>
      </c>
      <c r="T135" s="380">
        <v>6736.02</v>
      </c>
      <c r="U135" s="380">
        <v>0</v>
      </c>
      <c r="V135" s="380">
        <v>1961.69</v>
      </c>
      <c r="W135" s="380">
        <v>7005.44</v>
      </c>
      <c r="X135" s="380">
        <v>2060.48</v>
      </c>
      <c r="Y135" s="380">
        <v>7005.44</v>
      </c>
      <c r="Z135" s="380">
        <v>2070.44</v>
      </c>
      <c r="AA135" s="376" t="s">
        <v>337</v>
      </c>
      <c r="AB135" s="376" t="s">
        <v>338</v>
      </c>
      <c r="AC135" s="376" t="s">
        <v>339</v>
      </c>
      <c r="AD135" s="376" t="s">
        <v>340</v>
      </c>
      <c r="AE135" s="376" t="s">
        <v>336</v>
      </c>
      <c r="AF135" s="376" t="s">
        <v>178</v>
      </c>
      <c r="AG135" s="376" t="s">
        <v>179</v>
      </c>
      <c r="AH135" s="381">
        <v>67.36</v>
      </c>
      <c r="AI135" s="381">
        <v>22058.7</v>
      </c>
      <c r="AJ135" s="376" t="s">
        <v>180</v>
      </c>
      <c r="AK135" s="376" t="s">
        <v>181</v>
      </c>
      <c r="AL135" s="376" t="s">
        <v>182</v>
      </c>
      <c r="AM135" s="376" t="s">
        <v>183</v>
      </c>
      <c r="AN135" s="376" t="s">
        <v>66</v>
      </c>
      <c r="AO135" s="379">
        <v>80</v>
      </c>
      <c r="AP135" s="384">
        <v>1</v>
      </c>
      <c r="AQ135" s="384">
        <v>0.05</v>
      </c>
      <c r="AR135" s="382" t="s">
        <v>184</v>
      </c>
      <c r="AS135" s="386">
        <f t="shared" si="169"/>
        <v>0.05</v>
      </c>
      <c r="AT135">
        <f t="shared" si="170"/>
        <v>1</v>
      </c>
      <c r="AU135" s="386">
        <f>IF(AT135=0,"",IF(AND(AT135=1,M135="F",SUMIF(C2:C201,C135,AS2:AS201)&lt;=1),SUMIF(C2:C201,C135,AS2:AS201),IF(AND(AT135=1,M135="F",SUMIF(C2:C201,C135,AS2:AS201)&gt;1),1,"")))</f>
        <v>1</v>
      </c>
      <c r="AV135" s="386" t="str">
        <f>IF(AT135=0,"",IF(AND(AT135=3,M135="F",SUMIF(C2:C201,C135,AS2:AS201)&lt;=1),SUMIF(C2:C201,C135,AS2:AS201),IF(AND(AT135=3,M135="F",SUMIF(C2:C201,C135,AS2:AS201)&gt;1),1,"")))</f>
        <v/>
      </c>
      <c r="AW135" s="386">
        <f>SUMIF(C2:C201,C135,O2:O201)</f>
        <v>4</v>
      </c>
      <c r="AX135" s="386">
        <f>IF(AND(M135="F",AS135&lt;&gt;0),SUMIF(C2:C201,C135,W2:W201),0)</f>
        <v>140108.79999999999</v>
      </c>
      <c r="AY135" s="386">
        <f t="shared" si="171"/>
        <v>7005.44</v>
      </c>
      <c r="AZ135" s="386" t="str">
        <f t="shared" si="172"/>
        <v/>
      </c>
      <c r="BA135" s="386">
        <f t="shared" si="173"/>
        <v>0</v>
      </c>
      <c r="BB135" s="386">
        <f t="shared" si="142"/>
        <v>625</v>
      </c>
      <c r="BC135" s="386">
        <f t="shared" si="143"/>
        <v>0</v>
      </c>
      <c r="BD135" s="386">
        <f t="shared" si="144"/>
        <v>434.33727999999996</v>
      </c>
      <c r="BE135" s="386">
        <f t="shared" si="145"/>
        <v>101.57888</v>
      </c>
      <c r="BF135" s="386">
        <f t="shared" si="146"/>
        <v>836.44953599999997</v>
      </c>
      <c r="BG135" s="386">
        <f t="shared" si="147"/>
        <v>50.509222399999999</v>
      </c>
      <c r="BH135" s="386">
        <f t="shared" si="148"/>
        <v>0</v>
      </c>
      <c r="BI135" s="386">
        <f t="shared" si="149"/>
        <v>0</v>
      </c>
      <c r="BJ135" s="386">
        <f t="shared" si="150"/>
        <v>12.609791999999999</v>
      </c>
      <c r="BK135" s="386">
        <f t="shared" si="151"/>
        <v>0</v>
      </c>
      <c r="BL135" s="386">
        <f t="shared" si="174"/>
        <v>1435.4847103999998</v>
      </c>
      <c r="BM135" s="386">
        <f t="shared" si="175"/>
        <v>0</v>
      </c>
      <c r="BN135" s="386">
        <f t="shared" si="152"/>
        <v>687.5</v>
      </c>
      <c r="BO135" s="386">
        <f t="shared" si="153"/>
        <v>0</v>
      </c>
      <c r="BP135" s="386">
        <f t="shared" si="154"/>
        <v>434.33727999999996</v>
      </c>
      <c r="BQ135" s="386">
        <f t="shared" si="155"/>
        <v>101.57888</v>
      </c>
      <c r="BR135" s="386">
        <f t="shared" si="156"/>
        <v>783.20819199999994</v>
      </c>
      <c r="BS135" s="386">
        <f t="shared" si="157"/>
        <v>50.509222399999999</v>
      </c>
      <c r="BT135" s="386">
        <f t="shared" si="158"/>
        <v>0</v>
      </c>
      <c r="BU135" s="386">
        <f t="shared" si="159"/>
        <v>0</v>
      </c>
      <c r="BV135" s="386">
        <f t="shared" si="160"/>
        <v>13.310336</v>
      </c>
      <c r="BW135" s="386">
        <f t="shared" si="161"/>
        <v>0</v>
      </c>
      <c r="BX135" s="386">
        <f t="shared" si="176"/>
        <v>1382.9439103999998</v>
      </c>
      <c r="BY135" s="386">
        <f t="shared" si="177"/>
        <v>0</v>
      </c>
      <c r="BZ135" s="386">
        <f t="shared" si="178"/>
        <v>62.5</v>
      </c>
      <c r="CA135" s="386">
        <f t="shared" si="179"/>
        <v>0</v>
      </c>
      <c r="CB135" s="386">
        <f t="shared" si="180"/>
        <v>0</v>
      </c>
      <c r="CC135" s="386">
        <f t="shared" si="162"/>
        <v>0</v>
      </c>
      <c r="CD135" s="386">
        <f t="shared" si="163"/>
        <v>-53.241344000000062</v>
      </c>
      <c r="CE135" s="386">
        <f t="shared" si="164"/>
        <v>0</v>
      </c>
      <c r="CF135" s="386">
        <f t="shared" si="165"/>
        <v>0</v>
      </c>
      <c r="CG135" s="386">
        <f t="shared" si="166"/>
        <v>0</v>
      </c>
      <c r="CH135" s="386">
        <f t="shared" si="167"/>
        <v>0.70054400000000028</v>
      </c>
      <c r="CI135" s="386">
        <f t="shared" si="168"/>
        <v>0</v>
      </c>
      <c r="CJ135" s="386">
        <f t="shared" si="181"/>
        <v>-52.540800000000061</v>
      </c>
      <c r="CK135" s="386" t="str">
        <f t="shared" si="182"/>
        <v/>
      </c>
      <c r="CL135" s="386" t="str">
        <f t="shared" si="183"/>
        <v/>
      </c>
      <c r="CM135" s="386" t="str">
        <f t="shared" si="184"/>
        <v/>
      </c>
      <c r="CN135" s="386" t="str">
        <f t="shared" si="185"/>
        <v>0001-00</v>
      </c>
    </row>
    <row r="136" spans="1:92" ht="15.75" thickBot="1" x14ac:dyDescent="0.3">
      <c r="A136" s="376" t="s">
        <v>162</v>
      </c>
      <c r="B136" s="376" t="s">
        <v>163</v>
      </c>
      <c r="C136" s="376" t="s">
        <v>351</v>
      </c>
      <c r="D136" s="376" t="s">
        <v>352</v>
      </c>
      <c r="E136" s="376" t="s">
        <v>166</v>
      </c>
      <c r="F136" s="377" t="s">
        <v>167</v>
      </c>
      <c r="G136" s="376" t="s">
        <v>495</v>
      </c>
      <c r="H136" s="378"/>
      <c r="I136" s="378"/>
      <c r="J136" s="376" t="s">
        <v>220</v>
      </c>
      <c r="K136" s="376" t="s">
        <v>353</v>
      </c>
      <c r="L136" s="376" t="s">
        <v>222</v>
      </c>
      <c r="M136" s="376" t="s">
        <v>172</v>
      </c>
      <c r="N136" s="376" t="s">
        <v>173</v>
      </c>
      <c r="O136" s="379">
        <v>1</v>
      </c>
      <c r="P136" s="384">
        <v>0.05</v>
      </c>
      <c r="Q136" s="384">
        <v>0.05</v>
      </c>
      <c r="R136" s="380">
        <v>80</v>
      </c>
      <c r="S136" s="384">
        <v>0.05</v>
      </c>
      <c r="T136" s="380">
        <v>4923.45</v>
      </c>
      <c r="U136" s="380">
        <v>0</v>
      </c>
      <c r="V136" s="380">
        <v>1533.67</v>
      </c>
      <c r="W136" s="380">
        <v>5246.8</v>
      </c>
      <c r="X136" s="380">
        <v>1700.12</v>
      </c>
      <c r="Y136" s="380">
        <v>5246.8</v>
      </c>
      <c r="Z136" s="380">
        <v>1723.26</v>
      </c>
      <c r="AA136" s="376" t="s">
        <v>354</v>
      </c>
      <c r="AB136" s="376" t="s">
        <v>355</v>
      </c>
      <c r="AC136" s="376" t="s">
        <v>213</v>
      </c>
      <c r="AD136" s="376" t="s">
        <v>231</v>
      </c>
      <c r="AE136" s="376" t="s">
        <v>353</v>
      </c>
      <c r="AF136" s="376" t="s">
        <v>178</v>
      </c>
      <c r="AG136" s="376" t="s">
        <v>179</v>
      </c>
      <c r="AH136" s="381">
        <v>50.45</v>
      </c>
      <c r="AI136" s="381">
        <v>22028.5</v>
      </c>
      <c r="AJ136" s="376" t="s">
        <v>180</v>
      </c>
      <c r="AK136" s="376" t="s">
        <v>181</v>
      </c>
      <c r="AL136" s="376" t="s">
        <v>182</v>
      </c>
      <c r="AM136" s="376" t="s">
        <v>183</v>
      </c>
      <c r="AN136" s="376" t="s">
        <v>66</v>
      </c>
      <c r="AO136" s="379">
        <v>80</v>
      </c>
      <c r="AP136" s="384">
        <v>1</v>
      </c>
      <c r="AQ136" s="384">
        <v>0.05</v>
      </c>
      <c r="AR136" s="382" t="s">
        <v>184</v>
      </c>
      <c r="AS136" s="386">
        <f t="shared" si="169"/>
        <v>0.05</v>
      </c>
      <c r="AT136">
        <f t="shared" si="170"/>
        <v>1</v>
      </c>
      <c r="AU136" s="386">
        <f>IF(AT136=0,"",IF(AND(AT136=1,M136="F",SUMIF(C2:C201,C136,AS2:AS201)&lt;=1),SUMIF(C2:C201,C136,AS2:AS201),IF(AND(AT136=1,M136="F",SUMIF(C2:C201,C136,AS2:AS201)&gt;1),1,"")))</f>
        <v>1</v>
      </c>
      <c r="AV136" s="386" t="str">
        <f>IF(AT136=0,"",IF(AND(AT136=3,M136="F",SUMIF(C2:C201,C136,AS2:AS201)&lt;=1),SUMIF(C2:C201,C136,AS2:AS201),IF(AND(AT136=3,M136="F",SUMIF(C2:C201,C136,AS2:AS201)&gt;1),1,"")))</f>
        <v/>
      </c>
      <c r="AW136" s="386">
        <f>SUMIF(C2:C201,C136,O2:O201)</f>
        <v>5</v>
      </c>
      <c r="AX136" s="386">
        <f>IF(AND(M136="F",AS136&lt;&gt;0),SUMIF(C2:C201,C136,W2:W201),0)</f>
        <v>104936</v>
      </c>
      <c r="AY136" s="386">
        <f t="shared" si="171"/>
        <v>5246.8</v>
      </c>
      <c r="AZ136" s="386" t="str">
        <f t="shared" si="172"/>
        <v/>
      </c>
      <c r="BA136" s="386">
        <f t="shared" si="173"/>
        <v>0</v>
      </c>
      <c r="BB136" s="386">
        <f t="shared" si="142"/>
        <v>625</v>
      </c>
      <c r="BC136" s="386">
        <f t="shared" si="143"/>
        <v>0</v>
      </c>
      <c r="BD136" s="386">
        <f t="shared" si="144"/>
        <v>325.30160000000001</v>
      </c>
      <c r="BE136" s="386">
        <f t="shared" si="145"/>
        <v>76.078600000000009</v>
      </c>
      <c r="BF136" s="386">
        <f t="shared" si="146"/>
        <v>626.46792000000005</v>
      </c>
      <c r="BG136" s="386">
        <f t="shared" si="147"/>
        <v>37.829428</v>
      </c>
      <c r="BH136" s="386">
        <f t="shared" si="148"/>
        <v>0</v>
      </c>
      <c r="BI136" s="386">
        <f t="shared" si="149"/>
        <v>0</v>
      </c>
      <c r="BJ136" s="386">
        <f t="shared" si="150"/>
        <v>9.4442400000000006</v>
      </c>
      <c r="BK136" s="386">
        <f t="shared" si="151"/>
        <v>0</v>
      </c>
      <c r="BL136" s="386">
        <f t="shared" si="174"/>
        <v>1075.1217880000002</v>
      </c>
      <c r="BM136" s="386">
        <f t="shared" si="175"/>
        <v>0</v>
      </c>
      <c r="BN136" s="386">
        <f t="shared" si="152"/>
        <v>687.5</v>
      </c>
      <c r="BO136" s="386">
        <f t="shared" si="153"/>
        <v>0</v>
      </c>
      <c r="BP136" s="386">
        <f t="shared" si="154"/>
        <v>325.30160000000001</v>
      </c>
      <c r="BQ136" s="386">
        <f t="shared" si="155"/>
        <v>76.078600000000009</v>
      </c>
      <c r="BR136" s="386">
        <f t="shared" si="156"/>
        <v>586.59223999999995</v>
      </c>
      <c r="BS136" s="386">
        <f t="shared" si="157"/>
        <v>37.829428</v>
      </c>
      <c r="BT136" s="386">
        <f t="shared" si="158"/>
        <v>0</v>
      </c>
      <c r="BU136" s="386">
        <f t="shared" si="159"/>
        <v>0</v>
      </c>
      <c r="BV136" s="386">
        <f t="shared" si="160"/>
        <v>9.9689200000000007</v>
      </c>
      <c r="BW136" s="386">
        <f t="shared" si="161"/>
        <v>0</v>
      </c>
      <c r="BX136" s="386">
        <f t="shared" si="176"/>
        <v>1035.770788</v>
      </c>
      <c r="BY136" s="386">
        <f t="shared" si="177"/>
        <v>0</v>
      </c>
      <c r="BZ136" s="386">
        <f t="shared" si="178"/>
        <v>62.5</v>
      </c>
      <c r="CA136" s="386">
        <f t="shared" si="179"/>
        <v>0</v>
      </c>
      <c r="CB136" s="386">
        <f t="shared" si="180"/>
        <v>0</v>
      </c>
      <c r="CC136" s="386">
        <f t="shared" si="162"/>
        <v>0</v>
      </c>
      <c r="CD136" s="386">
        <f t="shared" si="163"/>
        <v>-39.875680000000052</v>
      </c>
      <c r="CE136" s="386">
        <f t="shared" si="164"/>
        <v>0</v>
      </c>
      <c r="CF136" s="386">
        <f t="shared" si="165"/>
        <v>0</v>
      </c>
      <c r="CG136" s="386">
        <f t="shared" si="166"/>
        <v>0</v>
      </c>
      <c r="CH136" s="386">
        <f t="shared" si="167"/>
        <v>0.52468000000000026</v>
      </c>
      <c r="CI136" s="386">
        <f t="shared" si="168"/>
        <v>0</v>
      </c>
      <c r="CJ136" s="386">
        <f t="shared" si="181"/>
        <v>-39.351000000000049</v>
      </c>
      <c r="CK136" s="386" t="str">
        <f t="shared" si="182"/>
        <v/>
      </c>
      <c r="CL136" s="386" t="str">
        <f t="shared" si="183"/>
        <v/>
      </c>
      <c r="CM136" s="386" t="str">
        <f t="shared" si="184"/>
        <v/>
      </c>
      <c r="CN136" s="386" t="str">
        <f t="shared" si="185"/>
        <v>0001-00</v>
      </c>
    </row>
    <row r="137" spans="1:92" ht="15.75" thickBot="1" x14ac:dyDescent="0.3">
      <c r="A137" s="376" t="s">
        <v>162</v>
      </c>
      <c r="B137" s="376" t="s">
        <v>163</v>
      </c>
      <c r="C137" s="376" t="s">
        <v>464</v>
      </c>
      <c r="D137" s="376" t="s">
        <v>465</v>
      </c>
      <c r="E137" s="376" t="s">
        <v>166</v>
      </c>
      <c r="F137" s="377" t="s">
        <v>167</v>
      </c>
      <c r="G137" s="376" t="s">
        <v>495</v>
      </c>
      <c r="H137" s="378"/>
      <c r="I137" s="378"/>
      <c r="J137" s="376" t="s">
        <v>169</v>
      </c>
      <c r="K137" s="376" t="s">
        <v>466</v>
      </c>
      <c r="L137" s="376" t="s">
        <v>167</v>
      </c>
      <c r="M137" s="376" t="s">
        <v>255</v>
      </c>
      <c r="N137" s="376" t="s">
        <v>173</v>
      </c>
      <c r="O137" s="379">
        <v>0</v>
      </c>
      <c r="P137" s="384">
        <v>1</v>
      </c>
      <c r="Q137" s="384">
        <v>1</v>
      </c>
      <c r="R137" s="380">
        <v>80</v>
      </c>
      <c r="S137" s="384">
        <v>1</v>
      </c>
      <c r="T137" s="380">
        <v>34795.919999999998</v>
      </c>
      <c r="U137" s="380">
        <v>0</v>
      </c>
      <c r="V137" s="380">
        <v>14499.91</v>
      </c>
      <c r="W137" s="380">
        <v>54870.400000000001</v>
      </c>
      <c r="X137" s="380">
        <v>24691.68</v>
      </c>
      <c r="Y137" s="380">
        <v>54870.400000000001</v>
      </c>
      <c r="Z137" s="380">
        <v>25569.599999999999</v>
      </c>
      <c r="AA137" s="378"/>
      <c r="AB137" s="376" t="s">
        <v>45</v>
      </c>
      <c r="AC137" s="376" t="s">
        <v>45</v>
      </c>
      <c r="AD137" s="378"/>
      <c r="AE137" s="378"/>
      <c r="AF137" s="378"/>
      <c r="AG137" s="378"/>
      <c r="AH137" s="379">
        <v>0</v>
      </c>
      <c r="AI137" s="379">
        <v>0</v>
      </c>
      <c r="AJ137" s="378"/>
      <c r="AK137" s="378"/>
      <c r="AL137" s="376" t="s">
        <v>182</v>
      </c>
      <c r="AM137" s="378"/>
      <c r="AN137" s="378"/>
      <c r="AO137" s="379">
        <v>0</v>
      </c>
      <c r="AP137" s="384">
        <v>0</v>
      </c>
      <c r="AQ137" s="384">
        <v>0</v>
      </c>
      <c r="AR137" s="383"/>
      <c r="AS137" s="386">
        <f t="shared" si="169"/>
        <v>0</v>
      </c>
      <c r="AT137">
        <f t="shared" si="170"/>
        <v>0</v>
      </c>
      <c r="AU137" s="386" t="str">
        <f>IF(AT137=0,"",IF(AND(AT137=1,M137="F",SUMIF(C2:C201,C137,AS2:AS201)&lt;=1),SUMIF(C2:C201,C137,AS2:AS201),IF(AND(AT137=1,M137="F",SUMIF(C2:C201,C137,AS2:AS201)&gt;1),1,"")))</f>
        <v/>
      </c>
      <c r="AV137" s="386" t="str">
        <f>IF(AT137=0,"",IF(AND(AT137=3,M137="F",SUMIF(C2:C201,C137,AS2:AS201)&lt;=1),SUMIF(C2:C201,C137,AS2:AS201),IF(AND(AT137=3,M137="F",SUMIF(C2:C201,C137,AS2:AS201)&gt;1),1,"")))</f>
        <v/>
      </c>
      <c r="AW137" s="386">
        <f>SUMIF(C2:C201,C137,O2:O201)</f>
        <v>0</v>
      </c>
      <c r="AX137" s="386">
        <f>IF(AND(M137="F",AS137&lt;&gt;0),SUMIF(C2:C201,C137,W2:W201),0)</f>
        <v>0</v>
      </c>
      <c r="AY137" s="386" t="str">
        <f t="shared" si="171"/>
        <v/>
      </c>
      <c r="AZ137" s="386" t="str">
        <f t="shared" si="172"/>
        <v/>
      </c>
      <c r="BA137" s="386">
        <f t="shared" si="173"/>
        <v>0</v>
      </c>
      <c r="BB137" s="386">
        <f t="shared" si="142"/>
        <v>0</v>
      </c>
      <c r="BC137" s="386">
        <f t="shared" si="143"/>
        <v>0</v>
      </c>
      <c r="BD137" s="386">
        <f t="shared" si="144"/>
        <v>0</v>
      </c>
      <c r="BE137" s="386">
        <f t="shared" si="145"/>
        <v>0</v>
      </c>
      <c r="BF137" s="386">
        <f t="shared" si="146"/>
        <v>0</v>
      </c>
      <c r="BG137" s="386">
        <f t="shared" si="147"/>
        <v>0</v>
      </c>
      <c r="BH137" s="386">
        <f t="shared" si="148"/>
        <v>0</v>
      </c>
      <c r="BI137" s="386">
        <f t="shared" si="149"/>
        <v>0</v>
      </c>
      <c r="BJ137" s="386">
        <f t="shared" si="150"/>
        <v>0</v>
      </c>
      <c r="BK137" s="386">
        <f t="shared" si="151"/>
        <v>0</v>
      </c>
      <c r="BL137" s="386">
        <f t="shared" si="174"/>
        <v>0</v>
      </c>
      <c r="BM137" s="386">
        <f t="shared" si="175"/>
        <v>0</v>
      </c>
      <c r="BN137" s="386">
        <f t="shared" si="152"/>
        <v>0</v>
      </c>
      <c r="BO137" s="386">
        <f t="shared" si="153"/>
        <v>0</v>
      </c>
      <c r="BP137" s="386">
        <f t="shared" si="154"/>
        <v>0</v>
      </c>
      <c r="BQ137" s="386">
        <f t="shared" si="155"/>
        <v>0</v>
      </c>
      <c r="BR137" s="386">
        <f t="shared" si="156"/>
        <v>0</v>
      </c>
      <c r="BS137" s="386">
        <f t="shared" si="157"/>
        <v>0</v>
      </c>
      <c r="BT137" s="386">
        <f t="shared" si="158"/>
        <v>0</v>
      </c>
      <c r="BU137" s="386">
        <f t="shared" si="159"/>
        <v>0</v>
      </c>
      <c r="BV137" s="386">
        <f t="shared" si="160"/>
        <v>0</v>
      </c>
      <c r="BW137" s="386">
        <f t="shared" si="161"/>
        <v>0</v>
      </c>
      <c r="BX137" s="386">
        <f t="shared" si="176"/>
        <v>0</v>
      </c>
      <c r="BY137" s="386">
        <f t="shared" si="177"/>
        <v>0</v>
      </c>
      <c r="BZ137" s="386">
        <f t="shared" si="178"/>
        <v>0</v>
      </c>
      <c r="CA137" s="386">
        <f t="shared" si="179"/>
        <v>0</v>
      </c>
      <c r="CB137" s="386">
        <f t="shared" si="180"/>
        <v>0</v>
      </c>
      <c r="CC137" s="386">
        <f t="shared" si="162"/>
        <v>0</v>
      </c>
      <c r="CD137" s="386">
        <f t="shared" si="163"/>
        <v>0</v>
      </c>
      <c r="CE137" s="386">
        <f t="shared" si="164"/>
        <v>0</v>
      </c>
      <c r="CF137" s="386">
        <f t="shared" si="165"/>
        <v>0</v>
      </c>
      <c r="CG137" s="386">
        <f t="shared" si="166"/>
        <v>0</v>
      </c>
      <c r="CH137" s="386">
        <f t="shared" si="167"/>
        <v>0</v>
      </c>
      <c r="CI137" s="386">
        <f t="shared" si="168"/>
        <v>0</v>
      </c>
      <c r="CJ137" s="386">
        <f t="shared" si="181"/>
        <v>0</v>
      </c>
      <c r="CK137" s="386" t="str">
        <f t="shared" si="182"/>
        <v/>
      </c>
      <c r="CL137" s="386" t="str">
        <f t="shared" si="183"/>
        <v/>
      </c>
      <c r="CM137" s="386" t="str">
        <f t="shared" si="184"/>
        <v/>
      </c>
      <c r="CN137" s="386" t="str">
        <f t="shared" si="185"/>
        <v>0001-00</v>
      </c>
    </row>
    <row r="138" spans="1:92" ht="15.75" thickBot="1" x14ac:dyDescent="0.3">
      <c r="A138" s="376" t="s">
        <v>162</v>
      </c>
      <c r="B138" s="376" t="s">
        <v>163</v>
      </c>
      <c r="C138" s="376" t="s">
        <v>347</v>
      </c>
      <c r="D138" s="376" t="s">
        <v>165</v>
      </c>
      <c r="E138" s="376" t="s">
        <v>166</v>
      </c>
      <c r="F138" s="377" t="s">
        <v>167</v>
      </c>
      <c r="G138" s="376" t="s">
        <v>495</v>
      </c>
      <c r="H138" s="378"/>
      <c r="I138" s="378"/>
      <c r="J138" s="376" t="s">
        <v>169</v>
      </c>
      <c r="K138" s="376" t="s">
        <v>193</v>
      </c>
      <c r="L138" s="376" t="s">
        <v>194</v>
      </c>
      <c r="M138" s="376" t="s">
        <v>172</v>
      </c>
      <c r="N138" s="376" t="s">
        <v>173</v>
      </c>
      <c r="O138" s="379">
        <v>1</v>
      </c>
      <c r="P138" s="384">
        <v>0</v>
      </c>
      <c r="Q138" s="384">
        <v>0</v>
      </c>
      <c r="R138" s="380">
        <v>80</v>
      </c>
      <c r="S138" s="384">
        <v>0</v>
      </c>
      <c r="T138" s="380">
        <v>906.88</v>
      </c>
      <c r="U138" s="380">
        <v>0</v>
      </c>
      <c r="V138" s="380">
        <v>411.25</v>
      </c>
      <c r="W138" s="380">
        <v>0</v>
      </c>
      <c r="X138" s="380">
        <v>0</v>
      </c>
      <c r="Y138" s="380">
        <v>0</v>
      </c>
      <c r="Z138" s="380">
        <v>0</v>
      </c>
      <c r="AA138" s="376" t="s">
        <v>348</v>
      </c>
      <c r="AB138" s="376" t="s">
        <v>349</v>
      </c>
      <c r="AC138" s="376" t="s">
        <v>350</v>
      </c>
      <c r="AD138" s="376" t="s">
        <v>171</v>
      </c>
      <c r="AE138" s="376" t="s">
        <v>193</v>
      </c>
      <c r="AF138" s="376" t="s">
        <v>178</v>
      </c>
      <c r="AG138" s="376" t="s">
        <v>179</v>
      </c>
      <c r="AH138" s="381">
        <v>27.28</v>
      </c>
      <c r="AI138" s="381">
        <v>1196.2</v>
      </c>
      <c r="AJ138" s="376" t="s">
        <v>180</v>
      </c>
      <c r="AK138" s="376" t="s">
        <v>181</v>
      </c>
      <c r="AL138" s="376" t="s">
        <v>182</v>
      </c>
      <c r="AM138" s="376" t="s">
        <v>183</v>
      </c>
      <c r="AN138" s="376" t="s">
        <v>66</v>
      </c>
      <c r="AO138" s="379">
        <v>80</v>
      </c>
      <c r="AP138" s="384">
        <v>1</v>
      </c>
      <c r="AQ138" s="384">
        <v>0</v>
      </c>
      <c r="AR138" s="382" t="s">
        <v>184</v>
      </c>
      <c r="AS138" s="386">
        <f t="shared" si="169"/>
        <v>0</v>
      </c>
      <c r="AT138">
        <f t="shared" si="170"/>
        <v>0</v>
      </c>
      <c r="AU138" s="386" t="str">
        <f>IF(AT138=0,"",IF(AND(AT138=1,M138="F",SUMIF(C2:C201,C138,AS2:AS201)&lt;=1),SUMIF(C2:C201,C138,AS2:AS201),IF(AND(AT138=1,M138="F",SUMIF(C2:C201,C138,AS2:AS201)&gt;1),1,"")))</f>
        <v/>
      </c>
      <c r="AV138" s="386" t="str">
        <f>IF(AT138=0,"",IF(AND(AT138=3,M138="F",SUMIF(C2:C201,C138,AS2:AS201)&lt;=1),SUMIF(C2:C201,C138,AS2:AS201),IF(AND(AT138=3,M138="F",SUMIF(C2:C201,C138,AS2:AS201)&gt;1),1,"")))</f>
        <v/>
      </c>
      <c r="AW138" s="386">
        <f>SUMIF(C2:C201,C138,O2:O201)</f>
        <v>4</v>
      </c>
      <c r="AX138" s="386">
        <f>IF(AND(M138="F",AS138&lt;&gt;0),SUMIF(C2:C201,C138,W2:W201),0)</f>
        <v>0</v>
      </c>
      <c r="AY138" s="386" t="str">
        <f t="shared" si="171"/>
        <v/>
      </c>
      <c r="AZ138" s="386" t="str">
        <f t="shared" si="172"/>
        <v/>
      </c>
      <c r="BA138" s="386">
        <f t="shared" si="173"/>
        <v>0</v>
      </c>
      <c r="BB138" s="386">
        <f t="shared" si="142"/>
        <v>0</v>
      </c>
      <c r="BC138" s="386">
        <f t="shared" si="143"/>
        <v>0</v>
      </c>
      <c r="BD138" s="386">
        <f t="shared" si="144"/>
        <v>0</v>
      </c>
      <c r="BE138" s="386">
        <f t="shared" si="145"/>
        <v>0</v>
      </c>
      <c r="BF138" s="386">
        <f t="shared" si="146"/>
        <v>0</v>
      </c>
      <c r="BG138" s="386">
        <f t="shared" si="147"/>
        <v>0</v>
      </c>
      <c r="BH138" s="386">
        <f t="shared" si="148"/>
        <v>0</v>
      </c>
      <c r="BI138" s="386">
        <f t="shared" si="149"/>
        <v>0</v>
      </c>
      <c r="BJ138" s="386">
        <f t="shared" si="150"/>
        <v>0</v>
      </c>
      <c r="BK138" s="386">
        <f t="shared" si="151"/>
        <v>0</v>
      </c>
      <c r="BL138" s="386">
        <f t="shared" si="174"/>
        <v>0</v>
      </c>
      <c r="BM138" s="386">
        <f t="shared" si="175"/>
        <v>0</v>
      </c>
      <c r="BN138" s="386">
        <f t="shared" si="152"/>
        <v>0</v>
      </c>
      <c r="BO138" s="386">
        <f t="shared" si="153"/>
        <v>0</v>
      </c>
      <c r="BP138" s="386">
        <f t="shared" si="154"/>
        <v>0</v>
      </c>
      <c r="BQ138" s="386">
        <f t="shared" si="155"/>
        <v>0</v>
      </c>
      <c r="BR138" s="386">
        <f t="shared" si="156"/>
        <v>0</v>
      </c>
      <c r="BS138" s="386">
        <f t="shared" si="157"/>
        <v>0</v>
      </c>
      <c r="BT138" s="386">
        <f t="shared" si="158"/>
        <v>0</v>
      </c>
      <c r="BU138" s="386">
        <f t="shared" si="159"/>
        <v>0</v>
      </c>
      <c r="BV138" s="386">
        <f t="shared" si="160"/>
        <v>0</v>
      </c>
      <c r="BW138" s="386">
        <f t="shared" si="161"/>
        <v>0</v>
      </c>
      <c r="BX138" s="386">
        <f t="shared" si="176"/>
        <v>0</v>
      </c>
      <c r="BY138" s="386">
        <f t="shared" si="177"/>
        <v>0</v>
      </c>
      <c r="BZ138" s="386">
        <f t="shared" si="178"/>
        <v>0</v>
      </c>
      <c r="CA138" s="386">
        <f t="shared" si="179"/>
        <v>0</v>
      </c>
      <c r="CB138" s="386">
        <f t="shared" si="180"/>
        <v>0</v>
      </c>
      <c r="CC138" s="386">
        <f t="shared" si="162"/>
        <v>0</v>
      </c>
      <c r="CD138" s="386">
        <f t="shared" si="163"/>
        <v>0</v>
      </c>
      <c r="CE138" s="386">
        <f t="shared" si="164"/>
        <v>0</v>
      </c>
      <c r="CF138" s="386">
        <f t="shared" si="165"/>
        <v>0</v>
      </c>
      <c r="CG138" s="386">
        <f t="shared" si="166"/>
        <v>0</v>
      </c>
      <c r="CH138" s="386">
        <f t="shared" si="167"/>
        <v>0</v>
      </c>
      <c r="CI138" s="386">
        <f t="shared" si="168"/>
        <v>0</v>
      </c>
      <c r="CJ138" s="386">
        <f t="shared" si="181"/>
        <v>0</v>
      </c>
      <c r="CK138" s="386" t="str">
        <f t="shared" si="182"/>
        <v/>
      </c>
      <c r="CL138" s="386" t="str">
        <f t="shared" si="183"/>
        <v/>
      </c>
      <c r="CM138" s="386" t="str">
        <f t="shared" si="184"/>
        <v/>
      </c>
      <c r="CN138" s="386" t="str">
        <f t="shared" si="185"/>
        <v>0001-00</v>
      </c>
    </row>
    <row r="139" spans="1:92" ht="15.75" thickBot="1" x14ac:dyDescent="0.3">
      <c r="A139" s="376" t="s">
        <v>162</v>
      </c>
      <c r="B139" s="376" t="s">
        <v>163</v>
      </c>
      <c r="C139" s="376" t="s">
        <v>444</v>
      </c>
      <c r="D139" s="376" t="s">
        <v>378</v>
      </c>
      <c r="E139" s="376" t="s">
        <v>166</v>
      </c>
      <c r="F139" s="377" t="s">
        <v>167</v>
      </c>
      <c r="G139" s="376" t="s">
        <v>495</v>
      </c>
      <c r="H139" s="378"/>
      <c r="I139" s="378"/>
      <c r="J139" s="376" t="s">
        <v>169</v>
      </c>
      <c r="K139" s="376" t="s">
        <v>379</v>
      </c>
      <c r="L139" s="376" t="s">
        <v>167</v>
      </c>
      <c r="M139" s="376" t="s">
        <v>172</v>
      </c>
      <c r="N139" s="376" t="s">
        <v>173</v>
      </c>
      <c r="O139" s="379">
        <v>1</v>
      </c>
      <c r="P139" s="384">
        <v>1</v>
      </c>
      <c r="Q139" s="384">
        <v>1</v>
      </c>
      <c r="R139" s="380">
        <v>80</v>
      </c>
      <c r="S139" s="384">
        <v>1</v>
      </c>
      <c r="T139" s="380">
        <v>43979.199999999997</v>
      </c>
      <c r="U139" s="380">
        <v>0</v>
      </c>
      <c r="V139" s="380">
        <v>19440.34</v>
      </c>
      <c r="W139" s="380">
        <v>42848</v>
      </c>
      <c r="X139" s="380">
        <v>21279.96</v>
      </c>
      <c r="Y139" s="380">
        <v>42848</v>
      </c>
      <c r="Z139" s="380">
        <v>22208.6</v>
      </c>
      <c r="AA139" s="376" t="s">
        <v>445</v>
      </c>
      <c r="AB139" s="376" t="s">
        <v>446</v>
      </c>
      <c r="AC139" s="376" t="s">
        <v>447</v>
      </c>
      <c r="AD139" s="376" t="s">
        <v>177</v>
      </c>
      <c r="AE139" s="376" t="s">
        <v>379</v>
      </c>
      <c r="AF139" s="376" t="s">
        <v>178</v>
      </c>
      <c r="AG139" s="376" t="s">
        <v>179</v>
      </c>
      <c r="AH139" s="381">
        <v>20.6</v>
      </c>
      <c r="AI139" s="379">
        <v>482</v>
      </c>
      <c r="AJ139" s="376" t="s">
        <v>180</v>
      </c>
      <c r="AK139" s="376" t="s">
        <v>181</v>
      </c>
      <c r="AL139" s="376" t="s">
        <v>182</v>
      </c>
      <c r="AM139" s="376" t="s">
        <v>183</v>
      </c>
      <c r="AN139" s="376" t="s">
        <v>66</v>
      </c>
      <c r="AO139" s="379">
        <v>80</v>
      </c>
      <c r="AP139" s="384">
        <v>1</v>
      </c>
      <c r="AQ139" s="384">
        <v>1</v>
      </c>
      <c r="AR139" s="382" t="s">
        <v>184</v>
      </c>
      <c r="AS139" s="386">
        <f t="shared" si="169"/>
        <v>1</v>
      </c>
      <c r="AT139">
        <f t="shared" si="170"/>
        <v>1</v>
      </c>
      <c r="AU139" s="386">
        <f>IF(AT139=0,"",IF(AND(AT139=1,M139="F",SUMIF(C2:C201,C139,AS2:AS201)&lt;=1),SUMIF(C2:C201,C139,AS2:AS201),IF(AND(AT139=1,M139="F",SUMIF(C2:C201,C139,AS2:AS201)&gt;1),1,"")))</f>
        <v>1</v>
      </c>
      <c r="AV139" s="386" t="str">
        <f>IF(AT139=0,"",IF(AND(AT139=3,M139="F",SUMIF(C2:C201,C139,AS2:AS201)&lt;=1),SUMIF(C2:C201,C139,AS2:AS201),IF(AND(AT139=3,M139="F",SUMIF(C2:C201,C139,AS2:AS201)&gt;1),1,"")))</f>
        <v/>
      </c>
      <c r="AW139" s="386">
        <f>SUMIF(C2:C201,C139,O2:O201)</f>
        <v>2</v>
      </c>
      <c r="AX139" s="386">
        <f>IF(AND(M139="F",AS139&lt;&gt;0),SUMIF(C2:C201,C139,W2:W201),0)</f>
        <v>42848</v>
      </c>
      <c r="AY139" s="386">
        <f t="shared" si="171"/>
        <v>42848</v>
      </c>
      <c r="AZ139" s="386" t="str">
        <f t="shared" si="172"/>
        <v/>
      </c>
      <c r="BA139" s="386">
        <f t="shared" si="173"/>
        <v>0</v>
      </c>
      <c r="BB139" s="386">
        <f t="shared" si="142"/>
        <v>12500</v>
      </c>
      <c r="BC139" s="386">
        <f t="shared" si="143"/>
        <v>0</v>
      </c>
      <c r="BD139" s="386">
        <f t="shared" si="144"/>
        <v>2656.576</v>
      </c>
      <c r="BE139" s="386">
        <f t="shared" si="145"/>
        <v>621.29600000000005</v>
      </c>
      <c r="BF139" s="386">
        <f t="shared" si="146"/>
        <v>5116.0511999999999</v>
      </c>
      <c r="BG139" s="386">
        <f t="shared" si="147"/>
        <v>308.93407999999999</v>
      </c>
      <c r="BH139" s="386">
        <f t="shared" si="148"/>
        <v>0</v>
      </c>
      <c r="BI139" s="386">
        <f t="shared" si="149"/>
        <v>0</v>
      </c>
      <c r="BJ139" s="386">
        <f t="shared" si="150"/>
        <v>77.126400000000004</v>
      </c>
      <c r="BK139" s="386">
        <f t="shared" si="151"/>
        <v>0</v>
      </c>
      <c r="BL139" s="386">
        <f t="shared" si="174"/>
        <v>8779.9836799999994</v>
      </c>
      <c r="BM139" s="386">
        <f t="shared" si="175"/>
        <v>0</v>
      </c>
      <c r="BN139" s="386">
        <f t="shared" si="152"/>
        <v>13750</v>
      </c>
      <c r="BO139" s="386">
        <f t="shared" si="153"/>
        <v>0</v>
      </c>
      <c r="BP139" s="386">
        <f t="shared" si="154"/>
        <v>2656.576</v>
      </c>
      <c r="BQ139" s="386">
        <f t="shared" si="155"/>
        <v>621.29600000000005</v>
      </c>
      <c r="BR139" s="386">
        <f t="shared" si="156"/>
        <v>4790.4063999999998</v>
      </c>
      <c r="BS139" s="386">
        <f t="shared" si="157"/>
        <v>308.93407999999999</v>
      </c>
      <c r="BT139" s="386">
        <f t="shared" si="158"/>
        <v>0</v>
      </c>
      <c r="BU139" s="386">
        <f t="shared" si="159"/>
        <v>0</v>
      </c>
      <c r="BV139" s="386">
        <f t="shared" si="160"/>
        <v>81.411199999999994</v>
      </c>
      <c r="BW139" s="386">
        <f t="shared" si="161"/>
        <v>0</v>
      </c>
      <c r="BX139" s="386">
        <f t="shared" si="176"/>
        <v>8458.6236800000006</v>
      </c>
      <c r="BY139" s="386">
        <f t="shared" si="177"/>
        <v>0</v>
      </c>
      <c r="BZ139" s="386">
        <f t="shared" si="178"/>
        <v>1250</v>
      </c>
      <c r="CA139" s="386">
        <f t="shared" si="179"/>
        <v>0</v>
      </c>
      <c r="CB139" s="386">
        <f t="shared" si="180"/>
        <v>0</v>
      </c>
      <c r="CC139" s="386">
        <f t="shared" si="162"/>
        <v>0</v>
      </c>
      <c r="CD139" s="386">
        <f t="shared" si="163"/>
        <v>-325.64480000000043</v>
      </c>
      <c r="CE139" s="386">
        <f t="shared" si="164"/>
        <v>0</v>
      </c>
      <c r="CF139" s="386">
        <f t="shared" si="165"/>
        <v>0</v>
      </c>
      <c r="CG139" s="386">
        <f t="shared" si="166"/>
        <v>0</v>
      </c>
      <c r="CH139" s="386">
        <f t="shared" si="167"/>
        <v>4.2848000000000024</v>
      </c>
      <c r="CI139" s="386">
        <f t="shared" si="168"/>
        <v>0</v>
      </c>
      <c r="CJ139" s="386">
        <f t="shared" si="181"/>
        <v>-321.36000000000041</v>
      </c>
      <c r="CK139" s="386" t="str">
        <f t="shared" si="182"/>
        <v/>
      </c>
      <c r="CL139" s="386" t="str">
        <f t="shared" si="183"/>
        <v/>
      </c>
      <c r="CM139" s="386" t="str">
        <f t="shared" si="184"/>
        <v/>
      </c>
      <c r="CN139" s="386" t="str">
        <f t="shared" si="185"/>
        <v>0001-00</v>
      </c>
    </row>
    <row r="140" spans="1:92" ht="15.75" thickBot="1" x14ac:dyDescent="0.3">
      <c r="A140" s="376" t="s">
        <v>162</v>
      </c>
      <c r="B140" s="376" t="s">
        <v>163</v>
      </c>
      <c r="C140" s="376" t="s">
        <v>448</v>
      </c>
      <c r="D140" s="376" t="s">
        <v>449</v>
      </c>
      <c r="E140" s="376" t="s">
        <v>166</v>
      </c>
      <c r="F140" s="377" t="s">
        <v>167</v>
      </c>
      <c r="G140" s="376" t="s">
        <v>495</v>
      </c>
      <c r="H140" s="378"/>
      <c r="I140" s="378"/>
      <c r="J140" s="376" t="s">
        <v>169</v>
      </c>
      <c r="K140" s="376" t="s">
        <v>450</v>
      </c>
      <c r="L140" s="376" t="s">
        <v>198</v>
      </c>
      <c r="M140" s="376" t="s">
        <v>172</v>
      </c>
      <c r="N140" s="376" t="s">
        <v>173</v>
      </c>
      <c r="O140" s="379">
        <v>1</v>
      </c>
      <c r="P140" s="384">
        <v>1</v>
      </c>
      <c r="Q140" s="384">
        <v>1</v>
      </c>
      <c r="R140" s="380">
        <v>80</v>
      </c>
      <c r="S140" s="384">
        <v>1</v>
      </c>
      <c r="T140" s="380">
        <v>55535.360000000001</v>
      </c>
      <c r="U140" s="380">
        <v>0</v>
      </c>
      <c r="V140" s="380">
        <v>22487.83</v>
      </c>
      <c r="W140" s="380">
        <v>53019.199999999997</v>
      </c>
      <c r="X140" s="380">
        <v>23364.14</v>
      </c>
      <c r="Y140" s="380">
        <v>53019.199999999997</v>
      </c>
      <c r="Z140" s="380">
        <v>24216.49</v>
      </c>
      <c r="AA140" s="376" t="s">
        <v>451</v>
      </c>
      <c r="AB140" s="376" t="s">
        <v>452</v>
      </c>
      <c r="AC140" s="376" t="s">
        <v>453</v>
      </c>
      <c r="AD140" s="376" t="s">
        <v>241</v>
      </c>
      <c r="AE140" s="376" t="s">
        <v>450</v>
      </c>
      <c r="AF140" s="376" t="s">
        <v>178</v>
      </c>
      <c r="AG140" s="376" t="s">
        <v>179</v>
      </c>
      <c r="AH140" s="381">
        <v>25.49</v>
      </c>
      <c r="AI140" s="381">
        <v>9136.6</v>
      </c>
      <c r="AJ140" s="376" t="s">
        <v>180</v>
      </c>
      <c r="AK140" s="376" t="s">
        <v>181</v>
      </c>
      <c r="AL140" s="376" t="s">
        <v>182</v>
      </c>
      <c r="AM140" s="376" t="s">
        <v>183</v>
      </c>
      <c r="AN140" s="376" t="s">
        <v>66</v>
      </c>
      <c r="AO140" s="379">
        <v>80</v>
      </c>
      <c r="AP140" s="384">
        <v>1</v>
      </c>
      <c r="AQ140" s="384">
        <v>1</v>
      </c>
      <c r="AR140" s="382" t="s">
        <v>184</v>
      </c>
      <c r="AS140" s="386">
        <f t="shared" si="169"/>
        <v>1</v>
      </c>
      <c r="AT140">
        <f t="shared" si="170"/>
        <v>1</v>
      </c>
      <c r="AU140" s="386">
        <f>IF(AT140=0,"",IF(AND(AT140=1,M140="F",SUMIF(C2:C201,C140,AS2:AS201)&lt;=1),SUMIF(C2:C201,C140,AS2:AS201),IF(AND(AT140=1,M140="F",SUMIF(C2:C201,C140,AS2:AS201)&gt;1),1,"")))</f>
        <v>1</v>
      </c>
      <c r="AV140" s="386" t="str">
        <f>IF(AT140=0,"",IF(AND(AT140=3,M140="F",SUMIF(C2:C201,C140,AS2:AS201)&lt;=1),SUMIF(C2:C201,C140,AS2:AS201),IF(AND(AT140=3,M140="F",SUMIF(C2:C201,C140,AS2:AS201)&gt;1),1,"")))</f>
        <v/>
      </c>
      <c r="AW140" s="386">
        <f>SUMIF(C2:C201,C140,O2:O201)</f>
        <v>2</v>
      </c>
      <c r="AX140" s="386">
        <f>IF(AND(M140="F",AS140&lt;&gt;0),SUMIF(C2:C201,C140,W2:W201),0)</f>
        <v>53019.199999999997</v>
      </c>
      <c r="AY140" s="386">
        <f t="shared" si="171"/>
        <v>53019.199999999997</v>
      </c>
      <c r="AZ140" s="386" t="str">
        <f t="shared" si="172"/>
        <v/>
      </c>
      <c r="BA140" s="386">
        <f t="shared" si="173"/>
        <v>0</v>
      </c>
      <c r="BB140" s="386">
        <f t="shared" si="142"/>
        <v>12500</v>
      </c>
      <c r="BC140" s="386">
        <f t="shared" si="143"/>
        <v>0</v>
      </c>
      <c r="BD140" s="386">
        <f t="shared" si="144"/>
        <v>3287.1904</v>
      </c>
      <c r="BE140" s="386">
        <f t="shared" si="145"/>
        <v>768.77840000000003</v>
      </c>
      <c r="BF140" s="386">
        <f t="shared" si="146"/>
        <v>6330.4924799999999</v>
      </c>
      <c r="BG140" s="386">
        <f t="shared" si="147"/>
        <v>382.26843200000002</v>
      </c>
      <c r="BH140" s="386">
        <f t="shared" si="148"/>
        <v>0</v>
      </c>
      <c r="BI140" s="386">
        <f t="shared" si="149"/>
        <v>0</v>
      </c>
      <c r="BJ140" s="386">
        <f t="shared" si="150"/>
        <v>95.434559999999991</v>
      </c>
      <c r="BK140" s="386">
        <f t="shared" si="151"/>
        <v>0</v>
      </c>
      <c r="BL140" s="386">
        <f t="shared" si="174"/>
        <v>10864.164272</v>
      </c>
      <c r="BM140" s="386">
        <f t="shared" si="175"/>
        <v>0</v>
      </c>
      <c r="BN140" s="386">
        <f t="shared" si="152"/>
        <v>13750</v>
      </c>
      <c r="BO140" s="386">
        <f t="shared" si="153"/>
        <v>0</v>
      </c>
      <c r="BP140" s="386">
        <f t="shared" si="154"/>
        <v>3287.1904</v>
      </c>
      <c r="BQ140" s="386">
        <f t="shared" si="155"/>
        <v>768.77840000000003</v>
      </c>
      <c r="BR140" s="386">
        <f t="shared" si="156"/>
        <v>5927.5465599999998</v>
      </c>
      <c r="BS140" s="386">
        <f t="shared" si="157"/>
        <v>382.26843200000002</v>
      </c>
      <c r="BT140" s="386">
        <f t="shared" si="158"/>
        <v>0</v>
      </c>
      <c r="BU140" s="386">
        <f t="shared" si="159"/>
        <v>0</v>
      </c>
      <c r="BV140" s="386">
        <f t="shared" si="160"/>
        <v>100.73648</v>
      </c>
      <c r="BW140" s="386">
        <f t="shared" si="161"/>
        <v>0</v>
      </c>
      <c r="BX140" s="386">
        <f t="shared" si="176"/>
        <v>10466.520272</v>
      </c>
      <c r="BY140" s="386">
        <f t="shared" si="177"/>
        <v>0</v>
      </c>
      <c r="BZ140" s="386">
        <f t="shared" si="178"/>
        <v>1250</v>
      </c>
      <c r="CA140" s="386">
        <f t="shared" si="179"/>
        <v>0</v>
      </c>
      <c r="CB140" s="386">
        <f t="shared" si="180"/>
        <v>0</v>
      </c>
      <c r="CC140" s="386">
        <f t="shared" si="162"/>
        <v>0</v>
      </c>
      <c r="CD140" s="386">
        <f t="shared" si="163"/>
        <v>-402.94592000000046</v>
      </c>
      <c r="CE140" s="386">
        <f t="shared" si="164"/>
        <v>0</v>
      </c>
      <c r="CF140" s="386">
        <f t="shared" si="165"/>
        <v>0</v>
      </c>
      <c r="CG140" s="386">
        <f t="shared" si="166"/>
        <v>0</v>
      </c>
      <c r="CH140" s="386">
        <f t="shared" si="167"/>
        <v>5.3019200000000017</v>
      </c>
      <c r="CI140" s="386">
        <f t="shared" si="168"/>
        <v>0</v>
      </c>
      <c r="CJ140" s="386">
        <f t="shared" si="181"/>
        <v>-397.64400000000046</v>
      </c>
      <c r="CK140" s="386" t="str">
        <f t="shared" si="182"/>
        <v/>
      </c>
      <c r="CL140" s="386" t="str">
        <f t="shared" si="183"/>
        <v/>
      </c>
      <c r="CM140" s="386" t="str">
        <f t="shared" si="184"/>
        <v/>
      </c>
      <c r="CN140" s="386" t="str">
        <f t="shared" si="185"/>
        <v>0001-00</v>
      </c>
    </row>
    <row r="141" spans="1:92" ht="15.75" thickBot="1" x14ac:dyDescent="0.3">
      <c r="A141" s="376" t="s">
        <v>162</v>
      </c>
      <c r="B141" s="376" t="s">
        <v>163</v>
      </c>
      <c r="C141" s="376" t="s">
        <v>474</v>
      </c>
      <c r="D141" s="376" t="s">
        <v>475</v>
      </c>
      <c r="E141" s="376" t="s">
        <v>166</v>
      </c>
      <c r="F141" s="377" t="s">
        <v>167</v>
      </c>
      <c r="G141" s="376" t="s">
        <v>495</v>
      </c>
      <c r="H141" s="378"/>
      <c r="I141" s="378"/>
      <c r="J141" s="376" t="s">
        <v>169</v>
      </c>
      <c r="K141" s="376" t="s">
        <v>476</v>
      </c>
      <c r="L141" s="376" t="s">
        <v>167</v>
      </c>
      <c r="M141" s="376" t="s">
        <v>172</v>
      </c>
      <c r="N141" s="376" t="s">
        <v>173</v>
      </c>
      <c r="O141" s="379">
        <v>1</v>
      </c>
      <c r="P141" s="384">
        <v>1</v>
      </c>
      <c r="Q141" s="384">
        <v>1</v>
      </c>
      <c r="R141" s="380">
        <v>80</v>
      </c>
      <c r="S141" s="384">
        <v>1</v>
      </c>
      <c r="T141" s="380">
        <v>79552.81</v>
      </c>
      <c r="U141" s="380">
        <v>0</v>
      </c>
      <c r="V141" s="380">
        <v>27378.37</v>
      </c>
      <c r="W141" s="380">
        <v>77500.800000000003</v>
      </c>
      <c r="X141" s="380">
        <v>28380.67</v>
      </c>
      <c r="Y141" s="380">
        <v>77500.800000000003</v>
      </c>
      <c r="Z141" s="380">
        <v>29049.41</v>
      </c>
      <c r="AA141" s="376" t="s">
        <v>477</v>
      </c>
      <c r="AB141" s="376" t="s">
        <v>478</v>
      </c>
      <c r="AC141" s="376" t="s">
        <v>479</v>
      </c>
      <c r="AD141" s="376" t="s">
        <v>480</v>
      </c>
      <c r="AE141" s="376" t="s">
        <v>476</v>
      </c>
      <c r="AF141" s="376" t="s">
        <v>178</v>
      </c>
      <c r="AG141" s="376" t="s">
        <v>179</v>
      </c>
      <c r="AH141" s="381">
        <v>37.26</v>
      </c>
      <c r="AI141" s="381">
        <v>62581.599999999999</v>
      </c>
      <c r="AJ141" s="376" t="s">
        <v>180</v>
      </c>
      <c r="AK141" s="376" t="s">
        <v>181</v>
      </c>
      <c r="AL141" s="376" t="s">
        <v>182</v>
      </c>
      <c r="AM141" s="376" t="s">
        <v>183</v>
      </c>
      <c r="AN141" s="376" t="s">
        <v>66</v>
      </c>
      <c r="AO141" s="379">
        <v>80</v>
      </c>
      <c r="AP141" s="384">
        <v>1</v>
      </c>
      <c r="AQ141" s="384">
        <v>1</v>
      </c>
      <c r="AR141" s="382" t="s">
        <v>184</v>
      </c>
      <c r="AS141" s="386">
        <f t="shared" si="169"/>
        <v>1</v>
      </c>
      <c r="AT141">
        <f t="shared" si="170"/>
        <v>1</v>
      </c>
      <c r="AU141" s="386">
        <f>IF(AT141=0,"",IF(AND(AT141=1,M141="F",SUMIF(C2:C201,C141,AS2:AS201)&lt;=1),SUMIF(C2:C201,C141,AS2:AS201),IF(AND(AT141=1,M141="F",SUMIF(C2:C201,C141,AS2:AS201)&gt;1),1,"")))</f>
        <v>1</v>
      </c>
      <c r="AV141" s="386" t="str">
        <f>IF(AT141=0,"",IF(AND(AT141=3,M141="F",SUMIF(C2:C201,C141,AS2:AS201)&lt;=1),SUMIF(C2:C201,C141,AS2:AS201),IF(AND(AT141=3,M141="F",SUMIF(C2:C201,C141,AS2:AS201)&gt;1),1,"")))</f>
        <v/>
      </c>
      <c r="AW141" s="386">
        <f>SUMIF(C2:C201,C141,O2:O201)</f>
        <v>2</v>
      </c>
      <c r="AX141" s="386">
        <f>IF(AND(M141="F",AS141&lt;&gt;0),SUMIF(C2:C201,C141,W2:W201),0)</f>
        <v>77500.800000000003</v>
      </c>
      <c r="AY141" s="386">
        <f t="shared" si="171"/>
        <v>77500.800000000003</v>
      </c>
      <c r="AZ141" s="386" t="str">
        <f t="shared" si="172"/>
        <v/>
      </c>
      <c r="BA141" s="386">
        <f t="shared" si="173"/>
        <v>0</v>
      </c>
      <c r="BB141" s="386">
        <f t="shared" si="142"/>
        <v>12500</v>
      </c>
      <c r="BC141" s="386">
        <f t="shared" si="143"/>
        <v>0</v>
      </c>
      <c r="BD141" s="386">
        <f t="shared" si="144"/>
        <v>4805.0496000000003</v>
      </c>
      <c r="BE141" s="386">
        <f t="shared" si="145"/>
        <v>1123.7616</v>
      </c>
      <c r="BF141" s="386">
        <f t="shared" si="146"/>
        <v>9253.5955200000008</v>
      </c>
      <c r="BG141" s="386">
        <f t="shared" si="147"/>
        <v>558.78076800000008</v>
      </c>
      <c r="BH141" s="386">
        <f t="shared" si="148"/>
        <v>0</v>
      </c>
      <c r="BI141" s="386">
        <f t="shared" si="149"/>
        <v>0</v>
      </c>
      <c r="BJ141" s="386">
        <f t="shared" si="150"/>
        <v>139.50144</v>
      </c>
      <c r="BK141" s="386">
        <f t="shared" si="151"/>
        <v>0</v>
      </c>
      <c r="BL141" s="386">
        <f t="shared" si="174"/>
        <v>15880.688928000001</v>
      </c>
      <c r="BM141" s="386">
        <f t="shared" si="175"/>
        <v>0</v>
      </c>
      <c r="BN141" s="386">
        <f t="shared" si="152"/>
        <v>13750</v>
      </c>
      <c r="BO141" s="386">
        <f t="shared" si="153"/>
        <v>0</v>
      </c>
      <c r="BP141" s="386">
        <f t="shared" si="154"/>
        <v>4805.0496000000003</v>
      </c>
      <c r="BQ141" s="386">
        <f t="shared" si="155"/>
        <v>1123.7616</v>
      </c>
      <c r="BR141" s="386">
        <f t="shared" si="156"/>
        <v>8664.5894399999997</v>
      </c>
      <c r="BS141" s="386">
        <f t="shared" si="157"/>
        <v>558.78076800000008</v>
      </c>
      <c r="BT141" s="386">
        <f t="shared" si="158"/>
        <v>0</v>
      </c>
      <c r="BU141" s="386">
        <f t="shared" si="159"/>
        <v>0</v>
      </c>
      <c r="BV141" s="386">
        <f t="shared" si="160"/>
        <v>147.25152</v>
      </c>
      <c r="BW141" s="386">
        <f t="shared" si="161"/>
        <v>0</v>
      </c>
      <c r="BX141" s="386">
        <f t="shared" si="176"/>
        <v>15299.432928</v>
      </c>
      <c r="BY141" s="386">
        <f t="shared" si="177"/>
        <v>0</v>
      </c>
      <c r="BZ141" s="386">
        <f t="shared" si="178"/>
        <v>1250</v>
      </c>
      <c r="CA141" s="386">
        <f t="shared" si="179"/>
        <v>0</v>
      </c>
      <c r="CB141" s="386">
        <f t="shared" si="180"/>
        <v>0</v>
      </c>
      <c r="CC141" s="386">
        <f t="shared" si="162"/>
        <v>0</v>
      </c>
      <c r="CD141" s="386">
        <f t="shared" si="163"/>
        <v>-589.00608000000079</v>
      </c>
      <c r="CE141" s="386">
        <f t="shared" si="164"/>
        <v>0</v>
      </c>
      <c r="CF141" s="386">
        <f t="shared" si="165"/>
        <v>0</v>
      </c>
      <c r="CG141" s="386">
        <f t="shared" si="166"/>
        <v>0</v>
      </c>
      <c r="CH141" s="386">
        <f t="shared" si="167"/>
        <v>7.7500800000000041</v>
      </c>
      <c r="CI141" s="386">
        <f t="shared" si="168"/>
        <v>0</v>
      </c>
      <c r="CJ141" s="386">
        <f t="shared" si="181"/>
        <v>-581.25600000000077</v>
      </c>
      <c r="CK141" s="386" t="str">
        <f t="shared" si="182"/>
        <v/>
      </c>
      <c r="CL141" s="386" t="str">
        <f t="shared" si="183"/>
        <v/>
      </c>
      <c r="CM141" s="386" t="str">
        <f t="shared" si="184"/>
        <v/>
      </c>
      <c r="CN141" s="386" t="str">
        <f t="shared" si="185"/>
        <v>0001-00</v>
      </c>
    </row>
    <row r="142" spans="1:92" ht="15.75" thickBot="1" x14ac:dyDescent="0.3">
      <c r="A142" s="376" t="s">
        <v>162</v>
      </c>
      <c r="B142" s="376" t="s">
        <v>163</v>
      </c>
      <c r="C142" s="376" t="s">
        <v>487</v>
      </c>
      <c r="D142" s="376" t="s">
        <v>390</v>
      </c>
      <c r="E142" s="376" t="s">
        <v>166</v>
      </c>
      <c r="F142" s="377" t="s">
        <v>167</v>
      </c>
      <c r="G142" s="376" t="s">
        <v>495</v>
      </c>
      <c r="H142" s="378"/>
      <c r="I142" s="378"/>
      <c r="J142" s="376" t="s">
        <v>169</v>
      </c>
      <c r="K142" s="376" t="s">
        <v>391</v>
      </c>
      <c r="L142" s="376" t="s">
        <v>167</v>
      </c>
      <c r="M142" s="376" t="s">
        <v>172</v>
      </c>
      <c r="N142" s="376" t="s">
        <v>173</v>
      </c>
      <c r="O142" s="379">
        <v>1</v>
      </c>
      <c r="P142" s="384">
        <v>1</v>
      </c>
      <c r="Q142" s="384">
        <v>1</v>
      </c>
      <c r="R142" s="380">
        <v>80</v>
      </c>
      <c r="S142" s="384">
        <v>1</v>
      </c>
      <c r="T142" s="380">
        <v>48539.199999999997</v>
      </c>
      <c r="U142" s="380">
        <v>0</v>
      </c>
      <c r="V142" s="380">
        <v>20837.88</v>
      </c>
      <c r="W142" s="380">
        <v>48443.199999999997</v>
      </c>
      <c r="X142" s="380">
        <v>22426.46</v>
      </c>
      <c r="Y142" s="380">
        <v>48443.199999999997</v>
      </c>
      <c r="Z142" s="380">
        <v>23313.14</v>
      </c>
      <c r="AA142" s="376" t="s">
        <v>488</v>
      </c>
      <c r="AB142" s="376" t="s">
        <v>489</v>
      </c>
      <c r="AC142" s="376" t="s">
        <v>490</v>
      </c>
      <c r="AD142" s="376" t="s">
        <v>285</v>
      </c>
      <c r="AE142" s="376" t="s">
        <v>391</v>
      </c>
      <c r="AF142" s="376" t="s">
        <v>178</v>
      </c>
      <c r="AG142" s="376" t="s">
        <v>179</v>
      </c>
      <c r="AH142" s="381">
        <v>23.29</v>
      </c>
      <c r="AI142" s="379">
        <v>3240</v>
      </c>
      <c r="AJ142" s="376" t="s">
        <v>180</v>
      </c>
      <c r="AK142" s="376" t="s">
        <v>181</v>
      </c>
      <c r="AL142" s="376" t="s">
        <v>182</v>
      </c>
      <c r="AM142" s="376" t="s">
        <v>183</v>
      </c>
      <c r="AN142" s="376" t="s">
        <v>66</v>
      </c>
      <c r="AO142" s="379">
        <v>80</v>
      </c>
      <c r="AP142" s="384">
        <v>1</v>
      </c>
      <c r="AQ142" s="384">
        <v>1</v>
      </c>
      <c r="AR142" s="382" t="s">
        <v>184</v>
      </c>
      <c r="AS142" s="386">
        <f t="shared" si="169"/>
        <v>1</v>
      </c>
      <c r="AT142">
        <f t="shared" si="170"/>
        <v>1</v>
      </c>
      <c r="AU142" s="386">
        <f>IF(AT142=0,"",IF(AND(AT142=1,M142="F",SUMIF(C2:C201,C142,AS2:AS201)&lt;=1),SUMIF(C2:C201,C142,AS2:AS201),IF(AND(AT142=1,M142="F",SUMIF(C2:C201,C142,AS2:AS201)&gt;1),1,"")))</f>
        <v>1</v>
      </c>
      <c r="AV142" s="386" t="str">
        <f>IF(AT142=0,"",IF(AND(AT142=3,M142="F",SUMIF(C2:C201,C142,AS2:AS201)&lt;=1),SUMIF(C2:C201,C142,AS2:AS201),IF(AND(AT142=3,M142="F",SUMIF(C2:C201,C142,AS2:AS201)&gt;1),1,"")))</f>
        <v/>
      </c>
      <c r="AW142" s="386">
        <f>SUMIF(C2:C201,C142,O2:O201)</f>
        <v>2</v>
      </c>
      <c r="AX142" s="386">
        <f>IF(AND(M142="F",AS142&lt;&gt;0),SUMIF(C2:C201,C142,W2:W201),0)</f>
        <v>48443.199999999997</v>
      </c>
      <c r="AY142" s="386">
        <f t="shared" si="171"/>
        <v>48443.199999999997</v>
      </c>
      <c r="AZ142" s="386" t="str">
        <f t="shared" si="172"/>
        <v/>
      </c>
      <c r="BA142" s="386">
        <f t="shared" si="173"/>
        <v>0</v>
      </c>
      <c r="BB142" s="386">
        <f t="shared" si="142"/>
        <v>12500</v>
      </c>
      <c r="BC142" s="386">
        <f t="shared" si="143"/>
        <v>0</v>
      </c>
      <c r="BD142" s="386">
        <f t="shared" si="144"/>
        <v>3003.4784</v>
      </c>
      <c r="BE142" s="386">
        <f t="shared" si="145"/>
        <v>702.42639999999994</v>
      </c>
      <c r="BF142" s="386">
        <f t="shared" si="146"/>
        <v>5784.1180800000002</v>
      </c>
      <c r="BG142" s="386">
        <f t="shared" si="147"/>
        <v>349.27547199999998</v>
      </c>
      <c r="BH142" s="386">
        <f t="shared" si="148"/>
        <v>0</v>
      </c>
      <c r="BI142" s="386">
        <f t="shared" si="149"/>
        <v>0</v>
      </c>
      <c r="BJ142" s="386">
        <f t="shared" si="150"/>
        <v>87.197759999999988</v>
      </c>
      <c r="BK142" s="386">
        <f t="shared" si="151"/>
        <v>0</v>
      </c>
      <c r="BL142" s="386">
        <f t="shared" si="174"/>
        <v>9926.4961119999989</v>
      </c>
      <c r="BM142" s="386">
        <f t="shared" si="175"/>
        <v>0</v>
      </c>
      <c r="BN142" s="386">
        <f t="shared" si="152"/>
        <v>13750</v>
      </c>
      <c r="BO142" s="386">
        <f t="shared" si="153"/>
        <v>0</v>
      </c>
      <c r="BP142" s="386">
        <f t="shared" si="154"/>
        <v>3003.4784</v>
      </c>
      <c r="BQ142" s="386">
        <f t="shared" si="155"/>
        <v>702.42639999999994</v>
      </c>
      <c r="BR142" s="386">
        <f t="shared" si="156"/>
        <v>5415.9497599999995</v>
      </c>
      <c r="BS142" s="386">
        <f t="shared" si="157"/>
        <v>349.27547199999998</v>
      </c>
      <c r="BT142" s="386">
        <f t="shared" si="158"/>
        <v>0</v>
      </c>
      <c r="BU142" s="386">
        <f t="shared" si="159"/>
        <v>0</v>
      </c>
      <c r="BV142" s="386">
        <f t="shared" si="160"/>
        <v>92.042079999999999</v>
      </c>
      <c r="BW142" s="386">
        <f t="shared" si="161"/>
        <v>0</v>
      </c>
      <c r="BX142" s="386">
        <f t="shared" si="176"/>
        <v>9563.1721119999984</v>
      </c>
      <c r="BY142" s="386">
        <f t="shared" si="177"/>
        <v>0</v>
      </c>
      <c r="BZ142" s="386">
        <f t="shared" si="178"/>
        <v>1250</v>
      </c>
      <c r="CA142" s="386">
        <f t="shared" si="179"/>
        <v>0</v>
      </c>
      <c r="CB142" s="386">
        <f t="shared" si="180"/>
        <v>0</v>
      </c>
      <c r="CC142" s="386">
        <f t="shared" si="162"/>
        <v>0</v>
      </c>
      <c r="CD142" s="386">
        <f t="shared" si="163"/>
        <v>-368.16832000000045</v>
      </c>
      <c r="CE142" s="386">
        <f t="shared" si="164"/>
        <v>0</v>
      </c>
      <c r="CF142" s="386">
        <f t="shared" si="165"/>
        <v>0</v>
      </c>
      <c r="CG142" s="386">
        <f t="shared" si="166"/>
        <v>0</v>
      </c>
      <c r="CH142" s="386">
        <f t="shared" si="167"/>
        <v>4.8443200000000015</v>
      </c>
      <c r="CI142" s="386">
        <f t="shared" si="168"/>
        <v>0</v>
      </c>
      <c r="CJ142" s="386">
        <f t="shared" si="181"/>
        <v>-363.32400000000047</v>
      </c>
      <c r="CK142" s="386" t="str">
        <f t="shared" si="182"/>
        <v/>
      </c>
      <c r="CL142" s="386" t="str">
        <f t="shared" si="183"/>
        <v/>
      </c>
      <c r="CM142" s="386" t="str">
        <f t="shared" si="184"/>
        <v/>
      </c>
      <c r="CN142" s="386" t="str">
        <f t="shared" si="185"/>
        <v>0001-00</v>
      </c>
    </row>
    <row r="143" spans="1:92" ht="15.75" thickBot="1" x14ac:dyDescent="0.3">
      <c r="A143" s="376" t="s">
        <v>162</v>
      </c>
      <c r="B143" s="376" t="s">
        <v>163</v>
      </c>
      <c r="C143" s="376" t="s">
        <v>491</v>
      </c>
      <c r="D143" s="376" t="s">
        <v>390</v>
      </c>
      <c r="E143" s="376" t="s">
        <v>166</v>
      </c>
      <c r="F143" s="377" t="s">
        <v>167</v>
      </c>
      <c r="G143" s="376" t="s">
        <v>495</v>
      </c>
      <c r="H143" s="378"/>
      <c r="I143" s="378"/>
      <c r="J143" s="376" t="s">
        <v>169</v>
      </c>
      <c r="K143" s="376" t="s">
        <v>391</v>
      </c>
      <c r="L143" s="376" t="s">
        <v>167</v>
      </c>
      <c r="M143" s="376" t="s">
        <v>172</v>
      </c>
      <c r="N143" s="376" t="s">
        <v>173</v>
      </c>
      <c r="O143" s="379">
        <v>1</v>
      </c>
      <c r="P143" s="384">
        <v>1</v>
      </c>
      <c r="Q143" s="384">
        <v>1</v>
      </c>
      <c r="R143" s="380">
        <v>80</v>
      </c>
      <c r="S143" s="384">
        <v>1</v>
      </c>
      <c r="T143" s="380">
        <v>66972.31</v>
      </c>
      <c r="U143" s="380">
        <v>0</v>
      </c>
      <c r="V143" s="380">
        <v>23640.21</v>
      </c>
      <c r="W143" s="380">
        <v>59987.199999999997</v>
      </c>
      <c r="X143" s="380">
        <v>24791.95</v>
      </c>
      <c r="Y143" s="380">
        <v>59987.199999999997</v>
      </c>
      <c r="Z143" s="380">
        <v>25592.04</v>
      </c>
      <c r="AA143" s="376" t="s">
        <v>492</v>
      </c>
      <c r="AB143" s="376" t="s">
        <v>493</v>
      </c>
      <c r="AC143" s="376" t="s">
        <v>494</v>
      </c>
      <c r="AD143" s="376" t="s">
        <v>285</v>
      </c>
      <c r="AE143" s="376" t="s">
        <v>391</v>
      </c>
      <c r="AF143" s="376" t="s">
        <v>178</v>
      </c>
      <c r="AG143" s="376" t="s">
        <v>179</v>
      </c>
      <c r="AH143" s="381">
        <v>28.84</v>
      </c>
      <c r="AI143" s="381">
        <v>17759.400000000001</v>
      </c>
      <c r="AJ143" s="376" t="s">
        <v>180</v>
      </c>
      <c r="AK143" s="376" t="s">
        <v>181</v>
      </c>
      <c r="AL143" s="376" t="s">
        <v>182</v>
      </c>
      <c r="AM143" s="376" t="s">
        <v>183</v>
      </c>
      <c r="AN143" s="376" t="s">
        <v>66</v>
      </c>
      <c r="AO143" s="379">
        <v>80</v>
      </c>
      <c r="AP143" s="384">
        <v>1</v>
      </c>
      <c r="AQ143" s="384">
        <v>1</v>
      </c>
      <c r="AR143" s="382" t="s">
        <v>184</v>
      </c>
      <c r="AS143" s="386">
        <f t="shared" si="169"/>
        <v>1</v>
      </c>
      <c r="AT143">
        <f t="shared" si="170"/>
        <v>1</v>
      </c>
      <c r="AU143" s="386">
        <f>IF(AT143=0,"",IF(AND(AT143=1,M143="F",SUMIF(C2:C201,C143,AS2:AS201)&lt;=1),SUMIF(C2:C201,C143,AS2:AS201),IF(AND(AT143=1,M143="F",SUMIF(C2:C201,C143,AS2:AS201)&gt;1),1,"")))</f>
        <v>1</v>
      </c>
      <c r="AV143" s="386" t="str">
        <f>IF(AT143=0,"",IF(AND(AT143=3,M143="F",SUMIF(C2:C201,C143,AS2:AS201)&lt;=1),SUMIF(C2:C201,C143,AS2:AS201),IF(AND(AT143=3,M143="F",SUMIF(C2:C201,C143,AS2:AS201)&gt;1),1,"")))</f>
        <v/>
      </c>
      <c r="AW143" s="386">
        <f>SUMIF(C2:C201,C143,O2:O201)</f>
        <v>2</v>
      </c>
      <c r="AX143" s="386">
        <f>IF(AND(M143="F",AS143&lt;&gt;0),SUMIF(C2:C201,C143,W2:W201),0)</f>
        <v>59987.199999999997</v>
      </c>
      <c r="AY143" s="386">
        <f t="shared" si="171"/>
        <v>59987.199999999997</v>
      </c>
      <c r="AZ143" s="386" t="str">
        <f t="shared" si="172"/>
        <v/>
      </c>
      <c r="BA143" s="386">
        <f t="shared" si="173"/>
        <v>0</v>
      </c>
      <c r="BB143" s="386">
        <f t="shared" si="142"/>
        <v>12500</v>
      </c>
      <c r="BC143" s="386">
        <f t="shared" si="143"/>
        <v>0</v>
      </c>
      <c r="BD143" s="386">
        <f t="shared" si="144"/>
        <v>3719.2063999999996</v>
      </c>
      <c r="BE143" s="386">
        <f t="shared" si="145"/>
        <v>869.81439999999998</v>
      </c>
      <c r="BF143" s="386">
        <f t="shared" si="146"/>
        <v>7162.4716799999997</v>
      </c>
      <c r="BG143" s="386">
        <f t="shared" si="147"/>
        <v>432.50771199999997</v>
      </c>
      <c r="BH143" s="386">
        <f t="shared" si="148"/>
        <v>0</v>
      </c>
      <c r="BI143" s="386">
        <f t="shared" si="149"/>
        <v>0</v>
      </c>
      <c r="BJ143" s="386">
        <f t="shared" si="150"/>
        <v>107.97695999999999</v>
      </c>
      <c r="BK143" s="386">
        <f t="shared" si="151"/>
        <v>0</v>
      </c>
      <c r="BL143" s="386">
        <f t="shared" si="174"/>
        <v>12291.977151999999</v>
      </c>
      <c r="BM143" s="386">
        <f t="shared" si="175"/>
        <v>0</v>
      </c>
      <c r="BN143" s="386">
        <f t="shared" si="152"/>
        <v>13750</v>
      </c>
      <c r="BO143" s="386">
        <f t="shared" si="153"/>
        <v>0</v>
      </c>
      <c r="BP143" s="386">
        <f t="shared" si="154"/>
        <v>3719.2063999999996</v>
      </c>
      <c r="BQ143" s="386">
        <f t="shared" si="155"/>
        <v>869.81439999999998</v>
      </c>
      <c r="BR143" s="386">
        <f t="shared" si="156"/>
        <v>6706.5689599999996</v>
      </c>
      <c r="BS143" s="386">
        <f t="shared" si="157"/>
        <v>432.50771199999997</v>
      </c>
      <c r="BT143" s="386">
        <f t="shared" si="158"/>
        <v>0</v>
      </c>
      <c r="BU143" s="386">
        <f t="shared" si="159"/>
        <v>0</v>
      </c>
      <c r="BV143" s="386">
        <f t="shared" si="160"/>
        <v>113.97568</v>
      </c>
      <c r="BW143" s="386">
        <f t="shared" si="161"/>
        <v>0</v>
      </c>
      <c r="BX143" s="386">
        <f t="shared" si="176"/>
        <v>11842.073151999999</v>
      </c>
      <c r="BY143" s="386">
        <f t="shared" si="177"/>
        <v>0</v>
      </c>
      <c r="BZ143" s="386">
        <f t="shared" si="178"/>
        <v>1250</v>
      </c>
      <c r="CA143" s="386">
        <f t="shared" si="179"/>
        <v>0</v>
      </c>
      <c r="CB143" s="386">
        <f t="shared" si="180"/>
        <v>0</v>
      </c>
      <c r="CC143" s="386">
        <f t="shared" si="162"/>
        <v>0</v>
      </c>
      <c r="CD143" s="386">
        <f t="shared" si="163"/>
        <v>-455.90272000000056</v>
      </c>
      <c r="CE143" s="386">
        <f t="shared" si="164"/>
        <v>0</v>
      </c>
      <c r="CF143" s="386">
        <f t="shared" si="165"/>
        <v>0</v>
      </c>
      <c r="CG143" s="386">
        <f t="shared" si="166"/>
        <v>0</v>
      </c>
      <c r="CH143" s="386">
        <f t="shared" si="167"/>
        <v>5.9987200000000023</v>
      </c>
      <c r="CI143" s="386">
        <f t="shared" si="168"/>
        <v>0</v>
      </c>
      <c r="CJ143" s="386">
        <f t="shared" si="181"/>
        <v>-449.90400000000056</v>
      </c>
      <c r="CK143" s="386" t="str">
        <f t="shared" si="182"/>
        <v/>
      </c>
      <c r="CL143" s="386" t="str">
        <f t="shared" si="183"/>
        <v/>
      </c>
      <c r="CM143" s="386" t="str">
        <f t="shared" si="184"/>
        <v/>
      </c>
      <c r="CN143" s="386" t="str">
        <f t="shared" si="185"/>
        <v>0001-00</v>
      </c>
    </row>
    <row r="144" spans="1:92" ht="15.75" thickBot="1" x14ac:dyDescent="0.3">
      <c r="A144" s="376" t="s">
        <v>162</v>
      </c>
      <c r="B144" s="376" t="s">
        <v>163</v>
      </c>
      <c r="C144" s="376" t="s">
        <v>377</v>
      </c>
      <c r="D144" s="376" t="s">
        <v>378</v>
      </c>
      <c r="E144" s="376" t="s">
        <v>166</v>
      </c>
      <c r="F144" s="377" t="s">
        <v>167</v>
      </c>
      <c r="G144" s="376" t="s">
        <v>495</v>
      </c>
      <c r="H144" s="378"/>
      <c r="I144" s="378"/>
      <c r="J144" s="376" t="s">
        <v>169</v>
      </c>
      <c r="K144" s="376" t="s">
        <v>379</v>
      </c>
      <c r="L144" s="376" t="s">
        <v>167</v>
      </c>
      <c r="M144" s="376" t="s">
        <v>172</v>
      </c>
      <c r="N144" s="376" t="s">
        <v>173</v>
      </c>
      <c r="O144" s="379">
        <v>1</v>
      </c>
      <c r="P144" s="384">
        <v>1</v>
      </c>
      <c r="Q144" s="384">
        <v>1</v>
      </c>
      <c r="R144" s="380">
        <v>80</v>
      </c>
      <c r="S144" s="384">
        <v>1</v>
      </c>
      <c r="T144" s="380">
        <v>50399.199999999997</v>
      </c>
      <c r="U144" s="380">
        <v>0</v>
      </c>
      <c r="V144" s="380">
        <v>21437</v>
      </c>
      <c r="W144" s="380">
        <v>48963.199999999997</v>
      </c>
      <c r="X144" s="380">
        <v>22533.02</v>
      </c>
      <c r="Y144" s="380">
        <v>48963.199999999997</v>
      </c>
      <c r="Z144" s="380">
        <v>23415.8</v>
      </c>
      <c r="AA144" s="376" t="s">
        <v>380</v>
      </c>
      <c r="AB144" s="376" t="s">
        <v>381</v>
      </c>
      <c r="AC144" s="376" t="s">
        <v>382</v>
      </c>
      <c r="AD144" s="376" t="s">
        <v>171</v>
      </c>
      <c r="AE144" s="376" t="s">
        <v>379</v>
      </c>
      <c r="AF144" s="376" t="s">
        <v>178</v>
      </c>
      <c r="AG144" s="376" t="s">
        <v>179</v>
      </c>
      <c r="AH144" s="381">
        <v>23.54</v>
      </c>
      <c r="AI144" s="381">
        <v>6660.3</v>
      </c>
      <c r="AJ144" s="376" t="s">
        <v>180</v>
      </c>
      <c r="AK144" s="376" t="s">
        <v>181</v>
      </c>
      <c r="AL144" s="376" t="s">
        <v>182</v>
      </c>
      <c r="AM144" s="376" t="s">
        <v>183</v>
      </c>
      <c r="AN144" s="376" t="s">
        <v>66</v>
      </c>
      <c r="AO144" s="379">
        <v>80</v>
      </c>
      <c r="AP144" s="384">
        <v>1</v>
      </c>
      <c r="AQ144" s="384">
        <v>1</v>
      </c>
      <c r="AR144" s="382" t="s">
        <v>184</v>
      </c>
      <c r="AS144" s="386">
        <f t="shared" si="169"/>
        <v>1</v>
      </c>
      <c r="AT144">
        <f t="shared" si="170"/>
        <v>1</v>
      </c>
      <c r="AU144" s="386">
        <f>IF(AT144=0,"",IF(AND(AT144=1,M144="F",SUMIF(C2:C201,C144,AS2:AS201)&lt;=1),SUMIF(C2:C201,C144,AS2:AS201),IF(AND(AT144=1,M144="F",SUMIF(C2:C201,C144,AS2:AS201)&gt;1),1,"")))</f>
        <v>1</v>
      </c>
      <c r="AV144" s="386" t="str">
        <f>IF(AT144=0,"",IF(AND(AT144=3,M144="F",SUMIF(C2:C201,C144,AS2:AS201)&lt;=1),SUMIF(C2:C201,C144,AS2:AS201),IF(AND(AT144=3,M144="F",SUMIF(C2:C201,C144,AS2:AS201)&gt;1),1,"")))</f>
        <v/>
      </c>
      <c r="AW144" s="386">
        <f>SUMIF(C2:C201,C144,O2:O201)</f>
        <v>2</v>
      </c>
      <c r="AX144" s="386">
        <f>IF(AND(M144="F",AS144&lt;&gt;0),SUMIF(C2:C201,C144,W2:W201),0)</f>
        <v>48963.199999999997</v>
      </c>
      <c r="AY144" s="386">
        <f t="shared" si="171"/>
        <v>48963.199999999997</v>
      </c>
      <c r="AZ144" s="386" t="str">
        <f t="shared" si="172"/>
        <v/>
      </c>
      <c r="BA144" s="386">
        <f t="shared" si="173"/>
        <v>0</v>
      </c>
      <c r="BB144" s="386">
        <f t="shared" si="142"/>
        <v>12500</v>
      </c>
      <c r="BC144" s="386">
        <f t="shared" si="143"/>
        <v>0</v>
      </c>
      <c r="BD144" s="386">
        <f t="shared" si="144"/>
        <v>3035.7183999999997</v>
      </c>
      <c r="BE144" s="386">
        <f t="shared" si="145"/>
        <v>709.96640000000002</v>
      </c>
      <c r="BF144" s="386">
        <f t="shared" si="146"/>
        <v>5846.2060799999999</v>
      </c>
      <c r="BG144" s="386">
        <f t="shared" si="147"/>
        <v>353.02467200000001</v>
      </c>
      <c r="BH144" s="386">
        <f t="shared" si="148"/>
        <v>0</v>
      </c>
      <c r="BI144" s="386">
        <f t="shared" si="149"/>
        <v>0</v>
      </c>
      <c r="BJ144" s="386">
        <f t="shared" si="150"/>
        <v>88.133759999999995</v>
      </c>
      <c r="BK144" s="386">
        <f t="shared" si="151"/>
        <v>0</v>
      </c>
      <c r="BL144" s="386">
        <f t="shared" si="174"/>
        <v>10033.049311999999</v>
      </c>
      <c r="BM144" s="386">
        <f t="shared" si="175"/>
        <v>0</v>
      </c>
      <c r="BN144" s="386">
        <f t="shared" si="152"/>
        <v>13750</v>
      </c>
      <c r="BO144" s="386">
        <f t="shared" si="153"/>
        <v>0</v>
      </c>
      <c r="BP144" s="386">
        <f t="shared" si="154"/>
        <v>3035.7183999999997</v>
      </c>
      <c r="BQ144" s="386">
        <f t="shared" si="155"/>
        <v>709.96640000000002</v>
      </c>
      <c r="BR144" s="386">
        <f t="shared" si="156"/>
        <v>5474.0857599999999</v>
      </c>
      <c r="BS144" s="386">
        <f t="shared" si="157"/>
        <v>353.02467200000001</v>
      </c>
      <c r="BT144" s="386">
        <f t="shared" si="158"/>
        <v>0</v>
      </c>
      <c r="BU144" s="386">
        <f t="shared" si="159"/>
        <v>0</v>
      </c>
      <c r="BV144" s="386">
        <f t="shared" si="160"/>
        <v>93.030079999999998</v>
      </c>
      <c r="BW144" s="386">
        <f t="shared" si="161"/>
        <v>0</v>
      </c>
      <c r="BX144" s="386">
        <f t="shared" si="176"/>
        <v>9665.8253120000008</v>
      </c>
      <c r="BY144" s="386">
        <f t="shared" si="177"/>
        <v>0</v>
      </c>
      <c r="BZ144" s="386">
        <f t="shared" si="178"/>
        <v>1250</v>
      </c>
      <c r="CA144" s="386">
        <f t="shared" si="179"/>
        <v>0</v>
      </c>
      <c r="CB144" s="386">
        <f t="shared" si="180"/>
        <v>0</v>
      </c>
      <c r="CC144" s="386">
        <f t="shared" si="162"/>
        <v>0</v>
      </c>
      <c r="CD144" s="386">
        <f t="shared" si="163"/>
        <v>-372.12032000000045</v>
      </c>
      <c r="CE144" s="386">
        <f t="shared" si="164"/>
        <v>0</v>
      </c>
      <c r="CF144" s="386">
        <f t="shared" si="165"/>
        <v>0</v>
      </c>
      <c r="CG144" s="386">
        <f t="shared" si="166"/>
        <v>0</v>
      </c>
      <c r="CH144" s="386">
        <f t="shared" si="167"/>
        <v>4.896320000000002</v>
      </c>
      <c r="CI144" s="386">
        <f t="shared" si="168"/>
        <v>0</v>
      </c>
      <c r="CJ144" s="386">
        <f t="shared" si="181"/>
        <v>-367.22400000000044</v>
      </c>
      <c r="CK144" s="386" t="str">
        <f t="shared" si="182"/>
        <v/>
      </c>
      <c r="CL144" s="386" t="str">
        <f t="shared" si="183"/>
        <v/>
      </c>
      <c r="CM144" s="386" t="str">
        <f t="shared" si="184"/>
        <v/>
      </c>
      <c r="CN144" s="386" t="str">
        <f t="shared" si="185"/>
        <v>0001-00</v>
      </c>
    </row>
    <row r="145" spans="1:92" ht="15.75" thickBot="1" x14ac:dyDescent="0.3">
      <c r="A145" s="376" t="s">
        <v>162</v>
      </c>
      <c r="B145" s="376" t="s">
        <v>163</v>
      </c>
      <c r="C145" s="376" t="s">
        <v>504</v>
      </c>
      <c r="D145" s="376" t="s">
        <v>468</v>
      </c>
      <c r="E145" s="376" t="s">
        <v>505</v>
      </c>
      <c r="F145" s="377" t="s">
        <v>167</v>
      </c>
      <c r="G145" s="376" t="s">
        <v>506</v>
      </c>
      <c r="H145" s="378"/>
      <c r="I145" s="378"/>
      <c r="J145" s="376" t="s">
        <v>169</v>
      </c>
      <c r="K145" s="376" t="s">
        <v>469</v>
      </c>
      <c r="L145" s="376" t="s">
        <v>470</v>
      </c>
      <c r="M145" s="376" t="s">
        <v>172</v>
      </c>
      <c r="N145" s="376" t="s">
        <v>173</v>
      </c>
      <c r="O145" s="379">
        <v>1</v>
      </c>
      <c r="P145" s="384">
        <v>1</v>
      </c>
      <c r="Q145" s="384">
        <v>1</v>
      </c>
      <c r="R145" s="380">
        <v>80</v>
      </c>
      <c r="S145" s="384">
        <v>1</v>
      </c>
      <c r="T145" s="380">
        <v>104720.02</v>
      </c>
      <c r="U145" s="380">
        <v>0</v>
      </c>
      <c r="V145" s="380">
        <v>33601.980000000003</v>
      </c>
      <c r="W145" s="380">
        <v>106912</v>
      </c>
      <c r="X145" s="380">
        <v>34407.32</v>
      </c>
      <c r="Y145" s="380">
        <v>106912</v>
      </c>
      <c r="Z145" s="380">
        <v>34855.480000000003</v>
      </c>
      <c r="AA145" s="376" t="s">
        <v>507</v>
      </c>
      <c r="AB145" s="376" t="s">
        <v>508</v>
      </c>
      <c r="AC145" s="376" t="s">
        <v>509</v>
      </c>
      <c r="AD145" s="376" t="s">
        <v>198</v>
      </c>
      <c r="AE145" s="376" t="s">
        <v>469</v>
      </c>
      <c r="AF145" s="376" t="s">
        <v>178</v>
      </c>
      <c r="AG145" s="376" t="s">
        <v>179</v>
      </c>
      <c r="AH145" s="381">
        <v>51.4</v>
      </c>
      <c r="AI145" s="379">
        <v>4444</v>
      </c>
      <c r="AJ145" s="376" t="s">
        <v>180</v>
      </c>
      <c r="AK145" s="376" t="s">
        <v>181</v>
      </c>
      <c r="AL145" s="376" t="s">
        <v>182</v>
      </c>
      <c r="AM145" s="376" t="s">
        <v>183</v>
      </c>
      <c r="AN145" s="376" t="s">
        <v>66</v>
      </c>
      <c r="AO145" s="379">
        <v>80</v>
      </c>
      <c r="AP145" s="384">
        <v>1</v>
      </c>
      <c r="AQ145" s="384">
        <v>1</v>
      </c>
      <c r="AR145" s="382" t="s">
        <v>184</v>
      </c>
      <c r="AS145" s="386">
        <f t="shared" si="169"/>
        <v>1</v>
      </c>
      <c r="AT145">
        <f t="shared" si="170"/>
        <v>1</v>
      </c>
      <c r="AU145" s="386">
        <f>IF(AT145=0,"",IF(AND(AT145=1,M145="F",SUMIF(C2:C201,C145,AS2:AS201)&lt;=1),SUMIF(C2:C201,C145,AS2:AS201),IF(AND(AT145=1,M145="F",SUMIF(C2:C201,C145,AS2:AS201)&gt;1),1,"")))</f>
        <v>1</v>
      </c>
      <c r="AV145" s="386" t="str">
        <f>IF(AT145=0,"",IF(AND(AT145=3,M145="F",SUMIF(C2:C201,C145,AS2:AS201)&lt;=1),SUMIF(C2:C201,C145,AS2:AS201),IF(AND(AT145=3,M145="F",SUMIF(C2:C201,C145,AS2:AS201)&gt;1),1,"")))</f>
        <v/>
      </c>
      <c r="AW145" s="386">
        <f>SUMIF(C2:C201,C145,O2:O201)</f>
        <v>1</v>
      </c>
      <c r="AX145" s="386">
        <f>IF(AND(M145="F",AS145&lt;&gt;0),SUMIF(C2:C201,C145,W2:W201),0)</f>
        <v>106912</v>
      </c>
      <c r="AY145" s="386">
        <f t="shared" si="171"/>
        <v>106912</v>
      </c>
      <c r="AZ145" s="386" t="str">
        <f t="shared" si="172"/>
        <v/>
      </c>
      <c r="BA145" s="386">
        <f t="shared" si="173"/>
        <v>0</v>
      </c>
      <c r="BB145" s="386">
        <f t="shared" si="142"/>
        <v>12500</v>
      </c>
      <c r="BC145" s="386">
        <f t="shared" si="143"/>
        <v>0</v>
      </c>
      <c r="BD145" s="386">
        <f t="shared" si="144"/>
        <v>6628.5439999999999</v>
      </c>
      <c r="BE145" s="386">
        <f t="shared" si="145"/>
        <v>1550.2240000000002</v>
      </c>
      <c r="BF145" s="386">
        <f t="shared" si="146"/>
        <v>12765.292800000001</v>
      </c>
      <c r="BG145" s="386">
        <f t="shared" si="147"/>
        <v>770.83551999999997</v>
      </c>
      <c r="BH145" s="386">
        <f t="shared" si="148"/>
        <v>0</v>
      </c>
      <c r="BI145" s="386">
        <f t="shared" si="149"/>
        <v>0</v>
      </c>
      <c r="BJ145" s="386">
        <f t="shared" si="150"/>
        <v>192.44159999999999</v>
      </c>
      <c r="BK145" s="386">
        <f t="shared" si="151"/>
        <v>0</v>
      </c>
      <c r="BL145" s="386">
        <f t="shared" si="174"/>
        <v>21907.337919999998</v>
      </c>
      <c r="BM145" s="386">
        <f t="shared" si="175"/>
        <v>0</v>
      </c>
      <c r="BN145" s="386">
        <f t="shared" si="152"/>
        <v>13750</v>
      </c>
      <c r="BO145" s="386">
        <f t="shared" si="153"/>
        <v>0</v>
      </c>
      <c r="BP145" s="386">
        <f t="shared" si="154"/>
        <v>6628.5439999999999</v>
      </c>
      <c r="BQ145" s="386">
        <f t="shared" si="155"/>
        <v>1550.2240000000002</v>
      </c>
      <c r="BR145" s="386">
        <f t="shared" si="156"/>
        <v>11952.7616</v>
      </c>
      <c r="BS145" s="386">
        <f t="shared" si="157"/>
        <v>770.83551999999997</v>
      </c>
      <c r="BT145" s="386">
        <f t="shared" si="158"/>
        <v>0</v>
      </c>
      <c r="BU145" s="386">
        <f t="shared" si="159"/>
        <v>0</v>
      </c>
      <c r="BV145" s="386">
        <f t="shared" si="160"/>
        <v>203.1328</v>
      </c>
      <c r="BW145" s="386">
        <f t="shared" si="161"/>
        <v>0</v>
      </c>
      <c r="BX145" s="386">
        <f t="shared" si="176"/>
        <v>21105.497920000002</v>
      </c>
      <c r="BY145" s="386">
        <f t="shared" si="177"/>
        <v>0</v>
      </c>
      <c r="BZ145" s="386">
        <f t="shared" si="178"/>
        <v>1250</v>
      </c>
      <c r="CA145" s="386">
        <f t="shared" si="179"/>
        <v>0</v>
      </c>
      <c r="CB145" s="386">
        <f t="shared" si="180"/>
        <v>0</v>
      </c>
      <c r="CC145" s="386">
        <f t="shared" si="162"/>
        <v>0</v>
      </c>
      <c r="CD145" s="386">
        <f t="shared" si="163"/>
        <v>-812.53120000000104</v>
      </c>
      <c r="CE145" s="386">
        <f t="shared" si="164"/>
        <v>0</v>
      </c>
      <c r="CF145" s="386">
        <f t="shared" si="165"/>
        <v>0</v>
      </c>
      <c r="CG145" s="386">
        <f t="shared" si="166"/>
        <v>0</v>
      </c>
      <c r="CH145" s="386">
        <f t="shared" si="167"/>
        <v>10.691200000000006</v>
      </c>
      <c r="CI145" s="386">
        <f t="shared" si="168"/>
        <v>0</v>
      </c>
      <c r="CJ145" s="386">
        <f t="shared" si="181"/>
        <v>-801.84000000000106</v>
      </c>
      <c r="CK145" s="386" t="str">
        <f t="shared" si="182"/>
        <v/>
      </c>
      <c r="CL145" s="386" t="str">
        <f t="shared" si="183"/>
        <v/>
      </c>
      <c r="CM145" s="386" t="str">
        <f t="shared" si="184"/>
        <v/>
      </c>
      <c r="CN145" s="386" t="str">
        <f t="shared" si="185"/>
        <v>0480-00</v>
      </c>
    </row>
    <row r="146" spans="1:92" ht="15.75" thickBot="1" x14ac:dyDescent="0.3">
      <c r="A146" s="376" t="s">
        <v>162</v>
      </c>
      <c r="B146" s="376" t="s">
        <v>163</v>
      </c>
      <c r="C146" s="376" t="s">
        <v>510</v>
      </c>
      <c r="D146" s="376" t="s">
        <v>511</v>
      </c>
      <c r="E146" s="376" t="s">
        <v>505</v>
      </c>
      <c r="F146" s="377" t="s">
        <v>167</v>
      </c>
      <c r="G146" s="376" t="s">
        <v>506</v>
      </c>
      <c r="H146" s="378"/>
      <c r="I146" s="378"/>
      <c r="J146" s="376" t="s">
        <v>169</v>
      </c>
      <c r="K146" s="376" t="s">
        <v>512</v>
      </c>
      <c r="L146" s="376" t="s">
        <v>222</v>
      </c>
      <c r="M146" s="376" t="s">
        <v>172</v>
      </c>
      <c r="N146" s="376" t="s">
        <v>173</v>
      </c>
      <c r="O146" s="379">
        <v>1</v>
      </c>
      <c r="P146" s="384">
        <v>1</v>
      </c>
      <c r="Q146" s="384">
        <v>1</v>
      </c>
      <c r="R146" s="380">
        <v>80</v>
      </c>
      <c r="S146" s="384">
        <v>1</v>
      </c>
      <c r="T146" s="380">
        <v>112935.72</v>
      </c>
      <c r="U146" s="380">
        <v>0</v>
      </c>
      <c r="V146" s="380">
        <v>36597.300000000003</v>
      </c>
      <c r="W146" s="380">
        <v>92996.800000000003</v>
      </c>
      <c r="X146" s="380">
        <v>31555.95</v>
      </c>
      <c r="Y146" s="380">
        <v>92996.800000000003</v>
      </c>
      <c r="Z146" s="380">
        <v>32108.48</v>
      </c>
      <c r="AA146" s="376" t="s">
        <v>513</v>
      </c>
      <c r="AB146" s="376" t="s">
        <v>328</v>
      </c>
      <c r="AC146" s="376" t="s">
        <v>514</v>
      </c>
      <c r="AD146" s="376" t="s">
        <v>285</v>
      </c>
      <c r="AE146" s="376" t="s">
        <v>515</v>
      </c>
      <c r="AF146" s="376" t="s">
        <v>178</v>
      </c>
      <c r="AG146" s="376" t="s">
        <v>179</v>
      </c>
      <c r="AH146" s="381">
        <v>44.71</v>
      </c>
      <c r="AI146" s="381">
        <v>75025.399999999994</v>
      </c>
      <c r="AJ146" s="376" t="s">
        <v>180</v>
      </c>
      <c r="AK146" s="376" t="s">
        <v>181</v>
      </c>
      <c r="AL146" s="376" t="s">
        <v>182</v>
      </c>
      <c r="AM146" s="376" t="s">
        <v>183</v>
      </c>
      <c r="AN146" s="376" t="s">
        <v>66</v>
      </c>
      <c r="AO146" s="379">
        <v>80</v>
      </c>
      <c r="AP146" s="384">
        <v>1</v>
      </c>
      <c r="AQ146" s="384">
        <v>1</v>
      </c>
      <c r="AR146" s="382" t="s">
        <v>184</v>
      </c>
      <c r="AS146" s="386">
        <f t="shared" si="169"/>
        <v>1</v>
      </c>
      <c r="AT146">
        <f t="shared" si="170"/>
        <v>1</v>
      </c>
      <c r="AU146" s="386">
        <f>IF(AT146=0,"",IF(AND(AT146=1,M146="F",SUMIF(C2:C201,C146,AS2:AS201)&lt;=1),SUMIF(C2:C201,C146,AS2:AS201),IF(AND(AT146=1,M146="F",SUMIF(C2:C201,C146,AS2:AS201)&gt;1),1,"")))</f>
        <v>1</v>
      </c>
      <c r="AV146" s="386" t="str">
        <f>IF(AT146=0,"",IF(AND(AT146=3,M146="F",SUMIF(C2:C201,C146,AS2:AS201)&lt;=1),SUMIF(C2:C201,C146,AS2:AS201),IF(AND(AT146=3,M146="F",SUMIF(C2:C201,C146,AS2:AS201)&gt;1),1,"")))</f>
        <v/>
      </c>
      <c r="AW146" s="386">
        <f>SUMIF(C2:C201,C146,O2:O201)</f>
        <v>1</v>
      </c>
      <c r="AX146" s="386">
        <f>IF(AND(M146="F",AS146&lt;&gt;0),SUMIF(C2:C201,C146,W2:W201),0)</f>
        <v>92996.800000000003</v>
      </c>
      <c r="AY146" s="386">
        <f t="shared" si="171"/>
        <v>92996.800000000003</v>
      </c>
      <c r="AZ146" s="386" t="str">
        <f t="shared" si="172"/>
        <v/>
      </c>
      <c r="BA146" s="386">
        <f t="shared" si="173"/>
        <v>0</v>
      </c>
      <c r="BB146" s="386">
        <f t="shared" si="142"/>
        <v>12500</v>
      </c>
      <c r="BC146" s="386">
        <f t="shared" si="143"/>
        <v>0</v>
      </c>
      <c r="BD146" s="386">
        <f t="shared" si="144"/>
        <v>5765.8015999999998</v>
      </c>
      <c r="BE146" s="386">
        <f t="shared" si="145"/>
        <v>1348.4536000000001</v>
      </c>
      <c r="BF146" s="386">
        <f t="shared" si="146"/>
        <v>11103.817920000001</v>
      </c>
      <c r="BG146" s="386">
        <f t="shared" si="147"/>
        <v>670.50692800000002</v>
      </c>
      <c r="BH146" s="386">
        <f t="shared" si="148"/>
        <v>0</v>
      </c>
      <c r="BI146" s="386">
        <f t="shared" si="149"/>
        <v>0</v>
      </c>
      <c r="BJ146" s="386">
        <f t="shared" si="150"/>
        <v>167.39424</v>
      </c>
      <c r="BK146" s="386">
        <f t="shared" si="151"/>
        <v>0</v>
      </c>
      <c r="BL146" s="386">
        <f t="shared" si="174"/>
        <v>19055.974288000001</v>
      </c>
      <c r="BM146" s="386">
        <f t="shared" si="175"/>
        <v>0</v>
      </c>
      <c r="BN146" s="386">
        <f t="shared" si="152"/>
        <v>13750</v>
      </c>
      <c r="BO146" s="386">
        <f t="shared" si="153"/>
        <v>0</v>
      </c>
      <c r="BP146" s="386">
        <f t="shared" si="154"/>
        <v>5765.8015999999998</v>
      </c>
      <c r="BQ146" s="386">
        <f t="shared" si="155"/>
        <v>1348.4536000000001</v>
      </c>
      <c r="BR146" s="386">
        <f t="shared" si="156"/>
        <v>10397.042240000001</v>
      </c>
      <c r="BS146" s="386">
        <f t="shared" si="157"/>
        <v>670.50692800000002</v>
      </c>
      <c r="BT146" s="386">
        <f t="shared" si="158"/>
        <v>0</v>
      </c>
      <c r="BU146" s="386">
        <f t="shared" si="159"/>
        <v>0</v>
      </c>
      <c r="BV146" s="386">
        <f t="shared" si="160"/>
        <v>176.69391999999999</v>
      </c>
      <c r="BW146" s="386">
        <f t="shared" si="161"/>
        <v>0</v>
      </c>
      <c r="BX146" s="386">
        <f t="shared" si="176"/>
        <v>18358.498288000003</v>
      </c>
      <c r="BY146" s="386">
        <f t="shared" si="177"/>
        <v>0</v>
      </c>
      <c r="BZ146" s="386">
        <f t="shared" si="178"/>
        <v>1250</v>
      </c>
      <c r="CA146" s="386">
        <f t="shared" si="179"/>
        <v>0</v>
      </c>
      <c r="CB146" s="386">
        <f t="shared" si="180"/>
        <v>0</v>
      </c>
      <c r="CC146" s="386">
        <f t="shared" si="162"/>
        <v>0</v>
      </c>
      <c r="CD146" s="386">
        <f t="shared" si="163"/>
        <v>-706.77568000000088</v>
      </c>
      <c r="CE146" s="386">
        <f t="shared" si="164"/>
        <v>0</v>
      </c>
      <c r="CF146" s="386">
        <f t="shared" si="165"/>
        <v>0</v>
      </c>
      <c r="CG146" s="386">
        <f t="shared" si="166"/>
        <v>0</v>
      </c>
      <c r="CH146" s="386">
        <f t="shared" si="167"/>
        <v>9.2996800000000039</v>
      </c>
      <c r="CI146" s="386">
        <f t="shared" si="168"/>
        <v>0</v>
      </c>
      <c r="CJ146" s="386">
        <f t="shared" si="181"/>
        <v>-697.47600000000091</v>
      </c>
      <c r="CK146" s="386" t="str">
        <f t="shared" si="182"/>
        <v/>
      </c>
      <c r="CL146" s="386" t="str">
        <f t="shared" si="183"/>
        <v/>
      </c>
      <c r="CM146" s="386" t="str">
        <f t="shared" si="184"/>
        <v/>
      </c>
      <c r="CN146" s="386" t="str">
        <f t="shared" si="185"/>
        <v>0480-00</v>
      </c>
    </row>
    <row r="147" spans="1:92" ht="15.75" thickBot="1" x14ac:dyDescent="0.3">
      <c r="A147" s="376" t="s">
        <v>162</v>
      </c>
      <c r="B147" s="376" t="s">
        <v>163</v>
      </c>
      <c r="C147" s="376" t="s">
        <v>516</v>
      </c>
      <c r="D147" s="376" t="s">
        <v>517</v>
      </c>
      <c r="E147" s="376" t="s">
        <v>505</v>
      </c>
      <c r="F147" s="377" t="s">
        <v>167</v>
      </c>
      <c r="G147" s="376" t="s">
        <v>506</v>
      </c>
      <c r="H147" s="378"/>
      <c r="I147" s="378"/>
      <c r="J147" s="376" t="s">
        <v>169</v>
      </c>
      <c r="K147" s="376" t="s">
        <v>518</v>
      </c>
      <c r="L147" s="376" t="s">
        <v>222</v>
      </c>
      <c r="M147" s="376" t="s">
        <v>172</v>
      </c>
      <c r="N147" s="376" t="s">
        <v>173</v>
      </c>
      <c r="O147" s="379">
        <v>1</v>
      </c>
      <c r="P147" s="384">
        <v>1</v>
      </c>
      <c r="Q147" s="384">
        <v>1</v>
      </c>
      <c r="R147" s="380">
        <v>80</v>
      </c>
      <c r="S147" s="384">
        <v>1</v>
      </c>
      <c r="T147" s="380">
        <v>112147.43</v>
      </c>
      <c r="U147" s="380">
        <v>0</v>
      </c>
      <c r="V147" s="380">
        <v>34917.22</v>
      </c>
      <c r="W147" s="380">
        <v>109387.2</v>
      </c>
      <c r="X147" s="380">
        <v>34914.51</v>
      </c>
      <c r="Y147" s="380">
        <v>109387.2</v>
      </c>
      <c r="Z147" s="380">
        <v>35344.1</v>
      </c>
      <c r="AA147" s="376" t="s">
        <v>519</v>
      </c>
      <c r="AB147" s="376" t="s">
        <v>520</v>
      </c>
      <c r="AC147" s="376" t="s">
        <v>521</v>
      </c>
      <c r="AD147" s="376" t="s">
        <v>522</v>
      </c>
      <c r="AE147" s="376" t="s">
        <v>518</v>
      </c>
      <c r="AF147" s="376" t="s">
        <v>178</v>
      </c>
      <c r="AG147" s="376" t="s">
        <v>179</v>
      </c>
      <c r="AH147" s="381">
        <v>52.59</v>
      </c>
      <c r="AI147" s="381">
        <v>61337.1</v>
      </c>
      <c r="AJ147" s="376" t="s">
        <v>180</v>
      </c>
      <c r="AK147" s="376" t="s">
        <v>181</v>
      </c>
      <c r="AL147" s="376" t="s">
        <v>182</v>
      </c>
      <c r="AM147" s="376" t="s">
        <v>183</v>
      </c>
      <c r="AN147" s="376" t="s">
        <v>66</v>
      </c>
      <c r="AO147" s="379">
        <v>80</v>
      </c>
      <c r="AP147" s="384">
        <v>1</v>
      </c>
      <c r="AQ147" s="384">
        <v>1</v>
      </c>
      <c r="AR147" s="382" t="s">
        <v>184</v>
      </c>
      <c r="AS147" s="386">
        <f t="shared" si="169"/>
        <v>1</v>
      </c>
      <c r="AT147">
        <f t="shared" si="170"/>
        <v>1</v>
      </c>
      <c r="AU147" s="386">
        <f>IF(AT147=0,"",IF(AND(AT147=1,M147="F",SUMIF(C2:C201,C147,AS2:AS201)&lt;=1),SUMIF(C2:C201,C147,AS2:AS201),IF(AND(AT147=1,M147="F",SUMIF(C2:C201,C147,AS2:AS201)&gt;1),1,"")))</f>
        <v>1</v>
      </c>
      <c r="AV147" s="386" t="str">
        <f>IF(AT147=0,"",IF(AND(AT147=3,M147="F",SUMIF(C2:C201,C147,AS2:AS201)&lt;=1),SUMIF(C2:C201,C147,AS2:AS201),IF(AND(AT147=3,M147="F",SUMIF(C2:C201,C147,AS2:AS201)&gt;1),1,"")))</f>
        <v/>
      </c>
      <c r="AW147" s="386">
        <f>SUMIF(C2:C201,C147,O2:O201)</f>
        <v>1</v>
      </c>
      <c r="AX147" s="386">
        <f>IF(AND(M147="F",AS147&lt;&gt;0),SUMIF(C2:C201,C147,W2:W201),0)</f>
        <v>109387.2</v>
      </c>
      <c r="AY147" s="386">
        <f t="shared" si="171"/>
        <v>109387.2</v>
      </c>
      <c r="AZ147" s="386" t="str">
        <f t="shared" si="172"/>
        <v/>
      </c>
      <c r="BA147" s="386">
        <f t="shared" si="173"/>
        <v>0</v>
      </c>
      <c r="BB147" s="386">
        <f t="shared" si="142"/>
        <v>12500</v>
      </c>
      <c r="BC147" s="386">
        <f t="shared" si="143"/>
        <v>0</v>
      </c>
      <c r="BD147" s="386">
        <f t="shared" si="144"/>
        <v>6782.0064000000002</v>
      </c>
      <c r="BE147" s="386">
        <f t="shared" si="145"/>
        <v>1586.1143999999999</v>
      </c>
      <c r="BF147" s="386">
        <f t="shared" si="146"/>
        <v>13060.831680000001</v>
      </c>
      <c r="BG147" s="386">
        <f t="shared" si="147"/>
        <v>788.68171200000006</v>
      </c>
      <c r="BH147" s="386">
        <f t="shared" si="148"/>
        <v>0</v>
      </c>
      <c r="BI147" s="386">
        <f t="shared" si="149"/>
        <v>0</v>
      </c>
      <c r="BJ147" s="386">
        <f t="shared" si="150"/>
        <v>196.89695999999998</v>
      </c>
      <c r="BK147" s="386">
        <f t="shared" si="151"/>
        <v>0</v>
      </c>
      <c r="BL147" s="386">
        <f t="shared" si="174"/>
        <v>22414.531152</v>
      </c>
      <c r="BM147" s="386">
        <f t="shared" si="175"/>
        <v>0</v>
      </c>
      <c r="BN147" s="386">
        <f t="shared" si="152"/>
        <v>13750</v>
      </c>
      <c r="BO147" s="386">
        <f t="shared" si="153"/>
        <v>0</v>
      </c>
      <c r="BP147" s="386">
        <f t="shared" si="154"/>
        <v>6782.0064000000002</v>
      </c>
      <c r="BQ147" s="386">
        <f t="shared" si="155"/>
        <v>1586.1143999999999</v>
      </c>
      <c r="BR147" s="386">
        <f t="shared" si="156"/>
        <v>12229.488959999999</v>
      </c>
      <c r="BS147" s="386">
        <f t="shared" si="157"/>
        <v>788.68171200000006</v>
      </c>
      <c r="BT147" s="386">
        <f t="shared" si="158"/>
        <v>0</v>
      </c>
      <c r="BU147" s="386">
        <f t="shared" si="159"/>
        <v>0</v>
      </c>
      <c r="BV147" s="386">
        <f t="shared" si="160"/>
        <v>207.83568</v>
      </c>
      <c r="BW147" s="386">
        <f t="shared" si="161"/>
        <v>0</v>
      </c>
      <c r="BX147" s="386">
        <f t="shared" si="176"/>
        <v>21594.127152000001</v>
      </c>
      <c r="BY147" s="386">
        <f t="shared" si="177"/>
        <v>0</v>
      </c>
      <c r="BZ147" s="386">
        <f t="shared" si="178"/>
        <v>1250</v>
      </c>
      <c r="CA147" s="386">
        <f t="shared" si="179"/>
        <v>0</v>
      </c>
      <c r="CB147" s="386">
        <f t="shared" si="180"/>
        <v>0</v>
      </c>
      <c r="CC147" s="386">
        <f t="shared" si="162"/>
        <v>0</v>
      </c>
      <c r="CD147" s="386">
        <f t="shared" si="163"/>
        <v>-831.34272000000101</v>
      </c>
      <c r="CE147" s="386">
        <f t="shared" si="164"/>
        <v>0</v>
      </c>
      <c r="CF147" s="386">
        <f t="shared" si="165"/>
        <v>0</v>
      </c>
      <c r="CG147" s="386">
        <f t="shared" si="166"/>
        <v>0</v>
      </c>
      <c r="CH147" s="386">
        <f t="shared" si="167"/>
        <v>10.938720000000005</v>
      </c>
      <c r="CI147" s="386">
        <f t="shared" si="168"/>
        <v>0</v>
      </c>
      <c r="CJ147" s="386">
        <f t="shared" si="181"/>
        <v>-820.40400000000102</v>
      </c>
      <c r="CK147" s="386" t="str">
        <f t="shared" si="182"/>
        <v/>
      </c>
      <c r="CL147" s="386" t="str">
        <f t="shared" si="183"/>
        <v/>
      </c>
      <c r="CM147" s="386" t="str">
        <f t="shared" si="184"/>
        <v/>
      </c>
      <c r="CN147" s="386" t="str">
        <f t="shared" si="185"/>
        <v>0480-00</v>
      </c>
    </row>
    <row r="148" spans="1:92" ht="15.75" thickBot="1" x14ac:dyDescent="0.3">
      <c r="A148" s="376" t="s">
        <v>162</v>
      </c>
      <c r="B148" s="376" t="s">
        <v>163</v>
      </c>
      <c r="C148" s="376" t="s">
        <v>347</v>
      </c>
      <c r="D148" s="376" t="s">
        <v>165</v>
      </c>
      <c r="E148" s="376" t="s">
        <v>505</v>
      </c>
      <c r="F148" s="377" t="s">
        <v>167</v>
      </c>
      <c r="G148" s="376" t="s">
        <v>506</v>
      </c>
      <c r="H148" s="378"/>
      <c r="I148" s="378"/>
      <c r="J148" s="376" t="s">
        <v>169</v>
      </c>
      <c r="K148" s="376" t="s">
        <v>193</v>
      </c>
      <c r="L148" s="376" t="s">
        <v>194</v>
      </c>
      <c r="M148" s="376" t="s">
        <v>172</v>
      </c>
      <c r="N148" s="376" t="s">
        <v>173</v>
      </c>
      <c r="O148" s="379">
        <v>1</v>
      </c>
      <c r="P148" s="384">
        <v>0</v>
      </c>
      <c r="Q148" s="384">
        <v>0</v>
      </c>
      <c r="R148" s="380">
        <v>80</v>
      </c>
      <c r="S148" s="384">
        <v>0</v>
      </c>
      <c r="T148" s="380">
        <v>13570.62</v>
      </c>
      <c r="U148" s="380">
        <v>0</v>
      </c>
      <c r="V148" s="380">
        <v>6136.47</v>
      </c>
      <c r="W148" s="380">
        <v>0</v>
      </c>
      <c r="X148" s="380">
        <v>0</v>
      </c>
      <c r="Y148" s="380">
        <v>0</v>
      </c>
      <c r="Z148" s="380">
        <v>0</v>
      </c>
      <c r="AA148" s="376" t="s">
        <v>348</v>
      </c>
      <c r="AB148" s="376" t="s">
        <v>349</v>
      </c>
      <c r="AC148" s="376" t="s">
        <v>350</v>
      </c>
      <c r="AD148" s="376" t="s">
        <v>171</v>
      </c>
      <c r="AE148" s="376" t="s">
        <v>193</v>
      </c>
      <c r="AF148" s="376" t="s">
        <v>178</v>
      </c>
      <c r="AG148" s="376" t="s">
        <v>179</v>
      </c>
      <c r="AH148" s="381">
        <v>27.28</v>
      </c>
      <c r="AI148" s="381">
        <v>1196.2</v>
      </c>
      <c r="AJ148" s="376" t="s">
        <v>180</v>
      </c>
      <c r="AK148" s="376" t="s">
        <v>181</v>
      </c>
      <c r="AL148" s="376" t="s">
        <v>182</v>
      </c>
      <c r="AM148" s="376" t="s">
        <v>183</v>
      </c>
      <c r="AN148" s="376" t="s">
        <v>66</v>
      </c>
      <c r="AO148" s="379">
        <v>80</v>
      </c>
      <c r="AP148" s="384">
        <v>1</v>
      </c>
      <c r="AQ148" s="384">
        <v>0</v>
      </c>
      <c r="AR148" s="382" t="s">
        <v>184</v>
      </c>
      <c r="AS148" s="386">
        <f t="shared" si="169"/>
        <v>0</v>
      </c>
      <c r="AT148">
        <f t="shared" si="170"/>
        <v>0</v>
      </c>
      <c r="AU148" s="386" t="str">
        <f>IF(AT148=0,"",IF(AND(AT148=1,M148="F",SUMIF(C2:C201,C148,AS2:AS201)&lt;=1),SUMIF(C2:C201,C148,AS2:AS201),IF(AND(AT148=1,M148="F",SUMIF(C2:C201,C148,AS2:AS201)&gt;1),1,"")))</f>
        <v/>
      </c>
      <c r="AV148" s="386" t="str">
        <f>IF(AT148=0,"",IF(AND(AT148=3,M148="F",SUMIF(C2:C201,C148,AS2:AS201)&lt;=1),SUMIF(C2:C201,C148,AS2:AS201),IF(AND(AT148=3,M148="F",SUMIF(C2:C201,C148,AS2:AS201)&gt;1),1,"")))</f>
        <v/>
      </c>
      <c r="AW148" s="386">
        <f>SUMIF(C2:C201,C148,O2:O201)</f>
        <v>4</v>
      </c>
      <c r="AX148" s="386">
        <f>IF(AND(M148="F",AS148&lt;&gt;0),SUMIF(C2:C201,C148,W2:W201),0)</f>
        <v>0</v>
      </c>
      <c r="AY148" s="386" t="str">
        <f t="shared" si="171"/>
        <v/>
      </c>
      <c r="AZ148" s="386" t="str">
        <f t="shared" si="172"/>
        <v/>
      </c>
      <c r="BA148" s="386">
        <f t="shared" si="173"/>
        <v>0</v>
      </c>
      <c r="BB148" s="386">
        <f t="shared" si="142"/>
        <v>0</v>
      </c>
      <c r="BC148" s="386">
        <f t="shared" si="143"/>
        <v>0</v>
      </c>
      <c r="BD148" s="386">
        <f t="shared" si="144"/>
        <v>0</v>
      </c>
      <c r="BE148" s="386">
        <f t="shared" si="145"/>
        <v>0</v>
      </c>
      <c r="BF148" s="386">
        <f t="shared" si="146"/>
        <v>0</v>
      </c>
      <c r="BG148" s="386">
        <f t="shared" si="147"/>
        <v>0</v>
      </c>
      <c r="BH148" s="386">
        <f t="shared" si="148"/>
        <v>0</v>
      </c>
      <c r="BI148" s="386">
        <f t="shared" si="149"/>
        <v>0</v>
      </c>
      <c r="BJ148" s="386">
        <f t="shared" si="150"/>
        <v>0</v>
      </c>
      <c r="BK148" s="386">
        <f t="shared" si="151"/>
        <v>0</v>
      </c>
      <c r="BL148" s="386">
        <f t="shared" si="174"/>
        <v>0</v>
      </c>
      <c r="BM148" s="386">
        <f t="shared" si="175"/>
        <v>0</v>
      </c>
      <c r="BN148" s="386">
        <f t="shared" si="152"/>
        <v>0</v>
      </c>
      <c r="BO148" s="386">
        <f t="shared" si="153"/>
        <v>0</v>
      </c>
      <c r="BP148" s="386">
        <f t="shared" si="154"/>
        <v>0</v>
      </c>
      <c r="BQ148" s="386">
        <f t="shared" si="155"/>
        <v>0</v>
      </c>
      <c r="BR148" s="386">
        <f t="shared" si="156"/>
        <v>0</v>
      </c>
      <c r="BS148" s="386">
        <f t="shared" si="157"/>
        <v>0</v>
      </c>
      <c r="BT148" s="386">
        <f t="shared" si="158"/>
        <v>0</v>
      </c>
      <c r="BU148" s="386">
        <f t="shared" si="159"/>
        <v>0</v>
      </c>
      <c r="BV148" s="386">
        <f t="shared" si="160"/>
        <v>0</v>
      </c>
      <c r="BW148" s="386">
        <f t="shared" si="161"/>
        <v>0</v>
      </c>
      <c r="BX148" s="386">
        <f t="shared" si="176"/>
        <v>0</v>
      </c>
      <c r="BY148" s="386">
        <f t="shared" si="177"/>
        <v>0</v>
      </c>
      <c r="BZ148" s="386">
        <f t="shared" si="178"/>
        <v>0</v>
      </c>
      <c r="CA148" s="386">
        <f t="shared" si="179"/>
        <v>0</v>
      </c>
      <c r="CB148" s="386">
        <f t="shared" si="180"/>
        <v>0</v>
      </c>
      <c r="CC148" s="386">
        <f t="shared" si="162"/>
        <v>0</v>
      </c>
      <c r="CD148" s="386">
        <f t="shared" si="163"/>
        <v>0</v>
      </c>
      <c r="CE148" s="386">
        <f t="shared" si="164"/>
        <v>0</v>
      </c>
      <c r="CF148" s="386">
        <f t="shared" si="165"/>
        <v>0</v>
      </c>
      <c r="CG148" s="386">
        <f t="shared" si="166"/>
        <v>0</v>
      </c>
      <c r="CH148" s="386">
        <f t="shared" si="167"/>
        <v>0</v>
      </c>
      <c r="CI148" s="386">
        <f t="shared" si="168"/>
        <v>0</v>
      </c>
      <c r="CJ148" s="386">
        <f t="shared" si="181"/>
        <v>0</v>
      </c>
      <c r="CK148" s="386" t="str">
        <f t="shared" si="182"/>
        <v/>
      </c>
      <c r="CL148" s="386" t="str">
        <f t="shared" si="183"/>
        <v/>
      </c>
      <c r="CM148" s="386" t="str">
        <f t="shared" si="184"/>
        <v/>
      </c>
      <c r="CN148" s="386" t="str">
        <f t="shared" si="185"/>
        <v>0480-00</v>
      </c>
    </row>
    <row r="149" spans="1:92" ht="15.75" thickBot="1" x14ac:dyDescent="0.3">
      <c r="A149" s="376" t="s">
        <v>162</v>
      </c>
      <c r="B149" s="376" t="s">
        <v>163</v>
      </c>
      <c r="C149" s="376" t="s">
        <v>467</v>
      </c>
      <c r="D149" s="376" t="s">
        <v>468</v>
      </c>
      <c r="E149" s="376" t="s">
        <v>505</v>
      </c>
      <c r="F149" s="377" t="s">
        <v>167</v>
      </c>
      <c r="G149" s="376" t="s">
        <v>506</v>
      </c>
      <c r="H149" s="378"/>
      <c r="I149" s="378"/>
      <c r="J149" s="376" t="s">
        <v>169</v>
      </c>
      <c r="K149" s="376" t="s">
        <v>469</v>
      </c>
      <c r="L149" s="376" t="s">
        <v>470</v>
      </c>
      <c r="M149" s="376" t="s">
        <v>172</v>
      </c>
      <c r="N149" s="376" t="s">
        <v>173</v>
      </c>
      <c r="O149" s="379">
        <v>1</v>
      </c>
      <c r="P149" s="384">
        <v>1</v>
      </c>
      <c r="Q149" s="384">
        <v>1</v>
      </c>
      <c r="R149" s="380">
        <v>80</v>
      </c>
      <c r="S149" s="384">
        <v>1</v>
      </c>
      <c r="T149" s="380">
        <v>106030.39999999999</v>
      </c>
      <c r="U149" s="380">
        <v>0</v>
      </c>
      <c r="V149" s="380">
        <v>33482.839999999997</v>
      </c>
      <c r="W149" s="380">
        <v>108451.2</v>
      </c>
      <c r="X149" s="380">
        <v>34722.720000000001</v>
      </c>
      <c r="Y149" s="380">
        <v>108451.2</v>
      </c>
      <c r="Z149" s="380">
        <v>35159.33</v>
      </c>
      <c r="AA149" s="376" t="s">
        <v>471</v>
      </c>
      <c r="AB149" s="376" t="s">
        <v>472</v>
      </c>
      <c r="AC149" s="376" t="s">
        <v>473</v>
      </c>
      <c r="AD149" s="376" t="s">
        <v>198</v>
      </c>
      <c r="AE149" s="376" t="s">
        <v>469</v>
      </c>
      <c r="AF149" s="376" t="s">
        <v>178</v>
      </c>
      <c r="AG149" s="376" t="s">
        <v>179</v>
      </c>
      <c r="AH149" s="381">
        <v>52.14</v>
      </c>
      <c r="AI149" s="381">
        <v>42679.3</v>
      </c>
      <c r="AJ149" s="376" t="s">
        <v>180</v>
      </c>
      <c r="AK149" s="376" t="s">
        <v>181</v>
      </c>
      <c r="AL149" s="376" t="s">
        <v>182</v>
      </c>
      <c r="AM149" s="376" t="s">
        <v>183</v>
      </c>
      <c r="AN149" s="376" t="s">
        <v>66</v>
      </c>
      <c r="AO149" s="379">
        <v>80</v>
      </c>
      <c r="AP149" s="384">
        <v>1</v>
      </c>
      <c r="AQ149" s="384">
        <v>1</v>
      </c>
      <c r="AR149" s="382" t="s">
        <v>184</v>
      </c>
      <c r="AS149" s="386">
        <f t="shared" si="169"/>
        <v>1</v>
      </c>
      <c r="AT149">
        <f t="shared" si="170"/>
        <v>1</v>
      </c>
      <c r="AU149" s="386">
        <f>IF(AT149=0,"",IF(AND(AT149=1,M149="F",SUMIF(C2:C201,C149,AS2:AS201)&lt;=1),SUMIF(C2:C201,C149,AS2:AS201),IF(AND(AT149=1,M149="F",SUMIF(C2:C201,C149,AS2:AS201)&gt;1),1,"")))</f>
        <v>1</v>
      </c>
      <c r="AV149" s="386" t="str">
        <f>IF(AT149=0,"",IF(AND(AT149=3,M149="F",SUMIF(C2:C201,C149,AS2:AS201)&lt;=1),SUMIF(C2:C201,C149,AS2:AS201),IF(AND(AT149=3,M149="F",SUMIF(C2:C201,C149,AS2:AS201)&gt;1),1,"")))</f>
        <v/>
      </c>
      <c r="AW149" s="386">
        <f>SUMIF(C2:C201,C149,O2:O201)</f>
        <v>2</v>
      </c>
      <c r="AX149" s="386">
        <f>IF(AND(M149="F",AS149&lt;&gt;0),SUMIF(C2:C201,C149,W2:W201),0)</f>
        <v>108451.2</v>
      </c>
      <c r="AY149" s="386">
        <f t="shared" si="171"/>
        <v>108451.2</v>
      </c>
      <c r="AZ149" s="386" t="str">
        <f t="shared" si="172"/>
        <v/>
      </c>
      <c r="BA149" s="386">
        <f t="shared" si="173"/>
        <v>0</v>
      </c>
      <c r="BB149" s="386">
        <f t="shared" si="142"/>
        <v>12500</v>
      </c>
      <c r="BC149" s="386">
        <f t="shared" si="143"/>
        <v>0</v>
      </c>
      <c r="BD149" s="386">
        <f t="shared" si="144"/>
        <v>6723.9744000000001</v>
      </c>
      <c r="BE149" s="386">
        <f t="shared" si="145"/>
        <v>1572.5424</v>
      </c>
      <c r="BF149" s="386">
        <f t="shared" si="146"/>
        <v>12949.073280000001</v>
      </c>
      <c r="BG149" s="386">
        <f t="shared" si="147"/>
        <v>781.93315200000006</v>
      </c>
      <c r="BH149" s="386">
        <f t="shared" si="148"/>
        <v>0</v>
      </c>
      <c r="BI149" s="386">
        <f t="shared" si="149"/>
        <v>0</v>
      </c>
      <c r="BJ149" s="386">
        <f t="shared" si="150"/>
        <v>195.21215999999998</v>
      </c>
      <c r="BK149" s="386">
        <f t="shared" si="151"/>
        <v>0</v>
      </c>
      <c r="BL149" s="386">
        <f t="shared" si="174"/>
        <v>22222.735392000002</v>
      </c>
      <c r="BM149" s="386">
        <f t="shared" si="175"/>
        <v>0</v>
      </c>
      <c r="BN149" s="386">
        <f t="shared" si="152"/>
        <v>13750</v>
      </c>
      <c r="BO149" s="386">
        <f t="shared" si="153"/>
        <v>0</v>
      </c>
      <c r="BP149" s="386">
        <f t="shared" si="154"/>
        <v>6723.9744000000001</v>
      </c>
      <c r="BQ149" s="386">
        <f t="shared" si="155"/>
        <v>1572.5424</v>
      </c>
      <c r="BR149" s="386">
        <f t="shared" si="156"/>
        <v>12124.844159999999</v>
      </c>
      <c r="BS149" s="386">
        <f t="shared" si="157"/>
        <v>781.93315200000006</v>
      </c>
      <c r="BT149" s="386">
        <f t="shared" si="158"/>
        <v>0</v>
      </c>
      <c r="BU149" s="386">
        <f t="shared" si="159"/>
        <v>0</v>
      </c>
      <c r="BV149" s="386">
        <f t="shared" si="160"/>
        <v>206.05727999999999</v>
      </c>
      <c r="BW149" s="386">
        <f t="shared" si="161"/>
        <v>0</v>
      </c>
      <c r="BX149" s="386">
        <f t="shared" si="176"/>
        <v>21409.351392</v>
      </c>
      <c r="BY149" s="386">
        <f t="shared" si="177"/>
        <v>0</v>
      </c>
      <c r="BZ149" s="386">
        <f t="shared" si="178"/>
        <v>1250</v>
      </c>
      <c r="CA149" s="386">
        <f t="shared" si="179"/>
        <v>0</v>
      </c>
      <c r="CB149" s="386">
        <f t="shared" si="180"/>
        <v>0</v>
      </c>
      <c r="CC149" s="386">
        <f t="shared" si="162"/>
        <v>0</v>
      </c>
      <c r="CD149" s="386">
        <f t="shared" si="163"/>
        <v>-824.22912000000099</v>
      </c>
      <c r="CE149" s="386">
        <f t="shared" si="164"/>
        <v>0</v>
      </c>
      <c r="CF149" s="386">
        <f t="shared" si="165"/>
        <v>0</v>
      </c>
      <c r="CG149" s="386">
        <f t="shared" si="166"/>
        <v>0</v>
      </c>
      <c r="CH149" s="386">
        <f t="shared" si="167"/>
        <v>10.845120000000005</v>
      </c>
      <c r="CI149" s="386">
        <f t="shared" si="168"/>
        <v>0</v>
      </c>
      <c r="CJ149" s="386">
        <f t="shared" si="181"/>
        <v>-813.38400000000104</v>
      </c>
      <c r="CK149" s="386" t="str">
        <f t="shared" si="182"/>
        <v/>
      </c>
      <c r="CL149" s="386" t="str">
        <f t="shared" si="183"/>
        <v/>
      </c>
      <c r="CM149" s="386" t="str">
        <f t="shared" si="184"/>
        <v/>
      </c>
      <c r="CN149" s="386" t="str">
        <f t="shared" si="185"/>
        <v>0480-00</v>
      </c>
    </row>
    <row r="150" spans="1:92" ht="15.75" thickBot="1" x14ac:dyDescent="0.3">
      <c r="A150" s="376" t="s">
        <v>162</v>
      </c>
      <c r="B150" s="376" t="s">
        <v>163</v>
      </c>
      <c r="C150" s="376" t="s">
        <v>523</v>
      </c>
      <c r="D150" s="376" t="s">
        <v>524</v>
      </c>
      <c r="E150" s="376" t="s">
        <v>505</v>
      </c>
      <c r="F150" s="377" t="s">
        <v>167</v>
      </c>
      <c r="G150" s="376" t="s">
        <v>506</v>
      </c>
      <c r="H150" s="378"/>
      <c r="I150" s="378"/>
      <c r="J150" s="376" t="s">
        <v>169</v>
      </c>
      <c r="K150" s="376" t="s">
        <v>525</v>
      </c>
      <c r="L150" s="376" t="s">
        <v>167</v>
      </c>
      <c r="M150" s="376" t="s">
        <v>172</v>
      </c>
      <c r="N150" s="376" t="s">
        <v>173</v>
      </c>
      <c r="O150" s="379">
        <v>1</v>
      </c>
      <c r="P150" s="384">
        <v>1</v>
      </c>
      <c r="Q150" s="384">
        <v>1</v>
      </c>
      <c r="R150" s="380">
        <v>80</v>
      </c>
      <c r="S150" s="384">
        <v>1</v>
      </c>
      <c r="T150" s="380">
        <v>22290.62</v>
      </c>
      <c r="U150" s="380">
        <v>1852.88</v>
      </c>
      <c r="V150" s="380">
        <v>13248.74</v>
      </c>
      <c r="W150" s="380">
        <v>21909.88</v>
      </c>
      <c r="X150" s="380">
        <v>16989.53</v>
      </c>
      <c r="Y150" s="380">
        <v>21909.88</v>
      </c>
      <c r="Z150" s="380">
        <v>18075.21</v>
      </c>
      <c r="AA150" s="376" t="s">
        <v>526</v>
      </c>
      <c r="AB150" s="376" t="s">
        <v>527</v>
      </c>
      <c r="AC150" s="376" t="s">
        <v>528</v>
      </c>
      <c r="AD150" s="376" t="s">
        <v>181</v>
      </c>
      <c r="AE150" s="376" t="s">
        <v>525</v>
      </c>
      <c r="AF150" s="376" t="s">
        <v>178</v>
      </c>
      <c r="AG150" s="376" t="s">
        <v>179</v>
      </c>
      <c r="AH150" s="381">
        <v>16.72</v>
      </c>
      <c r="AI150" s="379">
        <v>1573</v>
      </c>
      <c r="AJ150" s="376" t="s">
        <v>256</v>
      </c>
      <c r="AK150" s="376" t="s">
        <v>181</v>
      </c>
      <c r="AL150" s="376" t="s">
        <v>182</v>
      </c>
      <c r="AM150" s="376" t="s">
        <v>183</v>
      </c>
      <c r="AN150" s="376" t="s">
        <v>66</v>
      </c>
      <c r="AO150" s="379">
        <v>48</v>
      </c>
      <c r="AP150" s="384">
        <v>1</v>
      </c>
      <c r="AQ150" s="384">
        <v>0.6</v>
      </c>
      <c r="AR150" s="382">
        <v>5</v>
      </c>
      <c r="AS150" s="386">
        <f t="shared" si="169"/>
        <v>0.6</v>
      </c>
      <c r="AT150">
        <f t="shared" si="170"/>
        <v>1</v>
      </c>
      <c r="AU150" s="386">
        <f>IF(AT150=0,"",IF(AND(AT150=1,M150="F",SUMIF(C2:C201,C150,AS2:AS201)&lt;=1),SUMIF(C2:C201,C150,AS2:AS201),IF(AND(AT150=1,M150="F",SUMIF(C2:C201,C150,AS2:AS201)&gt;1),1,"")))</f>
        <v>0.6</v>
      </c>
      <c r="AV150" s="386" t="str">
        <f>IF(AT150=0,"",IF(AND(AT150=3,M150="F",SUMIF(C2:C201,C150,AS2:AS201)&lt;=1),SUMIF(C2:C201,C150,AS2:AS201),IF(AND(AT150=3,M150="F",SUMIF(C2:C201,C150,AS2:AS201)&gt;1),1,"")))</f>
        <v/>
      </c>
      <c r="AW150" s="386">
        <f>SUMIF(C2:C201,C150,O2:O201)</f>
        <v>1</v>
      </c>
      <c r="AX150" s="386">
        <f>IF(AND(M150="F",AS150&lt;&gt;0),SUMIF(C2:C201,C150,W2:W201),0)</f>
        <v>21909.88</v>
      </c>
      <c r="AY150" s="386">
        <f t="shared" si="171"/>
        <v>21909.88</v>
      </c>
      <c r="AZ150" s="386" t="str">
        <f t="shared" si="172"/>
        <v/>
      </c>
      <c r="BA150" s="386">
        <f t="shared" si="173"/>
        <v>0</v>
      </c>
      <c r="BB150" s="386">
        <f t="shared" si="142"/>
        <v>10000</v>
      </c>
      <c r="BC150" s="386">
        <f t="shared" si="143"/>
        <v>0</v>
      </c>
      <c r="BD150" s="386">
        <f t="shared" si="144"/>
        <v>1358.41256</v>
      </c>
      <c r="BE150" s="386">
        <f t="shared" si="145"/>
        <v>317.69326000000001</v>
      </c>
      <c r="BF150" s="386">
        <f t="shared" si="146"/>
        <v>2616.0396720000003</v>
      </c>
      <c r="BG150" s="386">
        <f t="shared" si="147"/>
        <v>157.97023480000001</v>
      </c>
      <c r="BH150" s="386">
        <f t="shared" si="148"/>
        <v>0</v>
      </c>
      <c r="BI150" s="386">
        <f t="shared" si="149"/>
        <v>0</v>
      </c>
      <c r="BJ150" s="386">
        <f t="shared" si="150"/>
        <v>39.437784000000001</v>
      </c>
      <c r="BK150" s="386">
        <f t="shared" si="151"/>
        <v>0</v>
      </c>
      <c r="BL150" s="386">
        <f t="shared" si="174"/>
        <v>4489.5535108000004</v>
      </c>
      <c r="BM150" s="386">
        <f t="shared" si="175"/>
        <v>0</v>
      </c>
      <c r="BN150" s="386">
        <f t="shared" si="152"/>
        <v>11000</v>
      </c>
      <c r="BO150" s="386">
        <f t="shared" si="153"/>
        <v>0</v>
      </c>
      <c r="BP150" s="386">
        <f t="shared" si="154"/>
        <v>1358.41256</v>
      </c>
      <c r="BQ150" s="386">
        <f t="shared" si="155"/>
        <v>317.69326000000001</v>
      </c>
      <c r="BR150" s="386">
        <f t="shared" si="156"/>
        <v>2449.5245840000002</v>
      </c>
      <c r="BS150" s="386">
        <f t="shared" si="157"/>
        <v>157.97023480000001</v>
      </c>
      <c r="BT150" s="386">
        <f t="shared" si="158"/>
        <v>0</v>
      </c>
      <c r="BU150" s="386">
        <f t="shared" si="159"/>
        <v>0</v>
      </c>
      <c r="BV150" s="386">
        <f t="shared" si="160"/>
        <v>41.628772000000005</v>
      </c>
      <c r="BW150" s="386">
        <f t="shared" si="161"/>
        <v>0</v>
      </c>
      <c r="BX150" s="386">
        <f t="shared" si="176"/>
        <v>4325.2294108000006</v>
      </c>
      <c r="BY150" s="386">
        <f t="shared" si="177"/>
        <v>0</v>
      </c>
      <c r="BZ150" s="386">
        <f t="shared" si="178"/>
        <v>1000</v>
      </c>
      <c r="CA150" s="386">
        <f t="shared" si="179"/>
        <v>0</v>
      </c>
      <c r="CB150" s="386">
        <f t="shared" si="180"/>
        <v>0</v>
      </c>
      <c r="CC150" s="386">
        <f t="shared" si="162"/>
        <v>0</v>
      </c>
      <c r="CD150" s="386">
        <f t="shared" si="163"/>
        <v>-166.51508800000022</v>
      </c>
      <c r="CE150" s="386">
        <f t="shared" si="164"/>
        <v>0</v>
      </c>
      <c r="CF150" s="386">
        <f t="shared" si="165"/>
        <v>0</v>
      </c>
      <c r="CG150" s="386">
        <f t="shared" si="166"/>
        <v>0</v>
      </c>
      <c r="CH150" s="386">
        <f t="shared" si="167"/>
        <v>2.1909880000000013</v>
      </c>
      <c r="CI150" s="386">
        <f t="shared" si="168"/>
        <v>0</v>
      </c>
      <c r="CJ150" s="386">
        <f t="shared" si="181"/>
        <v>-164.32410000000021</v>
      </c>
      <c r="CK150" s="386" t="str">
        <f t="shared" si="182"/>
        <v/>
      </c>
      <c r="CL150" s="386" t="str">
        <f t="shared" si="183"/>
        <v/>
      </c>
      <c r="CM150" s="386" t="str">
        <f t="shared" si="184"/>
        <v/>
      </c>
      <c r="CN150" s="386" t="str">
        <f t="shared" si="185"/>
        <v>0480-00</v>
      </c>
    </row>
    <row r="151" spans="1:92" ht="15.75" thickBot="1" x14ac:dyDescent="0.3">
      <c r="A151" s="376" t="s">
        <v>162</v>
      </c>
      <c r="B151" s="376" t="s">
        <v>163</v>
      </c>
      <c r="C151" s="376" t="s">
        <v>529</v>
      </c>
      <c r="D151" s="376" t="s">
        <v>530</v>
      </c>
      <c r="E151" s="376" t="s">
        <v>505</v>
      </c>
      <c r="F151" s="377" t="s">
        <v>167</v>
      </c>
      <c r="G151" s="376" t="s">
        <v>506</v>
      </c>
      <c r="H151" s="378"/>
      <c r="I151" s="378"/>
      <c r="J151" s="376" t="s">
        <v>169</v>
      </c>
      <c r="K151" s="376" t="s">
        <v>531</v>
      </c>
      <c r="L151" s="376" t="s">
        <v>182</v>
      </c>
      <c r="M151" s="376" t="s">
        <v>172</v>
      </c>
      <c r="N151" s="376" t="s">
        <v>173</v>
      </c>
      <c r="O151" s="379">
        <v>1</v>
      </c>
      <c r="P151" s="384">
        <v>1</v>
      </c>
      <c r="Q151" s="384">
        <v>1</v>
      </c>
      <c r="R151" s="380">
        <v>80</v>
      </c>
      <c r="S151" s="384">
        <v>1</v>
      </c>
      <c r="T151" s="380">
        <v>104980.32</v>
      </c>
      <c r="U151" s="380">
        <v>0</v>
      </c>
      <c r="V151" s="380">
        <v>33495.24</v>
      </c>
      <c r="W151" s="380">
        <v>107494.39999999999</v>
      </c>
      <c r="X151" s="380">
        <v>34526.65</v>
      </c>
      <c r="Y151" s="380">
        <v>107494.39999999999</v>
      </c>
      <c r="Z151" s="380">
        <v>34970.44</v>
      </c>
      <c r="AA151" s="376" t="s">
        <v>532</v>
      </c>
      <c r="AB151" s="376" t="s">
        <v>533</v>
      </c>
      <c r="AC151" s="376" t="s">
        <v>534</v>
      </c>
      <c r="AD151" s="376" t="s">
        <v>177</v>
      </c>
      <c r="AE151" s="376" t="s">
        <v>531</v>
      </c>
      <c r="AF151" s="376" t="s">
        <v>178</v>
      </c>
      <c r="AG151" s="376" t="s">
        <v>179</v>
      </c>
      <c r="AH151" s="381">
        <v>51.68</v>
      </c>
      <c r="AI151" s="379">
        <v>3370</v>
      </c>
      <c r="AJ151" s="376" t="s">
        <v>180</v>
      </c>
      <c r="AK151" s="376" t="s">
        <v>181</v>
      </c>
      <c r="AL151" s="376" t="s">
        <v>182</v>
      </c>
      <c r="AM151" s="376" t="s">
        <v>183</v>
      </c>
      <c r="AN151" s="376" t="s">
        <v>66</v>
      </c>
      <c r="AO151" s="379">
        <v>80</v>
      </c>
      <c r="AP151" s="384">
        <v>1</v>
      </c>
      <c r="AQ151" s="384">
        <v>1</v>
      </c>
      <c r="AR151" s="382" t="s">
        <v>184</v>
      </c>
      <c r="AS151" s="386">
        <f t="shared" si="169"/>
        <v>1</v>
      </c>
      <c r="AT151">
        <f t="shared" si="170"/>
        <v>1</v>
      </c>
      <c r="AU151" s="386">
        <f>IF(AT151=0,"",IF(AND(AT151=1,M151="F",SUMIF(C2:C201,C151,AS2:AS201)&lt;=1),SUMIF(C2:C201,C151,AS2:AS201),IF(AND(AT151=1,M151="F",SUMIF(C2:C201,C151,AS2:AS201)&gt;1),1,"")))</f>
        <v>1</v>
      </c>
      <c r="AV151" s="386" t="str">
        <f>IF(AT151=0,"",IF(AND(AT151=3,M151="F",SUMIF(C2:C201,C151,AS2:AS201)&lt;=1),SUMIF(C2:C201,C151,AS2:AS201),IF(AND(AT151=3,M151="F",SUMIF(C2:C201,C151,AS2:AS201)&gt;1),1,"")))</f>
        <v/>
      </c>
      <c r="AW151" s="386">
        <f>SUMIF(C2:C201,C151,O2:O201)</f>
        <v>1</v>
      </c>
      <c r="AX151" s="386">
        <f>IF(AND(M151="F",AS151&lt;&gt;0),SUMIF(C2:C201,C151,W2:W201),0)</f>
        <v>107494.39999999999</v>
      </c>
      <c r="AY151" s="386">
        <f t="shared" si="171"/>
        <v>107494.39999999999</v>
      </c>
      <c r="AZ151" s="386" t="str">
        <f t="shared" si="172"/>
        <v/>
      </c>
      <c r="BA151" s="386">
        <f t="shared" si="173"/>
        <v>0</v>
      </c>
      <c r="BB151" s="386">
        <f t="shared" si="142"/>
        <v>12500</v>
      </c>
      <c r="BC151" s="386">
        <f t="shared" si="143"/>
        <v>0</v>
      </c>
      <c r="BD151" s="386">
        <f t="shared" si="144"/>
        <v>6664.6527999999998</v>
      </c>
      <c r="BE151" s="386">
        <f t="shared" si="145"/>
        <v>1558.6687999999999</v>
      </c>
      <c r="BF151" s="386">
        <f t="shared" si="146"/>
        <v>12834.83136</v>
      </c>
      <c r="BG151" s="386">
        <f t="shared" si="147"/>
        <v>775.03462400000001</v>
      </c>
      <c r="BH151" s="386">
        <f t="shared" si="148"/>
        <v>0</v>
      </c>
      <c r="BI151" s="386">
        <f t="shared" si="149"/>
        <v>0</v>
      </c>
      <c r="BJ151" s="386">
        <f t="shared" si="150"/>
        <v>193.48991999999998</v>
      </c>
      <c r="BK151" s="386">
        <f t="shared" si="151"/>
        <v>0</v>
      </c>
      <c r="BL151" s="386">
        <f t="shared" si="174"/>
        <v>22026.677503999999</v>
      </c>
      <c r="BM151" s="386">
        <f t="shared" si="175"/>
        <v>0</v>
      </c>
      <c r="BN151" s="386">
        <f t="shared" si="152"/>
        <v>13750</v>
      </c>
      <c r="BO151" s="386">
        <f t="shared" si="153"/>
        <v>0</v>
      </c>
      <c r="BP151" s="386">
        <f t="shared" si="154"/>
        <v>6664.6527999999998</v>
      </c>
      <c r="BQ151" s="386">
        <f t="shared" si="155"/>
        <v>1558.6687999999999</v>
      </c>
      <c r="BR151" s="386">
        <f t="shared" si="156"/>
        <v>12017.873919999998</v>
      </c>
      <c r="BS151" s="386">
        <f t="shared" si="157"/>
        <v>775.03462400000001</v>
      </c>
      <c r="BT151" s="386">
        <f t="shared" si="158"/>
        <v>0</v>
      </c>
      <c r="BU151" s="386">
        <f t="shared" si="159"/>
        <v>0</v>
      </c>
      <c r="BV151" s="386">
        <f t="shared" si="160"/>
        <v>204.23935999999998</v>
      </c>
      <c r="BW151" s="386">
        <f t="shared" si="161"/>
        <v>0</v>
      </c>
      <c r="BX151" s="386">
        <f t="shared" si="176"/>
        <v>21220.469503999997</v>
      </c>
      <c r="BY151" s="386">
        <f t="shared" si="177"/>
        <v>0</v>
      </c>
      <c r="BZ151" s="386">
        <f t="shared" si="178"/>
        <v>1250</v>
      </c>
      <c r="CA151" s="386">
        <f t="shared" si="179"/>
        <v>0</v>
      </c>
      <c r="CB151" s="386">
        <f t="shared" si="180"/>
        <v>0</v>
      </c>
      <c r="CC151" s="386">
        <f t="shared" si="162"/>
        <v>0</v>
      </c>
      <c r="CD151" s="386">
        <f t="shared" si="163"/>
        <v>-816.95744000000093</v>
      </c>
      <c r="CE151" s="386">
        <f t="shared" si="164"/>
        <v>0</v>
      </c>
      <c r="CF151" s="386">
        <f t="shared" si="165"/>
        <v>0</v>
      </c>
      <c r="CG151" s="386">
        <f t="shared" si="166"/>
        <v>0</v>
      </c>
      <c r="CH151" s="386">
        <f t="shared" si="167"/>
        <v>10.749440000000003</v>
      </c>
      <c r="CI151" s="386">
        <f t="shared" si="168"/>
        <v>0</v>
      </c>
      <c r="CJ151" s="386">
        <f t="shared" si="181"/>
        <v>-806.20800000000088</v>
      </c>
      <c r="CK151" s="386" t="str">
        <f t="shared" si="182"/>
        <v/>
      </c>
      <c r="CL151" s="386" t="str">
        <f t="shared" si="183"/>
        <v/>
      </c>
      <c r="CM151" s="386" t="str">
        <f t="shared" si="184"/>
        <v/>
      </c>
      <c r="CN151" s="386" t="str">
        <f t="shared" si="185"/>
        <v>0480-00</v>
      </c>
    </row>
    <row r="152" spans="1:92" ht="15.75" thickBot="1" x14ac:dyDescent="0.3">
      <c r="A152" s="376" t="s">
        <v>162</v>
      </c>
      <c r="B152" s="376" t="s">
        <v>163</v>
      </c>
      <c r="C152" s="376" t="s">
        <v>535</v>
      </c>
      <c r="D152" s="376" t="s">
        <v>536</v>
      </c>
      <c r="E152" s="376" t="s">
        <v>505</v>
      </c>
      <c r="F152" s="377" t="s">
        <v>167</v>
      </c>
      <c r="G152" s="376" t="s">
        <v>506</v>
      </c>
      <c r="H152" s="378"/>
      <c r="I152" s="378"/>
      <c r="J152" s="376" t="s">
        <v>169</v>
      </c>
      <c r="K152" s="376" t="s">
        <v>537</v>
      </c>
      <c r="L152" s="376" t="s">
        <v>522</v>
      </c>
      <c r="M152" s="376" t="s">
        <v>172</v>
      </c>
      <c r="N152" s="376" t="s">
        <v>173</v>
      </c>
      <c r="O152" s="379">
        <v>1</v>
      </c>
      <c r="P152" s="384">
        <v>1</v>
      </c>
      <c r="Q152" s="384">
        <v>1</v>
      </c>
      <c r="R152" s="380">
        <v>80</v>
      </c>
      <c r="S152" s="384">
        <v>1</v>
      </c>
      <c r="T152" s="380">
        <v>57395.040000000001</v>
      </c>
      <c r="U152" s="380">
        <v>0</v>
      </c>
      <c r="V152" s="380">
        <v>23219.26</v>
      </c>
      <c r="W152" s="380">
        <v>56680</v>
      </c>
      <c r="X152" s="380">
        <v>24114.29</v>
      </c>
      <c r="Y152" s="380">
        <v>56680</v>
      </c>
      <c r="Z152" s="380">
        <v>24939.19</v>
      </c>
      <c r="AA152" s="376" t="s">
        <v>538</v>
      </c>
      <c r="AB152" s="376" t="s">
        <v>539</v>
      </c>
      <c r="AC152" s="376" t="s">
        <v>540</v>
      </c>
      <c r="AD152" s="376" t="s">
        <v>198</v>
      </c>
      <c r="AE152" s="376" t="s">
        <v>537</v>
      </c>
      <c r="AF152" s="376" t="s">
        <v>178</v>
      </c>
      <c r="AG152" s="376" t="s">
        <v>179</v>
      </c>
      <c r="AH152" s="381">
        <v>27.25</v>
      </c>
      <c r="AI152" s="381">
        <v>5597.8</v>
      </c>
      <c r="AJ152" s="376" t="s">
        <v>180</v>
      </c>
      <c r="AK152" s="376" t="s">
        <v>181</v>
      </c>
      <c r="AL152" s="376" t="s">
        <v>182</v>
      </c>
      <c r="AM152" s="376" t="s">
        <v>183</v>
      </c>
      <c r="AN152" s="376" t="s">
        <v>66</v>
      </c>
      <c r="AO152" s="379">
        <v>80</v>
      </c>
      <c r="AP152" s="384">
        <v>1</v>
      </c>
      <c r="AQ152" s="384">
        <v>1</v>
      </c>
      <c r="AR152" s="382" t="s">
        <v>184</v>
      </c>
      <c r="AS152" s="386">
        <f t="shared" si="169"/>
        <v>1</v>
      </c>
      <c r="AT152">
        <f t="shared" si="170"/>
        <v>1</v>
      </c>
      <c r="AU152" s="386">
        <f>IF(AT152=0,"",IF(AND(AT152=1,M152="F",SUMIF(C2:C201,C152,AS2:AS201)&lt;=1),SUMIF(C2:C201,C152,AS2:AS201),IF(AND(AT152=1,M152="F",SUMIF(C2:C201,C152,AS2:AS201)&gt;1),1,"")))</f>
        <v>1</v>
      </c>
      <c r="AV152" s="386" t="str">
        <f>IF(AT152=0,"",IF(AND(AT152=3,M152="F",SUMIF(C2:C201,C152,AS2:AS201)&lt;=1),SUMIF(C2:C201,C152,AS2:AS201),IF(AND(AT152=3,M152="F",SUMIF(C2:C201,C152,AS2:AS201)&gt;1),1,"")))</f>
        <v/>
      </c>
      <c r="AW152" s="386">
        <f>SUMIF(C2:C201,C152,O2:O201)</f>
        <v>1</v>
      </c>
      <c r="AX152" s="386">
        <f>IF(AND(M152="F",AS152&lt;&gt;0),SUMIF(C2:C201,C152,W2:W201),0)</f>
        <v>56680</v>
      </c>
      <c r="AY152" s="386">
        <f t="shared" si="171"/>
        <v>56680</v>
      </c>
      <c r="AZ152" s="386" t="str">
        <f t="shared" si="172"/>
        <v/>
      </c>
      <c r="BA152" s="386">
        <f t="shared" si="173"/>
        <v>0</v>
      </c>
      <c r="BB152" s="386">
        <f t="shared" si="142"/>
        <v>12500</v>
      </c>
      <c r="BC152" s="386">
        <f t="shared" si="143"/>
        <v>0</v>
      </c>
      <c r="BD152" s="386">
        <f t="shared" si="144"/>
        <v>3514.16</v>
      </c>
      <c r="BE152" s="386">
        <f t="shared" si="145"/>
        <v>821.86</v>
      </c>
      <c r="BF152" s="386">
        <f t="shared" si="146"/>
        <v>6767.5920000000006</v>
      </c>
      <c r="BG152" s="386">
        <f t="shared" si="147"/>
        <v>408.6628</v>
      </c>
      <c r="BH152" s="386">
        <f t="shared" si="148"/>
        <v>0</v>
      </c>
      <c r="BI152" s="386">
        <f t="shared" si="149"/>
        <v>0</v>
      </c>
      <c r="BJ152" s="386">
        <f t="shared" si="150"/>
        <v>102.024</v>
      </c>
      <c r="BK152" s="386">
        <f t="shared" si="151"/>
        <v>0</v>
      </c>
      <c r="BL152" s="386">
        <f t="shared" si="174"/>
        <v>11614.2988</v>
      </c>
      <c r="BM152" s="386">
        <f t="shared" si="175"/>
        <v>0</v>
      </c>
      <c r="BN152" s="386">
        <f t="shared" si="152"/>
        <v>13750</v>
      </c>
      <c r="BO152" s="386">
        <f t="shared" si="153"/>
        <v>0</v>
      </c>
      <c r="BP152" s="386">
        <f t="shared" si="154"/>
        <v>3514.16</v>
      </c>
      <c r="BQ152" s="386">
        <f t="shared" si="155"/>
        <v>821.86</v>
      </c>
      <c r="BR152" s="386">
        <f t="shared" si="156"/>
        <v>6336.8239999999996</v>
      </c>
      <c r="BS152" s="386">
        <f t="shared" si="157"/>
        <v>408.6628</v>
      </c>
      <c r="BT152" s="386">
        <f t="shared" si="158"/>
        <v>0</v>
      </c>
      <c r="BU152" s="386">
        <f t="shared" si="159"/>
        <v>0</v>
      </c>
      <c r="BV152" s="386">
        <f t="shared" si="160"/>
        <v>107.69199999999999</v>
      </c>
      <c r="BW152" s="386">
        <f t="shared" si="161"/>
        <v>0</v>
      </c>
      <c r="BX152" s="386">
        <f t="shared" si="176"/>
        <v>11189.198799999998</v>
      </c>
      <c r="BY152" s="386">
        <f t="shared" si="177"/>
        <v>0</v>
      </c>
      <c r="BZ152" s="386">
        <f t="shared" si="178"/>
        <v>1250</v>
      </c>
      <c r="CA152" s="386">
        <f t="shared" si="179"/>
        <v>0</v>
      </c>
      <c r="CB152" s="386">
        <f t="shared" si="180"/>
        <v>0</v>
      </c>
      <c r="CC152" s="386">
        <f t="shared" si="162"/>
        <v>0</v>
      </c>
      <c r="CD152" s="386">
        <f t="shared" si="163"/>
        <v>-430.76800000000054</v>
      </c>
      <c r="CE152" s="386">
        <f t="shared" si="164"/>
        <v>0</v>
      </c>
      <c r="CF152" s="386">
        <f t="shared" si="165"/>
        <v>0</v>
      </c>
      <c r="CG152" s="386">
        <f t="shared" si="166"/>
        <v>0</v>
      </c>
      <c r="CH152" s="386">
        <f t="shared" si="167"/>
        <v>5.6680000000000028</v>
      </c>
      <c r="CI152" s="386">
        <f t="shared" si="168"/>
        <v>0</v>
      </c>
      <c r="CJ152" s="386">
        <f t="shared" si="181"/>
        <v>-425.10000000000053</v>
      </c>
      <c r="CK152" s="386" t="str">
        <f t="shared" si="182"/>
        <v/>
      </c>
      <c r="CL152" s="386" t="str">
        <f t="shared" si="183"/>
        <v/>
      </c>
      <c r="CM152" s="386" t="str">
        <f t="shared" si="184"/>
        <v/>
      </c>
      <c r="CN152" s="386" t="str">
        <f t="shared" si="185"/>
        <v>0480-00</v>
      </c>
    </row>
    <row r="153" spans="1:92" ht="15.75" thickBot="1" x14ac:dyDescent="0.3">
      <c r="A153" s="376" t="s">
        <v>162</v>
      </c>
      <c r="B153" s="376" t="s">
        <v>163</v>
      </c>
      <c r="C153" s="376" t="s">
        <v>541</v>
      </c>
      <c r="D153" s="376" t="s">
        <v>542</v>
      </c>
      <c r="E153" s="376" t="s">
        <v>505</v>
      </c>
      <c r="F153" s="377" t="s">
        <v>167</v>
      </c>
      <c r="G153" s="376" t="s">
        <v>506</v>
      </c>
      <c r="H153" s="378"/>
      <c r="I153" s="378"/>
      <c r="J153" s="376" t="s">
        <v>169</v>
      </c>
      <c r="K153" s="376" t="s">
        <v>543</v>
      </c>
      <c r="L153" s="376" t="s">
        <v>167</v>
      </c>
      <c r="M153" s="376" t="s">
        <v>172</v>
      </c>
      <c r="N153" s="376" t="s">
        <v>173</v>
      </c>
      <c r="O153" s="379">
        <v>1</v>
      </c>
      <c r="P153" s="384">
        <v>1</v>
      </c>
      <c r="Q153" s="384">
        <v>1</v>
      </c>
      <c r="R153" s="380">
        <v>80</v>
      </c>
      <c r="S153" s="384">
        <v>1</v>
      </c>
      <c r="T153" s="380">
        <v>40570.67</v>
      </c>
      <c r="U153" s="380">
        <v>3572.02</v>
      </c>
      <c r="V153" s="380">
        <v>19129.93</v>
      </c>
      <c r="W153" s="380">
        <v>42893.760000000002</v>
      </c>
      <c r="X153" s="380">
        <v>21289.33</v>
      </c>
      <c r="Y153" s="380">
        <v>42893.760000000002</v>
      </c>
      <c r="Z153" s="380">
        <v>22217.63</v>
      </c>
      <c r="AA153" s="376" t="s">
        <v>544</v>
      </c>
      <c r="AB153" s="376" t="s">
        <v>527</v>
      </c>
      <c r="AC153" s="376" t="s">
        <v>545</v>
      </c>
      <c r="AD153" s="376" t="s">
        <v>181</v>
      </c>
      <c r="AE153" s="376" t="s">
        <v>543</v>
      </c>
      <c r="AF153" s="376" t="s">
        <v>178</v>
      </c>
      <c r="AG153" s="376" t="s">
        <v>179</v>
      </c>
      <c r="AH153" s="381">
        <v>19.64</v>
      </c>
      <c r="AI153" s="381">
        <v>2048.1</v>
      </c>
      <c r="AJ153" s="376" t="s">
        <v>180</v>
      </c>
      <c r="AK153" s="376" t="s">
        <v>181</v>
      </c>
      <c r="AL153" s="376" t="s">
        <v>182</v>
      </c>
      <c r="AM153" s="376" t="s">
        <v>183</v>
      </c>
      <c r="AN153" s="376" t="s">
        <v>66</v>
      </c>
      <c r="AO153" s="379">
        <v>80</v>
      </c>
      <c r="AP153" s="384">
        <v>1</v>
      </c>
      <c r="AQ153" s="384">
        <v>1</v>
      </c>
      <c r="AR153" s="382">
        <v>5</v>
      </c>
      <c r="AS153" s="386">
        <f t="shared" si="169"/>
        <v>1</v>
      </c>
      <c r="AT153">
        <f t="shared" si="170"/>
        <v>1</v>
      </c>
      <c r="AU153" s="386">
        <f>IF(AT153=0,"",IF(AND(AT153=1,M153="F",SUMIF(C2:C201,C153,AS2:AS201)&lt;=1),SUMIF(C2:C201,C153,AS2:AS201),IF(AND(AT153=1,M153="F",SUMIF(C2:C201,C153,AS2:AS201)&gt;1),1,"")))</f>
        <v>1</v>
      </c>
      <c r="AV153" s="386" t="str">
        <f>IF(AT153=0,"",IF(AND(AT153=3,M153="F",SUMIF(C2:C201,C153,AS2:AS201)&lt;=1),SUMIF(C2:C201,C153,AS2:AS201),IF(AND(AT153=3,M153="F",SUMIF(C2:C201,C153,AS2:AS201)&gt;1),1,"")))</f>
        <v/>
      </c>
      <c r="AW153" s="386">
        <f>SUMIF(C2:C201,C153,O2:O201)</f>
        <v>1</v>
      </c>
      <c r="AX153" s="386">
        <f>IF(AND(M153="F",AS153&lt;&gt;0),SUMIF(C2:C201,C153,W2:W201),0)</f>
        <v>42893.760000000002</v>
      </c>
      <c r="AY153" s="386">
        <f t="shared" si="171"/>
        <v>42893.760000000002</v>
      </c>
      <c r="AZ153" s="386" t="str">
        <f t="shared" si="172"/>
        <v/>
      </c>
      <c r="BA153" s="386">
        <f t="shared" si="173"/>
        <v>0</v>
      </c>
      <c r="BB153" s="386">
        <f t="shared" si="142"/>
        <v>12500</v>
      </c>
      <c r="BC153" s="386">
        <f t="shared" si="143"/>
        <v>0</v>
      </c>
      <c r="BD153" s="386">
        <f t="shared" si="144"/>
        <v>2659.4131200000002</v>
      </c>
      <c r="BE153" s="386">
        <f t="shared" si="145"/>
        <v>621.95952000000011</v>
      </c>
      <c r="BF153" s="386">
        <f t="shared" si="146"/>
        <v>5121.5149440000005</v>
      </c>
      <c r="BG153" s="386">
        <f t="shared" si="147"/>
        <v>309.26400960000001</v>
      </c>
      <c r="BH153" s="386">
        <f t="shared" si="148"/>
        <v>0</v>
      </c>
      <c r="BI153" s="386">
        <f t="shared" si="149"/>
        <v>0</v>
      </c>
      <c r="BJ153" s="386">
        <f t="shared" si="150"/>
        <v>77.208768000000006</v>
      </c>
      <c r="BK153" s="386">
        <f t="shared" si="151"/>
        <v>0</v>
      </c>
      <c r="BL153" s="386">
        <f t="shared" si="174"/>
        <v>8789.3603616</v>
      </c>
      <c r="BM153" s="386">
        <f t="shared" si="175"/>
        <v>0</v>
      </c>
      <c r="BN153" s="386">
        <f t="shared" si="152"/>
        <v>13750</v>
      </c>
      <c r="BO153" s="386">
        <f t="shared" si="153"/>
        <v>0</v>
      </c>
      <c r="BP153" s="386">
        <f t="shared" si="154"/>
        <v>2659.4131200000002</v>
      </c>
      <c r="BQ153" s="386">
        <f t="shared" si="155"/>
        <v>621.95952000000011</v>
      </c>
      <c r="BR153" s="386">
        <f t="shared" si="156"/>
        <v>4795.5223679999999</v>
      </c>
      <c r="BS153" s="386">
        <f t="shared" si="157"/>
        <v>309.26400960000001</v>
      </c>
      <c r="BT153" s="386">
        <f t="shared" si="158"/>
        <v>0</v>
      </c>
      <c r="BU153" s="386">
        <f t="shared" si="159"/>
        <v>0</v>
      </c>
      <c r="BV153" s="386">
        <f t="shared" si="160"/>
        <v>81.498144000000011</v>
      </c>
      <c r="BW153" s="386">
        <f t="shared" si="161"/>
        <v>0</v>
      </c>
      <c r="BX153" s="386">
        <f t="shared" si="176"/>
        <v>8467.6571616000001</v>
      </c>
      <c r="BY153" s="386">
        <f t="shared" si="177"/>
        <v>0</v>
      </c>
      <c r="BZ153" s="386">
        <f t="shared" si="178"/>
        <v>1250</v>
      </c>
      <c r="CA153" s="386">
        <f t="shared" si="179"/>
        <v>0</v>
      </c>
      <c r="CB153" s="386">
        <f t="shared" si="180"/>
        <v>0</v>
      </c>
      <c r="CC153" s="386">
        <f t="shared" si="162"/>
        <v>0</v>
      </c>
      <c r="CD153" s="386">
        <f t="shared" si="163"/>
        <v>-325.99257600000044</v>
      </c>
      <c r="CE153" s="386">
        <f t="shared" si="164"/>
        <v>0</v>
      </c>
      <c r="CF153" s="386">
        <f t="shared" si="165"/>
        <v>0</v>
      </c>
      <c r="CG153" s="386">
        <f t="shared" si="166"/>
        <v>0</v>
      </c>
      <c r="CH153" s="386">
        <f t="shared" si="167"/>
        <v>4.2893760000000025</v>
      </c>
      <c r="CI153" s="386">
        <f t="shared" si="168"/>
        <v>0</v>
      </c>
      <c r="CJ153" s="386">
        <f t="shared" si="181"/>
        <v>-321.70320000000044</v>
      </c>
      <c r="CK153" s="386" t="str">
        <f t="shared" si="182"/>
        <v/>
      </c>
      <c r="CL153" s="386" t="str">
        <f t="shared" si="183"/>
        <v/>
      </c>
      <c r="CM153" s="386" t="str">
        <f t="shared" si="184"/>
        <v/>
      </c>
      <c r="CN153" s="386" t="str">
        <f t="shared" si="185"/>
        <v>0480-00</v>
      </c>
    </row>
    <row r="154" spans="1:92" ht="15.75" thickBot="1" x14ac:dyDescent="0.3">
      <c r="A154" s="376" t="s">
        <v>162</v>
      </c>
      <c r="B154" s="376" t="s">
        <v>163</v>
      </c>
      <c r="C154" s="376" t="s">
        <v>546</v>
      </c>
      <c r="D154" s="376" t="s">
        <v>524</v>
      </c>
      <c r="E154" s="376" t="s">
        <v>505</v>
      </c>
      <c r="F154" s="377" t="s">
        <v>167</v>
      </c>
      <c r="G154" s="376" t="s">
        <v>506</v>
      </c>
      <c r="H154" s="378"/>
      <c r="I154" s="378"/>
      <c r="J154" s="376" t="s">
        <v>169</v>
      </c>
      <c r="K154" s="376" t="s">
        <v>525</v>
      </c>
      <c r="L154" s="376" t="s">
        <v>167</v>
      </c>
      <c r="M154" s="376" t="s">
        <v>172</v>
      </c>
      <c r="N154" s="376" t="s">
        <v>173</v>
      </c>
      <c r="O154" s="379">
        <v>1</v>
      </c>
      <c r="P154" s="384">
        <v>1</v>
      </c>
      <c r="Q154" s="384">
        <v>1</v>
      </c>
      <c r="R154" s="380">
        <v>80</v>
      </c>
      <c r="S154" s="384">
        <v>1</v>
      </c>
      <c r="T154" s="380">
        <v>34741.300000000003</v>
      </c>
      <c r="U154" s="380">
        <v>666.75</v>
      </c>
      <c r="V154" s="380">
        <v>17312.61</v>
      </c>
      <c r="W154" s="380">
        <v>20835.36</v>
      </c>
      <c r="X154" s="380">
        <v>16769.36</v>
      </c>
      <c r="Y154" s="380">
        <v>20835.36</v>
      </c>
      <c r="Z154" s="380">
        <v>17863.09</v>
      </c>
      <c r="AA154" s="376" t="s">
        <v>547</v>
      </c>
      <c r="AB154" s="376" t="s">
        <v>548</v>
      </c>
      <c r="AC154" s="376" t="s">
        <v>549</v>
      </c>
      <c r="AD154" s="376" t="s">
        <v>522</v>
      </c>
      <c r="AE154" s="376" t="s">
        <v>525</v>
      </c>
      <c r="AF154" s="376" t="s">
        <v>178</v>
      </c>
      <c r="AG154" s="376" t="s">
        <v>179</v>
      </c>
      <c r="AH154" s="381">
        <v>15.9</v>
      </c>
      <c r="AI154" s="381">
        <v>424.5</v>
      </c>
      <c r="AJ154" s="376" t="s">
        <v>256</v>
      </c>
      <c r="AK154" s="376" t="s">
        <v>181</v>
      </c>
      <c r="AL154" s="376" t="s">
        <v>182</v>
      </c>
      <c r="AM154" s="376" t="s">
        <v>183</v>
      </c>
      <c r="AN154" s="376" t="s">
        <v>66</v>
      </c>
      <c r="AO154" s="379">
        <v>48</v>
      </c>
      <c r="AP154" s="384">
        <v>1</v>
      </c>
      <c r="AQ154" s="384">
        <v>0.6</v>
      </c>
      <c r="AR154" s="382">
        <v>5</v>
      </c>
      <c r="AS154" s="386">
        <f t="shared" si="169"/>
        <v>0.6</v>
      </c>
      <c r="AT154">
        <f t="shared" si="170"/>
        <v>1</v>
      </c>
      <c r="AU154" s="386">
        <f>IF(AT154=0,"",IF(AND(AT154=1,M154="F",SUMIF(C2:C201,C154,AS2:AS201)&lt;=1),SUMIF(C2:C201,C154,AS2:AS201),IF(AND(AT154=1,M154="F",SUMIF(C2:C201,C154,AS2:AS201)&gt;1),1,"")))</f>
        <v>0.6</v>
      </c>
      <c r="AV154" s="386" t="str">
        <f>IF(AT154=0,"",IF(AND(AT154=3,M154="F",SUMIF(C2:C201,C154,AS2:AS201)&lt;=1),SUMIF(C2:C201,C154,AS2:AS201),IF(AND(AT154=3,M154="F",SUMIF(C2:C201,C154,AS2:AS201)&gt;1),1,"")))</f>
        <v/>
      </c>
      <c r="AW154" s="386">
        <f>SUMIF(C2:C201,C154,O2:O201)</f>
        <v>1</v>
      </c>
      <c r="AX154" s="386">
        <f>IF(AND(M154="F",AS154&lt;&gt;0),SUMIF(C2:C201,C154,W2:W201),0)</f>
        <v>20835.36</v>
      </c>
      <c r="AY154" s="386">
        <f t="shared" si="171"/>
        <v>20835.36</v>
      </c>
      <c r="AZ154" s="386" t="str">
        <f t="shared" si="172"/>
        <v/>
      </c>
      <c r="BA154" s="386">
        <f t="shared" si="173"/>
        <v>0</v>
      </c>
      <c r="BB154" s="386">
        <f t="shared" si="142"/>
        <v>10000</v>
      </c>
      <c r="BC154" s="386">
        <f t="shared" si="143"/>
        <v>0</v>
      </c>
      <c r="BD154" s="386">
        <f t="shared" si="144"/>
        <v>1291.79232</v>
      </c>
      <c r="BE154" s="386">
        <f t="shared" si="145"/>
        <v>302.11272000000002</v>
      </c>
      <c r="BF154" s="386">
        <f t="shared" si="146"/>
        <v>2487.7419840000002</v>
      </c>
      <c r="BG154" s="386">
        <f t="shared" si="147"/>
        <v>150.2229456</v>
      </c>
      <c r="BH154" s="386">
        <f t="shared" si="148"/>
        <v>0</v>
      </c>
      <c r="BI154" s="386">
        <f t="shared" si="149"/>
        <v>0</v>
      </c>
      <c r="BJ154" s="386">
        <f t="shared" si="150"/>
        <v>37.503647999999998</v>
      </c>
      <c r="BK154" s="386">
        <f t="shared" si="151"/>
        <v>0</v>
      </c>
      <c r="BL154" s="386">
        <f t="shared" si="174"/>
        <v>4269.3736176000002</v>
      </c>
      <c r="BM154" s="386">
        <f t="shared" si="175"/>
        <v>0</v>
      </c>
      <c r="BN154" s="386">
        <f t="shared" si="152"/>
        <v>11000</v>
      </c>
      <c r="BO154" s="386">
        <f t="shared" si="153"/>
        <v>0</v>
      </c>
      <c r="BP154" s="386">
        <f t="shared" si="154"/>
        <v>1291.79232</v>
      </c>
      <c r="BQ154" s="386">
        <f t="shared" si="155"/>
        <v>302.11272000000002</v>
      </c>
      <c r="BR154" s="386">
        <f t="shared" si="156"/>
        <v>2329.3932479999999</v>
      </c>
      <c r="BS154" s="386">
        <f t="shared" si="157"/>
        <v>150.2229456</v>
      </c>
      <c r="BT154" s="386">
        <f t="shared" si="158"/>
        <v>0</v>
      </c>
      <c r="BU154" s="386">
        <f t="shared" si="159"/>
        <v>0</v>
      </c>
      <c r="BV154" s="386">
        <f t="shared" si="160"/>
        <v>39.587184000000001</v>
      </c>
      <c r="BW154" s="386">
        <f t="shared" si="161"/>
        <v>0</v>
      </c>
      <c r="BX154" s="386">
        <f t="shared" si="176"/>
        <v>4113.1084176000004</v>
      </c>
      <c r="BY154" s="386">
        <f t="shared" si="177"/>
        <v>0</v>
      </c>
      <c r="BZ154" s="386">
        <f t="shared" si="178"/>
        <v>1000</v>
      </c>
      <c r="CA154" s="386">
        <f t="shared" si="179"/>
        <v>0</v>
      </c>
      <c r="CB154" s="386">
        <f t="shared" si="180"/>
        <v>0</v>
      </c>
      <c r="CC154" s="386">
        <f t="shared" si="162"/>
        <v>0</v>
      </c>
      <c r="CD154" s="386">
        <f t="shared" si="163"/>
        <v>-158.3487360000002</v>
      </c>
      <c r="CE154" s="386">
        <f t="shared" si="164"/>
        <v>0</v>
      </c>
      <c r="CF154" s="386">
        <f t="shared" si="165"/>
        <v>0</v>
      </c>
      <c r="CG154" s="386">
        <f t="shared" si="166"/>
        <v>0</v>
      </c>
      <c r="CH154" s="386">
        <f t="shared" si="167"/>
        <v>2.0835360000000009</v>
      </c>
      <c r="CI154" s="386">
        <f t="shared" si="168"/>
        <v>0</v>
      </c>
      <c r="CJ154" s="386">
        <f t="shared" si="181"/>
        <v>-156.26520000000019</v>
      </c>
      <c r="CK154" s="386" t="str">
        <f t="shared" si="182"/>
        <v/>
      </c>
      <c r="CL154" s="386" t="str">
        <f t="shared" si="183"/>
        <v/>
      </c>
      <c r="CM154" s="386" t="str">
        <f t="shared" si="184"/>
        <v/>
      </c>
      <c r="CN154" s="386" t="str">
        <f t="shared" si="185"/>
        <v>0480-00</v>
      </c>
    </row>
    <row r="155" spans="1:92" ht="15.75" thickBot="1" x14ac:dyDescent="0.3">
      <c r="A155" s="376" t="s">
        <v>162</v>
      </c>
      <c r="B155" s="376" t="s">
        <v>163</v>
      </c>
      <c r="C155" s="376" t="s">
        <v>550</v>
      </c>
      <c r="D155" s="376" t="s">
        <v>551</v>
      </c>
      <c r="E155" s="376" t="s">
        <v>505</v>
      </c>
      <c r="F155" s="377" t="s">
        <v>167</v>
      </c>
      <c r="G155" s="376" t="s">
        <v>506</v>
      </c>
      <c r="H155" s="378"/>
      <c r="I155" s="378"/>
      <c r="J155" s="376" t="s">
        <v>169</v>
      </c>
      <c r="K155" s="376" t="s">
        <v>552</v>
      </c>
      <c r="L155" s="376" t="s">
        <v>171</v>
      </c>
      <c r="M155" s="376" t="s">
        <v>172</v>
      </c>
      <c r="N155" s="376" t="s">
        <v>173</v>
      </c>
      <c r="O155" s="379">
        <v>1</v>
      </c>
      <c r="P155" s="384">
        <v>1</v>
      </c>
      <c r="Q155" s="384">
        <v>1</v>
      </c>
      <c r="R155" s="380">
        <v>80</v>
      </c>
      <c r="S155" s="384">
        <v>1</v>
      </c>
      <c r="T155" s="380">
        <v>106217.78</v>
      </c>
      <c r="U155" s="380">
        <v>0</v>
      </c>
      <c r="V155" s="380">
        <v>33634.81</v>
      </c>
      <c r="W155" s="380">
        <v>103230.39999999999</v>
      </c>
      <c r="X155" s="380">
        <v>33652.92</v>
      </c>
      <c r="Y155" s="380">
        <v>103230.39999999999</v>
      </c>
      <c r="Z155" s="380">
        <v>34128.69</v>
      </c>
      <c r="AA155" s="376" t="s">
        <v>553</v>
      </c>
      <c r="AB155" s="376" t="s">
        <v>554</v>
      </c>
      <c r="AC155" s="376" t="s">
        <v>274</v>
      </c>
      <c r="AD155" s="376" t="s">
        <v>179</v>
      </c>
      <c r="AE155" s="376" t="s">
        <v>552</v>
      </c>
      <c r="AF155" s="376" t="s">
        <v>178</v>
      </c>
      <c r="AG155" s="376" t="s">
        <v>179</v>
      </c>
      <c r="AH155" s="381">
        <v>49.63</v>
      </c>
      <c r="AI155" s="381">
        <v>34694.5</v>
      </c>
      <c r="AJ155" s="376" t="s">
        <v>180</v>
      </c>
      <c r="AK155" s="376" t="s">
        <v>181</v>
      </c>
      <c r="AL155" s="376" t="s">
        <v>182</v>
      </c>
      <c r="AM155" s="376" t="s">
        <v>183</v>
      </c>
      <c r="AN155" s="376" t="s">
        <v>66</v>
      </c>
      <c r="AO155" s="379">
        <v>80</v>
      </c>
      <c r="AP155" s="384">
        <v>1</v>
      </c>
      <c r="AQ155" s="384">
        <v>1</v>
      </c>
      <c r="AR155" s="382" t="s">
        <v>184</v>
      </c>
      <c r="AS155" s="386">
        <f t="shared" si="169"/>
        <v>1</v>
      </c>
      <c r="AT155">
        <f t="shared" si="170"/>
        <v>1</v>
      </c>
      <c r="AU155" s="386">
        <f>IF(AT155=0,"",IF(AND(AT155=1,M155="F",SUMIF(C2:C201,C155,AS2:AS201)&lt;=1),SUMIF(C2:C201,C155,AS2:AS201),IF(AND(AT155=1,M155="F",SUMIF(C2:C201,C155,AS2:AS201)&gt;1),1,"")))</f>
        <v>1</v>
      </c>
      <c r="AV155" s="386" t="str">
        <f>IF(AT155=0,"",IF(AND(AT155=3,M155="F",SUMIF(C2:C201,C155,AS2:AS201)&lt;=1),SUMIF(C2:C201,C155,AS2:AS201),IF(AND(AT155=3,M155="F",SUMIF(C2:C201,C155,AS2:AS201)&gt;1),1,"")))</f>
        <v/>
      </c>
      <c r="AW155" s="386">
        <f>SUMIF(C2:C201,C155,O2:O201)</f>
        <v>1</v>
      </c>
      <c r="AX155" s="386">
        <f>IF(AND(M155="F",AS155&lt;&gt;0),SUMIF(C2:C201,C155,W2:W201),0)</f>
        <v>103230.39999999999</v>
      </c>
      <c r="AY155" s="386">
        <f t="shared" si="171"/>
        <v>103230.39999999999</v>
      </c>
      <c r="AZ155" s="386" t="str">
        <f t="shared" si="172"/>
        <v/>
      </c>
      <c r="BA155" s="386">
        <f t="shared" si="173"/>
        <v>0</v>
      </c>
      <c r="BB155" s="386">
        <f t="shared" si="142"/>
        <v>12500</v>
      </c>
      <c r="BC155" s="386">
        <f t="shared" si="143"/>
        <v>0</v>
      </c>
      <c r="BD155" s="386">
        <f t="shared" si="144"/>
        <v>6400.2847999999994</v>
      </c>
      <c r="BE155" s="386">
        <f t="shared" si="145"/>
        <v>1496.8407999999999</v>
      </c>
      <c r="BF155" s="386">
        <f t="shared" si="146"/>
        <v>12325.70976</v>
      </c>
      <c r="BG155" s="386">
        <f t="shared" si="147"/>
        <v>744.29118399999993</v>
      </c>
      <c r="BH155" s="386">
        <f t="shared" si="148"/>
        <v>0</v>
      </c>
      <c r="BI155" s="386">
        <f t="shared" si="149"/>
        <v>0</v>
      </c>
      <c r="BJ155" s="386">
        <f t="shared" si="150"/>
        <v>185.81471999999999</v>
      </c>
      <c r="BK155" s="386">
        <f t="shared" si="151"/>
        <v>0</v>
      </c>
      <c r="BL155" s="386">
        <f t="shared" si="174"/>
        <v>21152.941263999997</v>
      </c>
      <c r="BM155" s="386">
        <f t="shared" si="175"/>
        <v>0</v>
      </c>
      <c r="BN155" s="386">
        <f t="shared" si="152"/>
        <v>13750</v>
      </c>
      <c r="BO155" s="386">
        <f t="shared" si="153"/>
        <v>0</v>
      </c>
      <c r="BP155" s="386">
        <f t="shared" si="154"/>
        <v>6400.2847999999994</v>
      </c>
      <c r="BQ155" s="386">
        <f t="shared" si="155"/>
        <v>1496.8407999999999</v>
      </c>
      <c r="BR155" s="386">
        <f t="shared" si="156"/>
        <v>11541.158719999999</v>
      </c>
      <c r="BS155" s="386">
        <f t="shared" si="157"/>
        <v>744.29118399999993</v>
      </c>
      <c r="BT155" s="386">
        <f t="shared" si="158"/>
        <v>0</v>
      </c>
      <c r="BU155" s="386">
        <f t="shared" si="159"/>
        <v>0</v>
      </c>
      <c r="BV155" s="386">
        <f t="shared" si="160"/>
        <v>196.13775999999999</v>
      </c>
      <c r="BW155" s="386">
        <f t="shared" si="161"/>
        <v>0</v>
      </c>
      <c r="BX155" s="386">
        <f t="shared" si="176"/>
        <v>20378.713264000002</v>
      </c>
      <c r="BY155" s="386">
        <f t="shared" si="177"/>
        <v>0</v>
      </c>
      <c r="BZ155" s="386">
        <f t="shared" si="178"/>
        <v>1250</v>
      </c>
      <c r="CA155" s="386">
        <f t="shared" si="179"/>
        <v>0</v>
      </c>
      <c r="CB155" s="386">
        <f t="shared" si="180"/>
        <v>0</v>
      </c>
      <c r="CC155" s="386">
        <f t="shared" si="162"/>
        <v>0</v>
      </c>
      <c r="CD155" s="386">
        <f t="shared" si="163"/>
        <v>-784.55104000000097</v>
      </c>
      <c r="CE155" s="386">
        <f t="shared" si="164"/>
        <v>0</v>
      </c>
      <c r="CF155" s="386">
        <f t="shared" si="165"/>
        <v>0</v>
      </c>
      <c r="CG155" s="386">
        <f t="shared" si="166"/>
        <v>0</v>
      </c>
      <c r="CH155" s="386">
        <f t="shared" si="167"/>
        <v>10.323040000000004</v>
      </c>
      <c r="CI155" s="386">
        <f t="shared" si="168"/>
        <v>0</v>
      </c>
      <c r="CJ155" s="386">
        <f t="shared" si="181"/>
        <v>-774.22800000000097</v>
      </c>
      <c r="CK155" s="386" t="str">
        <f t="shared" si="182"/>
        <v/>
      </c>
      <c r="CL155" s="386" t="str">
        <f t="shared" si="183"/>
        <v/>
      </c>
      <c r="CM155" s="386" t="str">
        <f t="shared" si="184"/>
        <v/>
      </c>
      <c r="CN155" s="386" t="str">
        <f t="shared" si="185"/>
        <v>0480-00</v>
      </c>
    </row>
    <row r="156" spans="1:92" ht="15.75" thickBot="1" x14ac:dyDescent="0.3">
      <c r="A156" s="376" t="s">
        <v>162</v>
      </c>
      <c r="B156" s="376" t="s">
        <v>163</v>
      </c>
      <c r="C156" s="376" t="s">
        <v>555</v>
      </c>
      <c r="D156" s="376" t="s">
        <v>517</v>
      </c>
      <c r="E156" s="376" t="s">
        <v>505</v>
      </c>
      <c r="F156" s="377" t="s">
        <v>167</v>
      </c>
      <c r="G156" s="376" t="s">
        <v>506</v>
      </c>
      <c r="H156" s="378"/>
      <c r="I156" s="378"/>
      <c r="J156" s="376" t="s">
        <v>169</v>
      </c>
      <c r="K156" s="376" t="s">
        <v>556</v>
      </c>
      <c r="L156" s="376" t="s">
        <v>171</v>
      </c>
      <c r="M156" s="376" t="s">
        <v>172</v>
      </c>
      <c r="N156" s="376" t="s">
        <v>173</v>
      </c>
      <c r="O156" s="379">
        <v>1</v>
      </c>
      <c r="P156" s="384">
        <v>1</v>
      </c>
      <c r="Q156" s="384">
        <v>1</v>
      </c>
      <c r="R156" s="380">
        <v>80</v>
      </c>
      <c r="S156" s="384">
        <v>1</v>
      </c>
      <c r="T156" s="380">
        <v>69275.42</v>
      </c>
      <c r="U156" s="380">
        <v>0</v>
      </c>
      <c r="V156" s="380">
        <v>25945.599999999999</v>
      </c>
      <c r="W156" s="380">
        <v>65936</v>
      </c>
      <c r="X156" s="380">
        <v>26010.92</v>
      </c>
      <c r="Y156" s="380">
        <v>65936</v>
      </c>
      <c r="Z156" s="380">
        <v>26766.400000000001</v>
      </c>
      <c r="AA156" s="376" t="s">
        <v>557</v>
      </c>
      <c r="AB156" s="376" t="s">
        <v>558</v>
      </c>
      <c r="AC156" s="376" t="s">
        <v>559</v>
      </c>
      <c r="AD156" s="376" t="s">
        <v>522</v>
      </c>
      <c r="AE156" s="376" t="s">
        <v>556</v>
      </c>
      <c r="AF156" s="376" t="s">
        <v>178</v>
      </c>
      <c r="AG156" s="376" t="s">
        <v>179</v>
      </c>
      <c r="AH156" s="381">
        <v>31.7</v>
      </c>
      <c r="AI156" s="381">
        <v>18289.599999999999</v>
      </c>
      <c r="AJ156" s="376" t="s">
        <v>180</v>
      </c>
      <c r="AK156" s="376" t="s">
        <v>181</v>
      </c>
      <c r="AL156" s="376" t="s">
        <v>182</v>
      </c>
      <c r="AM156" s="376" t="s">
        <v>183</v>
      </c>
      <c r="AN156" s="376" t="s">
        <v>66</v>
      </c>
      <c r="AO156" s="379">
        <v>80</v>
      </c>
      <c r="AP156" s="384">
        <v>1</v>
      </c>
      <c r="AQ156" s="384">
        <v>1</v>
      </c>
      <c r="AR156" s="382" t="s">
        <v>184</v>
      </c>
      <c r="AS156" s="386">
        <f t="shared" si="169"/>
        <v>1</v>
      </c>
      <c r="AT156">
        <f t="shared" si="170"/>
        <v>1</v>
      </c>
      <c r="AU156" s="386">
        <f>IF(AT156=0,"",IF(AND(AT156=1,M156="F",SUMIF(C2:C201,C156,AS2:AS201)&lt;=1),SUMIF(C2:C201,C156,AS2:AS201),IF(AND(AT156=1,M156="F",SUMIF(C2:C201,C156,AS2:AS201)&gt;1),1,"")))</f>
        <v>1</v>
      </c>
      <c r="AV156" s="386" t="str">
        <f>IF(AT156=0,"",IF(AND(AT156=3,M156="F",SUMIF(C2:C201,C156,AS2:AS201)&lt;=1),SUMIF(C2:C201,C156,AS2:AS201),IF(AND(AT156=3,M156="F",SUMIF(C2:C201,C156,AS2:AS201)&gt;1),1,"")))</f>
        <v/>
      </c>
      <c r="AW156" s="386">
        <f>SUMIF(C2:C201,C156,O2:O201)</f>
        <v>1</v>
      </c>
      <c r="AX156" s="386">
        <f>IF(AND(M156="F",AS156&lt;&gt;0),SUMIF(C2:C201,C156,W2:W201),0)</f>
        <v>65936</v>
      </c>
      <c r="AY156" s="386">
        <f t="shared" si="171"/>
        <v>65936</v>
      </c>
      <c r="AZ156" s="386" t="str">
        <f t="shared" si="172"/>
        <v/>
      </c>
      <c r="BA156" s="386">
        <f t="shared" si="173"/>
        <v>0</v>
      </c>
      <c r="BB156" s="386">
        <f t="shared" si="142"/>
        <v>12500</v>
      </c>
      <c r="BC156" s="386">
        <f t="shared" si="143"/>
        <v>0</v>
      </c>
      <c r="BD156" s="386">
        <f t="shared" si="144"/>
        <v>4088.0320000000002</v>
      </c>
      <c r="BE156" s="386">
        <f t="shared" si="145"/>
        <v>956.072</v>
      </c>
      <c r="BF156" s="386">
        <f t="shared" si="146"/>
        <v>7872.7584000000006</v>
      </c>
      <c r="BG156" s="386">
        <f t="shared" si="147"/>
        <v>475.39856000000003</v>
      </c>
      <c r="BH156" s="386">
        <f t="shared" si="148"/>
        <v>0</v>
      </c>
      <c r="BI156" s="386">
        <f t="shared" si="149"/>
        <v>0</v>
      </c>
      <c r="BJ156" s="386">
        <f t="shared" si="150"/>
        <v>118.6848</v>
      </c>
      <c r="BK156" s="386">
        <f t="shared" si="151"/>
        <v>0</v>
      </c>
      <c r="BL156" s="386">
        <f t="shared" si="174"/>
        <v>13510.945760000002</v>
      </c>
      <c r="BM156" s="386">
        <f t="shared" si="175"/>
        <v>0</v>
      </c>
      <c r="BN156" s="386">
        <f t="shared" si="152"/>
        <v>13750</v>
      </c>
      <c r="BO156" s="386">
        <f t="shared" si="153"/>
        <v>0</v>
      </c>
      <c r="BP156" s="386">
        <f t="shared" si="154"/>
        <v>4088.0320000000002</v>
      </c>
      <c r="BQ156" s="386">
        <f t="shared" si="155"/>
        <v>956.072</v>
      </c>
      <c r="BR156" s="386">
        <f t="shared" si="156"/>
        <v>7371.6448</v>
      </c>
      <c r="BS156" s="386">
        <f t="shared" si="157"/>
        <v>475.39856000000003</v>
      </c>
      <c r="BT156" s="386">
        <f t="shared" si="158"/>
        <v>0</v>
      </c>
      <c r="BU156" s="386">
        <f t="shared" si="159"/>
        <v>0</v>
      </c>
      <c r="BV156" s="386">
        <f t="shared" si="160"/>
        <v>125.2784</v>
      </c>
      <c r="BW156" s="386">
        <f t="shared" si="161"/>
        <v>0</v>
      </c>
      <c r="BX156" s="386">
        <f t="shared" si="176"/>
        <v>13016.42576</v>
      </c>
      <c r="BY156" s="386">
        <f t="shared" si="177"/>
        <v>0</v>
      </c>
      <c r="BZ156" s="386">
        <f t="shared" si="178"/>
        <v>1250</v>
      </c>
      <c r="CA156" s="386">
        <f t="shared" si="179"/>
        <v>0</v>
      </c>
      <c r="CB156" s="386">
        <f t="shared" si="180"/>
        <v>0</v>
      </c>
      <c r="CC156" s="386">
        <f t="shared" si="162"/>
        <v>0</v>
      </c>
      <c r="CD156" s="386">
        <f t="shared" si="163"/>
        <v>-501.11360000000064</v>
      </c>
      <c r="CE156" s="386">
        <f t="shared" si="164"/>
        <v>0</v>
      </c>
      <c r="CF156" s="386">
        <f t="shared" si="165"/>
        <v>0</v>
      </c>
      <c r="CG156" s="386">
        <f t="shared" si="166"/>
        <v>0</v>
      </c>
      <c r="CH156" s="386">
        <f t="shared" si="167"/>
        <v>6.593600000000003</v>
      </c>
      <c r="CI156" s="386">
        <f t="shared" si="168"/>
        <v>0</v>
      </c>
      <c r="CJ156" s="386">
        <f t="shared" si="181"/>
        <v>-494.52000000000066</v>
      </c>
      <c r="CK156" s="386" t="str">
        <f t="shared" si="182"/>
        <v/>
      </c>
      <c r="CL156" s="386" t="str">
        <f t="shared" si="183"/>
        <v/>
      </c>
      <c r="CM156" s="386" t="str">
        <f t="shared" si="184"/>
        <v/>
      </c>
      <c r="CN156" s="386" t="str">
        <f t="shared" si="185"/>
        <v>0480-00</v>
      </c>
    </row>
    <row r="157" spans="1:92" ht="15.75" thickBot="1" x14ac:dyDescent="0.3">
      <c r="A157" s="376" t="s">
        <v>162</v>
      </c>
      <c r="B157" s="376" t="s">
        <v>163</v>
      </c>
      <c r="C157" s="376" t="s">
        <v>560</v>
      </c>
      <c r="D157" s="376" t="s">
        <v>551</v>
      </c>
      <c r="E157" s="376" t="s">
        <v>505</v>
      </c>
      <c r="F157" s="377" t="s">
        <v>167</v>
      </c>
      <c r="G157" s="376" t="s">
        <v>506</v>
      </c>
      <c r="H157" s="378"/>
      <c r="I157" s="378"/>
      <c r="J157" s="376" t="s">
        <v>169</v>
      </c>
      <c r="K157" s="376" t="s">
        <v>552</v>
      </c>
      <c r="L157" s="376" t="s">
        <v>171</v>
      </c>
      <c r="M157" s="376" t="s">
        <v>172</v>
      </c>
      <c r="N157" s="376" t="s">
        <v>173</v>
      </c>
      <c r="O157" s="379">
        <v>1</v>
      </c>
      <c r="P157" s="384">
        <v>1</v>
      </c>
      <c r="Q157" s="384">
        <v>1</v>
      </c>
      <c r="R157" s="380">
        <v>80</v>
      </c>
      <c r="S157" s="384">
        <v>1</v>
      </c>
      <c r="T157" s="380">
        <v>75145.600000000006</v>
      </c>
      <c r="U157" s="380">
        <v>0</v>
      </c>
      <c r="V157" s="380">
        <v>26960.21</v>
      </c>
      <c r="W157" s="380">
        <v>74505.600000000006</v>
      </c>
      <c r="X157" s="380">
        <v>27766.92</v>
      </c>
      <c r="Y157" s="380">
        <v>74505.600000000006</v>
      </c>
      <c r="Z157" s="380">
        <v>28458.13</v>
      </c>
      <c r="AA157" s="376" t="s">
        <v>561</v>
      </c>
      <c r="AB157" s="376" t="s">
        <v>562</v>
      </c>
      <c r="AC157" s="376" t="s">
        <v>563</v>
      </c>
      <c r="AD157" s="376" t="s">
        <v>285</v>
      </c>
      <c r="AE157" s="376" t="s">
        <v>552</v>
      </c>
      <c r="AF157" s="376" t="s">
        <v>178</v>
      </c>
      <c r="AG157" s="376" t="s">
        <v>179</v>
      </c>
      <c r="AH157" s="381">
        <v>35.82</v>
      </c>
      <c r="AI157" s="379">
        <v>12373</v>
      </c>
      <c r="AJ157" s="376" t="s">
        <v>180</v>
      </c>
      <c r="AK157" s="376" t="s">
        <v>181</v>
      </c>
      <c r="AL157" s="376" t="s">
        <v>182</v>
      </c>
      <c r="AM157" s="376" t="s">
        <v>183</v>
      </c>
      <c r="AN157" s="376" t="s">
        <v>66</v>
      </c>
      <c r="AO157" s="379">
        <v>80</v>
      </c>
      <c r="AP157" s="384">
        <v>1</v>
      </c>
      <c r="AQ157" s="384">
        <v>1</v>
      </c>
      <c r="AR157" s="382" t="s">
        <v>184</v>
      </c>
      <c r="AS157" s="386">
        <f t="shared" si="169"/>
        <v>1</v>
      </c>
      <c r="AT157">
        <f t="shared" si="170"/>
        <v>1</v>
      </c>
      <c r="AU157" s="386">
        <f>IF(AT157=0,"",IF(AND(AT157=1,M157="F",SUMIF(C2:C201,C157,AS2:AS201)&lt;=1),SUMIF(C2:C201,C157,AS2:AS201),IF(AND(AT157=1,M157="F",SUMIF(C2:C201,C157,AS2:AS201)&gt;1),1,"")))</f>
        <v>1</v>
      </c>
      <c r="AV157" s="386" t="str">
        <f>IF(AT157=0,"",IF(AND(AT157=3,M157="F",SUMIF(C2:C201,C157,AS2:AS201)&lt;=1),SUMIF(C2:C201,C157,AS2:AS201),IF(AND(AT157=3,M157="F",SUMIF(C2:C201,C157,AS2:AS201)&gt;1),1,"")))</f>
        <v/>
      </c>
      <c r="AW157" s="386">
        <f>SUMIF(C2:C201,C157,O2:O201)</f>
        <v>1</v>
      </c>
      <c r="AX157" s="386">
        <f>IF(AND(M157="F",AS157&lt;&gt;0),SUMIF(C2:C201,C157,W2:W201),0)</f>
        <v>74505.600000000006</v>
      </c>
      <c r="AY157" s="386">
        <f t="shared" si="171"/>
        <v>74505.600000000006</v>
      </c>
      <c r="AZ157" s="386" t="str">
        <f t="shared" si="172"/>
        <v/>
      </c>
      <c r="BA157" s="386">
        <f t="shared" si="173"/>
        <v>0</v>
      </c>
      <c r="BB157" s="386">
        <f t="shared" si="142"/>
        <v>12500</v>
      </c>
      <c r="BC157" s="386">
        <f t="shared" si="143"/>
        <v>0</v>
      </c>
      <c r="BD157" s="386">
        <f t="shared" si="144"/>
        <v>4619.3472000000002</v>
      </c>
      <c r="BE157" s="386">
        <f t="shared" si="145"/>
        <v>1080.3312000000001</v>
      </c>
      <c r="BF157" s="386">
        <f t="shared" si="146"/>
        <v>8895.968640000001</v>
      </c>
      <c r="BG157" s="386">
        <f t="shared" si="147"/>
        <v>537.18537600000002</v>
      </c>
      <c r="BH157" s="386">
        <f t="shared" si="148"/>
        <v>0</v>
      </c>
      <c r="BI157" s="386">
        <f t="shared" si="149"/>
        <v>0</v>
      </c>
      <c r="BJ157" s="386">
        <f t="shared" si="150"/>
        <v>134.11008000000001</v>
      </c>
      <c r="BK157" s="386">
        <f t="shared" si="151"/>
        <v>0</v>
      </c>
      <c r="BL157" s="386">
        <f t="shared" si="174"/>
        <v>15266.942496000001</v>
      </c>
      <c r="BM157" s="386">
        <f t="shared" si="175"/>
        <v>0</v>
      </c>
      <c r="BN157" s="386">
        <f t="shared" si="152"/>
        <v>13750</v>
      </c>
      <c r="BO157" s="386">
        <f t="shared" si="153"/>
        <v>0</v>
      </c>
      <c r="BP157" s="386">
        <f t="shared" si="154"/>
        <v>4619.3472000000002</v>
      </c>
      <c r="BQ157" s="386">
        <f t="shared" si="155"/>
        <v>1080.3312000000001</v>
      </c>
      <c r="BR157" s="386">
        <f t="shared" si="156"/>
        <v>8329.7260800000004</v>
      </c>
      <c r="BS157" s="386">
        <f t="shared" si="157"/>
        <v>537.18537600000002</v>
      </c>
      <c r="BT157" s="386">
        <f t="shared" si="158"/>
        <v>0</v>
      </c>
      <c r="BU157" s="386">
        <f t="shared" si="159"/>
        <v>0</v>
      </c>
      <c r="BV157" s="386">
        <f t="shared" si="160"/>
        <v>141.56064000000001</v>
      </c>
      <c r="BW157" s="386">
        <f t="shared" si="161"/>
        <v>0</v>
      </c>
      <c r="BX157" s="386">
        <f t="shared" si="176"/>
        <v>14708.150496</v>
      </c>
      <c r="BY157" s="386">
        <f t="shared" si="177"/>
        <v>0</v>
      </c>
      <c r="BZ157" s="386">
        <f t="shared" si="178"/>
        <v>1250</v>
      </c>
      <c r="CA157" s="386">
        <f t="shared" si="179"/>
        <v>0</v>
      </c>
      <c r="CB157" s="386">
        <f t="shared" si="180"/>
        <v>0</v>
      </c>
      <c r="CC157" s="386">
        <f t="shared" si="162"/>
        <v>0</v>
      </c>
      <c r="CD157" s="386">
        <f t="shared" si="163"/>
        <v>-566.24256000000071</v>
      </c>
      <c r="CE157" s="386">
        <f t="shared" si="164"/>
        <v>0</v>
      </c>
      <c r="CF157" s="386">
        <f t="shared" si="165"/>
        <v>0</v>
      </c>
      <c r="CG157" s="386">
        <f t="shared" si="166"/>
        <v>0</v>
      </c>
      <c r="CH157" s="386">
        <f t="shared" si="167"/>
        <v>7.4505600000000038</v>
      </c>
      <c r="CI157" s="386">
        <f t="shared" si="168"/>
        <v>0</v>
      </c>
      <c r="CJ157" s="386">
        <f t="shared" si="181"/>
        <v>-558.79200000000071</v>
      </c>
      <c r="CK157" s="386" t="str">
        <f t="shared" si="182"/>
        <v/>
      </c>
      <c r="CL157" s="386" t="str">
        <f t="shared" si="183"/>
        <v/>
      </c>
      <c r="CM157" s="386" t="str">
        <f t="shared" si="184"/>
        <v/>
      </c>
      <c r="CN157" s="386" t="str">
        <f t="shared" si="185"/>
        <v>0480-00</v>
      </c>
    </row>
    <row r="158" spans="1:92" ht="15.75" thickBot="1" x14ac:dyDescent="0.3">
      <c r="A158" s="376" t="s">
        <v>162</v>
      </c>
      <c r="B158" s="376" t="s">
        <v>163</v>
      </c>
      <c r="C158" s="376" t="s">
        <v>564</v>
      </c>
      <c r="D158" s="376" t="s">
        <v>542</v>
      </c>
      <c r="E158" s="376" t="s">
        <v>505</v>
      </c>
      <c r="F158" s="377" t="s">
        <v>167</v>
      </c>
      <c r="G158" s="376" t="s">
        <v>506</v>
      </c>
      <c r="H158" s="378"/>
      <c r="I158" s="378"/>
      <c r="J158" s="376" t="s">
        <v>169</v>
      </c>
      <c r="K158" s="376" t="s">
        <v>543</v>
      </c>
      <c r="L158" s="376" t="s">
        <v>167</v>
      </c>
      <c r="M158" s="376" t="s">
        <v>172</v>
      </c>
      <c r="N158" s="376" t="s">
        <v>173</v>
      </c>
      <c r="O158" s="379">
        <v>1</v>
      </c>
      <c r="P158" s="384">
        <v>1</v>
      </c>
      <c r="Q158" s="384">
        <v>1</v>
      </c>
      <c r="R158" s="380">
        <v>80</v>
      </c>
      <c r="S158" s="384">
        <v>1</v>
      </c>
      <c r="T158" s="380">
        <v>46719.11</v>
      </c>
      <c r="U158" s="380">
        <v>235.68</v>
      </c>
      <c r="V158" s="380">
        <v>21435.29</v>
      </c>
      <c r="W158" s="380">
        <v>45864</v>
      </c>
      <c r="X158" s="380">
        <v>21897.96</v>
      </c>
      <c r="Y158" s="380">
        <v>45864</v>
      </c>
      <c r="Z158" s="380">
        <v>22803.98</v>
      </c>
      <c r="AA158" s="376" t="s">
        <v>565</v>
      </c>
      <c r="AB158" s="376" t="s">
        <v>566</v>
      </c>
      <c r="AC158" s="376" t="s">
        <v>241</v>
      </c>
      <c r="AD158" s="376" t="s">
        <v>567</v>
      </c>
      <c r="AE158" s="376" t="s">
        <v>543</v>
      </c>
      <c r="AF158" s="376" t="s">
        <v>178</v>
      </c>
      <c r="AG158" s="376" t="s">
        <v>179</v>
      </c>
      <c r="AH158" s="381">
        <v>22.05</v>
      </c>
      <c r="AI158" s="381">
        <v>12981.8</v>
      </c>
      <c r="AJ158" s="376" t="s">
        <v>180</v>
      </c>
      <c r="AK158" s="376" t="s">
        <v>181</v>
      </c>
      <c r="AL158" s="376" t="s">
        <v>182</v>
      </c>
      <c r="AM158" s="376" t="s">
        <v>183</v>
      </c>
      <c r="AN158" s="376" t="s">
        <v>66</v>
      </c>
      <c r="AO158" s="379">
        <v>80</v>
      </c>
      <c r="AP158" s="384">
        <v>1</v>
      </c>
      <c r="AQ158" s="384">
        <v>1</v>
      </c>
      <c r="AR158" s="382" t="s">
        <v>184</v>
      </c>
      <c r="AS158" s="386">
        <f t="shared" si="169"/>
        <v>1</v>
      </c>
      <c r="AT158">
        <f t="shared" si="170"/>
        <v>1</v>
      </c>
      <c r="AU158" s="386">
        <f>IF(AT158=0,"",IF(AND(AT158=1,M158="F",SUMIF(C2:C201,C158,AS2:AS201)&lt;=1),SUMIF(C2:C201,C158,AS2:AS201),IF(AND(AT158=1,M158="F",SUMIF(C2:C201,C158,AS2:AS201)&gt;1),1,"")))</f>
        <v>1</v>
      </c>
      <c r="AV158" s="386" t="str">
        <f>IF(AT158=0,"",IF(AND(AT158=3,M158="F",SUMIF(C2:C201,C158,AS2:AS201)&lt;=1),SUMIF(C2:C201,C158,AS2:AS201),IF(AND(AT158=3,M158="F",SUMIF(C2:C201,C158,AS2:AS201)&gt;1),1,"")))</f>
        <v/>
      </c>
      <c r="AW158" s="386">
        <f>SUMIF(C2:C201,C158,O2:O201)</f>
        <v>1</v>
      </c>
      <c r="AX158" s="386">
        <f>IF(AND(M158="F",AS158&lt;&gt;0),SUMIF(C2:C201,C158,W2:W201),0)</f>
        <v>45864</v>
      </c>
      <c r="AY158" s="386">
        <f t="shared" si="171"/>
        <v>45864</v>
      </c>
      <c r="AZ158" s="386" t="str">
        <f t="shared" si="172"/>
        <v/>
      </c>
      <c r="BA158" s="386">
        <f t="shared" si="173"/>
        <v>0</v>
      </c>
      <c r="BB158" s="386">
        <f t="shared" si="142"/>
        <v>12500</v>
      </c>
      <c r="BC158" s="386">
        <f t="shared" si="143"/>
        <v>0</v>
      </c>
      <c r="BD158" s="386">
        <f t="shared" si="144"/>
        <v>2843.5679999999998</v>
      </c>
      <c r="BE158" s="386">
        <f t="shared" si="145"/>
        <v>665.02800000000002</v>
      </c>
      <c r="BF158" s="386">
        <f t="shared" si="146"/>
        <v>5476.1616000000004</v>
      </c>
      <c r="BG158" s="386">
        <f t="shared" si="147"/>
        <v>330.67944</v>
      </c>
      <c r="BH158" s="386">
        <f t="shared" si="148"/>
        <v>0</v>
      </c>
      <c r="BI158" s="386">
        <f t="shared" si="149"/>
        <v>0</v>
      </c>
      <c r="BJ158" s="386">
        <f t="shared" si="150"/>
        <v>82.555199999999999</v>
      </c>
      <c r="BK158" s="386">
        <f t="shared" si="151"/>
        <v>0</v>
      </c>
      <c r="BL158" s="386">
        <f t="shared" si="174"/>
        <v>9397.9922400000014</v>
      </c>
      <c r="BM158" s="386">
        <f t="shared" si="175"/>
        <v>0</v>
      </c>
      <c r="BN158" s="386">
        <f t="shared" si="152"/>
        <v>13750</v>
      </c>
      <c r="BO158" s="386">
        <f t="shared" si="153"/>
        <v>0</v>
      </c>
      <c r="BP158" s="386">
        <f t="shared" si="154"/>
        <v>2843.5679999999998</v>
      </c>
      <c r="BQ158" s="386">
        <f t="shared" si="155"/>
        <v>665.02800000000002</v>
      </c>
      <c r="BR158" s="386">
        <f t="shared" si="156"/>
        <v>5127.5951999999997</v>
      </c>
      <c r="BS158" s="386">
        <f t="shared" si="157"/>
        <v>330.67944</v>
      </c>
      <c r="BT158" s="386">
        <f t="shared" si="158"/>
        <v>0</v>
      </c>
      <c r="BU158" s="386">
        <f t="shared" si="159"/>
        <v>0</v>
      </c>
      <c r="BV158" s="386">
        <f t="shared" si="160"/>
        <v>87.141599999999997</v>
      </c>
      <c r="BW158" s="386">
        <f t="shared" si="161"/>
        <v>0</v>
      </c>
      <c r="BX158" s="386">
        <f t="shared" si="176"/>
        <v>9054.01224</v>
      </c>
      <c r="BY158" s="386">
        <f t="shared" si="177"/>
        <v>0</v>
      </c>
      <c r="BZ158" s="386">
        <f t="shared" si="178"/>
        <v>1250</v>
      </c>
      <c r="CA158" s="386">
        <f t="shared" si="179"/>
        <v>0</v>
      </c>
      <c r="CB158" s="386">
        <f t="shared" si="180"/>
        <v>0</v>
      </c>
      <c r="CC158" s="386">
        <f t="shared" si="162"/>
        <v>0</v>
      </c>
      <c r="CD158" s="386">
        <f t="shared" si="163"/>
        <v>-348.56640000000044</v>
      </c>
      <c r="CE158" s="386">
        <f t="shared" si="164"/>
        <v>0</v>
      </c>
      <c r="CF158" s="386">
        <f t="shared" si="165"/>
        <v>0</v>
      </c>
      <c r="CG158" s="386">
        <f t="shared" si="166"/>
        <v>0</v>
      </c>
      <c r="CH158" s="386">
        <f t="shared" si="167"/>
        <v>4.586400000000002</v>
      </c>
      <c r="CI158" s="386">
        <f t="shared" si="168"/>
        <v>0</v>
      </c>
      <c r="CJ158" s="386">
        <f t="shared" si="181"/>
        <v>-343.98000000000042</v>
      </c>
      <c r="CK158" s="386" t="str">
        <f t="shared" si="182"/>
        <v/>
      </c>
      <c r="CL158" s="386" t="str">
        <f t="shared" si="183"/>
        <v/>
      </c>
      <c r="CM158" s="386" t="str">
        <f t="shared" si="184"/>
        <v/>
      </c>
      <c r="CN158" s="386" t="str">
        <f t="shared" si="185"/>
        <v>0480-00</v>
      </c>
    </row>
    <row r="159" spans="1:92" ht="15.75" thickBot="1" x14ac:dyDescent="0.3">
      <c r="A159" s="376" t="s">
        <v>162</v>
      </c>
      <c r="B159" s="376" t="s">
        <v>163</v>
      </c>
      <c r="C159" s="376" t="s">
        <v>568</v>
      </c>
      <c r="D159" s="376" t="s">
        <v>569</v>
      </c>
      <c r="E159" s="376" t="s">
        <v>505</v>
      </c>
      <c r="F159" s="377" t="s">
        <v>167</v>
      </c>
      <c r="G159" s="376" t="s">
        <v>506</v>
      </c>
      <c r="H159" s="378"/>
      <c r="I159" s="378"/>
      <c r="J159" s="376" t="s">
        <v>169</v>
      </c>
      <c r="K159" s="376" t="s">
        <v>570</v>
      </c>
      <c r="L159" s="376" t="s">
        <v>182</v>
      </c>
      <c r="M159" s="376" t="s">
        <v>172</v>
      </c>
      <c r="N159" s="376" t="s">
        <v>173</v>
      </c>
      <c r="O159" s="379">
        <v>1</v>
      </c>
      <c r="P159" s="384">
        <v>1</v>
      </c>
      <c r="Q159" s="384">
        <v>1</v>
      </c>
      <c r="R159" s="380">
        <v>80</v>
      </c>
      <c r="S159" s="384">
        <v>1</v>
      </c>
      <c r="T159" s="380">
        <v>85868.24</v>
      </c>
      <c r="U159" s="380">
        <v>0</v>
      </c>
      <c r="V159" s="380">
        <v>29296.66</v>
      </c>
      <c r="W159" s="380">
        <v>85030.399999999994</v>
      </c>
      <c r="X159" s="380">
        <v>29923.55</v>
      </c>
      <c r="Y159" s="380">
        <v>85030.399999999994</v>
      </c>
      <c r="Z159" s="380">
        <v>30535.82</v>
      </c>
      <c r="AA159" s="376" t="s">
        <v>571</v>
      </c>
      <c r="AB159" s="376" t="s">
        <v>572</v>
      </c>
      <c r="AC159" s="376" t="s">
        <v>457</v>
      </c>
      <c r="AD159" s="376" t="s">
        <v>522</v>
      </c>
      <c r="AE159" s="376" t="s">
        <v>570</v>
      </c>
      <c r="AF159" s="376" t="s">
        <v>178</v>
      </c>
      <c r="AG159" s="376" t="s">
        <v>179</v>
      </c>
      <c r="AH159" s="381">
        <v>40.880000000000003</v>
      </c>
      <c r="AI159" s="379">
        <v>6699</v>
      </c>
      <c r="AJ159" s="376" t="s">
        <v>180</v>
      </c>
      <c r="AK159" s="376" t="s">
        <v>181</v>
      </c>
      <c r="AL159" s="376" t="s">
        <v>182</v>
      </c>
      <c r="AM159" s="376" t="s">
        <v>183</v>
      </c>
      <c r="AN159" s="376" t="s">
        <v>66</v>
      </c>
      <c r="AO159" s="379">
        <v>80</v>
      </c>
      <c r="AP159" s="384">
        <v>1</v>
      </c>
      <c r="AQ159" s="384">
        <v>1</v>
      </c>
      <c r="AR159" s="382" t="s">
        <v>184</v>
      </c>
      <c r="AS159" s="386">
        <f t="shared" si="169"/>
        <v>1</v>
      </c>
      <c r="AT159">
        <f t="shared" si="170"/>
        <v>1</v>
      </c>
      <c r="AU159" s="386">
        <f>IF(AT159=0,"",IF(AND(AT159=1,M159="F",SUMIF(C2:C201,C159,AS2:AS201)&lt;=1),SUMIF(C2:C201,C159,AS2:AS201),IF(AND(AT159=1,M159="F",SUMIF(C2:C201,C159,AS2:AS201)&gt;1),1,"")))</f>
        <v>1</v>
      </c>
      <c r="AV159" s="386" t="str">
        <f>IF(AT159=0,"",IF(AND(AT159=3,M159="F",SUMIF(C2:C201,C159,AS2:AS201)&lt;=1),SUMIF(C2:C201,C159,AS2:AS201),IF(AND(AT159=3,M159="F",SUMIF(C2:C201,C159,AS2:AS201)&gt;1),1,"")))</f>
        <v/>
      </c>
      <c r="AW159" s="386">
        <f>SUMIF(C2:C201,C159,O2:O201)</f>
        <v>1</v>
      </c>
      <c r="AX159" s="386">
        <f>IF(AND(M159="F",AS159&lt;&gt;0),SUMIF(C2:C201,C159,W2:W201),0)</f>
        <v>85030.399999999994</v>
      </c>
      <c r="AY159" s="386">
        <f t="shared" si="171"/>
        <v>85030.399999999994</v>
      </c>
      <c r="AZ159" s="386" t="str">
        <f t="shared" si="172"/>
        <v/>
      </c>
      <c r="BA159" s="386">
        <f t="shared" si="173"/>
        <v>0</v>
      </c>
      <c r="BB159" s="386">
        <f t="shared" si="142"/>
        <v>12500</v>
      </c>
      <c r="BC159" s="386">
        <f t="shared" si="143"/>
        <v>0</v>
      </c>
      <c r="BD159" s="386">
        <f t="shared" si="144"/>
        <v>5271.8847999999998</v>
      </c>
      <c r="BE159" s="386">
        <f t="shared" si="145"/>
        <v>1232.9408000000001</v>
      </c>
      <c r="BF159" s="386">
        <f t="shared" si="146"/>
        <v>10152.62976</v>
      </c>
      <c r="BG159" s="386">
        <f t="shared" si="147"/>
        <v>613.06918399999995</v>
      </c>
      <c r="BH159" s="386">
        <f t="shared" si="148"/>
        <v>0</v>
      </c>
      <c r="BI159" s="386">
        <f t="shared" si="149"/>
        <v>0</v>
      </c>
      <c r="BJ159" s="386">
        <f t="shared" si="150"/>
        <v>153.05471999999997</v>
      </c>
      <c r="BK159" s="386">
        <f t="shared" si="151"/>
        <v>0</v>
      </c>
      <c r="BL159" s="386">
        <f t="shared" si="174"/>
        <v>17423.579264</v>
      </c>
      <c r="BM159" s="386">
        <f t="shared" si="175"/>
        <v>0</v>
      </c>
      <c r="BN159" s="386">
        <f t="shared" si="152"/>
        <v>13750</v>
      </c>
      <c r="BO159" s="386">
        <f t="shared" si="153"/>
        <v>0</v>
      </c>
      <c r="BP159" s="386">
        <f t="shared" si="154"/>
        <v>5271.8847999999998</v>
      </c>
      <c r="BQ159" s="386">
        <f t="shared" si="155"/>
        <v>1232.9408000000001</v>
      </c>
      <c r="BR159" s="386">
        <f t="shared" si="156"/>
        <v>9506.3987199999992</v>
      </c>
      <c r="BS159" s="386">
        <f t="shared" si="157"/>
        <v>613.06918399999995</v>
      </c>
      <c r="BT159" s="386">
        <f t="shared" si="158"/>
        <v>0</v>
      </c>
      <c r="BU159" s="386">
        <f t="shared" si="159"/>
        <v>0</v>
      </c>
      <c r="BV159" s="386">
        <f t="shared" si="160"/>
        <v>161.55776</v>
      </c>
      <c r="BW159" s="386">
        <f t="shared" si="161"/>
        <v>0</v>
      </c>
      <c r="BX159" s="386">
        <f t="shared" si="176"/>
        <v>16785.851264000001</v>
      </c>
      <c r="BY159" s="386">
        <f t="shared" si="177"/>
        <v>0</v>
      </c>
      <c r="BZ159" s="386">
        <f t="shared" si="178"/>
        <v>1250</v>
      </c>
      <c r="CA159" s="386">
        <f t="shared" si="179"/>
        <v>0</v>
      </c>
      <c r="CB159" s="386">
        <f t="shared" si="180"/>
        <v>0</v>
      </c>
      <c r="CC159" s="386">
        <f t="shared" si="162"/>
        <v>0</v>
      </c>
      <c r="CD159" s="386">
        <f t="shared" si="163"/>
        <v>-646.2310400000008</v>
      </c>
      <c r="CE159" s="386">
        <f t="shared" si="164"/>
        <v>0</v>
      </c>
      <c r="CF159" s="386">
        <f t="shared" si="165"/>
        <v>0</v>
      </c>
      <c r="CG159" s="386">
        <f t="shared" si="166"/>
        <v>0</v>
      </c>
      <c r="CH159" s="386">
        <f t="shared" si="167"/>
        <v>8.5030400000000039</v>
      </c>
      <c r="CI159" s="386">
        <f t="shared" si="168"/>
        <v>0</v>
      </c>
      <c r="CJ159" s="386">
        <f t="shared" si="181"/>
        <v>-637.72800000000075</v>
      </c>
      <c r="CK159" s="386" t="str">
        <f t="shared" si="182"/>
        <v/>
      </c>
      <c r="CL159" s="386" t="str">
        <f t="shared" si="183"/>
        <v/>
      </c>
      <c r="CM159" s="386" t="str">
        <f t="shared" si="184"/>
        <v/>
      </c>
      <c r="CN159" s="386" t="str">
        <f t="shared" si="185"/>
        <v>0480-00</v>
      </c>
    </row>
    <row r="160" spans="1:92" ht="15.75" thickBot="1" x14ac:dyDescent="0.3">
      <c r="A160" s="376" t="s">
        <v>162</v>
      </c>
      <c r="B160" s="376" t="s">
        <v>163</v>
      </c>
      <c r="C160" s="376" t="s">
        <v>573</v>
      </c>
      <c r="D160" s="376" t="s">
        <v>574</v>
      </c>
      <c r="E160" s="376" t="s">
        <v>505</v>
      </c>
      <c r="F160" s="377" t="s">
        <v>167</v>
      </c>
      <c r="G160" s="376" t="s">
        <v>506</v>
      </c>
      <c r="H160" s="378"/>
      <c r="I160" s="378"/>
      <c r="J160" s="376" t="s">
        <v>169</v>
      </c>
      <c r="K160" s="376" t="s">
        <v>575</v>
      </c>
      <c r="L160" s="376" t="s">
        <v>198</v>
      </c>
      <c r="M160" s="376" t="s">
        <v>172</v>
      </c>
      <c r="N160" s="376" t="s">
        <v>173</v>
      </c>
      <c r="O160" s="379">
        <v>1</v>
      </c>
      <c r="P160" s="384">
        <v>1</v>
      </c>
      <c r="Q160" s="384">
        <v>1</v>
      </c>
      <c r="R160" s="380">
        <v>80</v>
      </c>
      <c r="S160" s="384">
        <v>1</v>
      </c>
      <c r="T160" s="380">
        <v>72680.38</v>
      </c>
      <c r="U160" s="380">
        <v>0</v>
      </c>
      <c r="V160" s="380">
        <v>25080.84</v>
      </c>
      <c r="W160" s="380">
        <v>83241.600000000006</v>
      </c>
      <c r="X160" s="380">
        <v>29557.01</v>
      </c>
      <c r="Y160" s="380">
        <v>83241.600000000006</v>
      </c>
      <c r="Z160" s="380">
        <v>30182.7</v>
      </c>
      <c r="AA160" s="376" t="s">
        <v>576</v>
      </c>
      <c r="AB160" s="376" t="s">
        <v>577</v>
      </c>
      <c r="AC160" s="376" t="s">
        <v>578</v>
      </c>
      <c r="AD160" s="376" t="s">
        <v>171</v>
      </c>
      <c r="AE160" s="376" t="s">
        <v>575</v>
      </c>
      <c r="AF160" s="376" t="s">
        <v>178</v>
      </c>
      <c r="AG160" s="376" t="s">
        <v>179</v>
      </c>
      <c r="AH160" s="381">
        <v>40.020000000000003</v>
      </c>
      <c r="AI160" s="379">
        <v>1111</v>
      </c>
      <c r="AJ160" s="376" t="s">
        <v>180</v>
      </c>
      <c r="AK160" s="376" t="s">
        <v>181</v>
      </c>
      <c r="AL160" s="376" t="s">
        <v>182</v>
      </c>
      <c r="AM160" s="376" t="s">
        <v>183</v>
      </c>
      <c r="AN160" s="376" t="s">
        <v>66</v>
      </c>
      <c r="AO160" s="379">
        <v>80</v>
      </c>
      <c r="AP160" s="384">
        <v>1</v>
      </c>
      <c r="AQ160" s="384">
        <v>1</v>
      </c>
      <c r="AR160" s="382" t="s">
        <v>184</v>
      </c>
      <c r="AS160" s="386">
        <f t="shared" si="169"/>
        <v>1</v>
      </c>
      <c r="AT160">
        <f t="shared" si="170"/>
        <v>1</v>
      </c>
      <c r="AU160" s="386">
        <f>IF(AT160=0,"",IF(AND(AT160=1,M160="F",SUMIF(C2:C201,C160,AS2:AS201)&lt;=1),SUMIF(C2:C201,C160,AS2:AS201),IF(AND(AT160=1,M160="F",SUMIF(C2:C201,C160,AS2:AS201)&gt;1),1,"")))</f>
        <v>1</v>
      </c>
      <c r="AV160" s="386" t="str">
        <f>IF(AT160=0,"",IF(AND(AT160=3,M160="F",SUMIF(C2:C201,C160,AS2:AS201)&lt;=1),SUMIF(C2:C201,C160,AS2:AS201),IF(AND(AT160=3,M160="F",SUMIF(C2:C201,C160,AS2:AS201)&gt;1),1,"")))</f>
        <v/>
      </c>
      <c r="AW160" s="386">
        <f>SUMIF(C2:C201,C160,O2:O201)</f>
        <v>1</v>
      </c>
      <c r="AX160" s="386">
        <f>IF(AND(M160="F",AS160&lt;&gt;0),SUMIF(C2:C201,C160,W2:W201),0)</f>
        <v>83241.600000000006</v>
      </c>
      <c r="AY160" s="386">
        <f t="shared" si="171"/>
        <v>83241.600000000006</v>
      </c>
      <c r="AZ160" s="386" t="str">
        <f t="shared" si="172"/>
        <v/>
      </c>
      <c r="BA160" s="386">
        <f t="shared" si="173"/>
        <v>0</v>
      </c>
      <c r="BB160" s="386">
        <f t="shared" si="142"/>
        <v>12500</v>
      </c>
      <c r="BC160" s="386">
        <f t="shared" si="143"/>
        <v>0</v>
      </c>
      <c r="BD160" s="386">
        <f t="shared" si="144"/>
        <v>5160.9792000000007</v>
      </c>
      <c r="BE160" s="386">
        <f t="shared" si="145"/>
        <v>1207.0032000000001</v>
      </c>
      <c r="BF160" s="386">
        <f t="shared" si="146"/>
        <v>9939.0470400000013</v>
      </c>
      <c r="BG160" s="386">
        <f t="shared" si="147"/>
        <v>600.17193600000007</v>
      </c>
      <c r="BH160" s="386">
        <f t="shared" si="148"/>
        <v>0</v>
      </c>
      <c r="BI160" s="386">
        <f t="shared" si="149"/>
        <v>0</v>
      </c>
      <c r="BJ160" s="386">
        <f t="shared" si="150"/>
        <v>149.83488</v>
      </c>
      <c r="BK160" s="386">
        <f t="shared" si="151"/>
        <v>0</v>
      </c>
      <c r="BL160" s="386">
        <f t="shared" si="174"/>
        <v>17057.036255999999</v>
      </c>
      <c r="BM160" s="386">
        <f t="shared" si="175"/>
        <v>0</v>
      </c>
      <c r="BN160" s="386">
        <f t="shared" si="152"/>
        <v>13750</v>
      </c>
      <c r="BO160" s="386">
        <f t="shared" si="153"/>
        <v>0</v>
      </c>
      <c r="BP160" s="386">
        <f t="shared" si="154"/>
        <v>5160.9792000000007</v>
      </c>
      <c r="BQ160" s="386">
        <f t="shared" si="155"/>
        <v>1207.0032000000001</v>
      </c>
      <c r="BR160" s="386">
        <f t="shared" si="156"/>
        <v>9306.4108800000013</v>
      </c>
      <c r="BS160" s="386">
        <f t="shared" si="157"/>
        <v>600.17193600000007</v>
      </c>
      <c r="BT160" s="386">
        <f t="shared" si="158"/>
        <v>0</v>
      </c>
      <c r="BU160" s="386">
        <f t="shared" si="159"/>
        <v>0</v>
      </c>
      <c r="BV160" s="386">
        <f t="shared" si="160"/>
        <v>158.15904</v>
      </c>
      <c r="BW160" s="386">
        <f t="shared" si="161"/>
        <v>0</v>
      </c>
      <c r="BX160" s="386">
        <f t="shared" si="176"/>
        <v>16432.724256000001</v>
      </c>
      <c r="BY160" s="386">
        <f t="shared" si="177"/>
        <v>0</v>
      </c>
      <c r="BZ160" s="386">
        <f t="shared" si="178"/>
        <v>1250</v>
      </c>
      <c r="CA160" s="386">
        <f t="shared" si="179"/>
        <v>0</v>
      </c>
      <c r="CB160" s="386">
        <f t="shared" si="180"/>
        <v>0</v>
      </c>
      <c r="CC160" s="386">
        <f t="shared" si="162"/>
        <v>0</v>
      </c>
      <c r="CD160" s="386">
        <f t="shared" si="163"/>
        <v>-632.63616000000081</v>
      </c>
      <c r="CE160" s="386">
        <f t="shared" si="164"/>
        <v>0</v>
      </c>
      <c r="CF160" s="386">
        <f t="shared" si="165"/>
        <v>0</v>
      </c>
      <c r="CG160" s="386">
        <f t="shared" si="166"/>
        <v>0</v>
      </c>
      <c r="CH160" s="386">
        <f t="shared" si="167"/>
        <v>8.3241600000000044</v>
      </c>
      <c r="CI160" s="386">
        <f t="shared" si="168"/>
        <v>0</v>
      </c>
      <c r="CJ160" s="386">
        <f t="shared" si="181"/>
        <v>-624.31200000000081</v>
      </c>
      <c r="CK160" s="386" t="str">
        <f t="shared" si="182"/>
        <v/>
      </c>
      <c r="CL160" s="386" t="str">
        <f t="shared" si="183"/>
        <v/>
      </c>
      <c r="CM160" s="386" t="str">
        <f t="shared" si="184"/>
        <v/>
      </c>
      <c r="CN160" s="386" t="str">
        <f t="shared" si="185"/>
        <v>0480-00</v>
      </c>
    </row>
    <row r="161" spans="1:92" ht="15.75" thickBot="1" x14ac:dyDescent="0.3">
      <c r="A161" s="376" t="s">
        <v>162</v>
      </c>
      <c r="B161" s="376" t="s">
        <v>163</v>
      </c>
      <c r="C161" s="376" t="s">
        <v>579</v>
      </c>
      <c r="D161" s="376" t="s">
        <v>580</v>
      </c>
      <c r="E161" s="376" t="s">
        <v>505</v>
      </c>
      <c r="F161" s="377" t="s">
        <v>167</v>
      </c>
      <c r="G161" s="376" t="s">
        <v>506</v>
      </c>
      <c r="H161" s="378"/>
      <c r="I161" s="378"/>
      <c r="J161" s="376" t="s">
        <v>169</v>
      </c>
      <c r="K161" s="376" t="s">
        <v>515</v>
      </c>
      <c r="L161" s="376" t="s">
        <v>182</v>
      </c>
      <c r="M161" s="376" t="s">
        <v>172</v>
      </c>
      <c r="N161" s="376" t="s">
        <v>173</v>
      </c>
      <c r="O161" s="379">
        <v>1</v>
      </c>
      <c r="P161" s="384">
        <v>1</v>
      </c>
      <c r="Q161" s="384">
        <v>1</v>
      </c>
      <c r="R161" s="380">
        <v>80</v>
      </c>
      <c r="S161" s="384">
        <v>1</v>
      </c>
      <c r="T161" s="380">
        <v>101951.12</v>
      </c>
      <c r="U161" s="380">
        <v>0</v>
      </c>
      <c r="V161" s="380">
        <v>32363.24</v>
      </c>
      <c r="W161" s="380">
        <v>93516.800000000003</v>
      </c>
      <c r="X161" s="380">
        <v>31662.51</v>
      </c>
      <c r="Y161" s="380">
        <v>93516.800000000003</v>
      </c>
      <c r="Z161" s="380">
        <v>32211.13</v>
      </c>
      <c r="AA161" s="376" t="s">
        <v>581</v>
      </c>
      <c r="AB161" s="376" t="s">
        <v>582</v>
      </c>
      <c r="AC161" s="376" t="s">
        <v>453</v>
      </c>
      <c r="AD161" s="376" t="s">
        <v>522</v>
      </c>
      <c r="AE161" s="376" t="s">
        <v>515</v>
      </c>
      <c r="AF161" s="376" t="s">
        <v>178</v>
      </c>
      <c r="AG161" s="376" t="s">
        <v>179</v>
      </c>
      <c r="AH161" s="381">
        <v>44.96</v>
      </c>
      <c r="AI161" s="381">
        <v>17512.7</v>
      </c>
      <c r="AJ161" s="376" t="s">
        <v>180</v>
      </c>
      <c r="AK161" s="376" t="s">
        <v>181</v>
      </c>
      <c r="AL161" s="376" t="s">
        <v>182</v>
      </c>
      <c r="AM161" s="376" t="s">
        <v>183</v>
      </c>
      <c r="AN161" s="376" t="s">
        <v>66</v>
      </c>
      <c r="AO161" s="379">
        <v>80</v>
      </c>
      <c r="AP161" s="384">
        <v>1</v>
      </c>
      <c r="AQ161" s="384">
        <v>1</v>
      </c>
      <c r="AR161" s="382" t="s">
        <v>184</v>
      </c>
      <c r="AS161" s="386">
        <f t="shared" si="169"/>
        <v>1</v>
      </c>
      <c r="AT161">
        <f t="shared" si="170"/>
        <v>1</v>
      </c>
      <c r="AU161" s="386">
        <f>IF(AT161=0,"",IF(AND(AT161=1,M161="F",SUMIF(C2:C201,C161,AS2:AS201)&lt;=1),SUMIF(C2:C201,C161,AS2:AS201),IF(AND(AT161=1,M161="F",SUMIF(C2:C201,C161,AS2:AS201)&gt;1),1,"")))</f>
        <v>1</v>
      </c>
      <c r="AV161" s="386" t="str">
        <f>IF(AT161=0,"",IF(AND(AT161=3,M161="F",SUMIF(C2:C201,C161,AS2:AS201)&lt;=1),SUMIF(C2:C201,C161,AS2:AS201),IF(AND(AT161=3,M161="F",SUMIF(C2:C201,C161,AS2:AS201)&gt;1),1,"")))</f>
        <v/>
      </c>
      <c r="AW161" s="386">
        <f>SUMIF(C2:C201,C161,O2:O201)</f>
        <v>1</v>
      </c>
      <c r="AX161" s="386">
        <f>IF(AND(M161="F",AS161&lt;&gt;0),SUMIF(C2:C201,C161,W2:W201),0)</f>
        <v>93516.800000000003</v>
      </c>
      <c r="AY161" s="386">
        <f t="shared" si="171"/>
        <v>93516.800000000003</v>
      </c>
      <c r="AZ161" s="386" t="str">
        <f t="shared" si="172"/>
        <v/>
      </c>
      <c r="BA161" s="386">
        <f t="shared" si="173"/>
        <v>0</v>
      </c>
      <c r="BB161" s="386">
        <f t="shared" si="142"/>
        <v>12500</v>
      </c>
      <c r="BC161" s="386">
        <f t="shared" si="143"/>
        <v>0</v>
      </c>
      <c r="BD161" s="386">
        <f t="shared" si="144"/>
        <v>5798.0416000000005</v>
      </c>
      <c r="BE161" s="386">
        <f t="shared" si="145"/>
        <v>1355.9936</v>
      </c>
      <c r="BF161" s="386">
        <f t="shared" si="146"/>
        <v>11165.905920000001</v>
      </c>
      <c r="BG161" s="386">
        <f t="shared" si="147"/>
        <v>674.25612799999999</v>
      </c>
      <c r="BH161" s="386">
        <f t="shared" si="148"/>
        <v>0</v>
      </c>
      <c r="BI161" s="386">
        <f t="shared" si="149"/>
        <v>0</v>
      </c>
      <c r="BJ161" s="386">
        <f t="shared" si="150"/>
        <v>168.33024</v>
      </c>
      <c r="BK161" s="386">
        <f t="shared" si="151"/>
        <v>0</v>
      </c>
      <c r="BL161" s="386">
        <f t="shared" si="174"/>
        <v>19162.527488000003</v>
      </c>
      <c r="BM161" s="386">
        <f t="shared" si="175"/>
        <v>0</v>
      </c>
      <c r="BN161" s="386">
        <f t="shared" si="152"/>
        <v>13750</v>
      </c>
      <c r="BO161" s="386">
        <f t="shared" si="153"/>
        <v>0</v>
      </c>
      <c r="BP161" s="386">
        <f t="shared" si="154"/>
        <v>5798.0416000000005</v>
      </c>
      <c r="BQ161" s="386">
        <f t="shared" si="155"/>
        <v>1355.9936</v>
      </c>
      <c r="BR161" s="386">
        <f t="shared" si="156"/>
        <v>10455.178239999999</v>
      </c>
      <c r="BS161" s="386">
        <f t="shared" si="157"/>
        <v>674.25612799999999</v>
      </c>
      <c r="BT161" s="386">
        <f t="shared" si="158"/>
        <v>0</v>
      </c>
      <c r="BU161" s="386">
        <f t="shared" si="159"/>
        <v>0</v>
      </c>
      <c r="BV161" s="386">
        <f t="shared" si="160"/>
        <v>177.68191999999999</v>
      </c>
      <c r="BW161" s="386">
        <f t="shared" si="161"/>
        <v>0</v>
      </c>
      <c r="BX161" s="386">
        <f t="shared" si="176"/>
        <v>18461.151488</v>
      </c>
      <c r="BY161" s="386">
        <f t="shared" si="177"/>
        <v>0</v>
      </c>
      <c r="BZ161" s="386">
        <f t="shared" si="178"/>
        <v>1250</v>
      </c>
      <c r="CA161" s="386">
        <f t="shared" si="179"/>
        <v>0</v>
      </c>
      <c r="CB161" s="386">
        <f t="shared" si="180"/>
        <v>0</v>
      </c>
      <c r="CC161" s="386">
        <f t="shared" si="162"/>
        <v>0</v>
      </c>
      <c r="CD161" s="386">
        <f t="shared" si="163"/>
        <v>-710.72768000000087</v>
      </c>
      <c r="CE161" s="386">
        <f t="shared" si="164"/>
        <v>0</v>
      </c>
      <c r="CF161" s="386">
        <f t="shared" si="165"/>
        <v>0</v>
      </c>
      <c r="CG161" s="386">
        <f t="shared" si="166"/>
        <v>0</v>
      </c>
      <c r="CH161" s="386">
        <f t="shared" si="167"/>
        <v>9.3516800000000053</v>
      </c>
      <c r="CI161" s="386">
        <f t="shared" si="168"/>
        <v>0</v>
      </c>
      <c r="CJ161" s="386">
        <f t="shared" si="181"/>
        <v>-701.37600000000089</v>
      </c>
      <c r="CK161" s="386" t="str">
        <f t="shared" si="182"/>
        <v/>
      </c>
      <c r="CL161" s="386" t="str">
        <f t="shared" si="183"/>
        <v/>
      </c>
      <c r="CM161" s="386" t="str">
        <f t="shared" si="184"/>
        <v/>
      </c>
      <c r="CN161" s="386" t="str">
        <f t="shared" si="185"/>
        <v>0480-00</v>
      </c>
    </row>
    <row r="162" spans="1:92" ht="15.75" thickBot="1" x14ac:dyDescent="0.3">
      <c r="A162" s="376" t="s">
        <v>162</v>
      </c>
      <c r="B162" s="376" t="s">
        <v>163</v>
      </c>
      <c r="C162" s="376" t="s">
        <v>583</v>
      </c>
      <c r="D162" s="376" t="s">
        <v>584</v>
      </c>
      <c r="E162" s="376" t="s">
        <v>505</v>
      </c>
      <c r="F162" s="377" t="s">
        <v>167</v>
      </c>
      <c r="G162" s="376" t="s">
        <v>506</v>
      </c>
      <c r="H162" s="378"/>
      <c r="I162" s="378"/>
      <c r="J162" s="376" t="s">
        <v>169</v>
      </c>
      <c r="K162" s="376" t="s">
        <v>585</v>
      </c>
      <c r="L162" s="376" t="s">
        <v>167</v>
      </c>
      <c r="M162" s="376" t="s">
        <v>172</v>
      </c>
      <c r="N162" s="376" t="s">
        <v>173</v>
      </c>
      <c r="O162" s="379">
        <v>1</v>
      </c>
      <c r="P162" s="384">
        <v>1</v>
      </c>
      <c r="Q162" s="384">
        <v>1</v>
      </c>
      <c r="R162" s="380">
        <v>80</v>
      </c>
      <c r="S162" s="384">
        <v>1</v>
      </c>
      <c r="T162" s="380">
        <v>113053.62</v>
      </c>
      <c r="U162" s="380">
        <v>0</v>
      </c>
      <c r="V162" s="380">
        <v>35269.03</v>
      </c>
      <c r="W162" s="380">
        <v>115897.60000000001</v>
      </c>
      <c r="X162" s="380">
        <v>36248.559999999998</v>
      </c>
      <c r="Y162" s="380">
        <v>115897.60000000001</v>
      </c>
      <c r="Z162" s="380">
        <v>36629.33</v>
      </c>
      <c r="AA162" s="376" t="s">
        <v>586</v>
      </c>
      <c r="AB162" s="376" t="s">
        <v>587</v>
      </c>
      <c r="AC162" s="376" t="s">
        <v>588</v>
      </c>
      <c r="AD162" s="376" t="s">
        <v>589</v>
      </c>
      <c r="AE162" s="376" t="s">
        <v>585</v>
      </c>
      <c r="AF162" s="376" t="s">
        <v>178</v>
      </c>
      <c r="AG162" s="376" t="s">
        <v>179</v>
      </c>
      <c r="AH162" s="381">
        <v>55.72</v>
      </c>
      <c r="AI162" s="379">
        <v>36224</v>
      </c>
      <c r="AJ162" s="376" t="s">
        <v>180</v>
      </c>
      <c r="AK162" s="376" t="s">
        <v>181</v>
      </c>
      <c r="AL162" s="376" t="s">
        <v>182</v>
      </c>
      <c r="AM162" s="376" t="s">
        <v>183</v>
      </c>
      <c r="AN162" s="376" t="s">
        <v>66</v>
      </c>
      <c r="AO162" s="379">
        <v>80</v>
      </c>
      <c r="AP162" s="384">
        <v>1</v>
      </c>
      <c r="AQ162" s="384">
        <v>1</v>
      </c>
      <c r="AR162" s="382" t="s">
        <v>184</v>
      </c>
      <c r="AS162" s="386">
        <f t="shared" si="169"/>
        <v>1</v>
      </c>
      <c r="AT162">
        <f t="shared" si="170"/>
        <v>1</v>
      </c>
      <c r="AU162" s="386">
        <f>IF(AT162=0,"",IF(AND(AT162=1,M162="F",SUMIF(C2:C201,C162,AS2:AS201)&lt;=1),SUMIF(C2:C201,C162,AS2:AS201),IF(AND(AT162=1,M162="F",SUMIF(C2:C201,C162,AS2:AS201)&gt;1),1,"")))</f>
        <v>1</v>
      </c>
      <c r="AV162" s="386" t="str">
        <f>IF(AT162=0,"",IF(AND(AT162=3,M162="F",SUMIF(C2:C201,C162,AS2:AS201)&lt;=1),SUMIF(C2:C201,C162,AS2:AS201),IF(AND(AT162=3,M162="F",SUMIF(C2:C201,C162,AS2:AS201)&gt;1),1,"")))</f>
        <v/>
      </c>
      <c r="AW162" s="386">
        <f>SUMIF(C2:C201,C162,O2:O201)</f>
        <v>1</v>
      </c>
      <c r="AX162" s="386">
        <f>IF(AND(M162="F",AS162&lt;&gt;0),SUMIF(C2:C201,C162,W2:W201),0)</f>
        <v>115897.60000000001</v>
      </c>
      <c r="AY162" s="386">
        <f t="shared" si="171"/>
        <v>115897.60000000001</v>
      </c>
      <c r="AZ162" s="386" t="str">
        <f t="shared" si="172"/>
        <v/>
      </c>
      <c r="BA162" s="386">
        <f t="shared" si="173"/>
        <v>0</v>
      </c>
      <c r="BB162" s="386">
        <f t="shared" ref="BB162:BB193" si="186">IF(AND(AT162=1,AK162="E",AU162&gt;=0.75,AW162=1),Health,IF(AND(AT162=1,AK162="E",AU162&gt;=0.75),Health*P162,IF(AND(AT162=1,AK162="E",AU162&gt;=0.5,AW162=1),PTHealth,IF(AND(AT162=1,AK162="E",AU162&gt;=0.5),PTHealth*P162,0))))</f>
        <v>12500</v>
      </c>
      <c r="BC162" s="386">
        <f t="shared" ref="BC162:BC193" si="187">IF(AND(AT162=3,AK162="E",AV162&gt;=0.75,AW162=1),Health,IF(AND(AT162=3,AK162="E",AV162&gt;=0.75),Health*P162,IF(AND(AT162=3,AK162="E",AV162&gt;=0.5,AW162=1),PTHealth,IF(AND(AT162=3,AK162="E",AV162&gt;=0.5),PTHealth*P162,0))))</f>
        <v>0</v>
      </c>
      <c r="BD162" s="386">
        <f t="shared" ref="BD162:BD193" si="188">IF(AND(AT162&lt;&gt;0,AX162&gt;=MAXSSDI),SSDI*MAXSSDI*P162,IF(AT162&lt;&gt;0,SSDI*W162,0))</f>
        <v>7185.6512000000002</v>
      </c>
      <c r="BE162" s="386">
        <f t="shared" ref="BE162:BE193" si="189">IF(AT162&lt;&gt;0,SSHI*W162,0)</f>
        <v>1680.5152000000003</v>
      </c>
      <c r="BF162" s="386">
        <f t="shared" ref="BF162:BF193" si="190">IF(AND(AT162&lt;&gt;0,AN162&lt;&gt;"NE"),VLOOKUP(AN162,Retirement_Rates,3,FALSE)*W162,0)</f>
        <v>13838.173440000002</v>
      </c>
      <c r="BG162" s="386">
        <f t="shared" ref="BG162:BG193" si="191">IF(AND(AT162&lt;&gt;0,AJ162&lt;&gt;"PF"),Life*W162,0)</f>
        <v>835.62169600000004</v>
      </c>
      <c r="BH162" s="386">
        <f t="shared" ref="BH162:BH193" si="192">IF(AND(AT162&lt;&gt;0,AM162="Y"),UI*W162,0)</f>
        <v>0</v>
      </c>
      <c r="BI162" s="386">
        <f t="shared" ref="BI162:BI193" si="193">IF(AND(AT162&lt;&gt;0,N162&lt;&gt;"NR"),DHR*W162,0)</f>
        <v>0</v>
      </c>
      <c r="BJ162" s="386">
        <f t="shared" ref="BJ162:BJ193" si="194">IF(AT162&lt;&gt;0,WC*W162,0)</f>
        <v>208.61568</v>
      </c>
      <c r="BK162" s="386">
        <f t="shared" ref="BK162:BK193" si="195">IF(OR(AND(AT162&lt;&gt;0,AJ162&lt;&gt;"PF",AN162&lt;&gt;"NE",AG162&lt;&gt;"A"),AND(AL162="E",OR(AT162=1,AT162=3))),Sick*W162,0)</f>
        <v>0</v>
      </c>
      <c r="BL162" s="386">
        <f t="shared" si="174"/>
        <v>23748.577215999998</v>
      </c>
      <c r="BM162" s="386">
        <f t="shared" si="175"/>
        <v>0</v>
      </c>
      <c r="BN162" s="386">
        <f t="shared" ref="BN162:BN193" si="196">IF(AND(AT162=1,AK162="E",AU162&gt;=0.75,AW162=1),HealthBY,IF(AND(AT162=1,AK162="E",AU162&gt;=0.75),HealthBY*P162,IF(AND(AT162=1,AK162="E",AU162&gt;=0.5,AW162=1),PTHealthBY,IF(AND(AT162=1,AK162="E",AU162&gt;=0.5),PTHealthBY*P162,0))))</f>
        <v>13750</v>
      </c>
      <c r="BO162" s="386">
        <f t="shared" ref="BO162:BO193" si="197">IF(AND(AT162=3,AK162="E",AV162&gt;=0.75,AW162=1),HealthBY,IF(AND(AT162=3,AK162="E",AV162&gt;=0.75),HealthBY*P162,IF(AND(AT162=3,AK162="E",AV162&gt;=0.5,AW162=1),PTHealthBY,IF(AND(AT162=3,AK162="E",AV162&gt;=0.5),PTHealthBY*P162,0))))</f>
        <v>0</v>
      </c>
      <c r="BP162" s="386">
        <f t="shared" ref="BP162:BP193" si="198">IF(AND(AT162&lt;&gt;0,(AX162+BA162)&gt;=MAXSSDIBY),SSDIBY*MAXSSDIBY*P162,IF(AT162&lt;&gt;0,SSDIBY*W162,0))</f>
        <v>7185.6512000000002</v>
      </c>
      <c r="BQ162" s="386">
        <f t="shared" ref="BQ162:BQ193" si="199">IF(AT162&lt;&gt;0,SSHIBY*W162,0)</f>
        <v>1680.5152000000003</v>
      </c>
      <c r="BR162" s="386">
        <f t="shared" ref="BR162:BR193" si="200">IF(AND(AT162&lt;&gt;0,AN162&lt;&gt;"NE"),VLOOKUP(AN162,Retirement_Rates,4,FALSE)*W162,0)</f>
        <v>12957.35168</v>
      </c>
      <c r="BS162" s="386">
        <f t="shared" ref="BS162:BS193" si="201">IF(AND(AT162&lt;&gt;0,AJ162&lt;&gt;"PF"),LifeBY*W162,0)</f>
        <v>835.62169600000004</v>
      </c>
      <c r="BT162" s="386">
        <f t="shared" ref="BT162:BT193" si="202">IF(AND(AT162&lt;&gt;0,AM162="Y"),UIBY*W162,0)</f>
        <v>0</v>
      </c>
      <c r="BU162" s="386">
        <f t="shared" ref="BU162:BU193" si="203">IF(AND(AT162&lt;&gt;0,N162&lt;&gt;"NR"),DHRBY*W162,0)</f>
        <v>0</v>
      </c>
      <c r="BV162" s="386">
        <f t="shared" ref="BV162:BV193" si="204">IF(AT162&lt;&gt;0,WCBY*W162,0)</f>
        <v>220.20544000000001</v>
      </c>
      <c r="BW162" s="386">
        <f t="shared" ref="BW162:BW193" si="205">IF(OR(AND(AT162&lt;&gt;0,AJ162&lt;&gt;"PF",AN162&lt;&gt;"NE",AG162&lt;&gt;"A"),AND(AL162="E",OR(AT162=1,AT162=3))),SickBY*W162,0)</f>
        <v>0</v>
      </c>
      <c r="BX162" s="386">
        <f t="shared" si="176"/>
        <v>22879.345216000002</v>
      </c>
      <c r="BY162" s="386">
        <f t="shared" si="177"/>
        <v>0</v>
      </c>
      <c r="BZ162" s="386">
        <f t="shared" si="178"/>
        <v>1250</v>
      </c>
      <c r="CA162" s="386">
        <f t="shared" si="179"/>
        <v>0</v>
      </c>
      <c r="CB162" s="386">
        <f t="shared" si="180"/>
        <v>0</v>
      </c>
      <c r="CC162" s="386">
        <f t="shared" ref="CC162:CC193" si="206">IF(AT162&lt;&gt;0,SSHICHG*Y162,0)</f>
        <v>0</v>
      </c>
      <c r="CD162" s="386">
        <f t="shared" ref="CD162:CD193" si="207">IF(AND(AT162&lt;&gt;0,AN162&lt;&gt;"NE"),VLOOKUP(AN162,Retirement_Rates,5,FALSE)*Y162,0)</f>
        <v>-880.82176000000118</v>
      </c>
      <c r="CE162" s="386">
        <f t="shared" ref="CE162:CE193" si="208">IF(AND(AT162&lt;&gt;0,AJ162&lt;&gt;"PF"),LifeCHG*Y162,0)</f>
        <v>0</v>
      </c>
      <c r="CF162" s="386">
        <f t="shared" ref="CF162:CF193" si="209">IF(AND(AT162&lt;&gt;0,AM162="Y"),UICHG*Y162,0)</f>
        <v>0</v>
      </c>
      <c r="CG162" s="386">
        <f t="shared" ref="CG162:CG193" si="210">IF(AND(AT162&lt;&gt;0,N162&lt;&gt;"NR"),DHRCHG*Y162,0)</f>
        <v>0</v>
      </c>
      <c r="CH162" s="386">
        <f t="shared" ref="CH162:CH193" si="211">IF(AT162&lt;&gt;0,WCCHG*Y162,0)</f>
        <v>11.589760000000005</v>
      </c>
      <c r="CI162" s="386">
        <f t="shared" ref="CI162:CI193" si="212">IF(OR(AND(AT162&lt;&gt;0,AJ162&lt;&gt;"PF",AN162&lt;&gt;"NE",AG162&lt;&gt;"A"),AND(AL162="E",OR(AT162=1,AT162=3))),SickCHG*Y162,0)</f>
        <v>0</v>
      </c>
      <c r="CJ162" s="386">
        <f t="shared" si="181"/>
        <v>-869.23200000000122</v>
      </c>
      <c r="CK162" s="386" t="str">
        <f t="shared" si="182"/>
        <v/>
      </c>
      <c r="CL162" s="386" t="str">
        <f t="shared" si="183"/>
        <v/>
      </c>
      <c r="CM162" s="386" t="str">
        <f t="shared" si="184"/>
        <v/>
      </c>
      <c r="CN162" s="386" t="str">
        <f t="shared" si="185"/>
        <v>0480-00</v>
      </c>
    </row>
    <row r="163" spans="1:92" ht="15.75" thickBot="1" x14ac:dyDescent="0.3">
      <c r="A163" s="376" t="s">
        <v>162</v>
      </c>
      <c r="B163" s="376" t="s">
        <v>163</v>
      </c>
      <c r="C163" s="376" t="s">
        <v>218</v>
      </c>
      <c r="D163" s="376" t="s">
        <v>219</v>
      </c>
      <c r="E163" s="376" t="s">
        <v>505</v>
      </c>
      <c r="F163" s="377" t="s">
        <v>167</v>
      </c>
      <c r="G163" s="376" t="s">
        <v>506</v>
      </c>
      <c r="H163" s="378"/>
      <c r="I163" s="378"/>
      <c r="J163" s="376" t="s">
        <v>220</v>
      </c>
      <c r="K163" s="376" t="s">
        <v>221</v>
      </c>
      <c r="L163" s="376" t="s">
        <v>222</v>
      </c>
      <c r="M163" s="376" t="s">
        <v>172</v>
      </c>
      <c r="N163" s="376" t="s">
        <v>173</v>
      </c>
      <c r="O163" s="379">
        <v>1</v>
      </c>
      <c r="P163" s="384">
        <v>0.5</v>
      </c>
      <c r="Q163" s="384">
        <v>0.5</v>
      </c>
      <c r="R163" s="380">
        <v>80</v>
      </c>
      <c r="S163" s="384">
        <v>0.5</v>
      </c>
      <c r="T163" s="380">
        <v>39076.75</v>
      </c>
      <c r="U163" s="380">
        <v>0</v>
      </c>
      <c r="V163" s="380">
        <v>13800.42</v>
      </c>
      <c r="W163" s="380">
        <v>40549.599999999999</v>
      </c>
      <c r="X163" s="380">
        <v>14559</v>
      </c>
      <c r="Y163" s="380">
        <v>40549.599999999999</v>
      </c>
      <c r="Z163" s="380">
        <v>14879.88</v>
      </c>
      <c r="AA163" s="376" t="s">
        <v>223</v>
      </c>
      <c r="AB163" s="376" t="s">
        <v>189</v>
      </c>
      <c r="AC163" s="376" t="s">
        <v>224</v>
      </c>
      <c r="AD163" s="376" t="s">
        <v>225</v>
      </c>
      <c r="AE163" s="376" t="s">
        <v>221</v>
      </c>
      <c r="AF163" s="376" t="s">
        <v>178</v>
      </c>
      <c r="AG163" s="376" t="s">
        <v>179</v>
      </c>
      <c r="AH163" s="381">
        <v>38.99</v>
      </c>
      <c r="AI163" s="381">
        <v>19300.7</v>
      </c>
      <c r="AJ163" s="376" t="s">
        <v>180</v>
      </c>
      <c r="AK163" s="376" t="s">
        <v>181</v>
      </c>
      <c r="AL163" s="376" t="s">
        <v>182</v>
      </c>
      <c r="AM163" s="376" t="s">
        <v>183</v>
      </c>
      <c r="AN163" s="376" t="s">
        <v>66</v>
      </c>
      <c r="AO163" s="379">
        <v>80</v>
      </c>
      <c r="AP163" s="384">
        <v>1</v>
      </c>
      <c r="AQ163" s="384">
        <v>0.5</v>
      </c>
      <c r="AR163" s="382" t="s">
        <v>184</v>
      </c>
      <c r="AS163" s="386">
        <f t="shared" si="169"/>
        <v>0.5</v>
      </c>
      <c r="AT163">
        <f t="shared" si="170"/>
        <v>1</v>
      </c>
      <c r="AU163" s="386">
        <f>IF(AT163=0,"",IF(AND(AT163=1,M163="F",SUMIF(C2:C201,C163,AS2:AS201)&lt;=1),SUMIF(C2:C201,C163,AS2:AS201),IF(AND(AT163=1,M163="F",SUMIF(C2:C201,C163,AS2:AS201)&gt;1),1,"")))</f>
        <v>1</v>
      </c>
      <c r="AV163" s="386" t="str">
        <f>IF(AT163=0,"",IF(AND(AT163=3,M163="F",SUMIF(C2:C201,C163,AS2:AS201)&lt;=1),SUMIF(C2:C201,C163,AS2:AS201),IF(AND(AT163=3,M163="F",SUMIF(C2:C201,C163,AS2:AS201)&gt;1),1,"")))</f>
        <v/>
      </c>
      <c r="AW163" s="386">
        <f>SUMIF(C2:C201,C163,O2:O201)</f>
        <v>4</v>
      </c>
      <c r="AX163" s="386">
        <f>IF(AND(M163="F",AS163&lt;&gt;0),SUMIF(C2:C201,C163,W2:W201),0)</f>
        <v>81099.199999999997</v>
      </c>
      <c r="AY163" s="386">
        <f t="shared" si="171"/>
        <v>40549.599999999999</v>
      </c>
      <c r="AZ163" s="386" t="str">
        <f t="shared" si="172"/>
        <v/>
      </c>
      <c r="BA163" s="386">
        <f t="shared" si="173"/>
        <v>0</v>
      </c>
      <c r="BB163" s="386">
        <f t="shared" si="186"/>
        <v>6250</v>
      </c>
      <c r="BC163" s="386">
        <f t="shared" si="187"/>
        <v>0</v>
      </c>
      <c r="BD163" s="386">
        <f t="shared" si="188"/>
        <v>2514.0751999999998</v>
      </c>
      <c r="BE163" s="386">
        <f t="shared" si="189"/>
        <v>587.9692</v>
      </c>
      <c r="BF163" s="386">
        <f t="shared" si="190"/>
        <v>4841.6222399999997</v>
      </c>
      <c r="BG163" s="386">
        <f t="shared" si="191"/>
        <v>292.362616</v>
      </c>
      <c r="BH163" s="386">
        <f t="shared" si="192"/>
        <v>0</v>
      </c>
      <c r="BI163" s="386">
        <f t="shared" si="193"/>
        <v>0</v>
      </c>
      <c r="BJ163" s="386">
        <f t="shared" si="194"/>
        <v>72.989279999999994</v>
      </c>
      <c r="BK163" s="386">
        <f t="shared" si="195"/>
        <v>0</v>
      </c>
      <c r="BL163" s="386">
        <f t="shared" si="174"/>
        <v>8309.0185359999996</v>
      </c>
      <c r="BM163" s="386">
        <f t="shared" si="175"/>
        <v>0</v>
      </c>
      <c r="BN163" s="386">
        <f t="shared" si="196"/>
        <v>6875</v>
      </c>
      <c r="BO163" s="386">
        <f t="shared" si="197"/>
        <v>0</v>
      </c>
      <c r="BP163" s="386">
        <f t="shared" si="198"/>
        <v>2514.0751999999998</v>
      </c>
      <c r="BQ163" s="386">
        <f t="shared" si="199"/>
        <v>587.9692</v>
      </c>
      <c r="BR163" s="386">
        <f t="shared" si="200"/>
        <v>4533.4452799999999</v>
      </c>
      <c r="BS163" s="386">
        <f t="shared" si="201"/>
        <v>292.362616</v>
      </c>
      <c r="BT163" s="386">
        <f t="shared" si="202"/>
        <v>0</v>
      </c>
      <c r="BU163" s="386">
        <f t="shared" si="203"/>
        <v>0</v>
      </c>
      <c r="BV163" s="386">
        <f t="shared" si="204"/>
        <v>77.044240000000002</v>
      </c>
      <c r="BW163" s="386">
        <f t="shared" si="205"/>
        <v>0</v>
      </c>
      <c r="BX163" s="386">
        <f t="shared" si="176"/>
        <v>8004.8965360000002</v>
      </c>
      <c r="BY163" s="386">
        <f t="shared" si="177"/>
        <v>0</v>
      </c>
      <c r="BZ163" s="386">
        <f t="shared" si="178"/>
        <v>625</v>
      </c>
      <c r="CA163" s="386">
        <f t="shared" si="179"/>
        <v>0</v>
      </c>
      <c r="CB163" s="386">
        <f t="shared" si="180"/>
        <v>0</v>
      </c>
      <c r="CC163" s="386">
        <f t="shared" si="206"/>
        <v>0</v>
      </c>
      <c r="CD163" s="386">
        <f t="shared" si="207"/>
        <v>-308.17696000000035</v>
      </c>
      <c r="CE163" s="386">
        <f t="shared" si="208"/>
        <v>0</v>
      </c>
      <c r="CF163" s="386">
        <f t="shared" si="209"/>
        <v>0</v>
      </c>
      <c r="CG163" s="386">
        <f t="shared" si="210"/>
        <v>0</v>
      </c>
      <c r="CH163" s="386">
        <f t="shared" si="211"/>
        <v>4.0549600000000021</v>
      </c>
      <c r="CI163" s="386">
        <f t="shared" si="212"/>
        <v>0</v>
      </c>
      <c r="CJ163" s="386">
        <f t="shared" si="181"/>
        <v>-304.12200000000036</v>
      </c>
      <c r="CK163" s="386" t="str">
        <f t="shared" si="182"/>
        <v/>
      </c>
      <c r="CL163" s="386" t="str">
        <f t="shared" si="183"/>
        <v/>
      </c>
      <c r="CM163" s="386" t="str">
        <f t="shared" si="184"/>
        <v/>
      </c>
      <c r="CN163" s="386" t="str">
        <f t="shared" si="185"/>
        <v>0480-00</v>
      </c>
    </row>
    <row r="164" spans="1:92" ht="15.75" thickBot="1" x14ac:dyDescent="0.3">
      <c r="A164" s="376" t="s">
        <v>162</v>
      </c>
      <c r="B164" s="376" t="s">
        <v>163</v>
      </c>
      <c r="C164" s="376" t="s">
        <v>590</v>
      </c>
      <c r="D164" s="376" t="s">
        <v>542</v>
      </c>
      <c r="E164" s="376" t="s">
        <v>505</v>
      </c>
      <c r="F164" s="377" t="s">
        <v>167</v>
      </c>
      <c r="G164" s="376" t="s">
        <v>506</v>
      </c>
      <c r="H164" s="378"/>
      <c r="I164" s="378"/>
      <c r="J164" s="376" t="s">
        <v>169</v>
      </c>
      <c r="K164" s="376" t="s">
        <v>543</v>
      </c>
      <c r="L164" s="376" t="s">
        <v>167</v>
      </c>
      <c r="M164" s="376" t="s">
        <v>172</v>
      </c>
      <c r="N164" s="376" t="s">
        <v>173</v>
      </c>
      <c r="O164" s="379">
        <v>1</v>
      </c>
      <c r="P164" s="384">
        <v>1</v>
      </c>
      <c r="Q164" s="384">
        <v>1</v>
      </c>
      <c r="R164" s="380">
        <v>80</v>
      </c>
      <c r="S164" s="384">
        <v>1</v>
      </c>
      <c r="T164" s="380">
        <v>41303.25</v>
      </c>
      <c r="U164" s="380">
        <v>716.44</v>
      </c>
      <c r="V164" s="380">
        <v>20892.919999999998</v>
      </c>
      <c r="W164" s="380">
        <v>42893.760000000002</v>
      </c>
      <c r="X164" s="380">
        <v>21289.33</v>
      </c>
      <c r="Y164" s="380">
        <v>42893.760000000002</v>
      </c>
      <c r="Z164" s="380">
        <v>22217.63</v>
      </c>
      <c r="AA164" s="376" t="s">
        <v>591</v>
      </c>
      <c r="AB164" s="376" t="s">
        <v>592</v>
      </c>
      <c r="AC164" s="376" t="s">
        <v>274</v>
      </c>
      <c r="AD164" s="376" t="s">
        <v>285</v>
      </c>
      <c r="AE164" s="376" t="s">
        <v>543</v>
      </c>
      <c r="AF164" s="376" t="s">
        <v>178</v>
      </c>
      <c r="AG164" s="376" t="s">
        <v>179</v>
      </c>
      <c r="AH164" s="381">
        <v>19.64</v>
      </c>
      <c r="AI164" s="379">
        <v>2448</v>
      </c>
      <c r="AJ164" s="376" t="s">
        <v>180</v>
      </c>
      <c r="AK164" s="376" t="s">
        <v>181</v>
      </c>
      <c r="AL164" s="376" t="s">
        <v>182</v>
      </c>
      <c r="AM164" s="376" t="s">
        <v>183</v>
      </c>
      <c r="AN164" s="376" t="s">
        <v>66</v>
      </c>
      <c r="AO164" s="379">
        <v>80</v>
      </c>
      <c r="AP164" s="384">
        <v>1</v>
      </c>
      <c r="AQ164" s="384">
        <v>1</v>
      </c>
      <c r="AR164" s="382">
        <v>5</v>
      </c>
      <c r="AS164" s="386">
        <f t="shared" si="169"/>
        <v>1</v>
      </c>
      <c r="AT164">
        <f t="shared" si="170"/>
        <v>1</v>
      </c>
      <c r="AU164" s="386">
        <f>IF(AT164=0,"",IF(AND(AT164=1,M164="F",SUMIF(C2:C201,C164,AS2:AS201)&lt;=1),SUMIF(C2:C201,C164,AS2:AS201),IF(AND(AT164=1,M164="F",SUMIF(C2:C201,C164,AS2:AS201)&gt;1),1,"")))</f>
        <v>1</v>
      </c>
      <c r="AV164" s="386" t="str">
        <f>IF(AT164=0,"",IF(AND(AT164=3,M164="F",SUMIF(C2:C201,C164,AS2:AS201)&lt;=1),SUMIF(C2:C201,C164,AS2:AS201),IF(AND(AT164=3,M164="F",SUMIF(C2:C201,C164,AS2:AS201)&gt;1),1,"")))</f>
        <v/>
      </c>
      <c r="AW164" s="386">
        <f>SUMIF(C2:C201,C164,O2:O201)</f>
        <v>1</v>
      </c>
      <c r="AX164" s="386">
        <f>IF(AND(M164="F",AS164&lt;&gt;0),SUMIF(C2:C201,C164,W2:W201),0)</f>
        <v>42893.760000000002</v>
      </c>
      <c r="AY164" s="386">
        <f t="shared" si="171"/>
        <v>42893.760000000002</v>
      </c>
      <c r="AZ164" s="386" t="str">
        <f t="shared" si="172"/>
        <v/>
      </c>
      <c r="BA164" s="386">
        <f t="shared" si="173"/>
        <v>0</v>
      </c>
      <c r="BB164" s="386">
        <f t="shared" si="186"/>
        <v>12500</v>
      </c>
      <c r="BC164" s="386">
        <f t="shared" si="187"/>
        <v>0</v>
      </c>
      <c r="BD164" s="386">
        <f t="shared" si="188"/>
        <v>2659.4131200000002</v>
      </c>
      <c r="BE164" s="386">
        <f t="shared" si="189"/>
        <v>621.95952000000011</v>
      </c>
      <c r="BF164" s="386">
        <f t="shared" si="190"/>
        <v>5121.5149440000005</v>
      </c>
      <c r="BG164" s="386">
        <f t="shared" si="191"/>
        <v>309.26400960000001</v>
      </c>
      <c r="BH164" s="386">
        <f t="shared" si="192"/>
        <v>0</v>
      </c>
      <c r="BI164" s="386">
        <f t="shared" si="193"/>
        <v>0</v>
      </c>
      <c r="BJ164" s="386">
        <f t="shared" si="194"/>
        <v>77.208768000000006</v>
      </c>
      <c r="BK164" s="386">
        <f t="shared" si="195"/>
        <v>0</v>
      </c>
      <c r="BL164" s="386">
        <f t="shared" si="174"/>
        <v>8789.3603616</v>
      </c>
      <c r="BM164" s="386">
        <f t="shared" si="175"/>
        <v>0</v>
      </c>
      <c r="BN164" s="386">
        <f t="shared" si="196"/>
        <v>13750</v>
      </c>
      <c r="BO164" s="386">
        <f t="shared" si="197"/>
        <v>0</v>
      </c>
      <c r="BP164" s="386">
        <f t="shared" si="198"/>
        <v>2659.4131200000002</v>
      </c>
      <c r="BQ164" s="386">
        <f t="shared" si="199"/>
        <v>621.95952000000011</v>
      </c>
      <c r="BR164" s="386">
        <f t="shared" si="200"/>
        <v>4795.5223679999999</v>
      </c>
      <c r="BS164" s="386">
        <f t="shared" si="201"/>
        <v>309.26400960000001</v>
      </c>
      <c r="BT164" s="386">
        <f t="shared" si="202"/>
        <v>0</v>
      </c>
      <c r="BU164" s="386">
        <f t="shared" si="203"/>
        <v>0</v>
      </c>
      <c r="BV164" s="386">
        <f t="shared" si="204"/>
        <v>81.498144000000011</v>
      </c>
      <c r="BW164" s="386">
        <f t="shared" si="205"/>
        <v>0</v>
      </c>
      <c r="BX164" s="386">
        <f t="shared" si="176"/>
        <v>8467.6571616000001</v>
      </c>
      <c r="BY164" s="386">
        <f t="shared" si="177"/>
        <v>0</v>
      </c>
      <c r="BZ164" s="386">
        <f t="shared" si="178"/>
        <v>1250</v>
      </c>
      <c r="CA164" s="386">
        <f t="shared" si="179"/>
        <v>0</v>
      </c>
      <c r="CB164" s="386">
        <f t="shared" si="180"/>
        <v>0</v>
      </c>
      <c r="CC164" s="386">
        <f t="shared" si="206"/>
        <v>0</v>
      </c>
      <c r="CD164" s="386">
        <f t="shared" si="207"/>
        <v>-325.99257600000044</v>
      </c>
      <c r="CE164" s="386">
        <f t="shared" si="208"/>
        <v>0</v>
      </c>
      <c r="CF164" s="386">
        <f t="shared" si="209"/>
        <v>0</v>
      </c>
      <c r="CG164" s="386">
        <f t="shared" si="210"/>
        <v>0</v>
      </c>
      <c r="CH164" s="386">
        <f t="shared" si="211"/>
        <v>4.2893760000000025</v>
      </c>
      <c r="CI164" s="386">
        <f t="shared" si="212"/>
        <v>0</v>
      </c>
      <c r="CJ164" s="386">
        <f t="shared" si="181"/>
        <v>-321.70320000000044</v>
      </c>
      <c r="CK164" s="386" t="str">
        <f t="shared" si="182"/>
        <v/>
      </c>
      <c r="CL164" s="386" t="str">
        <f t="shared" si="183"/>
        <v/>
      </c>
      <c r="CM164" s="386" t="str">
        <f t="shared" si="184"/>
        <v/>
      </c>
      <c r="CN164" s="386" t="str">
        <f t="shared" si="185"/>
        <v>0480-00</v>
      </c>
    </row>
    <row r="165" spans="1:92" ht="15.75" thickBot="1" x14ac:dyDescent="0.3">
      <c r="A165" s="376" t="s">
        <v>162</v>
      </c>
      <c r="B165" s="376" t="s">
        <v>163</v>
      </c>
      <c r="C165" s="376" t="s">
        <v>226</v>
      </c>
      <c r="D165" s="376" t="s">
        <v>227</v>
      </c>
      <c r="E165" s="376" t="s">
        <v>505</v>
      </c>
      <c r="F165" s="377" t="s">
        <v>167</v>
      </c>
      <c r="G165" s="376" t="s">
        <v>506</v>
      </c>
      <c r="H165" s="378"/>
      <c r="I165" s="378"/>
      <c r="J165" s="376" t="s">
        <v>220</v>
      </c>
      <c r="K165" s="376" t="s">
        <v>228</v>
      </c>
      <c r="L165" s="376" t="s">
        <v>167</v>
      </c>
      <c r="M165" s="376" t="s">
        <v>172</v>
      </c>
      <c r="N165" s="376" t="s">
        <v>173</v>
      </c>
      <c r="O165" s="379">
        <v>1</v>
      </c>
      <c r="P165" s="384">
        <v>0.75</v>
      </c>
      <c r="Q165" s="384">
        <v>0.75</v>
      </c>
      <c r="R165" s="380">
        <v>80</v>
      </c>
      <c r="S165" s="384">
        <v>0.75</v>
      </c>
      <c r="T165" s="380">
        <v>69460.98</v>
      </c>
      <c r="U165" s="380">
        <v>0</v>
      </c>
      <c r="V165" s="380">
        <v>22069.75</v>
      </c>
      <c r="W165" s="380">
        <v>73444.800000000003</v>
      </c>
      <c r="X165" s="380">
        <v>24424.55</v>
      </c>
      <c r="Y165" s="380">
        <v>73444.800000000003</v>
      </c>
      <c r="Z165" s="380">
        <v>24811.22</v>
      </c>
      <c r="AA165" s="376" t="s">
        <v>229</v>
      </c>
      <c r="AB165" s="376" t="s">
        <v>230</v>
      </c>
      <c r="AC165" s="376" t="s">
        <v>213</v>
      </c>
      <c r="AD165" s="376" t="s">
        <v>231</v>
      </c>
      <c r="AE165" s="376" t="s">
        <v>228</v>
      </c>
      <c r="AF165" s="376" t="s">
        <v>178</v>
      </c>
      <c r="AG165" s="376" t="s">
        <v>179</v>
      </c>
      <c r="AH165" s="381">
        <v>47.08</v>
      </c>
      <c r="AI165" s="381">
        <v>8742.5</v>
      </c>
      <c r="AJ165" s="376" t="s">
        <v>180</v>
      </c>
      <c r="AK165" s="376" t="s">
        <v>181</v>
      </c>
      <c r="AL165" s="376" t="s">
        <v>182</v>
      </c>
      <c r="AM165" s="376" t="s">
        <v>183</v>
      </c>
      <c r="AN165" s="376" t="s">
        <v>66</v>
      </c>
      <c r="AO165" s="379">
        <v>80</v>
      </c>
      <c r="AP165" s="384">
        <v>1</v>
      </c>
      <c r="AQ165" s="384">
        <v>0.75</v>
      </c>
      <c r="AR165" s="382" t="s">
        <v>184</v>
      </c>
      <c r="AS165" s="386">
        <f t="shared" si="169"/>
        <v>0.75</v>
      </c>
      <c r="AT165">
        <f t="shared" si="170"/>
        <v>1</v>
      </c>
      <c r="AU165" s="386">
        <f>IF(AT165=0,"",IF(AND(AT165=1,M165="F",SUMIF(C2:C201,C165,AS2:AS201)&lt;=1),SUMIF(C2:C201,C165,AS2:AS201),IF(AND(AT165=1,M165="F",SUMIF(C2:C201,C165,AS2:AS201)&gt;1),1,"")))</f>
        <v>1</v>
      </c>
      <c r="AV165" s="386" t="str">
        <f>IF(AT165=0,"",IF(AND(AT165=3,M165="F",SUMIF(C2:C201,C165,AS2:AS201)&lt;=1),SUMIF(C2:C201,C165,AS2:AS201),IF(AND(AT165=3,M165="F",SUMIF(C2:C201,C165,AS2:AS201)&gt;1),1,"")))</f>
        <v/>
      </c>
      <c r="AW165" s="386">
        <f>SUMIF(C2:C201,C165,O2:O201)</f>
        <v>5</v>
      </c>
      <c r="AX165" s="386">
        <f>IF(AND(M165="F",AS165&lt;&gt;0),SUMIF(C2:C201,C165,W2:W201),0)</f>
        <v>97926.399999999994</v>
      </c>
      <c r="AY165" s="386">
        <f t="shared" si="171"/>
        <v>73444.800000000003</v>
      </c>
      <c r="AZ165" s="386" t="str">
        <f t="shared" si="172"/>
        <v/>
      </c>
      <c r="BA165" s="386">
        <f t="shared" si="173"/>
        <v>0</v>
      </c>
      <c r="BB165" s="386">
        <f t="shared" si="186"/>
        <v>9375</v>
      </c>
      <c r="BC165" s="386">
        <f t="shared" si="187"/>
        <v>0</v>
      </c>
      <c r="BD165" s="386">
        <f t="shared" si="188"/>
        <v>4553.5776000000005</v>
      </c>
      <c r="BE165" s="386">
        <f t="shared" si="189"/>
        <v>1064.9496000000001</v>
      </c>
      <c r="BF165" s="386">
        <f t="shared" si="190"/>
        <v>8769.3091199999999</v>
      </c>
      <c r="BG165" s="386">
        <f t="shared" si="191"/>
        <v>529.53700800000001</v>
      </c>
      <c r="BH165" s="386">
        <f t="shared" si="192"/>
        <v>0</v>
      </c>
      <c r="BI165" s="386">
        <f t="shared" si="193"/>
        <v>0</v>
      </c>
      <c r="BJ165" s="386">
        <f t="shared" si="194"/>
        <v>132.20063999999999</v>
      </c>
      <c r="BK165" s="386">
        <f t="shared" si="195"/>
        <v>0</v>
      </c>
      <c r="BL165" s="386">
        <f t="shared" si="174"/>
        <v>15049.573967999999</v>
      </c>
      <c r="BM165" s="386">
        <f t="shared" si="175"/>
        <v>0</v>
      </c>
      <c r="BN165" s="386">
        <f t="shared" si="196"/>
        <v>10312.5</v>
      </c>
      <c r="BO165" s="386">
        <f t="shared" si="197"/>
        <v>0</v>
      </c>
      <c r="BP165" s="386">
        <f t="shared" si="198"/>
        <v>4553.5776000000005</v>
      </c>
      <c r="BQ165" s="386">
        <f t="shared" si="199"/>
        <v>1064.9496000000001</v>
      </c>
      <c r="BR165" s="386">
        <f t="shared" si="200"/>
        <v>8211.1286400000008</v>
      </c>
      <c r="BS165" s="386">
        <f t="shared" si="201"/>
        <v>529.53700800000001</v>
      </c>
      <c r="BT165" s="386">
        <f t="shared" si="202"/>
        <v>0</v>
      </c>
      <c r="BU165" s="386">
        <f t="shared" si="203"/>
        <v>0</v>
      </c>
      <c r="BV165" s="386">
        <f t="shared" si="204"/>
        <v>139.54512</v>
      </c>
      <c r="BW165" s="386">
        <f t="shared" si="205"/>
        <v>0</v>
      </c>
      <c r="BX165" s="386">
        <f t="shared" si="176"/>
        <v>14498.737968000001</v>
      </c>
      <c r="BY165" s="386">
        <f t="shared" si="177"/>
        <v>0</v>
      </c>
      <c r="BZ165" s="386">
        <f t="shared" si="178"/>
        <v>937.5</v>
      </c>
      <c r="CA165" s="386">
        <f t="shared" si="179"/>
        <v>0</v>
      </c>
      <c r="CB165" s="386">
        <f t="shared" si="180"/>
        <v>0</v>
      </c>
      <c r="CC165" s="386">
        <f t="shared" si="206"/>
        <v>0</v>
      </c>
      <c r="CD165" s="386">
        <f t="shared" si="207"/>
        <v>-558.18048000000067</v>
      </c>
      <c r="CE165" s="386">
        <f t="shared" si="208"/>
        <v>0</v>
      </c>
      <c r="CF165" s="386">
        <f t="shared" si="209"/>
        <v>0</v>
      </c>
      <c r="CG165" s="386">
        <f t="shared" si="210"/>
        <v>0</v>
      </c>
      <c r="CH165" s="386">
        <f t="shared" si="211"/>
        <v>7.3444800000000035</v>
      </c>
      <c r="CI165" s="386">
        <f t="shared" si="212"/>
        <v>0</v>
      </c>
      <c r="CJ165" s="386">
        <f t="shared" si="181"/>
        <v>-550.83600000000069</v>
      </c>
      <c r="CK165" s="386" t="str">
        <f t="shared" si="182"/>
        <v/>
      </c>
      <c r="CL165" s="386" t="str">
        <f t="shared" si="183"/>
        <v/>
      </c>
      <c r="CM165" s="386" t="str">
        <f t="shared" si="184"/>
        <v/>
      </c>
      <c r="CN165" s="386" t="str">
        <f t="shared" si="185"/>
        <v>0480-00</v>
      </c>
    </row>
    <row r="166" spans="1:92" ht="15.75" thickBot="1" x14ac:dyDescent="0.3">
      <c r="A166" s="376" t="s">
        <v>162</v>
      </c>
      <c r="B166" s="376" t="s">
        <v>163</v>
      </c>
      <c r="C166" s="376" t="s">
        <v>593</v>
      </c>
      <c r="D166" s="376" t="s">
        <v>542</v>
      </c>
      <c r="E166" s="376" t="s">
        <v>505</v>
      </c>
      <c r="F166" s="377" t="s">
        <v>167</v>
      </c>
      <c r="G166" s="376" t="s">
        <v>506</v>
      </c>
      <c r="H166" s="378"/>
      <c r="I166" s="378"/>
      <c r="J166" s="376" t="s">
        <v>169</v>
      </c>
      <c r="K166" s="376" t="s">
        <v>543</v>
      </c>
      <c r="L166" s="376" t="s">
        <v>167</v>
      </c>
      <c r="M166" s="376" t="s">
        <v>172</v>
      </c>
      <c r="N166" s="376" t="s">
        <v>173</v>
      </c>
      <c r="O166" s="379">
        <v>1</v>
      </c>
      <c r="P166" s="384">
        <v>1</v>
      </c>
      <c r="Q166" s="384">
        <v>1</v>
      </c>
      <c r="R166" s="380">
        <v>80</v>
      </c>
      <c r="S166" s="384">
        <v>1</v>
      </c>
      <c r="T166" s="380">
        <v>45664.33</v>
      </c>
      <c r="U166" s="380">
        <v>3735.27</v>
      </c>
      <c r="V166" s="380">
        <v>21797.75</v>
      </c>
      <c r="W166" s="380">
        <v>47065.2</v>
      </c>
      <c r="X166" s="380">
        <v>22144.11</v>
      </c>
      <c r="Y166" s="380">
        <v>47065.2</v>
      </c>
      <c r="Z166" s="380">
        <v>23041.119999999999</v>
      </c>
      <c r="AA166" s="376" t="s">
        <v>594</v>
      </c>
      <c r="AB166" s="376" t="s">
        <v>595</v>
      </c>
      <c r="AC166" s="376" t="s">
        <v>596</v>
      </c>
      <c r="AD166" s="376" t="s">
        <v>181</v>
      </c>
      <c r="AE166" s="376" t="s">
        <v>543</v>
      </c>
      <c r="AF166" s="376" t="s">
        <v>178</v>
      </c>
      <c r="AG166" s="376" t="s">
        <v>179</v>
      </c>
      <c r="AH166" s="381">
        <v>21.55</v>
      </c>
      <c r="AI166" s="381">
        <v>3281.2</v>
      </c>
      <c r="AJ166" s="376" t="s">
        <v>180</v>
      </c>
      <c r="AK166" s="376" t="s">
        <v>181</v>
      </c>
      <c r="AL166" s="376" t="s">
        <v>182</v>
      </c>
      <c r="AM166" s="376" t="s">
        <v>183</v>
      </c>
      <c r="AN166" s="376" t="s">
        <v>66</v>
      </c>
      <c r="AO166" s="379">
        <v>80</v>
      </c>
      <c r="AP166" s="384">
        <v>1</v>
      </c>
      <c r="AQ166" s="384">
        <v>1</v>
      </c>
      <c r="AR166" s="382">
        <v>5</v>
      </c>
      <c r="AS166" s="386">
        <f t="shared" si="169"/>
        <v>1</v>
      </c>
      <c r="AT166">
        <f t="shared" si="170"/>
        <v>1</v>
      </c>
      <c r="AU166" s="386">
        <f>IF(AT166=0,"",IF(AND(AT166=1,M166="F",SUMIF(C2:C201,C166,AS2:AS201)&lt;=1),SUMIF(C2:C201,C166,AS2:AS201),IF(AND(AT166=1,M166="F",SUMIF(C2:C201,C166,AS2:AS201)&gt;1),1,"")))</f>
        <v>1</v>
      </c>
      <c r="AV166" s="386" t="str">
        <f>IF(AT166=0,"",IF(AND(AT166=3,M166="F",SUMIF(C2:C201,C166,AS2:AS201)&lt;=1),SUMIF(C2:C201,C166,AS2:AS201),IF(AND(AT166=3,M166="F",SUMIF(C2:C201,C166,AS2:AS201)&gt;1),1,"")))</f>
        <v/>
      </c>
      <c r="AW166" s="386">
        <f>SUMIF(C2:C201,C166,O2:O201)</f>
        <v>1</v>
      </c>
      <c r="AX166" s="386">
        <f>IF(AND(M166="F",AS166&lt;&gt;0),SUMIF(C2:C201,C166,W2:W201),0)</f>
        <v>47065.2</v>
      </c>
      <c r="AY166" s="386">
        <f t="shared" si="171"/>
        <v>47065.2</v>
      </c>
      <c r="AZ166" s="386" t="str">
        <f t="shared" si="172"/>
        <v/>
      </c>
      <c r="BA166" s="386">
        <f t="shared" si="173"/>
        <v>0</v>
      </c>
      <c r="BB166" s="386">
        <f t="shared" si="186"/>
        <v>12500</v>
      </c>
      <c r="BC166" s="386">
        <f t="shared" si="187"/>
        <v>0</v>
      </c>
      <c r="BD166" s="386">
        <f t="shared" si="188"/>
        <v>2918.0423999999998</v>
      </c>
      <c r="BE166" s="386">
        <f t="shared" si="189"/>
        <v>682.44539999999995</v>
      </c>
      <c r="BF166" s="386">
        <f t="shared" si="190"/>
        <v>5619.5848800000003</v>
      </c>
      <c r="BG166" s="386">
        <f t="shared" si="191"/>
        <v>339.34009199999997</v>
      </c>
      <c r="BH166" s="386">
        <f t="shared" si="192"/>
        <v>0</v>
      </c>
      <c r="BI166" s="386">
        <f t="shared" si="193"/>
        <v>0</v>
      </c>
      <c r="BJ166" s="386">
        <f t="shared" si="194"/>
        <v>84.717359999999999</v>
      </c>
      <c r="BK166" s="386">
        <f t="shared" si="195"/>
        <v>0</v>
      </c>
      <c r="BL166" s="386">
        <f t="shared" si="174"/>
        <v>9644.130132000002</v>
      </c>
      <c r="BM166" s="386">
        <f t="shared" si="175"/>
        <v>0</v>
      </c>
      <c r="BN166" s="386">
        <f t="shared" si="196"/>
        <v>13750</v>
      </c>
      <c r="BO166" s="386">
        <f t="shared" si="197"/>
        <v>0</v>
      </c>
      <c r="BP166" s="386">
        <f t="shared" si="198"/>
        <v>2918.0423999999998</v>
      </c>
      <c r="BQ166" s="386">
        <f t="shared" si="199"/>
        <v>682.44539999999995</v>
      </c>
      <c r="BR166" s="386">
        <f t="shared" si="200"/>
        <v>5261.8893599999992</v>
      </c>
      <c r="BS166" s="386">
        <f t="shared" si="201"/>
        <v>339.34009199999997</v>
      </c>
      <c r="BT166" s="386">
        <f t="shared" si="202"/>
        <v>0</v>
      </c>
      <c r="BU166" s="386">
        <f t="shared" si="203"/>
        <v>0</v>
      </c>
      <c r="BV166" s="386">
        <f t="shared" si="204"/>
        <v>89.423879999999997</v>
      </c>
      <c r="BW166" s="386">
        <f t="shared" si="205"/>
        <v>0</v>
      </c>
      <c r="BX166" s="386">
        <f t="shared" si="176"/>
        <v>9291.1411320000007</v>
      </c>
      <c r="BY166" s="386">
        <f t="shared" si="177"/>
        <v>0</v>
      </c>
      <c r="BZ166" s="386">
        <f t="shared" si="178"/>
        <v>1250</v>
      </c>
      <c r="CA166" s="386">
        <f t="shared" si="179"/>
        <v>0</v>
      </c>
      <c r="CB166" s="386">
        <f t="shared" si="180"/>
        <v>0</v>
      </c>
      <c r="CC166" s="386">
        <f t="shared" si="206"/>
        <v>0</v>
      </c>
      <c r="CD166" s="386">
        <f t="shared" si="207"/>
        <v>-357.69552000000044</v>
      </c>
      <c r="CE166" s="386">
        <f t="shared" si="208"/>
        <v>0</v>
      </c>
      <c r="CF166" s="386">
        <f t="shared" si="209"/>
        <v>0</v>
      </c>
      <c r="CG166" s="386">
        <f t="shared" si="210"/>
        <v>0</v>
      </c>
      <c r="CH166" s="386">
        <f t="shared" si="211"/>
        <v>4.706520000000002</v>
      </c>
      <c r="CI166" s="386">
        <f t="shared" si="212"/>
        <v>0</v>
      </c>
      <c r="CJ166" s="386">
        <f t="shared" si="181"/>
        <v>-352.98900000000043</v>
      </c>
      <c r="CK166" s="386" t="str">
        <f t="shared" si="182"/>
        <v/>
      </c>
      <c r="CL166" s="386" t="str">
        <f t="shared" si="183"/>
        <v/>
      </c>
      <c r="CM166" s="386" t="str">
        <f t="shared" si="184"/>
        <v/>
      </c>
      <c r="CN166" s="386" t="str">
        <f t="shared" si="185"/>
        <v>0480-00</v>
      </c>
    </row>
    <row r="167" spans="1:92" ht="15.75" thickBot="1" x14ac:dyDescent="0.3">
      <c r="A167" s="376" t="s">
        <v>162</v>
      </c>
      <c r="B167" s="376" t="s">
        <v>163</v>
      </c>
      <c r="C167" s="376" t="s">
        <v>243</v>
      </c>
      <c r="D167" s="376" t="s">
        <v>244</v>
      </c>
      <c r="E167" s="376" t="s">
        <v>505</v>
      </c>
      <c r="F167" s="377" t="s">
        <v>167</v>
      </c>
      <c r="G167" s="376" t="s">
        <v>506</v>
      </c>
      <c r="H167" s="378"/>
      <c r="I167" s="378"/>
      <c r="J167" s="376" t="s">
        <v>220</v>
      </c>
      <c r="K167" s="376" t="s">
        <v>245</v>
      </c>
      <c r="L167" s="376" t="s">
        <v>179</v>
      </c>
      <c r="M167" s="376" t="s">
        <v>172</v>
      </c>
      <c r="N167" s="376" t="s">
        <v>173</v>
      </c>
      <c r="O167" s="379">
        <v>1</v>
      </c>
      <c r="P167" s="384">
        <v>0.45</v>
      </c>
      <c r="Q167" s="384">
        <v>0.45</v>
      </c>
      <c r="R167" s="380">
        <v>80</v>
      </c>
      <c r="S167" s="384">
        <v>0.45</v>
      </c>
      <c r="T167" s="380">
        <v>16819.2</v>
      </c>
      <c r="U167" s="380">
        <v>0</v>
      </c>
      <c r="V167" s="380">
        <v>8720.3700000000008</v>
      </c>
      <c r="W167" s="380">
        <v>18720</v>
      </c>
      <c r="X167" s="380">
        <v>9460.91</v>
      </c>
      <c r="Y167" s="380">
        <v>18720</v>
      </c>
      <c r="Z167" s="380">
        <v>9883.01</v>
      </c>
      <c r="AA167" s="376" t="s">
        <v>246</v>
      </c>
      <c r="AB167" s="376" t="s">
        <v>247</v>
      </c>
      <c r="AC167" s="376" t="s">
        <v>248</v>
      </c>
      <c r="AD167" s="376" t="s">
        <v>171</v>
      </c>
      <c r="AE167" s="376" t="s">
        <v>245</v>
      </c>
      <c r="AF167" s="376" t="s">
        <v>178</v>
      </c>
      <c r="AG167" s="376" t="s">
        <v>179</v>
      </c>
      <c r="AH167" s="379">
        <v>20</v>
      </c>
      <c r="AI167" s="379">
        <v>264</v>
      </c>
      <c r="AJ167" s="376" t="s">
        <v>180</v>
      </c>
      <c r="AK167" s="376" t="s">
        <v>181</v>
      </c>
      <c r="AL167" s="376" t="s">
        <v>182</v>
      </c>
      <c r="AM167" s="376" t="s">
        <v>183</v>
      </c>
      <c r="AN167" s="376" t="s">
        <v>66</v>
      </c>
      <c r="AO167" s="379">
        <v>80</v>
      </c>
      <c r="AP167" s="384">
        <v>1</v>
      </c>
      <c r="AQ167" s="384">
        <v>0.45</v>
      </c>
      <c r="AR167" s="382" t="s">
        <v>184</v>
      </c>
      <c r="AS167" s="386">
        <f t="shared" si="169"/>
        <v>0.45</v>
      </c>
      <c r="AT167">
        <f t="shared" si="170"/>
        <v>1</v>
      </c>
      <c r="AU167" s="386">
        <f>IF(AT167=0,"",IF(AND(AT167=1,M167="F",SUMIF(C2:C201,C167,AS2:AS201)&lt;=1),SUMIF(C2:C201,C167,AS2:AS201),IF(AND(AT167=1,M167="F",SUMIF(C2:C201,C167,AS2:AS201)&gt;1),1,"")))</f>
        <v>1</v>
      </c>
      <c r="AV167" s="386" t="str">
        <f>IF(AT167=0,"",IF(AND(AT167=3,M167="F",SUMIF(C2:C201,C167,AS2:AS201)&lt;=1),SUMIF(C2:C201,C167,AS2:AS201),IF(AND(AT167=3,M167="F",SUMIF(C2:C201,C167,AS2:AS201)&gt;1),1,"")))</f>
        <v/>
      </c>
      <c r="AW167" s="386">
        <f>SUMIF(C2:C201,C167,O2:O201)</f>
        <v>4</v>
      </c>
      <c r="AX167" s="386">
        <f>IF(AND(M167="F",AS167&lt;&gt;0),SUMIF(C2:C201,C167,W2:W201),0)</f>
        <v>41600</v>
      </c>
      <c r="AY167" s="386">
        <f t="shared" si="171"/>
        <v>18720</v>
      </c>
      <c r="AZ167" s="386" t="str">
        <f t="shared" si="172"/>
        <v/>
      </c>
      <c r="BA167" s="386">
        <f t="shared" si="173"/>
        <v>0</v>
      </c>
      <c r="BB167" s="386">
        <f t="shared" si="186"/>
        <v>5625</v>
      </c>
      <c r="BC167" s="386">
        <f t="shared" si="187"/>
        <v>0</v>
      </c>
      <c r="BD167" s="386">
        <f t="shared" si="188"/>
        <v>1160.6400000000001</v>
      </c>
      <c r="BE167" s="386">
        <f t="shared" si="189"/>
        <v>271.44</v>
      </c>
      <c r="BF167" s="386">
        <f t="shared" si="190"/>
        <v>2235.1680000000001</v>
      </c>
      <c r="BG167" s="386">
        <f t="shared" si="191"/>
        <v>134.97120000000001</v>
      </c>
      <c r="BH167" s="386">
        <f t="shared" si="192"/>
        <v>0</v>
      </c>
      <c r="BI167" s="386">
        <f t="shared" si="193"/>
        <v>0</v>
      </c>
      <c r="BJ167" s="386">
        <f t="shared" si="194"/>
        <v>33.695999999999998</v>
      </c>
      <c r="BK167" s="386">
        <f t="shared" si="195"/>
        <v>0</v>
      </c>
      <c r="BL167" s="386">
        <f t="shared" si="174"/>
        <v>3835.9152000000004</v>
      </c>
      <c r="BM167" s="386">
        <f t="shared" si="175"/>
        <v>0</v>
      </c>
      <c r="BN167" s="386">
        <f t="shared" si="196"/>
        <v>6187.5</v>
      </c>
      <c r="BO167" s="386">
        <f t="shared" si="197"/>
        <v>0</v>
      </c>
      <c r="BP167" s="386">
        <f t="shared" si="198"/>
        <v>1160.6400000000001</v>
      </c>
      <c r="BQ167" s="386">
        <f t="shared" si="199"/>
        <v>271.44</v>
      </c>
      <c r="BR167" s="386">
        <f t="shared" si="200"/>
        <v>2092.8959999999997</v>
      </c>
      <c r="BS167" s="386">
        <f t="shared" si="201"/>
        <v>134.97120000000001</v>
      </c>
      <c r="BT167" s="386">
        <f t="shared" si="202"/>
        <v>0</v>
      </c>
      <c r="BU167" s="386">
        <f t="shared" si="203"/>
        <v>0</v>
      </c>
      <c r="BV167" s="386">
        <f t="shared" si="204"/>
        <v>35.567999999999998</v>
      </c>
      <c r="BW167" s="386">
        <f t="shared" si="205"/>
        <v>0</v>
      </c>
      <c r="BX167" s="386">
        <f t="shared" si="176"/>
        <v>3695.5151999999998</v>
      </c>
      <c r="BY167" s="386">
        <f t="shared" si="177"/>
        <v>0</v>
      </c>
      <c r="BZ167" s="386">
        <f t="shared" si="178"/>
        <v>562.5</v>
      </c>
      <c r="CA167" s="386">
        <f t="shared" si="179"/>
        <v>0</v>
      </c>
      <c r="CB167" s="386">
        <f t="shared" si="180"/>
        <v>0</v>
      </c>
      <c r="CC167" s="386">
        <f t="shared" si="206"/>
        <v>0</v>
      </c>
      <c r="CD167" s="386">
        <f t="shared" si="207"/>
        <v>-142.27200000000019</v>
      </c>
      <c r="CE167" s="386">
        <f t="shared" si="208"/>
        <v>0</v>
      </c>
      <c r="CF167" s="386">
        <f t="shared" si="209"/>
        <v>0</v>
      </c>
      <c r="CG167" s="386">
        <f t="shared" si="210"/>
        <v>0</v>
      </c>
      <c r="CH167" s="386">
        <f t="shared" si="211"/>
        <v>1.8720000000000008</v>
      </c>
      <c r="CI167" s="386">
        <f t="shared" si="212"/>
        <v>0</v>
      </c>
      <c r="CJ167" s="386">
        <f t="shared" si="181"/>
        <v>-140.40000000000018</v>
      </c>
      <c r="CK167" s="386" t="str">
        <f t="shared" si="182"/>
        <v/>
      </c>
      <c r="CL167" s="386" t="str">
        <f t="shared" si="183"/>
        <v/>
      </c>
      <c r="CM167" s="386" t="str">
        <f t="shared" si="184"/>
        <v/>
      </c>
      <c r="CN167" s="386" t="str">
        <f t="shared" si="185"/>
        <v>0480-00</v>
      </c>
    </row>
    <row r="168" spans="1:92" ht="15.75" thickBot="1" x14ac:dyDescent="0.3">
      <c r="A168" s="376" t="s">
        <v>162</v>
      </c>
      <c r="B168" s="376" t="s">
        <v>163</v>
      </c>
      <c r="C168" s="376" t="s">
        <v>597</v>
      </c>
      <c r="D168" s="376" t="s">
        <v>598</v>
      </c>
      <c r="E168" s="376" t="s">
        <v>505</v>
      </c>
      <c r="F168" s="377" t="s">
        <v>167</v>
      </c>
      <c r="G168" s="376" t="s">
        <v>506</v>
      </c>
      <c r="H168" s="378"/>
      <c r="I168" s="378"/>
      <c r="J168" s="376" t="s">
        <v>169</v>
      </c>
      <c r="K168" s="376" t="s">
        <v>599</v>
      </c>
      <c r="L168" s="376" t="s">
        <v>171</v>
      </c>
      <c r="M168" s="376" t="s">
        <v>172</v>
      </c>
      <c r="N168" s="376" t="s">
        <v>173</v>
      </c>
      <c r="O168" s="379">
        <v>1</v>
      </c>
      <c r="P168" s="384">
        <v>1</v>
      </c>
      <c r="Q168" s="384">
        <v>1</v>
      </c>
      <c r="R168" s="380">
        <v>80</v>
      </c>
      <c r="S168" s="384">
        <v>1</v>
      </c>
      <c r="T168" s="380">
        <v>82474.039999999994</v>
      </c>
      <c r="U168" s="380">
        <v>320.16000000000003</v>
      </c>
      <c r="V168" s="380">
        <v>28862.79</v>
      </c>
      <c r="W168" s="380">
        <v>79213.679999999993</v>
      </c>
      <c r="X168" s="380">
        <v>28731.65</v>
      </c>
      <c r="Y168" s="380">
        <v>79213.679999999993</v>
      </c>
      <c r="Z168" s="380">
        <v>29387.54</v>
      </c>
      <c r="AA168" s="376" t="s">
        <v>600</v>
      </c>
      <c r="AB168" s="376" t="s">
        <v>601</v>
      </c>
      <c r="AC168" s="376" t="s">
        <v>602</v>
      </c>
      <c r="AD168" s="376" t="s">
        <v>603</v>
      </c>
      <c r="AE168" s="376" t="s">
        <v>599</v>
      </c>
      <c r="AF168" s="376" t="s">
        <v>178</v>
      </c>
      <c r="AG168" s="376" t="s">
        <v>179</v>
      </c>
      <c r="AH168" s="381">
        <v>36.270000000000003</v>
      </c>
      <c r="AI168" s="381">
        <v>14774.3</v>
      </c>
      <c r="AJ168" s="376" t="s">
        <v>180</v>
      </c>
      <c r="AK168" s="376" t="s">
        <v>181</v>
      </c>
      <c r="AL168" s="376" t="s">
        <v>182</v>
      </c>
      <c r="AM168" s="376" t="s">
        <v>183</v>
      </c>
      <c r="AN168" s="376" t="s">
        <v>66</v>
      </c>
      <c r="AO168" s="379">
        <v>80</v>
      </c>
      <c r="AP168" s="384">
        <v>1</v>
      </c>
      <c r="AQ168" s="384">
        <v>1</v>
      </c>
      <c r="AR168" s="382">
        <v>5</v>
      </c>
      <c r="AS168" s="386">
        <f t="shared" si="169"/>
        <v>1</v>
      </c>
      <c r="AT168">
        <f t="shared" si="170"/>
        <v>1</v>
      </c>
      <c r="AU168" s="386">
        <f>IF(AT168=0,"",IF(AND(AT168=1,M168="F",SUMIF(C2:C201,C168,AS2:AS201)&lt;=1),SUMIF(C2:C201,C168,AS2:AS201),IF(AND(AT168=1,M168="F",SUMIF(C2:C201,C168,AS2:AS201)&gt;1),1,"")))</f>
        <v>1</v>
      </c>
      <c r="AV168" s="386" t="str">
        <f>IF(AT168=0,"",IF(AND(AT168=3,M168="F",SUMIF(C2:C201,C168,AS2:AS201)&lt;=1),SUMIF(C2:C201,C168,AS2:AS201),IF(AND(AT168=3,M168="F",SUMIF(C2:C201,C168,AS2:AS201)&gt;1),1,"")))</f>
        <v/>
      </c>
      <c r="AW168" s="386">
        <f>SUMIF(C2:C201,C168,O2:O201)</f>
        <v>1</v>
      </c>
      <c r="AX168" s="386">
        <f>IF(AND(M168="F",AS168&lt;&gt;0),SUMIF(C2:C201,C168,W2:W201),0)</f>
        <v>79213.679999999993</v>
      </c>
      <c r="AY168" s="386">
        <f t="shared" si="171"/>
        <v>79213.679999999993</v>
      </c>
      <c r="AZ168" s="386" t="str">
        <f t="shared" si="172"/>
        <v/>
      </c>
      <c r="BA168" s="386">
        <f t="shared" si="173"/>
        <v>0</v>
      </c>
      <c r="BB168" s="386">
        <f t="shared" si="186"/>
        <v>12500</v>
      </c>
      <c r="BC168" s="386">
        <f t="shared" si="187"/>
        <v>0</v>
      </c>
      <c r="BD168" s="386">
        <f t="shared" si="188"/>
        <v>4911.2481599999992</v>
      </c>
      <c r="BE168" s="386">
        <f t="shared" si="189"/>
        <v>1148.59836</v>
      </c>
      <c r="BF168" s="386">
        <f t="shared" si="190"/>
        <v>9458.1133919999993</v>
      </c>
      <c r="BG168" s="386">
        <f t="shared" si="191"/>
        <v>571.13063279999994</v>
      </c>
      <c r="BH168" s="386">
        <f t="shared" si="192"/>
        <v>0</v>
      </c>
      <c r="BI168" s="386">
        <f t="shared" si="193"/>
        <v>0</v>
      </c>
      <c r="BJ168" s="386">
        <f t="shared" si="194"/>
        <v>142.58462399999999</v>
      </c>
      <c r="BK168" s="386">
        <f t="shared" si="195"/>
        <v>0</v>
      </c>
      <c r="BL168" s="386">
        <f t="shared" si="174"/>
        <v>16231.675168799997</v>
      </c>
      <c r="BM168" s="386">
        <f t="shared" si="175"/>
        <v>0</v>
      </c>
      <c r="BN168" s="386">
        <f t="shared" si="196"/>
        <v>13750</v>
      </c>
      <c r="BO168" s="386">
        <f t="shared" si="197"/>
        <v>0</v>
      </c>
      <c r="BP168" s="386">
        <f t="shared" si="198"/>
        <v>4911.2481599999992</v>
      </c>
      <c r="BQ168" s="386">
        <f t="shared" si="199"/>
        <v>1148.59836</v>
      </c>
      <c r="BR168" s="386">
        <f t="shared" si="200"/>
        <v>8856.0894239999998</v>
      </c>
      <c r="BS168" s="386">
        <f t="shared" si="201"/>
        <v>571.13063279999994</v>
      </c>
      <c r="BT168" s="386">
        <f t="shared" si="202"/>
        <v>0</v>
      </c>
      <c r="BU168" s="386">
        <f t="shared" si="203"/>
        <v>0</v>
      </c>
      <c r="BV168" s="386">
        <f t="shared" si="204"/>
        <v>150.50599199999999</v>
      </c>
      <c r="BW168" s="386">
        <f t="shared" si="205"/>
        <v>0</v>
      </c>
      <c r="BX168" s="386">
        <f t="shared" si="176"/>
        <v>15637.572568799998</v>
      </c>
      <c r="BY168" s="386">
        <f t="shared" si="177"/>
        <v>0</v>
      </c>
      <c r="BZ168" s="386">
        <f t="shared" si="178"/>
        <v>1250</v>
      </c>
      <c r="CA168" s="386">
        <f t="shared" si="179"/>
        <v>0</v>
      </c>
      <c r="CB168" s="386">
        <f t="shared" si="180"/>
        <v>0</v>
      </c>
      <c r="CC168" s="386">
        <f t="shared" si="206"/>
        <v>0</v>
      </c>
      <c r="CD168" s="386">
        <f t="shared" si="207"/>
        <v>-602.02396800000065</v>
      </c>
      <c r="CE168" s="386">
        <f t="shared" si="208"/>
        <v>0</v>
      </c>
      <c r="CF168" s="386">
        <f t="shared" si="209"/>
        <v>0</v>
      </c>
      <c r="CG168" s="386">
        <f t="shared" si="210"/>
        <v>0</v>
      </c>
      <c r="CH168" s="386">
        <f t="shared" si="211"/>
        <v>7.9213680000000029</v>
      </c>
      <c r="CI168" s="386">
        <f t="shared" si="212"/>
        <v>0</v>
      </c>
      <c r="CJ168" s="386">
        <f t="shared" si="181"/>
        <v>-594.10260000000062</v>
      </c>
      <c r="CK168" s="386" t="str">
        <f t="shared" si="182"/>
        <v/>
      </c>
      <c r="CL168" s="386" t="str">
        <f t="shared" si="183"/>
        <v/>
      </c>
      <c r="CM168" s="386" t="str">
        <f t="shared" si="184"/>
        <v/>
      </c>
      <c r="CN168" s="386" t="str">
        <f t="shared" si="185"/>
        <v>0480-00</v>
      </c>
    </row>
    <row r="169" spans="1:92" ht="15.75" thickBot="1" x14ac:dyDescent="0.3">
      <c r="A169" s="376" t="s">
        <v>162</v>
      </c>
      <c r="B169" s="376" t="s">
        <v>163</v>
      </c>
      <c r="C169" s="376" t="s">
        <v>604</v>
      </c>
      <c r="D169" s="376" t="s">
        <v>605</v>
      </c>
      <c r="E169" s="376" t="s">
        <v>505</v>
      </c>
      <c r="F169" s="377" t="s">
        <v>167</v>
      </c>
      <c r="G169" s="376" t="s">
        <v>506</v>
      </c>
      <c r="H169" s="378"/>
      <c r="I169" s="378"/>
      <c r="J169" s="376" t="s">
        <v>169</v>
      </c>
      <c r="K169" s="376" t="s">
        <v>606</v>
      </c>
      <c r="L169" s="376" t="s">
        <v>194</v>
      </c>
      <c r="M169" s="376" t="s">
        <v>172</v>
      </c>
      <c r="N169" s="376" t="s">
        <v>173</v>
      </c>
      <c r="O169" s="379">
        <v>1</v>
      </c>
      <c r="P169" s="384">
        <v>1</v>
      </c>
      <c r="Q169" s="384">
        <v>1</v>
      </c>
      <c r="R169" s="380">
        <v>80</v>
      </c>
      <c r="S169" s="384">
        <v>1</v>
      </c>
      <c r="T169" s="380">
        <v>50076.03</v>
      </c>
      <c r="U169" s="380">
        <v>0</v>
      </c>
      <c r="V169" s="380">
        <v>22105.74</v>
      </c>
      <c r="W169" s="380">
        <v>50336</v>
      </c>
      <c r="X169" s="380">
        <v>22814.33</v>
      </c>
      <c r="Y169" s="380">
        <v>50336</v>
      </c>
      <c r="Z169" s="380">
        <v>23686.81</v>
      </c>
      <c r="AA169" s="376" t="s">
        <v>607</v>
      </c>
      <c r="AB169" s="376" t="s">
        <v>608</v>
      </c>
      <c r="AC169" s="376" t="s">
        <v>609</v>
      </c>
      <c r="AD169" s="376" t="s">
        <v>177</v>
      </c>
      <c r="AE169" s="376" t="s">
        <v>606</v>
      </c>
      <c r="AF169" s="376" t="s">
        <v>178</v>
      </c>
      <c r="AG169" s="376" t="s">
        <v>179</v>
      </c>
      <c r="AH169" s="381">
        <v>24.2</v>
      </c>
      <c r="AI169" s="379">
        <v>40469</v>
      </c>
      <c r="AJ169" s="376" t="s">
        <v>180</v>
      </c>
      <c r="AK169" s="376" t="s">
        <v>181</v>
      </c>
      <c r="AL169" s="376" t="s">
        <v>182</v>
      </c>
      <c r="AM169" s="376" t="s">
        <v>183</v>
      </c>
      <c r="AN169" s="376" t="s">
        <v>66</v>
      </c>
      <c r="AO169" s="379">
        <v>80</v>
      </c>
      <c r="AP169" s="384">
        <v>1</v>
      </c>
      <c r="AQ169" s="384">
        <v>1</v>
      </c>
      <c r="AR169" s="382" t="s">
        <v>184</v>
      </c>
      <c r="AS169" s="386">
        <f t="shared" si="169"/>
        <v>1</v>
      </c>
      <c r="AT169">
        <f t="shared" si="170"/>
        <v>1</v>
      </c>
      <c r="AU169" s="386">
        <f>IF(AT169=0,"",IF(AND(AT169=1,M169="F",SUMIF(C2:C201,C169,AS2:AS201)&lt;=1),SUMIF(C2:C201,C169,AS2:AS201),IF(AND(AT169=1,M169="F",SUMIF(C2:C201,C169,AS2:AS201)&gt;1),1,"")))</f>
        <v>1</v>
      </c>
      <c r="AV169" s="386" t="str">
        <f>IF(AT169=0,"",IF(AND(AT169=3,M169="F",SUMIF(C2:C201,C169,AS2:AS201)&lt;=1),SUMIF(C2:C201,C169,AS2:AS201),IF(AND(AT169=3,M169="F",SUMIF(C2:C201,C169,AS2:AS201)&gt;1),1,"")))</f>
        <v/>
      </c>
      <c r="AW169" s="386">
        <f>SUMIF(C2:C201,C169,O2:O201)</f>
        <v>1</v>
      </c>
      <c r="AX169" s="386">
        <f>IF(AND(M169="F",AS169&lt;&gt;0),SUMIF(C2:C201,C169,W2:W201),0)</f>
        <v>50336</v>
      </c>
      <c r="AY169" s="386">
        <f t="shared" si="171"/>
        <v>50336</v>
      </c>
      <c r="AZ169" s="386" t="str">
        <f t="shared" si="172"/>
        <v/>
      </c>
      <c r="BA169" s="386">
        <f t="shared" si="173"/>
        <v>0</v>
      </c>
      <c r="BB169" s="386">
        <f t="shared" si="186"/>
        <v>12500</v>
      </c>
      <c r="BC169" s="386">
        <f t="shared" si="187"/>
        <v>0</v>
      </c>
      <c r="BD169" s="386">
        <f t="shared" si="188"/>
        <v>3120.8319999999999</v>
      </c>
      <c r="BE169" s="386">
        <f t="shared" si="189"/>
        <v>729.87200000000007</v>
      </c>
      <c r="BF169" s="386">
        <f t="shared" si="190"/>
        <v>6010.1184000000003</v>
      </c>
      <c r="BG169" s="386">
        <f t="shared" si="191"/>
        <v>362.92256000000003</v>
      </c>
      <c r="BH169" s="386">
        <f t="shared" si="192"/>
        <v>0</v>
      </c>
      <c r="BI169" s="386">
        <f t="shared" si="193"/>
        <v>0</v>
      </c>
      <c r="BJ169" s="386">
        <f t="shared" si="194"/>
        <v>90.604799999999997</v>
      </c>
      <c r="BK169" s="386">
        <f t="shared" si="195"/>
        <v>0</v>
      </c>
      <c r="BL169" s="386">
        <f t="shared" si="174"/>
        <v>10314.349760000001</v>
      </c>
      <c r="BM169" s="386">
        <f t="shared" si="175"/>
        <v>0</v>
      </c>
      <c r="BN169" s="386">
        <f t="shared" si="196"/>
        <v>13750</v>
      </c>
      <c r="BO169" s="386">
        <f t="shared" si="197"/>
        <v>0</v>
      </c>
      <c r="BP169" s="386">
        <f t="shared" si="198"/>
        <v>3120.8319999999999</v>
      </c>
      <c r="BQ169" s="386">
        <f t="shared" si="199"/>
        <v>729.87200000000007</v>
      </c>
      <c r="BR169" s="386">
        <f t="shared" si="200"/>
        <v>5627.5648000000001</v>
      </c>
      <c r="BS169" s="386">
        <f t="shared" si="201"/>
        <v>362.92256000000003</v>
      </c>
      <c r="BT169" s="386">
        <f t="shared" si="202"/>
        <v>0</v>
      </c>
      <c r="BU169" s="386">
        <f t="shared" si="203"/>
        <v>0</v>
      </c>
      <c r="BV169" s="386">
        <f t="shared" si="204"/>
        <v>95.638400000000004</v>
      </c>
      <c r="BW169" s="386">
        <f t="shared" si="205"/>
        <v>0</v>
      </c>
      <c r="BX169" s="386">
        <f t="shared" si="176"/>
        <v>9936.8297600000005</v>
      </c>
      <c r="BY169" s="386">
        <f t="shared" si="177"/>
        <v>0</v>
      </c>
      <c r="BZ169" s="386">
        <f t="shared" si="178"/>
        <v>1250</v>
      </c>
      <c r="CA169" s="386">
        <f t="shared" si="179"/>
        <v>0</v>
      </c>
      <c r="CB169" s="386">
        <f t="shared" si="180"/>
        <v>0</v>
      </c>
      <c r="CC169" s="386">
        <f t="shared" si="206"/>
        <v>0</v>
      </c>
      <c r="CD169" s="386">
        <f t="shared" si="207"/>
        <v>-382.55360000000047</v>
      </c>
      <c r="CE169" s="386">
        <f t="shared" si="208"/>
        <v>0</v>
      </c>
      <c r="CF169" s="386">
        <f t="shared" si="209"/>
        <v>0</v>
      </c>
      <c r="CG169" s="386">
        <f t="shared" si="210"/>
        <v>0</v>
      </c>
      <c r="CH169" s="386">
        <f t="shared" si="211"/>
        <v>5.0336000000000025</v>
      </c>
      <c r="CI169" s="386">
        <f t="shared" si="212"/>
        <v>0</v>
      </c>
      <c r="CJ169" s="386">
        <f t="shared" si="181"/>
        <v>-377.52000000000049</v>
      </c>
      <c r="CK169" s="386" t="str">
        <f t="shared" si="182"/>
        <v/>
      </c>
      <c r="CL169" s="386" t="str">
        <f t="shared" si="183"/>
        <v/>
      </c>
      <c r="CM169" s="386" t="str">
        <f t="shared" si="184"/>
        <v/>
      </c>
      <c r="CN169" s="386" t="str">
        <f t="shared" si="185"/>
        <v>0480-00</v>
      </c>
    </row>
    <row r="170" spans="1:92" ht="15.75" thickBot="1" x14ac:dyDescent="0.3">
      <c r="A170" s="376" t="s">
        <v>162</v>
      </c>
      <c r="B170" s="376" t="s">
        <v>163</v>
      </c>
      <c r="C170" s="376" t="s">
        <v>610</v>
      </c>
      <c r="D170" s="376" t="s">
        <v>611</v>
      </c>
      <c r="E170" s="376" t="s">
        <v>505</v>
      </c>
      <c r="F170" s="377" t="s">
        <v>167</v>
      </c>
      <c r="G170" s="376" t="s">
        <v>506</v>
      </c>
      <c r="H170" s="378"/>
      <c r="I170" s="378"/>
      <c r="J170" s="376" t="s">
        <v>169</v>
      </c>
      <c r="K170" s="376" t="s">
        <v>612</v>
      </c>
      <c r="L170" s="376" t="s">
        <v>167</v>
      </c>
      <c r="M170" s="376" t="s">
        <v>172</v>
      </c>
      <c r="N170" s="376" t="s">
        <v>173</v>
      </c>
      <c r="O170" s="379">
        <v>1</v>
      </c>
      <c r="P170" s="384">
        <v>1</v>
      </c>
      <c r="Q170" s="384">
        <v>1</v>
      </c>
      <c r="R170" s="380">
        <v>80</v>
      </c>
      <c r="S170" s="384">
        <v>1</v>
      </c>
      <c r="T170" s="380">
        <v>61775.23</v>
      </c>
      <c r="U170" s="380">
        <v>0</v>
      </c>
      <c r="V170" s="380">
        <v>24325.119999999999</v>
      </c>
      <c r="W170" s="380">
        <v>59342.400000000001</v>
      </c>
      <c r="X170" s="380">
        <v>24659.82</v>
      </c>
      <c r="Y170" s="380">
        <v>59342.400000000001</v>
      </c>
      <c r="Z170" s="380">
        <v>25464.76</v>
      </c>
      <c r="AA170" s="376" t="s">
        <v>613</v>
      </c>
      <c r="AB170" s="376" t="s">
        <v>614</v>
      </c>
      <c r="AC170" s="376" t="s">
        <v>213</v>
      </c>
      <c r="AD170" s="376" t="s">
        <v>177</v>
      </c>
      <c r="AE170" s="376" t="s">
        <v>612</v>
      </c>
      <c r="AF170" s="376" t="s">
        <v>178</v>
      </c>
      <c r="AG170" s="376" t="s">
        <v>179</v>
      </c>
      <c r="AH170" s="381">
        <v>28.53</v>
      </c>
      <c r="AI170" s="381">
        <v>11560.8</v>
      </c>
      <c r="AJ170" s="376" t="s">
        <v>180</v>
      </c>
      <c r="AK170" s="376" t="s">
        <v>181</v>
      </c>
      <c r="AL170" s="376" t="s">
        <v>182</v>
      </c>
      <c r="AM170" s="376" t="s">
        <v>183</v>
      </c>
      <c r="AN170" s="376" t="s">
        <v>66</v>
      </c>
      <c r="AO170" s="379">
        <v>80</v>
      </c>
      <c r="AP170" s="384">
        <v>1</v>
      </c>
      <c r="AQ170" s="384">
        <v>1</v>
      </c>
      <c r="AR170" s="382" t="s">
        <v>184</v>
      </c>
      <c r="AS170" s="386">
        <f t="shared" si="169"/>
        <v>1</v>
      </c>
      <c r="AT170">
        <f t="shared" si="170"/>
        <v>1</v>
      </c>
      <c r="AU170" s="386">
        <f>IF(AT170=0,"",IF(AND(AT170=1,M170="F",SUMIF(C2:C201,C170,AS2:AS201)&lt;=1),SUMIF(C2:C201,C170,AS2:AS201),IF(AND(AT170=1,M170="F",SUMIF(C2:C201,C170,AS2:AS201)&gt;1),1,"")))</f>
        <v>1</v>
      </c>
      <c r="AV170" s="386" t="str">
        <f>IF(AT170=0,"",IF(AND(AT170=3,M170="F",SUMIF(C2:C201,C170,AS2:AS201)&lt;=1),SUMIF(C2:C201,C170,AS2:AS201),IF(AND(AT170=3,M170="F",SUMIF(C2:C201,C170,AS2:AS201)&gt;1),1,"")))</f>
        <v/>
      </c>
      <c r="AW170" s="386">
        <f>SUMIF(C2:C201,C170,O2:O201)</f>
        <v>1</v>
      </c>
      <c r="AX170" s="386">
        <f>IF(AND(M170="F",AS170&lt;&gt;0),SUMIF(C2:C201,C170,W2:W201),0)</f>
        <v>59342.400000000001</v>
      </c>
      <c r="AY170" s="386">
        <f t="shared" si="171"/>
        <v>59342.400000000001</v>
      </c>
      <c r="AZ170" s="386" t="str">
        <f t="shared" si="172"/>
        <v/>
      </c>
      <c r="BA170" s="386">
        <f t="shared" si="173"/>
        <v>0</v>
      </c>
      <c r="BB170" s="386">
        <f t="shared" si="186"/>
        <v>12500</v>
      </c>
      <c r="BC170" s="386">
        <f t="shared" si="187"/>
        <v>0</v>
      </c>
      <c r="BD170" s="386">
        <f t="shared" si="188"/>
        <v>3679.2287999999999</v>
      </c>
      <c r="BE170" s="386">
        <f t="shared" si="189"/>
        <v>860.46480000000008</v>
      </c>
      <c r="BF170" s="386">
        <f t="shared" si="190"/>
        <v>7085.4825600000004</v>
      </c>
      <c r="BG170" s="386">
        <f t="shared" si="191"/>
        <v>427.85870400000005</v>
      </c>
      <c r="BH170" s="386">
        <f t="shared" si="192"/>
        <v>0</v>
      </c>
      <c r="BI170" s="386">
        <f t="shared" si="193"/>
        <v>0</v>
      </c>
      <c r="BJ170" s="386">
        <f t="shared" si="194"/>
        <v>106.81632</v>
      </c>
      <c r="BK170" s="386">
        <f t="shared" si="195"/>
        <v>0</v>
      </c>
      <c r="BL170" s="386">
        <f t="shared" si="174"/>
        <v>12159.851183999999</v>
      </c>
      <c r="BM170" s="386">
        <f t="shared" si="175"/>
        <v>0</v>
      </c>
      <c r="BN170" s="386">
        <f t="shared" si="196"/>
        <v>13750</v>
      </c>
      <c r="BO170" s="386">
        <f t="shared" si="197"/>
        <v>0</v>
      </c>
      <c r="BP170" s="386">
        <f t="shared" si="198"/>
        <v>3679.2287999999999</v>
      </c>
      <c r="BQ170" s="386">
        <f t="shared" si="199"/>
        <v>860.46480000000008</v>
      </c>
      <c r="BR170" s="386">
        <f t="shared" si="200"/>
        <v>6634.4803199999997</v>
      </c>
      <c r="BS170" s="386">
        <f t="shared" si="201"/>
        <v>427.85870400000005</v>
      </c>
      <c r="BT170" s="386">
        <f t="shared" si="202"/>
        <v>0</v>
      </c>
      <c r="BU170" s="386">
        <f t="shared" si="203"/>
        <v>0</v>
      </c>
      <c r="BV170" s="386">
        <f t="shared" si="204"/>
        <v>112.75056000000001</v>
      </c>
      <c r="BW170" s="386">
        <f t="shared" si="205"/>
        <v>0</v>
      </c>
      <c r="BX170" s="386">
        <f t="shared" si="176"/>
        <v>11714.783184</v>
      </c>
      <c r="BY170" s="386">
        <f t="shared" si="177"/>
        <v>0</v>
      </c>
      <c r="BZ170" s="386">
        <f t="shared" si="178"/>
        <v>1250</v>
      </c>
      <c r="CA170" s="386">
        <f t="shared" si="179"/>
        <v>0</v>
      </c>
      <c r="CB170" s="386">
        <f t="shared" si="180"/>
        <v>0</v>
      </c>
      <c r="CC170" s="386">
        <f t="shared" si="206"/>
        <v>0</v>
      </c>
      <c r="CD170" s="386">
        <f t="shared" si="207"/>
        <v>-451.0022400000006</v>
      </c>
      <c r="CE170" s="386">
        <f t="shared" si="208"/>
        <v>0</v>
      </c>
      <c r="CF170" s="386">
        <f t="shared" si="209"/>
        <v>0</v>
      </c>
      <c r="CG170" s="386">
        <f t="shared" si="210"/>
        <v>0</v>
      </c>
      <c r="CH170" s="386">
        <f t="shared" si="211"/>
        <v>5.9342400000000026</v>
      </c>
      <c r="CI170" s="386">
        <f t="shared" si="212"/>
        <v>0</v>
      </c>
      <c r="CJ170" s="386">
        <f t="shared" si="181"/>
        <v>-445.06800000000061</v>
      </c>
      <c r="CK170" s="386" t="str">
        <f t="shared" si="182"/>
        <v/>
      </c>
      <c r="CL170" s="386" t="str">
        <f t="shared" si="183"/>
        <v/>
      </c>
      <c r="CM170" s="386" t="str">
        <f t="shared" si="184"/>
        <v/>
      </c>
      <c r="CN170" s="386" t="str">
        <f t="shared" si="185"/>
        <v>0480-00</v>
      </c>
    </row>
    <row r="171" spans="1:92" ht="15.75" thickBot="1" x14ac:dyDescent="0.3">
      <c r="A171" s="376" t="s">
        <v>162</v>
      </c>
      <c r="B171" s="376" t="s">
        <v>163</v>
      </c>
      <c r="C171" s="376" t="s">
        <v>615</v>
      </c>
      <c r="D171" s="376" t="s">
        <v>598</v>
      </c>
      <c r="E171" s="376" t="s">
        <v>505</v>
      </c>
      <c r="F171" s="377" t="s">
        <v>167</v>
      </c>
      <c r="G171" s="376" t="s">
        <v>506</v>
      </c>
      <c r="H171" s="378"/>
      <c r="I171" s="378"/>
      <c r="J171" s="376" t="s">
        <v>169</v>
      </c>
      <c r="K171" s="376" t="s">
        <v>599</v>
      </c>
      <c r="L171" s="376" t="s">
        <v>171</v>
      </c>
      <c r="M171" s="376" t="s">
        <v>172</v>
      </c>
      <c r="N171" s="376" t="s">
        <v>173</v>
      </c>
      <c r="O171" s="379">
        <v>1</v>
      </c>
      <c r="P171" s="384">
        <v>1</v>
      </c>
      <c r="Q171" s="384">
        <v>1</v>
      </c>
      <c r="R171" s="380">
        <v>80</v>
      </c>
      <c r="S171" s="384">
        <v>1</v>
      </c>
      <c r="T171" s="380">
        <v>78420.820000000007</v>
      </c>
      <c r="U171" s="380">
        <v>0</v>
      </c>
      <c r="V171" s="380">
        <v>27529.87</v>
      </c>
      <c r="W171" s="380">
        <v>75441.600000000006</v>
      </c>
      <c r="X171" s="380">
        <v>27958.71</v>
      </c>
      <c r="Y171" s="380">
        <v>75441.600000000006</v>
      </c>
      <c r="Z171" s="380">
        <v>28642.9</v>
      </c>
      <c r="AA171" s="376" t="s">
        <v>616</v>
      </c>
      <c r="AB171" s="376" t="s">
        <v>617</v>
      </c>
      <c r="AC171" s="376" t="s">
        <v>618</v>
      </c>
      <c r="AD171" s="376" t="s">
        <v>619</v>
      </c>
      <c r="AE171" s="376" t="s">
        <v>599</v>
      </c>
      <c r="AF171" s="376" t="s">
        <v>178</v>
      </c>
      <c r="AG171" s="376" t="s">
        <v>179</v>
      </c>
      <c r="AH171" s="381">
        <v>36.270000000000003</v>
      </c>
      <c r="AI171" s="381">
        <v>44395.9</v>
      </c>
      <c r="AJ171" s="376" t="s">
        <v>180</v>
      </c>
      <c r="AK171" s="376" t="s">
        <v>181</v>
      </c>
      <c r="AL171" s="376" t="s">
        <v>182</v>
      </c>
      <c r="AM171" s="376" t="s">
        <v>183</v>
      </c>
      <c r="AN171" s="376" t="s">
        <v>66</v>
      </c>
      <c r="AO171" s="379">
        <v>80</v>
      </c>
      <c r="AP171" s="384">
        <v>1</v>
      </c>
      <c r="AQ171" s="384">
        <v>1</v>
      </c>
      <c r="AR171" s="382" t="s">
        <v>184</v>
      </c>
      <c r="AS171" s="386">
        <f t="shared" si="169"/>
        <v>1</v>
      </c>
      <c r="AT171">
        <f t="shared" si="170"/>
        <v>1</v>
      </c>
      <c r="AU171" s="386">
        <f>IF(AT171=0,"",IF(AND(AT171=1,M171="F",SUMIF(C2:C201,C171,AS2:AS201)&lt;=1),SUMIF(C2:C201,C171,AS2:AS201),IF(AND(AT171=1,M171="F",SUMIF(C2:C201,C171,AS2:AS201)&gt;1),1,"")))</f>
        <v>1</v>
      </c>
      <c r="AV171" s="386" t="str">
        <f>IF(AT171=0,"",IF(AND(AT171=3,M171="F",SUMIF(C2:C201,C171,AS2:AS201)&lt;=1),SUMIF(C2:C201,C171,AS2:AS201),IF(AND(AT171=3,M171="F",SUMIF(C2:C201,C171,AS2:AS201)&gt;1),1,"")))</f>
        <v/>
      </c>
      <c r="AW171" s="386">
        <f>SUMIF(C2:C201,C171,O2:O201)</f>
        <v>1</v>
      </c>
      <c r="AX171" s="386">
        <f>IF(AND(M171="F",AS171&lt;&gt;0),SUMIF(C2:C201,C171,W2:W201),0)</f>
        <v>75441.600000000006</v>
      </c>
      <c r="AY171" s="386">
        <f t="shared" si="171"/>
        <v>75441.600000000006</v>
      </c>
      <c r="AZ171" s="386" t="str">
        <f t="shared" si="172"/>
        <v/>
      </c>
      <c r="BA171" s="386">
        <f t="shared" si="173"/>
        <v>0</v>
      </c>
      <c r="BB171" s="386">
        <f t="shared" si="186"/>
        <v>12500</v>
      </c>
      <c r="BC171" s="386">
        <f t="shared" si="187"/>
        <v>0</v>
      </c>
      <c r="BD171" s="386">
        <f t="shared" si="188"/>
        <v>4677.3792000000003</v>
      </c>
      <c r="BE171" s="386">
        <f t="shared" si="189"/>
        <v>1093.9032000000002</v>
      </c>
      <c r="BF171" s="386">
        <f t="shared" si="190"/>
        <v>9007.7270400000016</v>
      </c>
      <c r="BG171" s="386">
        <f t="shared" si="191"/>
        <v>543.93393600000002</v>
      </c>
      <c r="BH171" s="386">
        <f t="shared" si="192"/>
        <v>0</v>
      </c>
      <c r="BI171" s="386">
        <f t="shared" si="193"/>
        <v>0</v>
      </c>
      <c r="BJ171" s="386">
        <f t="shared" si="194"/>
        <v>135.79488000000001</v>
      </c>
      <c r="BK171" s="386">
        <f t="shared" si="195"/>
        <v>0</v>
      </c>
      <c r="BL171" s="386">
        <f t="shared" si="174"/>
        <v>15458.738256000001</v>
      </c>
      <c r="BM171" s="386">
        <f t="shared" si="175"/>
        <v>0</v>
      </c>
      <c r="BN171" s="386">
        <f t="shared" si="196"/>
        <v>13750</v>
      </c>
      <c r="BO171" s="386">
        <f t="shared" si="197"/>
        <v>0</v>
      </c>
      <c r="BP171" s="386">
        <f t="shared" si="198"/>
        <v>4677.3792000000003</v>
      </c>
      <c r="BQ171" s="386">
        <f t="shared" si="199"/>
        <v>1093.9032000000002</v>
      </c>
      <c r="BR171" s="386">
        <f t="shared" si="200"/>
        <v>8434.3708800000004</v>
      </c>
      <c r="BS171" s="386">
        <f t="shared" si="201"/>
        <v>543.93393600000002</v>
      </c>
      <c r="BT171" s="386">
        <f t="shared" si="202"/>
        <v>0</v>
      </c>
      <c r="BU171" s="386">
        <f t="shared" si="203"/>
        <v>0</v>
      </c>
      <c r="BV171" s="386">
        <f t="shared" si="204"/>
        <v>143.33904000000001</v>
      </c>
      <c r="BW171" s="386">
        <f t="shared" si="205"/>
        <v>0</v>
      </c>
      <c r="BX171" s="386">
        <f t="shared" si="176"/>
        <v>14892.926256000001</v>
      </c>
      <c r="BY171" s="386">
        <f t="shared" si="177"/>
        <v>0</v>
      </c>
      <c r="BZ171" s="386">
        <f t="shared" si="178"/>
        <v>1250</v>
      </c>
      <c r="CA171" s="386">
        <f t="shared" si="179"/>
        <v>0</v>
      </c>
      <c r="CB171" s="386">
        <f t="shared" si="180"/>
        <v>0</v>
      </c>
      <c r="CC171" s="386">
        <f t="shared" si="206"/>
        <v>0</v>
      </c>
      <c r="CD171" s="386">
        <f t="shared" si="207"/>
        <v>-573.35616000000073</v>
      </c>
      <c r="CE171" s="386">
        <f t="shared" si="208"/>
        <v>0</v>
      </c>
      <c r="CF171" s="386">
        <f t="shared" si="209"/>
        <v>0</v>
      </c>
      <c r="CG171" s="386">
        <f t="shared" si="210"/>
        <v>0</v>
      </c>
      <c r="CH171" s="386">
        <f t="shared" si="211"/>
        <v>7.5441600000000042</v>
      </c>
      <c r="CI171" s="386">
        <f t="shared" si="212"/>
        <v>0</v>
      </c>
      <c r="CJ171" s="386">
        <f t="shared" si="181"/>
        <v>-565.81200000000069</v>
      </c>
      <c r="CK171" s="386" t="str">
        <f t="shared" si="182"/>
        <v/>
      </c>
      <c r="CL171" s="386" t="str">
        <f t="shared" si="183"/>
        <v/>
      </c>
      <c r="CM171" s="386" t="str">
        <f t="shared" si="184"/>
        <v/>
      </c>
      <c r="CN171" s="386" t="str">
        <f t="shared" si="185"/>
        <v>0480-00</v>
      </c>
    </row>
    <row r="172" spans="1:92" ht="15.75" thickBot="1" x14ac:dyDescent="0.3">
      <c r="A172" s="376" t="s">
        <v>162</v>
      </c>
      <c r="B172" s="376" t="s">
        <v>163</v>
      </c>
      <c r="C172" s="376" t="s">
        <v>620</v>
      </c>
      <c r="D172" s="376" t="s">
        <v>542</v>
      </c>
      <c r="E172" s="376" t="s">
        <v>505</v>
      </c>
      <c r="F172" s="377" t="s">
        <v>167</v>
      </c>
      <c r="G172" s="376" t="s">
        <v>506</v>
      </c>
      <c r="H172" s="378"/>
      <c r="I172" s="378"/>
      <c r="J172" s="376" t="s">
        <v>169</v>
      </c>
      <c r="K172" s="376" t="s">
        <v>543</v>
      </c>
      <c r="L172" s="376" t="s">
        <v>167</v>
      </c>
      <c r="M172" s="376" t="s">
        <v>172</v>
      </c>
      <c r="N172" s="376" t="s">
        <v>173</v>
      </c>
      <c r="O172" s="379">
        <v>1</v>
      </c>
      <c r="P172" s="384">
        <v>1</v>
      </c>
      <c r="Q172" s="384">
        <v>1</v>
      </c>
      <c r="R172" s="380">
        <v>80</v>
      </c>
      <c r="S172" s="384">
        <v>1</v>
      </c>
      <c r="T172" s="380">
        <v>47692.07</v>
      </c>
      <c r="U172" s="380">
        <v>225.2</v>
      </c>
      <c r="V172" s="380">
        <v>21512.57</v>
      </c>
      <c r="W172" s="380">
        <v>45864</v>
      </c>
      <c r="X172" s="380">
        <v>21897.96</v>
      </c>
      <c r="Y172" s="380">
        <v>45864</v>
      </c>
      <c r="Z172" s="380">
        <v>22803.98</v>
      </c>
      <c r="AA172" s="376" t="s">
        <v>621</v>
      </c>
      <c r="AB172" s="376" t="s">
        <v>622</v>
      </c>
      <c r="AC172" s="376" t="s">
        <v>623</v>
      </c>
      <c r="AD172" s="376" t="s">
        <v>177</v>
      </c>
      <c r="AE172" s="376" t="s">
        <v>543</v>
      </c>
      <c r="AF172" s="376" t="s">
        <v>178</v>
      </c>
      <c r="AG172" s="376" t="s">
        <v>179</v>
      </c>
      <c r="AH172" s="381">
        <v>22.05</v>
      </c>
      <c r="AI172" s="381">
        <v>12161.4</v>
      </c>
      <c r="AJ172" s="376" t="s">
        <v>180</v>
      </c>
      <c r="AK172" s="376" t="s">
        <v>181</v>
      </c>
      <c r="AL172" s="376" t="s">
        <v>182</v>
      </c>
      <c r="AM172" s="376" t="s">
        <v>183</v>
      </c>
      <c r="AN172" s="376" t="s">
        <v>66</v>
      </c>
      <c r="AO172" s="379">
        <v>80</v>
      </c>
      <c r="AP172" s="384">
        <v>1</v>
      </c>
      <c r="AQ172" s="384">
        <v>1</v>
      </c>
      <c r="AR172" s="382" t="s">
        <v>184</v>
      </c>
      <c r="AS172" s="386">
        <f t="shared" si="169"/>
        <v>1</v>
      </c>
      <c r="AT172">
        <f t="shared" si="170"/>
        <v>1</v>
      </c>
      <c r="AU172" s="386">
        <f>IF(AT172=0,"",IF(AND(AT172=1,M172="F",SUMIF(C2:C201,C172,AS2:AS201)&lt;=1),SUMIF(C2:C201,C172,AS2:AS201),IF(AND(AT172=1,M172="F",SUMIF(C2:C201,C172,AS2:AS201)&gt;1),1,"")))</f>
        <v>1</v>
      </c>
      <c r="AV172" s="386" t="str">
        <f>IF(AT172=0,"",IF(AND(AT172=3,M172="F",SUMIF(C2:C201,C172,AS2:AS201)&lt;=1),SUMIF(C2:C201,C172,AS2:AS201),IF(AND(AT172=3,M172="F",SUMIF(C2:C201,C172,AS2:AS201)&gt;1),1,"")))</f>
        <v/>
      </c>
      <c r="AW172" s="386">
        <f>SUMIF(C2:C201,C172,O2:O201)</f>
        <v>1</v>
      </c>
      <c r="AX172" s="386">
        <f>IF(AND(M172="F",AS172&lt;&gt;0),SUMIF(C2:C201,C172,W2:W201),0)</f>
        <v>45864</v>
      </c>
      <c r="AY172" s="386">
        <f t="shared" si="171"/>
        <v>45864</v>
      </c>
      <c r="AZ172" s="386" t="str">
        <f t="shared" si="172"/>
        <v/>
      </c>
      <c r="BA172" s="386">
        <f t="shared" si="173"/>
        <v>0</v>
      </c>
      <c r="BB172" s="386">
        <f t="shared" si="186"/>
        <v>12500</v>
      </c>
      <c r="BC172" s="386">
        <f t="shared" si="187"/>
        <v>0</v>
      </c>
      <c r="BD172" s="386">
        <f t="shared" si="188"/>
        <v>2843.5679999999998</v>
      </c>
      <c r="BE172" s="386">
        <f t="shared" si="189"/>
        <v>665.02800000000002</v>
      </c>
      <c r="BF172" s="386">
        <f t="shared" si="190"/>
        <v>5476.1616000000004</v>
      </c>
      <c r="BG172" s="386">
        <f t="shared" si="191"/>
        <v>330.67944</v>
      </c>
      <c r="BH172" s="386">
        <f t="shared" si="192"/>
        <v>0</v>
      </c>
      <c r="BI172" s="386">
        <f t="shared" si="193"/>
        <v>0</v>
      </c>
      <c r="BJ172" s="386">
        <f t="shared" si="194"/>
        <v>82.555199999999999</v>
      </c>
      <c r="BK172" s="386">
        <f t="shared" si="195"/>
        <v>0</v>
      </c>
      <c r="BL172" s="386">
        <f t="shared" si="174"/>
        <v>9397.9922400000014</v>
      </c>
      <c r="BM172" s="386">
        <f t="shared" si="175"/>
        <v>0</v>
      </c>
      <c r="BN172" s="386">
        <f t="shared" si="196"/>
        <v>13750</v>
      </c>
      <c r="BO172" s="386">
        <f t="shared" si="197"/>
        <v>0</v>
      </c>
      <c r="BP172" s="386">
        <f t="shared" si="198"/>
        <v>2843.5679999999998</v>
      </c>
      <c r="BQ172" s="386">
        <f t="shared" si="199"/>
        <v>665.02800000000002</v>
      </c>
      <c r="BR172" s="386">
        <f t="shared" si="200"/>
        <v>5127.5951999999997</v>
      </c>
      <c r="BS172" s="386">
        <f t="shared" si="201"/>
        <v>330.67944</v>
      </c>
      <c r="BT172" s="386">
        <f t="shared" si="202"/>
        <v>0</v>
      </c>
      <c r="BU172" s="386">
        <f t="shared" si="203"/>
        <v>0</v>
      </c>
      <c r="BV172" s="386">
        <f t="shared" si="204"/>
        <v>87.141599999999997</v>
      </c>
      <c r="BW172" s="386">
        <f t="shared" si="205"/>
        <v>0</v>
      </c>
      <c r="BX172" s="386">
        <f t="shared" si="176"/>
        <v>9054.01224</v>
      </c>
      <c r="BY172" s="386">
        <f t="shared" si="177"/>
        <v>0</v>
      </c>
      <c r="BZ172" s="386">
        <f t="shared" si="178"/>
        <v>1250</v>
      </c>
      <c r="CA172" s="386">
        <f t="shared" si="179"/>
        <v>0</v>
      </c>
      <c r="CB172" s="386">
        <f t="shared" si="180"/>
        <v>0</v>
      </c>
      <c r="CC172" s="386">
        <f t="shared" si="206"/>
        <v>0</v>
      </c>
      <c r="CD172" s="386">
        <f t="shared" si="207"/>
        <v>-348.56640000000044</v>
      </c>
      <c r="CE172" s="386">
        <f t="shared" si="208"/>
        <v>0</v>
      </c>
      <c r="CF172" s="386">
        <f t="shared" si="209"/>
        <v>0</v>
      </c>
      <c r="CG172" s="386">
        <f t="shared" si="210"/>
        <v>0</v>
      </c>
      <c r="CH172" s="386">
        <f t="shared" si="211"/>
        <v>4.586400000000002</v>
      </c>
      <c r="CI172" s="386">
        <f t="shared" si="212"/>
        <v>0</v>
      </c>
      <c r="CJ172" s="386">
        <f t="shared" si="181"/>
        <v>-343.98000000000042</v>
      </c>
      <c r="CK172" s="386" t="str">
        <f t="shared" si="182"/>
        <v/>
      </c>
      <c r="CL172" s="386" t="str">
        <f t="shared" si="183"/>
        <v/>
      </c>
      <c r="CM172" s="386" t="str">
        <f t="shared" si="184"/>
        <v/>
      </c>
      <c r="CN172" s="386" t="str">
        <f t="shared" si="185"/>
        <v>0480-00</v>
      </c>
    </row>
    <row r="173" spans="1:92" ht="15.75" thickBot="1" x14ac:dyDescent="0.3">
      <c r="A173" s="376" t="s">
        <v>162</v>
      </c>
      <c r="B173" s="376" t="s">
        <v>163</v>
      </c>
      <c r="C173" s="376" t="s">
        <v>624</v>
      </c>
      <c r="D173" s="376" t="s">
        <v>511</v>
      </c>
      <c r="E173" s="376" t="s">
        <v>505</v>
      </c>
      <c r="F173" s="377" t="s">
        <v>167</v>
      </c>
      <c r="G173" s="376" t="s">
        <v>506</v>
      </c>
      <c r="H173" s="378"/>
      <c r="I173" s="378"/>
      <c r="J173" s="376" t="s">
        <v>169</v>
      </c>
      <c r="K173" s="376" t="s">
        <v>512</v>
      </c>
      <c r="L173" s="376" t="s">
        <v>222</v>
      </c>
      <c r="M173" s="376" t="s">
        <v>172</v>
      </c>
      <c r="N173" s="376" t="s">
        <v>173</v>
      </c>
      <c r="O173" s="379">
        <v>1</v>
      </c>
      <c r="P173" s="384">
        <v>1</v>
      </c>
      <c r="Q173" s="384">
        <v>1</v>
      </c>
      <c r="R173" s="380">
        <v>80</v>
      </c>
      <c r="S173" s="384">
        <v>1</v>
      </c>
      <c r="T173" s="380">
        <v>111648.23</v>
      </c>
      <c r="U173" s="380">
        <v>0</v>
      </c>
      <c r="V173" s="380">
        <v>34515.589999999997</v>
      </c>
      <c r="W173" s="380">
        <v>108888</v>
      </c>
      <c r="X173" s="380">
        <v>34812.21</v>
      </c>
      <c r="Y173" s="380">
        <v>108888</v>
      </c>
      <c r="Z173" s="380">
        <v>35245.550000000003</v>
      </c>
      <c r="AA173" s="376" t="s">
        <v>625</v>
      </c>
      <c r="AB173" s="376" t="s">
        <v>626</v>
      </c>
      <c r="AC173" s="376" t="s">
        <v>304</v>
      </c>
      <c r="AD173" s="376" t="s">
        <v>567</v>
      </c>
      <c r="AE173" s="376" t="s">
        <v>512</v>
      </c>
      <c r="AF173" s="376" t="s">
        <v>178</v>
      </c>
      <c r="AG173" s="376" t="s">
        <v>179</v>
      </c>
      <c r="AH173" s="381">
        <v>52.35</v>
      </c>
      <c r="AI173" s="381">
        <v>85337.1</v>
      </c>
      <c r="AJ173" s="376" t="s">
        <v>180</v>
      </c>
      <c r="AK173" s="376" t="s">
        <v>181</v>
      </c>
      <c r="AL173" s="376" t="s">
        <v>182</v>
      </c>
      <c r="AM173" s="376" t="s">
        <v>183</v>
      </c>
      <c r="AN173" s="376" t="s">
        <v>66</v>
      </c>
      <c r="AO173" s="379">
        <v>80</v>
      </c>
      <c r="AP173" s="384">
        <v>1</v>
      </c>
      <c r="AQ173" s="384">
        <v>1</v>
      </c>
      <c r="AR173" s="382" t="s">
        <v>184</v>
      </c>
      <c r="AS173" s="386">
        <f t="shared" si="169"/>
        <v>1</v>
      </c>
      <c r="AT173">
        <f t="shared" si="170"/>
        <v>1</v>
      </c>
      <c r="AU173" s="386">
        <f>IF(AT173=0,"",IF(AND(AT173=1,M173="F",SUMIF(C2:C201,C173,AS2:AS201)&lt;=1),SUMIF(C2:C201,C173,AS2:AS201),IF(AND(AT173=1,M173="F",SUMIF(C2:C201,C173,AS2:AS201)&gt;1),1,"")))</f>
        <v>1</v>
      </c>
      <c r="AV173" s="386" t="str">
        <f>IF(AT173=0,"",IF(AND(AT173=3,M173="F",SUMIF(C2:C201,C173,AS2:AS201)&lt;=1),SUMIF(C2:C201,C173,AS2:AS201),IF(AND(AT173=3,M173="F",SUMIF(C2:C201,C173,AS2:AS201)&gt;1),1,"")))</f>
        <v/>
      </c>
      <c r="AW173" s="386">
        <f>SUMIF(C2:C201,C173,O2:O201)</f>
        <v>1</v>
      </c>
      <c r="AX173" s="386">
        <f>IF(AND(M173="F",AS173&lt;&gt;0),SUMIF(C2:C201,C173,W2:W201),0)</f>
        <v>108888</v>
      </c>
      <c r="AY173" s="386">
        <f t="shared" si="171"/>
        <v>108888</v>
      </c>
      <c r="AZ173" s="386" t="str">
        <f t="shared" si="172"/>
        <v/>
      </c>
      <c r="BA173" s="386">
        <f t="shared" si="173"/>
        <v>0</v>
      </c>
      <c r="BB173" s="386">
        <f t="shared" si="186"/>
        <v>12500</v>
      </c>
      <c r="BC173" s="386">
        <f t="shared" si="187"/>
        <v>0</v>
      </c>
      <c r="BD173" s="386">
        <f t="shared" si="188"/>
        <v>6751.0559999999996</v>
      </c>
      <c r="BE173" s="386">
        <f t="shared" si="189"/>
        <v>1578.876</v>
      </c>
      <c r="BF173" s="386">
        <f t="shared" si="190"/>
        <v>13001.227200000001</v>
      </c>
      <c r="BG173" s="386">
        <f t="shared" si="191"/>
        <v>785.08248000000003</v>
      </c>
      <c r="BH173" s="386">
        <f t="shared" si="192"/>
        <v>0</v>
      </c>
      <c r="BI173" s="386">
        <f t="shared" si="193"/>
        <v>0</v>
      </c>
      <c r="BJ173" s="386">
        <f t="shared" si="194"/>
        <v>195.9984</v>
      </c>
      <c r="BK173" s="386">
        <f t="shared" si="195"/>
        <v>0</v>
      </c>
      <c r="BL173" s="386">
        <f t="shared" si="174"/>
        <v>22312.240080000003</v>
      </c>
      <c r="BM173" s="386">
        <f t="shared" si="175"/>
        <v>0</v>
      </c>
      <c r="BN173" s="386">
        <f t="shared" si="196"/>
        <v>13750</v>
      </c>
      <c r="BO173" s="386">
        <f t="shared" si="197"/>
        <v>0</v>
      </c>
      <c r="BP173" s="386">
        <f t="shared" si="198"/>
        <v>6751.0559999999996</v>
      </c>
      <c r="BQ173" s="386">
        <f t="shared" si="199"/>
        <v>1578.876</v>
      </c>
      <c r="BR173" s="386">
        <f t="shared" si="200"/>
        <v>12173.678399999999</v>
      </c>
      <c r="BS173" s="386">
        <f t="shared" si="201"/>
        <v>785.08248000000003</v>
      </c>
      <c r="BT173" s="386">
        <f t="shared" si="202"/>
        <v>0</v>
      </c>
      <c r="BU173" s="386">
        <f t="shared" si="203"/>
        <v>0</v>
      </c>
      <c r="BV173" s="386">
        <f t="shared" si="204"/>
        <v>206.88720000000001</v>
      </c>
      <c r="BW173" s="386">
        <f t="shared" si="205"/>
        <v>0</v>
      </c>
      <c r="BX173" s="386">
        <f t="shared" si="176"/>
        <v>21495.58008</v>
      </c>
      <c r="BY173" s="386">
        <f t="shared" si="177"/>
        <v>0</v>
      </c>
      <c r="BZ173" s="386">
        <f t="shared" si="178"/>
        <v>1250</v>
      </c>
      <c r="CA173" s="386">
        <f t="shared" si="179"/>
        <v>0</v>
      </c>
      <c r="CB173" s="386">
        <f t="shared" si="180"/>
        <v>0</v>
      </c>
      <c r="CC173" s="386">
        <f t="shared" si="206"/>
        <v>0</v>
      </c>
      <c r="CD173" s="386">
        <f t="shared" si="207"/>
        <v>-827.54880000000105</v>
      </c>
      <c r="CE173" s="386">
        <f t="shared" si="208"/>
        <v>0</v>
      </c>
      <c r="CF173" s="386">
        <f t="shared" si="209"/>
        <v>0</v>
      </c>
      <c r="CG173" s="386">
        <f t="shared" si="210"/>
        <v>0</v>
      </c>
      <c r="CH173" s="386">
        <f t="shared" si="211"/>
        <v>10.888800000000005</v>
      </c>
      <c r="CI173" s="386">
        <f t="shared" si="212"/>
        <v>0</v>
      </c>
      <c r="CJ173" s="386">
        <f t="shared" si="181"/>
        <v>-816.66000000000099</v>
      </c>
      <c r="CK173" s="386" t="str">
        <f t="shared" si="182"/>
        <v/>
      </c>
      <c r="CL173" s="386" t="str">
        <f t="shared" si="183"/>
        <v/>
      </c>
      <c r="CM173" s="386" t="str">
        <f t="shared" si="184"/>
        <v/>
      </c>
      <c r="CN173" s="386" t="str">
        <f t="shared" si="185"/>
        <v>0480-00</v>
      </c>
    </row>
    <row r="174" spans="1:92" ht="15.75" thickBot="1" x14ac:dyDescent="0.3">
      <c r="A174" s="376" t="s">
        <v>162</v>
      </c>
      <c r="B174" s="376" t="s">
        <v>163</v>
      </c>
      <c r="C174" s="376" t="s">
        <v>627</v>
      </c>
      <c r="D174" s="376" t="s">
        <v>580</v>
      </c>
      <c r="E174" s="376" t="s">
        <v>505</v>
      </c>
      <c r="F174" s="377" t="s">
        <v>167</v>
      </c>
      <c r="G174" s="376" t="s">
        <v>506</v>
      </c>
      <c r="H174" s="378"/>
      <c r="I174" s="378"/>
      <c r="J174" s="376" t="s">
        <v>169</v>
      </c>
      <c r="K174" s="376" t="s">
        <v>515</v>
      </c>
      <c r="L174" s="376" t="s">
        <v>182</v>
      </c>
      <c r="M174" s="376" t="s">
        <v>172</v>
      </c>
      <c r="N174" s="376" t="s">
        <v>173</v>
      </c>
      <c r="O174" s="379">
        <v>1</v>
      </c>
      <c r="P174" s="384">
        <v>1</v>
      </c>
      <c r="Q174" s="384">
        <v>1</v>
      </c>
      <c r="R174" s="380">
        <v>80</v>
      </c>
      <c r="S174" s="384">
        <v>1</v>
      </c>
      <c r="T174" s="380">
        <v>83833.759999999995</v>
      </c>
      <c r="U174" s="380">
        <v>0</v>
      </c>
      <c r="V174" s="380">
        <v>28983.65</v>
      </c>
      <c r="W174" s="380">
        <v>86153.600000000006</v>
      </c>
      <c r="X174" s="380">
        <v>30153.7</v>
      </c>
      <c r="Y174" s="380">
        <v>86153.600000000006</v>
      </c>
      <c r="Z174" s="380">
        <v>30757.56</v>
      </c>
      <c r="AA174" s="376" t="s">
        <v>628</v>
      </c>
      <c r="AB174" s="376" t="s">
        <v>629</v>
      </c>
      <c r="AC174" s="376" t="s">
        <v>630</v>
      </c>
      <c r="AD174" s="376" t="s">
        <v>285</v>
      </c>
      <c r="AE174" s="376" t="s">
        <v>515</v>
      </c>
      <c r="AF174" s="376" t="s">
        <v>178</v>
      </c>
      <c r="AG174" s="376" t="s">
        <v>179</v>
      </c>
      <c r="AH174" s="381">
        <v>41.42</v>
      </c>
      <c r="AI174" s="381">
        <v>64177.3</v>
      </c>
      <c r="AJ174" s="376" t="s">
        <v>180</v>
      </c>
      <c r="AK174" s="376" t="s">
        <v>181</v>
      </c>
      <c r="AL174" s="376" t="s">
        <v>182</v>
      </c>
      <c r="AM174" s="376" t="s">
        <v>183</v>
      </c>
      <c r="AN174" s="376" t="s">
        <v>66</v>
      </c>
      <c r="AO174" s="379">
        <v>80</v>
      </c>
      <c r="AP174" s="384">
        <v>1</v>
      </c>
      <c r="AQ174" s="384">
        <v>1</v>
      </c>
      <c r="AR174" s="382" t="s">
        <v>184</v>
      </c>
      <c r="AS174" s="386">
        <f t="shared" si="169"/>
        <v>1</v>
      </c>
      <c r="AT174">
        <f t="shared" si="170"/>
        <v>1</v>
      </c>
      <c r="AU174" s="386">
        <f>IF(AT174=0,"",IF(AND(AT174=1,M174="F",SUMIF(C2:C201,C174,AS2:AS201)&lt;=1),SUMIF(C2:C201,C174,AS2:AS201),IF(AND(AT174=1,M174="F",SUMIF(C2:C201,C174,AS2:AS201)&gt;1),1,"")))</f>
        <v>1</v>
      </c>
      <c r="AV174" s="386" t="str">
        <f>IF(AT174=0,"",IF(AND(AT174=3,M174="F",SUMIF(C2:C201,C174,AS2:AS201)&lt;=1),SUMIF(C2:C201,C174,AS2:AS201),IF(AND(AT174=3,M174="F",SUMIF(C2:C201,C174,AS2:AS201)&gt;1),1,"")))</f>
        <v/>
      </c>
      <c r="AW174" s="386">
        <f>SUMIF(C2:C201,C174,O2:O201)</f>
        <v>1</v>
      </c>
      <c r="AX174" s="386">
        <f>IF(AND(M174="F",AS174&lt;&gt;0),SUMIF(C2:C201,C174,W2:W201),0)</f>
        <v>86153.600000000006</v>
      </c>
      <c r="AY174" s="386">
        <f t="shared" si="171"/>
        <v>86153.600000000006</v>
      </c>
      <c r="AZ174" s="386" t="str">
        <f t="shared" si="172"/>
        <v/>
      </c>
      <c r="BA174" s="386">
        <f t="shared" si="173"/>
        <v>0</v>
      </c>
      <c r="BB174" s="386">
        <f t="shared" si="186"/>
        <v>12500</v>
      </c>
      <c r="BC174" s="386">
        <f t="shared" si="187"/>
        <v>0</v>
      </c>
      <c r="BD174" s="386">
        <f t="shared" si="188"/>
        <v>5341.5232000000005</v>
      </c>
      <c r="BE174" s="386">
        <f t="shared" si="189"/>
        <v>1249.2272</v>
      </c>
      <c r="BF174" s="386">
        <f t="shared" si="190"/>
        <v>10286.739840000002</v>
      </c>
      <c r="BG174" s="386">
        <f t="shared" si="191"/>
        <v>621.16745600000002</v>
      </c>
      <c r="BH174" s="386">
        <f t="shared" si="192"/>
        <v>0</v>
      </c>
      <c r="BI174" s="386">
        <f t="shared" si="193"/>
        <v>0</v>
      </c>
      <c r="BJ174" s="386">
        <f t="shared" si="194"/>
        <v>155.07648</v>
      </c>
      <c r="BK174" s="386">
        <f t="shared" si="195"/>
        <v>0</v>
      </c>
      <c r="BL174" s="386">
        <f t="shared" si="174"/>
        <v>17653.734176000002</v>
      </c>
      <c r="BM174" s="386">
        <f t="shared" si="175"/>
        <v>0</v>
      </c>
      <c r="BN174" s="386">
        <f t="shared" si="196"/>
        <v>13750</v>
      </c>
      <c r="BO174" s="386">
        <f t="shared" si="197"/>
        <v>0</v>
      </c>
      <c r="BP174" s="386">
        <f t="shared" si="198"/>
        <v>5341.5232000000005</v>
      </c>
      <c r="BQ174" s="386">
        <f t="shared" si="199"/>
        <v>1249.2272</v>
      </c>
      <c r="BR174" s="386">
        <f t="shared" si="200"/>
        <v>9631.9724800000004</v>
      </c>
      <c r="BS174" s="386">
        <f t="shared" si="201"/>
        <v>621.16745600000002</v>
      </c>
      <c r="BT174" s="386">
        <f t="shared" si="202"/>
        <v>0</v>
      </c>
      <c r="BU174" s="386">
        <f t="shared" si="203"/>
        <v>0</v>
      </c>
      <c r="BV174" s="386">
        <f t="shared" si="204"/>
        <v>163.69184000000001</v>
      </c>
      <c r="BW174" s="386">
        <f t="shared" si="205"/>
        <v>0</v>
      </c>
      <c r="BX174" s="386">
        <f t="shared" si="176"/>
        <v>17007.582176</v>
      </c>
      <c r="BY174" s="386">
        <f t="shared" si="177"/>
        <v>0</v>
      </c>
      <c r="BZ174" s="386">
        <f t="shared" si="178"/>
        <v>1250</v>
      </c>
      <c r="CA174" s="386">
        <f t="shared" si="179"/>
        <v>0</v>
      </c>
      <c r="CB174" s="386">
        <f t="shared" si="180"/>
        <v>0</v>
      </c>
      <c r="CC174" s="386">
        <f t="shared" si="206"/>
        <v>0</v>
      </c>
      <c r="CD174" s="386">
        <f t="shared" si="207"/>
        <v>-654.76736000000085</v>
      </c>
      <c r="CE174" s="386">
        <f t="shared" si="208"/>
        <v>0</v>
      </c>
      <c r="CF174" s="386">
        <f t="shared" si="209"/>
        <v>0</v>
      </c>
      <c r="CG174" s="386">
        <f t="shared" si="210"/>
        <v>0</v>
      </c>
      <c r="CH174" s="386">
        <f t="shared" si="211"/>
        <v>8.6153600000000043</v>
      </c>
      <c r="CI174" s="386">
        <f t="shared" si="212"/>
        <v>0</v>
      </c>
      <c r="CJ174" s="386">
        <f t="shared" si="181"/>
        <v>-646.15200000000084</v>
      </c>
      <c r="CK174" s="386" t="str">
        <f t="shared" si="182"/>
        <v/>
      </c>
      <c r="CL174" s="386" t="str">
        <f t="shared" si="183"/>
        <v/>
      </c>
      <c r="CM174" s="386" t="str">
        <f t="shared" si="184"/>
        <v/>
      </c>
      <c r="CN174" s="386" t="str">
        <f t="shared" si="185"/>
        <v>0480-00</v>
      </c>
    </row>
    <row r="175" spans="1:92" ht="15.75" thickBot="1" x14ac:dyDescent="0.3">
      <c r="A175" s="376" t="s">
        <v>162</v>
      </c>
      <c r="B175" s="376" t="s">
        <v>163</v>
      </c>
      <c r="C175" s="376" t="s">
        <v>631</v>
      </c>
      <c r="D175" s="376" t="s">
        <v>580</v>
      </c>
      <c r="E175" s="376" t="s">
        <v>505</v>
      </c>
      <c r="F175" s="377" t="s">
        <v>167</v>
      </c>
      <c r="G175" s="376" t="s">
        <v>506</v>
      </c>
      <c r="H175" s="378"/>
      <c r="I175" s="378"/>
      <c r="J175" s="376" t="s">
        <v>169</v>
      </c>
      <c r="K175" s="376" t="s">
        <v>515</v>
      </c>
      <c r="L175" s="376" t="s">
        <v>182</v>
      </c>
      <c r="M175" s="376" t="s">
        <v>172</v>
      </c>
      <c r="N175" s="376" t="s">
        <v>173</v>
      </c>
      <c r="O175" s="379">
        <v>1</v>
      </c>
      <c r="P175" s="384">
        <v>1</v>
      </c>
      <c r="Q175" s="384">
        <v>1</v>
      </c>
      <c r="R175" s="380">
        <v>80</v>
      </c>
      <c r="S175" s="384">
        <v>1</v>
      </c>
      <c r="T175" s="380">
        <v>102390.51</v>
      </c>
      <c r="U175" s="380">
        <v>0</v>
      </c>
      <c r="V175" s="380">
        <v>32666.57</v>
      </c>
      <c r="W175" s="380">
        <v>100297.60000000001</v>
      </c>
      <c r="X175" s="380">
        <v>33051.96</v>
      </c>
      <c r="Y175" s="380">
        <v>100297.60000000001</v>
      </c>
      <c r="Z175" s="380">
        <v>33549.730000000003</v>
      </c>
      <c r="AA175" s="376" t="s">
        <v>632</v>
      </c>
      <c r="AB175" s="376" t="s">
        <v>633</v>
      </c>
      <c r="AC175" s="376" t="s">
        <v>634</v>
      </c>
      <c r="AD175" s="376" t="s">
        <v>567</v>
      </c>
      <c r="AE175" s="376" t="s">
        <v>515</v>
      </c>
      <c r="AF175" s="376" t="s">
        <v>178</v>
      </c>
      <c r="AG175" s="376" t="s">
        <v>179</v>
      </c>
      <c r="AH175" s="381">
        <v>48.22</v>
      </c>
      <c r="AI175" s="381">
        <v>45171.6</v>
      </c>
      <c r="AJ175" s="376" t="s">
        <v>180</v>
      </c>
      <c r="AK175" s="376" t="s">
        <v>181</v>
      </c>
      <c r="AL175" s="376" t="s">
        <v>182</v>
      </c>
      <c r="AM175" s="376" t="s">
        <v>183</v>
      </c>
      <c r="AN175" s="376" t="s">
        <v>66</v>
      </c>
      <c r="AO175" s="379">
        <v>80</v>
      </c>
      <c r="AP175" s="384">
        <v>1</v>
      </c>
      <c r="AQ175" s="384">
        <v>1</v>
      </c>
      <c r="AR175" s="382" t="s">
        <v>184</v>
      </c>
      <c r="AS175" s="386">
        <f t="shared" si="169"/>
        <v>1</v>
      </c>
      <c r="AT175">
        <f t="shared" si="170"/>
        <v>1</v>
      </c>
      <c r="AU175" s="386">
        <f>IF(AT175=0,"",IF(AND(AT175=1,M175="F",SUMIF(C2:C201,C175,AS2:AS201)&lt;=1),SUMIF(C2:C201,C175,AS2:AS201),IF(AND(AT175=1,M175="F",SUMIF(C2:C201,C175,AS2:AS201)&gt;1),1,"")))</f>
        <v>1</v>
      </c>
      <c r="AV175" s="386" t="str">
        <f>IF(AT175=0,"",IF(AND(AT175=3,M175="F",SUMIF(C2:C201,C175,AS2:AS201)&lt;=1),SUMIF(C2:C201,C175,AS2:AS201),IF(AND(AT175=3,M175="F",SUMIF(C2:C201,C175,AS2:AS201)&gt;1),1,"")))</f>
        <v/>
      </c>
      <c r="AW175" s="386">
        <f>SUMIF(C2:C201,C175,O2:O201)</f>
        <v>1</v>
      </c>
      <c r="AX175" s="386">
        <f>IF(AND(M175="F",AS175&lt;&gt;0),SUMIF(C2:C201,C175,W2:W201),0)</f>
        <v>100297.60000000001</v>
      </c>
      <c r="AY175" s="386">
        <f t="shared" si="171"/>
        <v>100297.60000000001</v>
      </c>
      <c r="AZ175" s="386" t="str">
        <f t="shared" si="172"/>
        <v/>
      </c>
      <c r="BA175" s="386">
        <f t="shared" si="173"/>
        <v>0</v>
      </c>
      <c r="BB175" s="386">
        <f t="shared" si="186"/>
        <v>12500</v>
      </c>
      <c r="BC175" s="386">
        <f t="shared" si="187"/>
        <v>0</v>
      </c>
      <c r="BD175" s="386">
        <f t="shared" si="188"/>
        <v>6218.4512000000004</v>
      </c>
      <c r="BE175" s="386">
        <f t="shared" si="189"/>
        <v>1454.3152000000002</v>
      </c>
      <c r="BF175" s="386">
        <f t="shared" si="190"/>
        <v>11975.533440000001</v>
      </c>
      <c r="BG175" s="386">
        <f t="shared" si="191"/>
        <v>723.14569600000004</v>
      </c>
      <c r="BH175" s="386">
        <f t="shared" si="192"/>
        <v>0</v>
      </c>
      <c r="BI175" s="386">
        <f t="shared" si="193"/>
        <v>0</v>
      </c>
      <c r="BJ175" s="386">
        <f t="shared" si="194"/>
        <v>180.53568000000001</v>
      </c>
      <c r="BK175" s="386">
        <f t="shared" si="195"/>
        <v>0</v>
      </c>
      <c r="BL175" s="386">
        <f t="shared" si="174"/>
        <v>20551.981216</v>
      </c>
      <c r="BM175" s="386">
        <f t="shared" si="175"/>
        <v>0</v>
      </c>
      <c r="BN175" s="386">
        <f t="shared" si="196"/>
        <v>13750</v>
      </c>
      <c r="BO175" s="386">
        <f t="shared" si="197"/>
        <v>0</v>
      </c>
      <c r="BP175" s="386">
        <f t="shared" si="198"/>
        <v>6218.4512000000004</v>
      </c>
      <c r="BQ175" s="386">
        <f t="shared" si="199"/>
        <v>1454.3152000000002</v>
      </c>
      <c r="BR175" s="386">
        <f t="shared" si="200"/>
        <v>11213.27168</v>
      </c>
      <c r="BS175" s="386">
        <f t="shared" si="201"/>
        <v>723.14569600000004</v>
      </c>
      <c r="BT175" s="386">
        <f t="shared" si="202"/>
        <v>0</v>
      </c>
      <c r="BU175" s="386">
        <f t="shared" si="203"/>
        <v>0</v>
      </c>
      <c r="BV175" s="386">
        <f t="shared" si="204"/>
        <v>190.56544000000002</v>
      </c>
      <c r="BW175" s="386">
        <f t="shared" si="205"/>
        <v>0</v>
      </c>
      <c r="BX175" s="386">
        <f t="shared" si="176"/>
        <v>19799.749215999997</v>
      </c>
      <c r="BY175" s="386">
        <f t="shared" si="177"/>
        <v>0</v>
      </c>
      <c r="BZ175" s="386">
        <f t="shared" si="178"/>
        <v>1250</v>
      </c>
      <c r="CA175" s="386">
        <f t="shared" si="179"/>
        <v>0</v>
      </c>
      <c r="CB175" s="386">
        <f t="shared" si="180"/>
        <v>0</v>
      </c>
      <c r="CC175" s="386">
        <f t="shared" si="206"/>
        <v>0</v>
      </c>
      <c r="CD175" s="386">
        <f t="shared" si="207"/>
        <v>-762.261760000001</v>
      </c>
      <c r="CE175" s="386">
        <f t="shared" si="208"/>
        <v>0</v>
      </c>
      <c r="CF175" s="386">
        <f t="shared" si="209"/>
        <v>0</v>
      </c>
      <c r="CG175" s="386">
        <f t="shared" si="210"/>
        <v>0</v>
      </c>
      <c r="CH175" s="386">
        <f t="shared" si="211"/>
        <v>10.029760000000005</v>
      </c>
      <c r="CI175" s="386">
        <f t="shared" si="212"/>
        <v>0</v>
      </c>
      <c r="CJ175" s="386">
        <f t="shared" si="181"/>
        <v>-752.23200000000099</v>
      </c>
      <c r="CK175" s="386" t="str">
        <f t="shared" si="182"/>
        <v/>
      </c>
      <c r="CL175" s="386" t="str">
        <f t="shared" si="183"/>
        <v/>
      </c>
      <c r="CM175" s="386" t="str">
        <f t="shared" si="184"/>
        <v/>
      </c>
      <c r="CN175" s="386" t="str">
        <f t="shared" si="185"/>
        <v>0480-00</v>
      </c>
    </row>
    <row r="176" spans="1:92" ht="15.75" thickBot="1" x14ac:dyDescent="0.3">
      <c r="A176" s="376" t="s">
        <v>162</v>
      </c>
      <c r="B176" s="376" t="s">
        <v>163</v>
      </c>
      <c r="C176" s="376" t="s">
        <v>635</v>
      </c>
      <c r="D176" s="376" t="s">
        <v>551</v>
      </c>
      <c r="E176" s="376" t="s">
        <v>505</v>
      </c>
      <c r="F176" s="377" t="s">
        <v>167</v>
      </c>
      <c r="G176" s="376" t="s">
        <v>506</v>
      </c>
      <c r="H176" s="378"/>
      <c r="I176" s="378"/>
      <c r="J176" s="376" t="s">
        <v>169</v>
      </c>
      <c r="K176" s="376" t="s">
        <v>636</v>
      </c>
      <c r="L176" s="376" t="s">
        <v>198</v>
      </c>
      <c r="M176" s="376" t="s">
        <v>172</v>
      </c>
      <c r="N176" s="376" t="s">
        <v>173</v>
      </c>
      <c r="O176" s="379">
        <v>1</v>
      </c>
      <c r="P176" s="384">
        <v>1</v>
      </c>
      <c r="Q176" s="384">
        <v>1</v>
      </c>
      <c r="R176" s="380">
        <v>80</v>
      </c>
      <c r="S176" s="384">
        <v>1</v>
      </c>
      <c r="T176" s="380">
        <v>85512.03</v>
      </c>
      <c r="U176" s="380">
        <v>0</v>
      </c>
      <c r="V176" s="380">
        <v>29444.45</v>
      </c>
      <c r="W176" s="380">
        <v>81848</v>
      </c>
      <c r="X176" s="380">
        <v>29271.45</v>
      </c>
      <c r="Y176" s="380">
        <v>81848</v>
      </c>
      <c r="Z176" s="380">
        <v>29907.59</v>
      </c>
      <c r="AA176" s="376" t="s">
        <v>637</v>
      </c>
      <c r="AB176" s="376" t="s">
        <v>638</v>
      </c>
      <c r="AC176" s="376" t="s">
        <v>639</v>
      </c>
      <c r="AD176" s="376" t="s">
        <v>231</v>
      </c>
      <c r="AE176" s="376" t="s">
        <v>636</v>
      </c>
      <c r="AF176" s="376" t="s">
        <v>178</v>
      </c>
      <c r="AG176" s="376" t="s">
        <v>179</v>
      </c>
      <c r="AH176" s="381">
        <v>39.35</v>
      </c>
      <c r="AI176" s="381">
        <v>57257.7</v>
      </c>
      <c r="AJ176" s="376" t="s">
        <v>180</v>
      </c>
      <c r="AK176" s="376" t="s">
        <v>181</v>
      </c>
      <c r="AL176" s="376" t="s">
        <v>182</v>
      </c>
      <c r="AM176" s="376" t="s">
        <v>183</v>
      </c>
      <c r="AN176" s="376" t="s">
        <v>66</v>
      </c>
      <c r="AO176" s="379">
        <v>80</v>
      </c>
      <c r="AP176" s="384">
        <v>1</v>
      </c>
      <c r="AQ176" s="384">
        <v>1</v>
      </c>
      <c r="AR176" s="382" t="s">
        <v>184</v>
      </c>
      <c r="AS176" s="386">
        <f t="shared" si="169"/>
        <v>1</v>
      </c>
      <c r="AT176">
        <f t="shared" si="170"/>
        <v>1</v>
      </c>
      <c r="AU176" s="386">
        <f>IF(AT176=0,"",IF(AND(AT176=1,M176="F",SUMIF(C2:C201,C176,AS2:AS201)&lt;=1),SUMIF(C2:C201,C176,AS2:AS201),IF(AND(AT176=1,M176="F",SUMIF(C2:C201,C176,AS2:AS201)&gt;1),1,"")))</f>
        <v>1</v>
      </c>
      <c r="AV176" s="386" t="str">
        <f>IF(AT176=0,"",IF(AND(AT176=3,M176="F",SUMIF(C2:C201,C176,AS2:AS201)&lt;=1),SUMIF(C2:C201,C176,AS2:AS201),IF(AND(AT176=3,M176="F",SUMIF(C2:C201,C176,AS2:AS201)&gt;1),1,"")))</f>
        <v/>
      </c>
      <c r="AW176" s="386">
        <f>SUMIF(C2:C201,C176,O2:O201)</f>
        <v>1</v>
      </c>
      <c r="AX176" s="386">
        <f>IF(AND(M176="F",AS176&lt;&gt;0),SUMIF(C2:C201,C176,W2:W201),0)</f>
        <v>81848</v>
      </c>
      <c r="AY176" s="386">
        <f t="shared" si="171"/>
        <v>81848</v>
      </c>
      <c r="AZ176" s="386" t="str">
        <f t="shared" si="172"/>
        <v/>
      </c>
      <c r="BA176" s="386">
        <f t="shared" si="173"/>
        <v>0</v>
      </c>
      <c r="BB176" s="386">
        <f t="shared" si="186"/>
        <v>12500</v>
      </c>
      <c r="BC176" s="386">
        <f t="shared" si="187"/>
        <v>0</v>
      </c>
      <c r="BD176" s="386">
        <f t="shared" si="188"/>
        <v>5074.576</v>
      </c>
      <c r="BE176" s="386">
        <f t="shared" si="189"/>
        <v>1186.796</v>
      </c>
      <c r="BF176" s="386">
        <f t="shared" si="190"/>
        <v>9772.6512000000002</v>
      </c>
      <c r="BG176" s="386">
        <f t="shared" si="191"/>
        <v>590.12408000000005</v>
      </c>
      <c r="BH176" s="386">
        <f t="shared" si="192"/>
        <v>0</v>
      </c>
      <c r="BI176" s="386">
        <f t="shared" si="193"/>
        <v>0</v>
      </c>
      <c r="BJ176" s="386">
        <f t="shared" si="194"/>
        <v>147.32640000000001</v>
      </c>
      <c r="BK176" s="386">
        <f t="shared" si="195"/>
        <v>0</v>
      </c>
      <c r="BL176" s="386">
        <f t="shared" si="174"/>
        <v>16771.473680000003</v>
      </c>
      <c r="BM176" s="386">
        <f t="shared" si="175"/>
        <v>0</v>
      </c>
      <c r="BN176" s="386">
        <f t="shared" si="196"/>
        <v>13750</v>
      </c>
      <c r="BO176" s="386">
        <f t="shared" si="197"/>
        <v>0</v>
      </c>
      <c r="BP176" s="386">
        <f t="shared" si="198"/>
        <v>5074.576</v>
      </c>
      <c r="BQ176" s="386">
        <f t="shared" si="199"/>
        <v>1186.796</v>
      </c>
      <c r="BR176" s="386">
        <f t="shared" si="200"/>
        <v>9150.6064000000006</v>
      </c>
      <c r="BS176" s="386">
        <f t="shared" si="201"/>
        <v>590.12408000000005</v>
      </c>
      <c r="BT176" s="386">
        <f t="shared" si="202"/>
        <v>0</v>
      </c>
      <c r="BU176" s="386">
        <f t="shared" si="203"/>
        <v>0</v>
      </c>
      <c r="BV176" s="386">
        <f t="shared" si="204"/>
        <v>155.5112</v>
      </c>
      <c r="BW176" s="386">
        <f t="shared" si="205"/>
        <v>0</v>
      </c>
      <c r="BX176" s="386">
        <f t="shared" si="176"/>
        <v>16157.61368</v>
      </c>
      <c r="BY176" s="386">
        <f t="shared" si="177"/>
        <v>0</v>
      </c>
      <c r="BZ176" s="386">
        <f t="shared" si="178"/>
        <v>1250</v>
      </c>
      <c r="CA176" s="386">
        <f t="shared" si="179"/>
        <v>0</v>
      </c>
      <c r="CB176" s="386">
        <f t="shared" si="180"/>
        <v>0</v>
      </c>
      <c r="CC176" s="386">
        <f t="shared" si="206"/>
        <v>0</v>
      </c>
      <c r="CD176" s="386">
        <f t="shared" si="207"/>
        <v>-622.04480000000081</v>
      </c>
      <c r="CE176" s="386">
        <f t="shared" si="208"/>
        <v>0</v>
      </c>
      <c r="CF176" s="386">
        <f t="shared" si="209"/>
        <v>0</v>
      </c>
      <c r="CG176" s="386">
        <f t="shared" si="210"/>
        <v>0</v>
      </c>
      <c r="CH176" s="386">
        <f t="shared" si="211"/>
        <v>8.1848000000000045</v>
      </c>
      <c r="CI176" s="386">
        <f t="shared" si="212"/>
        <v>0</v>
      </c>
      <c r="CJ176" s="386">
        <f t="shared" si="181"/>
        <v>-613.86000000000081</v>
      </c>
      <c r="CK176" s="386" t="str">
        <f t="shared" si="182"/>
        <v/>
      </c>
      <c r="CL176" s="386" t="str">
        <f t="shared" si="183"/>
        <v/>
      </c>
      <c r="CM176" s="386" t="str">
        <f t="shared" si="184"/>
        <v/>
      </c>
      <c r="CN176" s="386" t="str">
        <f t="shared" si="185"/>
        <v>0480-00</v>
      </c>
    </row>
    <row r="177" spans="1:92" ht="15.75" thickBot="1" x14ac:dyDescent="0.3">
      <c r="A177" s="376" t="s">
        <v>162</v>
      </c>
      <c r="B177" s="376" t="s">
        <v>163</v>
      </c>
      <c r="C177" s="376" t="s">
        <v>640</v>
      </c>
      <c r="D177" s="376" t="s">
        <v>551</v>
      </c>
      <c r="E177" s="376" t="s">
        <v>505</v>
      </c>
      <c r="F177" s="377" t="s">
        <v>167</v>
      </c>
      <c r="G177" s="376" t="s">
        <v>506</v>
      </c>
      <c r="H177" s="378"/>
      <c r="I177" s="378"/>
      <c r="J177" s="376" t="s">
        <v>169</v>
      </c>
      <c r="K177" s="376" t="s">
        <v>641</v>
      </c>
      <c r="L177" s="376" t="s">
        <v>194</v>
      </c>
      <c r="M177" s="376" t="s">
        <v>172</v>
      </c>
      <c r="N177" s="376" t="s">
        <v>173</v>
      </c>
      <c r="O177" s="379">
        <v>1</v>
      </c>
      <c r="P177" s="384">
        <v>1</v>
      </c>
      <c r="Q177" s="384">
        <v>1</v>
      </c>
      <c r="R177" s="380">
        <v>80</v>
      </c>
      <c r="S177" s="384">
        <v>1</v>
      </c>
      <c r="T177" s="380">
        <v>76884.78</v>
      </c>
      <c r="U177" s="380">
        <v>0</v>
      </c>
      <c r="V177" s="380">
        <v>27707.54</v>
      </c>
      <c r="W177" s="380">
        <v>71905.600000000006</v>
      </c>
      <c r="X177" s="380">
        <v>27234.15</v>
      </c>
      <c r="Y177" s="380">
        <v>71905.600000000006</v>
      </c>
      <c r="Z177" s="380">
        <v>27944.86</v>
      </c>
      <c r="AA177" s="376" t="s">
        <v>642</v>
      </c>
      <c r="AB177" s="376" t="s">
        <v>643</v>
      </c>
      <c r="AC177" s="376" t="s">
        <v>644</v>
      </c>
      <c r="AD177" s="376" t="s">
        <v>172</v>
      </c>
      <c r="AE177" s="376" t="s">
        <v>641</v>
      </c>
      <c r="AF177" s="376" t="s">
        <v>178</v>
      </c>
      <c r="AG177" s="376" t="s">
        <v>179</v>
      </c>
      <c r="AH177" s="381">
        <v>34.57</v>
      </c>
      <c r="AI177" s="381">
        <v>37466.199999999997</v>
      </c>
      <c r="AJ177" s="376" t="s">
        <v>180</v>
      </c>
      <c r="AK177" s="376" t="s">
        <v>181</v>
      </c>
      <c r="AL177" s="376" t="s">
        <v>182</v>
      </c>
      <c r="AM177" s="376" t="s">
        <v>183</v>
      </c>
      <c r="AN177" s="376" t="s">
        <v>66</v>
      </c>
      <c r="AO177" s="379">
        <v>80</v>
      </c>
      <c r="AP177" s="384">
        <v>1</v>
      </c>
      <c r="AQ177" s="384">
        <v>1</v>
      </c>
      <c r="AR177" s="382" t="s">
        <v>184</v>
      </c>
      <c r="AS177" s="386">
        <f t="shared" si="169"/>
        <v>1</v>
      </c>
      <c r="AT177">
        <f t="shared" si="170"/>
        <v>1</v>
      </c>
      <c r="AU177" s="386">
        <f>IF(AT177=0,"",IF(AND(AT177=1,M177="F",SUMIF(C2:C201,C177,AS2:AS201)&lt;=1),SUMIF(C2:C201,C177,AS2:AS201),IF(AND(AT177=1,M177="F",SUMIF(C2:C201,C177,AS2:AS201)&gt;1),1,"")))</f>
        <v>1</v>
      </c>
      <c r="AV177" s="386" t="str">
        <f>IF(AT177=0,"",IF(AND(AT177=3,M177="F",SUMIF(C2:C201,C177,AS2:AS201)&lt;=1),SUMIF(C2:C201,C177,AS2:AS201),IF(AND(AT177=3,M177="F",SUMIF(C2:C201,C177,AS2:AS201)&gt;1),1,"")))</f>
        <v/>
      </c>
      <c r="AW177" s="386">
        <f>SUMIF(C2:C201,C177,O2:O201)</f>
        <v>1</v>
      </c>
      <c r="AX177" s="386">
        <f>IF(AND(M177="F",AS177&lt;&gt;0),SUMIF(C2:C201,C177,W2:W201),0)</f>
        <v>71905.600000000006</v>
      </c>
      <c r="AY177" s="386">
        <f t="shared" si="171"/>
        <v>71905.600000000006</v>
      </c>
      <c r="AZ177" s="386" t="str">
        <f t="shared" si="172"/>
        <v/>
      </c>
      <c r="BA177" s="386">
        <f t="shared" si="173"/>
        <v>0</v>
      </c>
      <c r="BB177" s="386">
        <f t="shared" si="186"/>
        <v>12500</v>
      </c>
      <c r="BC177" s="386">
        <f t="shared" si="187"/>
        <v>0</v>
      </c>
      <c r="BD177" s="386">
        <f t="shared" si="188"/>
        <v>4458.1472000000003</v>
      </c>
      <c r="BE177" s="386">
        <f t="shared" si="189"/>
        <v>1042.6312</v>
      </c>
      <c r="BF177" s="386">
        <f t="shared" si="190"/>
        <v>8585.5286400000005</v>
      </c>
      <c r="BG177" s="386">
        <f t="shared" si="191"/>
        <v>518.43937600000004</v>
      </c>
      <c r="BH177" s="386">
        <f t="shared" si="192"/>
        <v>0</v>
      </c>
      <c r="BI177" s="386">
        <f t="shared" si="193"/>
        <v>0</v>
      </c>
      <c r="BJ177" s="386">
        <f t="shared" si="194"/>
        <v>129.43008</v>
      </c>
      <c r="BK177" s="386">
        <f t="shared" si="195"/>
        <v>0</v>
      </c>
      <c r="BL177" s="386">
        <f t="shared" si="174"/>
        <v>14734.176496</v>
      </c>
      <c r="BM177" s="386">
        <f t="shared" si="175"/>
        <v>0</v>
      </c>
      <c r="BN177" s="386">
        <f t="shared" si="196"/>
        <v>13750</v>
      </c>
      <c r="BO177" s="386">
        <f t="shared" si="197"/>
        <v>0</v>
      </c>
      <c r="BP177" s="386">
        <f t="shared" si="198"/>
        <v>4458.1472000000003</v>
      </c>
      <c r="BQ177" s="386">
        <f t="shared" si="199"/>
        <v>1042.6312</v>
      </c>
      <c r="BR177" s="386">
        <f t="shared" si="200"/>
        <v>8039.0460800000001</v>
      </c>
      <c r="BS177" s="386">
        <f t="shared" si="201"/>
        <v>518.43937600000004</v>
      </c>
      <c r="BT177" s="386">
        <f t="shared" si="202"/>
        <v>0</v>
      </c>
      <c r="BU177" s="386">
        <f t="shared" si="203"/>
        <v>0</v>
      </c>
      <c r="BV177" s="386">
        <f t="shared" si="204"/>
        <v>136.62064000000001</v>
      </c>
      <c r="BW177" s="386">
        <f t="shared" si="205"/>
        <v>0</v>
      </c>
      <c r="BX177" s="386">
        <f t="shared" si="176"/>
        <v>14194.884495999999</v>
      </c>
      <c r="BY177" s="386">
        <f t="shared" si="177"/>
        <v>0</v>
      </c>
      <c r="BZ177" s="386">
        <f t="shared" si="178"/>
        <v>1250</v>
      </c>
      <c r="CA177" s="386">
        <f t="shared" si="179"/>
        <v>0</v>
      </c>
      <c r="CB177" s="386">
        <f t="shared" si="180"/>
        <v>0</v>
      </c>
      <c r="CC177" s="386">
        <f t="shared" si="206"/>
        <v>0</v>
      </c>
      <c r="CD177" s="386">
        <f t="shared" si="207"/>
        <v>-546.48256000000072</v>
      </c>
      <c r="CE177" s="386">
        <f t="shared" si="208"/>
        <v>0</v>
      </c>
      <c r="CF177" s="386">
        <f t="shared" si="209"/>
        <v>0</v>
      </c>
      <c r="CG177" s="386">
        <f t="shared" si="210"/>
        <v>0</v>
      </c>
      <c r="CH177" s="386">
        <f t="shared" si="211"/>
        <v>7.1905600000000041</v>
      </c>
      <c r="CI177" s="386">
        <f t="shared" si="212"/>
        <v>0</v>
      </c>
      <c r="CJ177" s="386">
        <f t="shared" si="181"/>
        <v>-539.29200000000071</v>
      </c>
      <c r="CK177" s="386" t="str">
        <f t="shared" si="182"/>
        <v/>
      </c>
      <c r="CL177" s="386" t="str">
        <f t="shared" si="183"/>
        <v/>
      </c>
      <c r="CM177" s="386" t="str">
        <f t="shared" si="184"/>
        <v/>
      </c>
      <c r="CN177" s="386" t="str">
        <f t="shared" si="185"/>
        <v>0480-00</v>
      </c>
    </row>
    <row r="178" spans="1:92" ht="15.75" thickBot="1" x14ac:dyDescent="0.3">
      <c r="A178" s="376" t="s">
        <v>162</v>
      </c>
      <c r="B178" s="376" t="s">
        <v>163</v>
      </c>
      <c r="C178" s="376" t="s">
        <v>425</v>
      </c>
      <c r="D178" s="376" t="s">
        <v>313</v>
      </c>
      <c r="E178" s="376" t="s">
        <v>505</v>
      </c>
      <c r="F178" s="377" t="s">
        <v>167</v>
      </c>
      <c r="G178" s="376" t="s">
        <v>506</v>
      </c>
      <c r="H178" s="378"/>
      <c r="I178" s="378"/>
      <c r="J178" s="376" t="s">
        <v>169</v>
      </c>
      <c r="K178" s="376" t="s">
        <v>314</v>
      </c>
      <c r="L178" s="376" t="s">
        <v>167</v>
      </c>
      <c r="M178" s="376" t="s">
        <v>172</v>
      </c>
      <c r="N178" s="376" t="s">
        <v>315</v>
      </c>
      <c r="O178" s="379">
        <v>0</v>
      </c>
      <c r="P178" s="384">
        <v>1</v>
      </c>
      <c r="Q178" s="384">
        <v>0</v>
      </c>
      <c r="R178" s="380">
        <v>0</v>
      </c>
      <c r="S178" s="384">
        <v>0</v>
      </c>
      <c r="T178" s="380">
        <v>0</v>
      </c>
      <c r="U178" s="380">
        <v>0</v>
      </c>
      <c r="V178" s="380">
        <v>0</v>
      </c>
      <c r="W178" s="380">
        <v>173055.67</v>
      </c>
      <c r="X178" s="380">
        <v>39283.14</v>
      </c>
      <c r="Y178" s="380">
        <v>173055.67</v>
      </c>
      <c r="Z178" s="380">
        <v>39283.14</v>
      </c>
      <c r="AA178" s="378"/>
      <c r="AB178" s="376" t="s">
        <v>45</v>
      </c>
      <c r="AC178" s="376" t="s">
        <v>45</v>
      </c>
      <c r="AD178" s="378"/>
      <c r="AE178" s="378"/>
      <c r="AF178" s="378"/>
      <c r="AG178" s="378"/>
      <c r="AH178" s="379">
        <v>0</v>
      </c>
      <c r="AI178" s="379">
        <v>0</v>
      </c>
      <c r="AJ178" s="378"/>
      <c r="AK178" s="378"/>
      <c r="AL178" s="376" t="s">
        <v>182</v>
      </c>
      <c r="AM178" s="378"/>
      <c r="AN178" s="378"/>
      <c r="AO178" s="379">
        <v>0</v>
      </c>
      <c r="AP178" s="384">
        <v>0</v>
      </c>
      <c r="AQ178" s="384">
        <v>0</v>
      </c>
      <c r="AR178" s="383"/>
      <c r="AS178" s="386">
        <f t="shared" si="169"/>
        <v>0</v>
      </c>
      <c r="AT178">
        <f t="shared" si="170"/>
        <v>0</v>
      </c>
      <c r="AU178" s="386" t="str">
        <f>IF(AT178=0,"",IF(AND(AT178=1,M178="F",SUMIF(C2:C201,C178,AS2:AS201)&lt;=1),SUMIF(C2:C201,C178,AS2:AS201),IF(AND(AT178=1,M178="F",SUMIF(C2:C201,C178,AS2:AS201)&gt;1),1,"")))</f>
        <v/>
      </c>
      <c r="AV178" s="386" t="str">
        <f>IF(AT178=0,"",IF(AND(AT178=3,M178="F",SUMIF(C2:C201,C178,AS2:AS201)&lt;=1),SUMIF(C2:C201,C178,AS2:AS201),IF(AND(AT178=3,M178="F",SUMIF(C2:C201,C178,AS2:AS201)&gt;1),1,"")))</f>
        <v/>
      </c>
      <c r="AW178" s="386">
        <f>SUMIF(C2:C201,C178,O2:O201)</f>
        <v>0</v>
      </c>
      <c r="AX178" s="386">
        <f>IF(AND(M178="F",AS178&lt;&gt;0),SUMIF(C2:C201,C178,W2:W201),0)</f>
        <v>0</v>
      </c>
      <c r="AY178" s="386" t="str">
        <f t="shared" si="171"/>
        <v/>
      </c>
      <c r="AZ178" s="386" t="str">
        <f t="shared" si="172"/>
        <v/>
      </c>
      <c r="BA178" s="386">
        <f t="shared" si="173"/>
        <v>0</v>
      </c>
      <c r="BB178" s="386">
        <f t="shared" si="186"/>
        <v>0</v>
      </c>
      <c r="BC178" s="386">
        <f t="shared" si="187"/>
        <v>0</v>
      </c>
      <c r="BD178" s="386">
        <f t="shared" si="188"/>
        <v>0</v>
      </c>
      <c r="BE178" s="386">
        <f t="shared" si="189"/>
        <v>0</v>
      </c>
      <c r="BF178" s="386">
        <f t="shared" si="190"/>
        <v>0</v>
      </c>
      <c r="BG178" s="386">
        <f t="shared" si="191"/>
        <v>0</v>
      </c>
      <c r="BH178" s="386">
        <f t="shared" si="192"/>
        <v>0</v>
      </c>
      <c r="BI178" s="386">
        <f t="shared" si="193"/>
        <v>0</v>
      </c>
      <c r="BJ178" s="386">
        <f t="shared" si="194"/>
        <v>0</v>
      </c>
      <c r="BK178" s="386">
        <f t="shared" si="195"/>
        <v>0</v>
      </c>
      <c r="BL178" s="386">
        <f t="shared" si="174"/>
        <v>0</v>
      </c>
      <c r="BM178" s="386">
        <f t="shared" si="175"/>
        <v>0</v>
      </c>
      <c r="BN178" s="386">
        <f t="shared" si="196"/>
        <v>0</v>
      </c>
      <c r="BO178" s="386">
        <f t="shared" si="197"/>
        <v>0</v>
      </c>
      <c r="BP178" s="386">
        <f t="shared" si="198"/>
        <v>0</v>
      </c>
      <c r="BQ178" s="386">
        <f t="shared" si="199"/>
        <v>0</v>
      </c>
      <c r="BR178" s="386">
        <f t="shared" si="200"/>
        <v>0</v>
      </c>
      <c r="BS178" s="386">
        <f t="shared" si="201"/>
        <v>0</v>
      </c>
      <c r="BT178" s="386">
        <f t="shared" si="202"/>
        <v>0</v>
      </c>
      <c r="BU178" s="386">
        <f t="shared" si="203"/>
        <v>0</v>
      </c>
      <c r="BV178" s="386">
        <f t="shared" si="204"/>
        <v>0</v>
      </c>
      <c r="BW178" s="386">
        <f t="shared" si="205"/>
        <v>0</v>
      </c>
      <c r="BX178" s="386">
        <f t="shared" si="176"/>
        <v>0</v>
      </c>
      <c r="BY178" s="386">
        <f t="shared" si="177"/>
        <v>0</v>
      </c>
      <c r="BZ178" s="386">
        <f t="shared" si="178"/>
        <v>0</v>
      </c>
      <c r="CA178" s="386">
        <f t="shared" si="179"/>
        <v>0</v>
      </c>
      <c r="CB178" s="386">
        <f t="shared" si="180"/>
        <v>0</v>
      </c>
      <c r="CC178" s="386">
        <f t="shared" si="206"/>
        <v>0</v>
      </c>
      <c r="CD178" s="386">
        <f t="shared" si="207"/>
        <v>0</v>
      </c>
      <c r="CE178" s="386">
        <f t="shared" si="208"/>
        <v>0</v>
      </c>
      <c r="CF178" s="386">
        <f t="shared" si="209"/>
        <v>0</v>
      </c>
      <c r="CG178" s="386">
        <f t="shared" si="210"/>
        <v>0</v>
      </c>
      <c r="CH178" s="386">
        <f t="shared" si="211"/>
        <v>0</v>
      </c>
      <c r="CI178" s="386">
        <f t="shared" si="212"/>
        <v>0</v>
      </c>
      <c r="CJ178" s="386">
        <f t="shared" si="181"/>
        <v>0</v>
      </c>
      <c r="CK178" s="386" t="str">
        <f t="shared" si="182"/>
        <v/>
      </c>
      <c r="CL178" s="386">
        <f t="shared" si="183"/>
        <v>0</v>
      </c>
      <c r="CM178" s="386">
        <f t="shared" si="184"/>
        <v>0</v>
      </c>
      <c r="CN178" s="386" t="str">
        <f t="shared" si="185"/>
        <v>0480-00</v>
      </c>
    </row>
    <row r="179" spans="1:92" ht="15.75" thickBot="1" x14ac:dyDescent="0.3">
      <c r="A179" s="376" t="s">
        <v>162</v>
      </c>
      <c r="B179" s="376" t="s">
        <v>163</v>
      </c>
      <c r="C179" s="376" t="s">
        <v>481</v>
      </c>
      <c r="D179" s="376" t="s">
        <v>482</v>
      </c>
      <c r="E179" s="376" t="s">
        <v>505</v>
      </c>
      <c r="F179" s="377" t="s">
        <v>167</v>
      </c>
      <c r="G179" s="376" t="s">
        <v>506</v>
      </c>
      <c r="H179" s="378"/>
      <c r="I179" s="378"/>
      <c r="J179" s="376" t="s">
        <v>169</v>
      </c>
      <c r="K179" s="376" t="s">
        <v>483</v>
      </c>
      <c r="L179" s="376" t="s">
        <v>167</v>
      </c>
      <c r="M179" s="376" t="s">
        <v>172</v>
      </c>
      <c r="N179" s="376" t="s">
        <v>173</v>
      </c>
      <c r="O179" s="379">
        <v>1</v>
      </c>
      <c r="P179" s="384">
        <v>1</v>
      </c>
      <c r="Q179" s="384">
        <v>1</v>
      </c>
      <c r="R179" s="380">
        <v>80</v>
      </c>
      <c r="S179" s="384">
        <v>1</v>
      </c>
      <c r="T179" s="380">
        <v>120314.4</v>
      </c>
      <c r="U179" s="380">
        <v>0</v>
      </c>
      <c r="V179" s="380">
        <v>36548.69</v>
      </c>
      <c r="W179" s="380">
        <v>124446.39999999999</v>
      </c>
      <c r="X179" s="380">
        <v>38000.29</v>
      </c>
      <c r="Y179" s="380">
        <v>124446.39999999999</v>
      </c>
      <c r="Z179" s="380">
        <v>38316.93</v>
      </c>
      <c r="AA179" s="376" t="s">
        <v>484</v>
      </c>
      <c r="AB179" s="376" t="s">
        <v>485</v>
      </c>
      <c r="AC179" s="376" t="s">
        <v>486</v>
      </c>
      <c r="AD179" s="376" t="s">
        <v>311</v>
      </c>
      <c r="AE179" s="376" t="s">
        <v>483</v>
      </c>
      <c r="AF179" s="376" t="s">
        <v>178</v>
      </c>
      <c r="AG179" s="376" t="s">
        <v>179</v>
      </c>
      <c r="AH179" s="381">
        <v>59.83</v>
      </c>
      <c r="AI179" s="379">
        <v>44304</v>
      </c>
      <c r="AJ179" s="376" t="s">
        <v>180</v>
      </c>
      <c r="AK179" s="376" t="s">
        <v>181</v>
      </c>
      <c r="AL179" s="376" t="s">
        <v>182</v>
      </c>
      <c r="AM179" s="376" t="s">
        <v>183</v>
      </c>
      <c r="AN179" s="376" t="s">
        <v>66</v>
      </c>
      <c r="AO179" s="379">
        <v>80</v>
      </c>
      <c r="AP179" s="384">
        <v>1</v>
      </c>
      <c r="AQ179" s="384">
        <v>1</v>
      </c>
      <c r="AR179" s="382" t="s">
        <v>184</v>
      </c>
      <c r="AS179" s="386">
        <f t="shared" si="169"/>
        <v>1</v>
      </c>
      <c r="AT179">
        <f t="shared" si="170"/>
        <v>1</v>
      </c>
      <c r="AU179" s="386">
        <f>IF(AT179=0,"",IF(AND(AT179=1,M179="F",SUMIF(C2:C201,C179,AS2:AS201)&lt;=1),SUMIF(C2:C201,C179,AS2:AS201),IF(AND(AT179=1,M179="F",SUMIF(C2:C201,C179,AS2:AS201)&gt;1),1,"")))</f>
        <v>1</v>
      </c>
      <c r="AV179" s="386" t="str">
        <f>IF(AT179=0,"",IF(AND(AT179=3,M179="F",SUMIF(C2:C201,C179,AS2:AS201)&lt;=1),SUMIF(C2:C201,C179,AS2:AS201),IF(AND(AT179=3,M179="F",SUMIF(C2:C201,C179,AS2:AS201)&gt;1),1,"")))</f>
        <v/>
      </c>
      <c r="AW179" s="386">
        <f>SUMIF(C2:C201,C179,O2:O201)</f>
        <v>2</v>
      </c>
      <c r="AX179" s="386">
        <f>IF(AND(M179="F",AS179&lt;&gt;0),SUMIF(C2:C201,C179,W2:W201),0)</f>
        <v>124446.39999999999</v>
      </c>
      <c r="AY179" s="386">
        <f t="shared" si="171"/>
        <v>124446.39999999999</v>
      </c>
      <c r="AZ179" s="386" t="str">
        <f t="shared" si="172"/>
        <v/>
      </c>
      <c r="BA179" s="386">
        <f t="shared" si="173"/>
        <v>0</v>
      </c>
      <c r="BB179" s="386">
        <f t="shared" si="186"/>
        <v>12500</v>
      </c>
      <c r="BC179" s="386">
        <f t="shared" si="187"/>
        <v>0</v>
      </c>
      <c r="BD179" s="386">
        <f t="shared" si="188"/>
        <v>7715.6767999999993</v>
      </c>
      <c r="BE179" s="386">
        <f t="shared" si="189"/>
        <v>1804.4728</v>
      </c>
      <c r="BF179" s="386">
        <f t="shared" si="190"/>
        <v>14858.900159999999</v>
      </c>
      <c r="BG179" s="386">
        <f t="shared" si="191"/>
        <v>897.25854400000003</v>
      </c>
      <c r="BH179" s="386">
        <f t="shared" si="192"/>
        <v>0</v>
      </c>
      <c r="BI179" s="386">
        <f t="shared" si="193"/>
        <v>0</v>
      </c>
      <c r="BJ179" s="386">
        <f t="shared" si="194"/>
        <v>224.00351999999998</v>
      </c>
      <c r="BK179" s="386">
        <f t="shared" si="195"/>
        <v>0</v>
      </c>
      <c r="BL179" s="386">
        <f t="shared" si="174"/>
        <v>25500.311823999997</v>
      </c>
      <c r="BM179" s="386">
        <f t="shared" si="175"/>
        <v>0</v>
      </c>
      <c r="BN179" s="386">
        <f t="shared" si="196"/>
        <v>13750</v>
      </c>
      <c r="BO179" s="386">
        <f t="shared" si="197"/>
        <v>0</v>
      </c>
      <c r="BP179" s="386">
        <f t="shared" si="198"/>
        <v>7715.6767999999993</v>
      </c>
      <c r="BQ179" s="386">
        <f t="shared" si="199"/>
        <v>1804.4728</v>
      </c>
      <c r="BR179" s="386">
        <f t="shared" si="200"/>
        <v>13913.10752</v>
      </c>
      <c r="BS179" s="386">
        <f t="shared" si="201"/>
        <v>897.25854400000003</v>
      </c>
      <c r="BT179" s="386">
        <f t="shared" si="202"/>
        <v>0</v>
      </c>
      <c r="BU179" s="386">
        <f t="shared" si="203"/>
        <v>0</v>
      </c>
      <c r="BV179" s="386">
        <f t="shared" si="204"/>
        <v>236.44816</v>
      </c>
      <c r="BW179" s="386">
        <f t="shared" si="205"/>
        <v>0</v>
      </c>
      <c r="BX179" s="386">
        <f t="shared" si="176"/>
        <v>24566.963823999999</v>
      </c>
      <c r="BY179" s="386">
        <f t="shared" si="177"/>
        <v>0</v>
      </c>
      <c r="BZ179" s="386">
        <f t="shared" si="178"/>
        <v>1250</v>
      </c>
      <c r="CA179" s="386">
        <f t="shared" si="179"/>
        <v>0</v>
      </c>
      <c r="CB179" s="386">
        <f t="shared" si="180"/>
        <v>0</v>
      </c>
      <c r="CC179" s="386">
        <f t="shared" si="206"/>
        <v>0</v>
      </c>
      <c r="CD179" s="386">
        <f t="shared" si="207"/>
        <v>-945.79264000000114</v>
      </c>
      <c r="CE179" s="386">
        <f t="shared" si="208"/>
        <v>0</v>
      </c>
      <c r="CF179" s="386">
        <f t="shared" si="209"/>
        <v>0</v>
      </c>
      <c r="CG179" s="386">
        <f t="shared" si="210"/>
        <v>0</v>
      </c>
      <c r="CH179" s="386">
        <f t="shared" si="211"/>
        <v>12.444640000000005</v>
      </c>
      <c r="CI179" s="386">
        <f t="shared" si="212"/>
        <v>0</v>
      </c>
      <c r="CJ179" s="386">
        <f t="shared" si="181"/>
        <v>-933.34800000000109</v>
      </c>
      <c r="CK179" s="386" t="str">
        <f t="shared" si="182"/>
        <v/>
      </c>
      <c r="CL179" s="386" t="str">
        <f t="shared" si="183"/>
        <v/>
      </c>
      <c r="CM179" s="386" t="str">
        <f t="shared" si="184"/>
        <v/>
      </c>
      <c r="CN179" s="386" t="str">
        <f t="shared" si="185"/>
        <v>0480-00</v>
      </c>
    </row>
    <row r="180" spans="1:92" ht="15.75" thickBot="1" x14ac:dyDescent="0.3">
      <c r="A180" s="376" t="s">
        <v>162</v>
      </c>
      <c r="B180" s="376" t="s">
        <v>163</v>
      </c>
      <c r="C180" s="376" t="s">
        <v>645</v>
      </c>
      <c r="D180" s="376" t="s">
        <v>551</v>
      </c>
      <c r="E180" s="376" t="s">
        <v>505</v>
      </c>
      <c r="F180" s="377" t="s">
        <v>167</v>
      </c>
      <c r="G180" s="376" t="s">
        <v>506</v>
      </c>
      <c r="H180" s="378"/>
      <c r="I180" s="378"/>
      <c r="J180" s="376" t="s">
        <v>169</v>
      </c>
      <c r="K180" s="376" t="s">
        <v>636</v>
      </c>
      <c r="L180" s="376" t="s">
        <v>198</v>
      </c>
      <c r="M180" s="376" t="s">
        <v>172</v>
      </c>
      <c r="N180" s="376" t="s">
        <v>173</v>
      </c>
      <c r="O180" s="379">
        <v>1</v>
      </c>
      <c r="P180" s="384">
        <v>1</v>
      </c>
      <c r="Q180" s="384">
        <v>1</v>
      </c>
      <c r="R180" s="380">
        <v>80</v>
      </c>
      <c r="S180" s="384">
        <v>1</v>
      </c>
      <c r="T180" s="380">
        <v>85439.22</v>
      </c>
      <c r="U180" s="380">
        <v>0</v>
      </c>
      <c r="V180" s="380">
        <v>30871.24</v>
      </c>
      <c r="W180" s="380">
        <v>77584</v>
      </c>
      <c r="X180" s="380">
        <v>28397.71</v>
      </c>
      <c r="Y180" s="380">
        <v>77584</v>
      </c>
      <c r="Z180" s="380">
        <v>29065.83</v>
      </c>
      <c r="AA180" s="376" t="s">
        <v>646</v>
      </c>
      <c r="AB180" s="376" t="s">
        <v>647</v>
      </c>
      <c r="AC180" s="376" t="s">
        <v>457</v>
      </c>
      <c r="AD180" s="376" t="s">
        <v>486</v>
      </c>
      <c r="AE180" s="376" t="s">
        <v>636</v>
      </c>
      <c r="AF180" s="376" t="s">
        <v>178</v>
      </c>
      <c r="AG180" s="376" t="s">
        <v>179</v>
      </c>
      <c r="AH180" s="381">
        <v>37.299999999999997</v>
      </c>
      <c r="AI180" s="381">
        <v>16751.8</v>
      </c>
      <c r="AJ180" s="376" t="s">
        <v>180</v>
      </c>
      <c r="AK180" s="376" t="s">
        <v>181</v>
      </c>
      <c r="AL180" s="376" t="s">
        <v>182</v>
      </c>
      <c r="AM180" s="376" t="s">
        <v>183</v>
      </c>
      <c r="AN180" s="376" t="s">
        <v>66</v>
      </c>
      <c r="AO180" s="379">
        <v>80</v>
      </c>
      <c r="AP180" s="384">
        <v>1</v>
      </c>
      <c r="AQ180" s="384">
        <v>1</v>
      </c>
      <c r="AR180" s="382" t="s">
        <v>184</v>
      </c>
      <c r="AS180" s="386">
        <f t="shared" si="169"/>
        <v>1</v>
      </c>
      <c r="AT180">
        <f t="shared" si="170"/>
        <v>1</v>
      </c>
      <c r="AU180" s="386">
        <f>IF(AT180=0,"",IF(AND(AT180=1,M180="F",SUMIF(C2:C201,C180,AS2:AS201)&lt;=1),SUMIF(C2:C201,C180,AS2:AS201),IF(AND(AT180=1,M180="F",SUMIF(C2:C201,C180,AS2:AS201)&gt;1),1,"")))</f>
        <v>1</v>
      </c>
      <c r="AV180" s="386" t="str">
        <f>IF(AT180=0,"",IF(AND(AT180=3,M180="F",SUMIF(C2:C201,C180,AS2:AS201)&lt;=1),SUMIF(C2:C201,C180,AS2:AS201),IF(AND(AT180=3,M180="F",SUMIF(C2:C201,C180,AS2:AS201)&gt;1),1,"")))</f>
        <v/>
      </c>
      <c r="AW180" s="386">
        <f>SUMIF(C2:C201,C180,O2:O201)</f>
        <v>1</v>
      </c>
      <c r="AX180" s="386">
        <f>IF(AND(M180="F",AS180&lt;&gt;0),SUMIF(C2:C201,C180,W2:W201),0)</f>
        <v>77584</v>
      </c>
      <c r="AY180" s="386">
        <f t="shared" si="171"/>
        <v>77584</v>
      </c>
      <c r="AZ180" s="386" t="str">
        <f t="shared" si="172"/>
        <v/>
      </c>
      <c r="BA180" s="386">
        <f t="shared" si="173"/>
        <v>0</v>
      </c>
      <c r="BB180" s="386">
        <f t="shared" si="186"/>
        <v>12500</v>
      </c>
      <c r="BC180" s="386">
        <f t="shared" si="187"/>
        <v>0</v>
      </c>
      <c r="BD180" s="386">
        <f t="shared" si="188"/>
        <v>4810.2079999999996</v>
      </c>
      <c r="BE180" s="386">
        <f t="shared" si="189"/>
        <v>1124.9680000000001</v>
      </c>
      <c r="BF180" s="386">
        <f t="shared" si="190"/>
        <v>9263.5295999999998</v>
      </c>
      <c r="BG180" s="386">
        <f t="shared" si="191"/>
        <v>559.38063999999997</v>
      </c>
      <c r="BH180" s="386">
        <f t="shared" si="192"/>
        <v>0</v>
      </c>
      <c r="BI180" s="386">
        <f t="shared" si="193"/>
        <v>0</v>
      </c>
      <c r="BJ180" s="386">
        <f t="shared" si="194"/>
        <v>139.65119999999999</v>
      </c>
      <c r="BK180" s="386">
        <f t="shared" si="195"/>
        <v>0</v>
      </c>
      <c r="BL180" s="386">
        <f t="shared" si="174"/>
        <v>15897.737439999999</v>
      </c>
      <c r="BM180" s="386">
        <f t="shared" si="175"/>
        <v>0</v>
      </c>
      <c r="BN180" s="386">
        <f t="shared" si="196"/>
        <v>13750</v>
      </c>
      <c r="BO180" s="386">
        <f t="shared" si="197"/>
        <v>0</v>
      </c>
      <c r="BP180" s="386">
        <f t="shared" si="198"/>
        <v>4810.2079999999996</v>
      </c>
      <c r="BQ180" s="386">
        <f t="shared" si="199"/>
        <v>1124.9680000000001</v>
      </c>
      <c r="BR180" s="386">
        <f t="shared" si="200"/>
        <v>8673.8912</v>
      </c>
      <c r="BS180" s="386">
        <f t="shared" si="201"/>
        <v>559.38063999999997</v>
      </c>
      <c r="BT180" s="386">
        <f t="shared" si="202"/>
        <v>0</v>
      </c>
      <c r="BU180" s="386">
        <f t="shared" si="203"/>
        <v>0</v>
      </c>
      <c r="BV180" s="386">
        <f t="shared" si="204"/>
        <v>147.40960000000001</v>
      </c>
      <c r="BW180" s="386">
        <f t="shared" si="205"/>
        <v>0</v>
      </c>
      <c r="BX180" s="386">
        <f t="shared" si="176"/>
        <v>15315.85744</v>
      </c>
      <c r="BY180" s="386">
        <f t="shared" si="177"/>
        <v>0</v>
      </c>
      <c r="BZ180" s="386">
        <f t="shared" si="178"/>
        <v>1250</v>
      </c>
      <c r="CA180" s="386">
        <f t="shared" si="179"/>
        <v>0</v>
      </c>
      <c r="CB180" s="386">
        <f t="shared" si="180"/>
        <v>0</v>
      </c>
      <c r="CC180" s="386">
        <f t="shared" si="206"/>
        <v>0</v>
      </c>
      <c r="CD180" s="386">
        <f t="shared" si="207"/>
        <v>-589.63840000000073</v>
      </c>
      <c r="CE180" s="386">
        <f t="shared" si="208"/>
        <v>0</v>
      </c>
      <c r="CF180" s="386">
        <f t="shared" si="209"/>
        <v>0</v>
      </c>
      <c r="CG180" s="386">
        <f t="shared" si="210"/>
        <v>0</v>
      </c>
      <c r="CH180" s="386">
        <f t="shared" si="211"/>
        <v>7.7584000000000035</v>
      </c>
      <c r="CI180" s="386">
        <f t="shared" si="212"/>
        <v>0</v>
      </c>
      <c r="CJ180" s="386">
        <f t="shared" si="181"/>
        <v>-581.88000000000068</v>
      </c>
      <c r="CK180" s="386" t="str">
        <f t="shared" si="182"/>
        <v/>
      </c>
      <c r="CL180" s="386" t="str">
        <f t="shared" si="183"/>
        <v/>
      </c>
      <c r="CM180" s="386" t="str">
        <f t="shared" si="184"/>
        <v/>
      </c>
      <c r="CN180" s="386" t="str">
        <f t="shared" si="185"/>
        <v>0480-00</v>
      </c>
    </row>
    <row r="181" spans="1:92" ht="15.75" thickBot="1" x14ac:dyDescent="0.3">
      <c r="A181" s="376" t="s">
        <v>162</v>
      </c>
      <c r="B181" s="376" t="s">
        <v>163</v>
      </c>
      <c r="C181" s="376" t="s">
        <v>648</v>
      </c>
      <c r="D181" s="376" t="s">
        <v>468</v>
      </c>
      <c r="E181" s="376" t="s">
        <v>505</v>
      </c>
      <c r="F181" s="377" t="s">
        <v>167</v>
      </c>
      <c r="G181" s="376" t="s">
        <v>506</v>
      </c>
      <c r="H181" s="378"/>
      <c r="I181" s="378"/>
      <c r="J181" s="376" t="s">
        <v>169</v>
      </c>
      <c r="K181" s="376" t="s">
        <v>469</v>
      </c>
      <c r="L181" s="376" t="s">
        <v>470</v>
      </c>
      <c r="M181" s="376" t="s">
        <v>172</v>
      </c>
      <c r="N181" s="376" t="s">
        <v>173</v>
      </c>
      <c r="O181" s="379">
        <v>1</v>
      </c>
      <c r="P181" s="384">
        <v>1</v>
      </c>
      <c r="Q181" s="384">
        <v>1</v>
      </c>
      <c r="R181" s="380">
        <v>80</v>
      </c>
      <c r="S181" s="384">
        <v>1</v>
      </c>
      <c r="T181" s="380">
        <v>102451.34</v>
      </c>
      <c r="U181" s="380">
        <v>0</v>
      </c>
      <c r="V181" s="380">
        <v>33066.620000000003</v>
      </c>
      <c r="W181" s="380">
        <v>106745.60000000001</v>
      </c>
      <c r="X181" s="380">
        <v>34373.22</v>
      </c>
      <c r="Y181" s="380">
        <v>106745.60000000001</v>
      </c>
      <c r="Z181" s="380">
        <v>34822.620000000003</v>
      </c>
      <c r="AA181" s="376" t="s">
        <v>649</v>
      </c>
      <c r="AB181" s="376" t="s">
        <v>650</v>
      </c>
      <c r="AC181" s="376" t="s">
        <v>651</v>
      </c>
      <c r="AD181" s="376" t="s">
        <v>285</v>
      </c>
      <c r="AE181" s="376" t="s">
        <v>469</v>
      </c>
      <c r="AF181" s="376" t="s">
        <v>178</v>
      </c>
      <c r="AG181" s="376" t="s">
        <v>179</v>
      </c>
      <c r="AH181" s="381">
        <v>51.32</v>
      </c>
      <c r="AI181" s="381">
        <v>63970.7</v>
      </c>
      <c r="AJ181" s="376" t="s">
        <v>180</v>
      </c>
      <c r="AK181" s="376" t="s">
        <v>181</v>
      </c>
      <c r="AL181" s="376" t="s">
        <v>182</v>
      </c>
      <c r="AM181" s="376" t="s">
        <v>183</v>
      </c>
      <c r="AN181" s="376" t="s">
        <v>66</v>
      </c>
      <c r="AO181" s="379">
        <v>80</v>
      </c>
      <c r="AP181" s="384">
        <v>1</v>
      </c>
      <c r="AQ181" s="384">
        <v>1</v>
      </c>
      <c r="AR181" s="382" t="s">
        <v>184</v>
      </c>
      <c r="AS181" s="386">
        <f t="shared" si="169"/>
        <v>1</v>
      </c>
      <c r="AT181">
        <f t="shared" si="170"/>
        <v>1</v>
      </c>
      <c r="AU181" s="386">
        <f>IF(AT181=0,"",IF(AND(AT181=1,M181="F",SUMIF(C2:C201,C181,AS2:AS201)&lt;=1),SUMIF(C2:C201,C181,AS2:AS201),IF(AND(AT181=1,M181="F",SUMIF(C2:C201,C181,AS2:AS201)&gt;1),1,"")))</f>
        <v>1</v>
      </c>
      <c r="AV181" s="386" t="str">
        <f>IF(AT181=0,"",IF(AND(AT181=3,M181="F",SUMIF(C2:C201,C181,AS2:AS201)&lt;=1),SUMIF(C2:C201,C181,AS2:AS201),IF(AND(AT181=3,M181="F",SUMIF(C2:C201,C181,AS2:AS201)&gt;1),1,"")))</f>
        <v/>
      </c>
      <c r="AW181" s="386">
        <f>SUMIF(C2:C201,C181,O2:O201)</f>
        <v>1</v>
      </c>
      <c r="AX181" s="386">
        <f>IF(AND(M181="F",AS181&lt;&gt;0),SUMIF(C2:C201,C181,W2:W201),0)</f>
        <v>106745.60000000001</v>
      </c>
      <c r="AY181" s="386">
        <f t="shared" si="171"/>
        <v>106745.60000000001</v>
      </c>
      <c r="AZ181" s="386" t="str">
        <f t="shared" si="172"/>
        <v/>
      </c>
      <c r="BA181" s="386">
        <f t="shared" si="173"/>
        <v>0</v>
      </c>
      <c r="BB181" s="386">
        <f t="shared" si="186"/>
        <v>12500</v>
      </c>
      <c r="BC181" s="386">
        <f t="shared" si="187"/>
        <v>0</v>
      </c>
      <c r="BD181" s="386">
        <f t="shared" si="188"/>
        <v>6618.2272000000003</v>
      </c>
      <c r="BE181" s="386">
        <f t="shared" si="189"/>
        <v>1547.8112000000001</v>
      </c>
      <c r="BF181" s="386">
        <f t="shared" si="190"/>
        <v>12745.424640000001</v>
      </c>
      <c r="BG181" s="386">
        <f t="shared" si="191"/>
        <v>769.63577600000008</v>
      </c>
      <c r="BH181" s="386">
        <f t="shared" si="192"/>
        <v>0</v>
      </c>
      <c r="BI181" s="386">
        <f t="shared" si="193"/>
        <v>0</v>
      </c>
      <c r="BJ181" s="386">
        <f t="shared" si="194"/>
        <v>192.14207999999999</v>
      </c>
      <c r="BK181" s="386">
        <f t="shared" si="195"/>
        <v>0</v>
      </c>
      <c r="BL181" s="386">
        <f t="shared" si="174"/>
        <v>21873.240896000003</v>
      </c>
      <c r="BM181" s="386">
        <f t="shared" si="175"/>
        <v>0</v>
      </c>
      <c r="BN181" s="386">
        <f t="shared" si="196"/>
        <v>13750</v>
      </c>
      <c r="BO181" s="386">
        <f t="shared" si="197"/>
        <v>0</v>
      </c>
      <c r="BP181" s="386">
        <f t="shared" si="198"/>
        <v>6618.2272000000003</v>
      </c>
      <c r="BQ181" s="386">
        <f t="shared" si="199"/>
        <v>1547.8112000000001</v>
      </c>
      <c r="BR181" s="386">
        <f t="shared" si="200"/>
        <v>11934.158080000001</v>
      </c>
      <c r="BS181" s="386">
        <f t="shared" si="201"/>
        <v>769.63577600000008</v>
      </c>
      <c r="BT181" s="386">
        <f t="shared" si="202"/>
        <v>0</v>
      </c>
      <c r="BU181" s="386">
        <f t="shared" si="203"/>
        <v>0</v>
      </c>
      <c r="BV181" s="386">
        <f t="shared" si="204"/>
        <v>202.81664000000001</v>
      </c>
      <c r="BW181" s="386">
        <f t="shared" si="205"/>
        <v>0</v>
      </c>
      <c r="BX181" s="386">
        <f t="shared" si="176"/>
        <v>21072.648896000002</v>
      </c>
      <c r="BY181" s="386">
        <f t="shared" si="177"/>
        <v>0</v>
      </c>
      <c r="BZ181" s="386">
        <f t="shared" si="178"/>
        <v>1250</v>
      </c>
      <c r="CA181" s="386">
        <f t="shared" si="179"/>
        <v>0</v>
      </c>
      <c r="CB181" s="386">
        <f t="shared" si="180"/>
        <v>0</v>
      </c>
      <c r="CC181" s="386">
        <f t="shared" si="206"/>
        <v>0</v>
      </c>
      <c r="CD181" s="386">
        <f t="shared" si="207"/>
        <v>-811.26656000000105</v>
      </c>
      <c r="CE181" s="386">
        <f t="shared" si="208"/>
        <v>0</v>
      </c>
      <c r="CF181" s="386">
        <f t="shared" si="209"/>
        <v>0</v>
      </c>
      <c r="CG181" s="386">
        <f t="shared" si="210"/>
        <v>0</v>
      </c>
      <c r="CH181" s="386">
        <f t="shared" si="211"/>
        <v>10.674560000000005</v>
      </c>
      <c r="CI181" s="386">
        <f t="shared" si="212"/>
        <v>0</v>
      </c>
      <c r="CJ181" s="386">
        <f t="shared" si="181"/>
        <v>-800.59200000000101</v>
      </c>
      <c r="CK181" s="386" t="str">
        <f t="shared" si="182"/>
        <v/>
      </c>
      <c r="CL181" s="386" t="str">
        <f t="shared" si="183"/>
        <v/>
      </c>
      <c r="CM181" s="386" t="str">
        <f t="shared" si="184"/>
        <v/>
      </c>
      <c r="CN181" s="386" t="str">
        <f t="shared" si="185"/>
        <v>0480-00</v>
      </c>
    </row>
    <row r="182" spans="1:92" ht="15.75" thickBot="1" x14ac:dyDescent="0.3">
      <c r="A182" s="376" t="s">
        <v>162</v>
      </c>
      <c r="B182" s="376" t="s">
        <v>163</v>
      </c>
      <c r="C182" s="376" t="s">
        <v>652</v>
      </c>
      <c r="D182" s="376" t="s">
        <v>574</v>
      </c>
      <c r="E182" s="376" t="s">
        <v>505</v>
      </c>
      <c r="F182" s="377" t="s">
        <v>167</v>
      </c>
      <c r="G182" s="376" t="s">
        <v>506</v>
      </c>
      <c r="H182" s="378"/>
      <c r="I182" s="378"/>
      <c r="J182" s="376" t="s">
        <v>169</v>
      </c>
      <c r="K182" s="376" t="s">
        <v>653</v>
      </c>
      <c r="L182" s="376" t="s">
        <v>194</v>
      </c>
      <c r="M182" s="376" t="s">
        <v>172</v>
      </c>
      <c r="N182" s="376" t="s">
        <v>173</v>
      </c>
      <c r="O182" s="379">
        <v>1</v>
      </c>
      <c r="P182" s="384">
        <v>1</v>
      </c>
      <c r="Q182" s="384">
        <v>1</v>
      </c>
      <c r="R182" s="380">
        <v>80</v>
      </c>
      <c r="S182" s="384">
        <v>1</v>
      </c>
      <c r="T182" s="380">
        <v>62824.800000000003</v>
      </c>
      <c r="U182" s="380">
        <v>0</v>
      </c>
      <c r="V182" s="380">
        <v>24758.05</v>
      </c>
      <c r="W182" s="380">
        <v>62587.199999999997</v>
      </c>
      <c r="X182" s="380">
        <v>25324.720000000001</v>
      </c>
      <c r="Y182" s="380">
        <v>62587.199999999997</v>
      </c>
      <c r="Z182" s="380">
        <v>26105.31</v>
      </c>
      <c r="AA182" s="376" t="s">
        <v>654</v>
      </c>
      <c r="AB182" s="376" t="s">
        <v>655</v>
      </c>
      <c r="AC182" s="376" t="s">
        <v>656</v>
      </c>
      <c r="AD182" s="376" t="s">
        <v>177</v>
      </c>
      <c r="AE182" s="376" t="s">
        <v>653</v>
      </c>
      <c r="AF182" s="376" t="s">
        <v>178</v>
      </c>
      <c r="AG182" s="376" t="s">
        <v>179</v>
      </c>
      <c r="AH182" s="381">
        <v>30.09</v>
      </c>
      <c r="AI182" s="381">
        <v>10953.6</v>
      </c>
      <c r="AJ182" s="376" t="s">
        <v>180</v>
      </c>
      <c r="AK182" s="376" t="s">
        <v>181</v>
      </c>
      <c r="AL182" s="376" t="s">
        <v>182</v>
      </c>
      <c r="AM182" s="376" t="s">
        <v>183</v>
      </c>
      <c r="AN182" s="376" t="s">
        <v>66</v>
      </c>
      <c r="AO182" s="379">
        <v>80</v>
      </c>
      <c r="AP182" s="384">
        <v>1</v>
      </c>
      <c r="AQ182" s="384">
        <v>1</v>
      </c>
      <c r="AR182" s="382" t="s">
        <v>184</v>
      </c>
      <c r="AS182" s="386">
        <f t="shared" si="169"/>
        <v>1</v>
      </c>
      <c r="AT182">
        <f t="shared" si="170"/>
        <v>1</v>
      </c>
      <c r="AU182" s="386">
        <f>IF(AT182=0,"",IF(AND(AT182=1,M182="F",SUMIF(C2:C201,C182,AS2:AS201)&lt;=1),SUMIF(C2:C201,C182,AS2:AS201),IF(AND(AT182=1,M182="F",SUMIF(C2:C201,C182,AS2:AS201)&gt;1),1,"")))</f>
        <v>1</v>
      </c>
      <c r="AV182" s="386" t="str">
        <f>IF(AT182=0,"",IF(AND(AT182=3,M182="F",SUMIF(C2:C201,C182,AS2:AS201)&lt;=1),SUMIF(C2:C201,C182,AS2:AS201),IF(AND(AT182=3,M182="F",SUMIF(C2:C201,C182,AS2:AS201)&gt;1),1,"")))</f>
        <v/>
      </c>
      <c r="AW182" s="386">
        <f>SUMIF(C2:C201,C182,O2:O201)</f>
        <v>1</v>
      </c>
      <c r="AX182" s="386">
        <f>IF(AND(M182="F",AS182&lt;&gt;0),SUMIF(C2:C201,C182,W2:W201),0)</f>
        <v>62587.199999999997</v>
      </c>
      <c r="AY182" s="386">
        <f t="shared" si="171"/>
        <v>62587.199999999997</v>
      </c>
      <c r="AZ182" s="386" t="str">
        <f t="shared" si="172"/>
        <v/>
      </c>
      <c r="BA182" s="386">
        <f t="shared" si="173"/>
        <v>0</v>
      </c>
      <c r="BB182" s="386">
        <f t="shared" si="186"/>
        <v>12500</v>
      </c>
      <c r="BC182" s="386">
        <f t="shared" si="187"/>
        <v>0</v>
      </c>
      <c r="BD182" s="386">
        <f t="shared" si="188"/>
        <v>3880.4063999999998</v>
      </c>
      <c r="BE182" s="386">
        <f t="shared" si="189"/>
        <v>907.51440000000002</v>
      </c>
      <c r="BF182" s="386">
        <f t="shared" si="190"/>
        <v>7472.9116800000002</v>
      </c>
      <c r="BG182" s="386">
        <f t="shared" si="191"/>
        <v>451.25371200000001</v>
      </c>
      <c r="BH182" s="386">
        <f t="shared" si="192"/>
        <v>0</v>
      </c>
      <c r="BI182" s="386">
        <f t="shared" si="193"/>
        <v>0</v>
      </c>
      <c r="BJ182" s="386">
        <f t="shared" si="194"/>
        <v>112.65696</v>
      </c>
      <c r="BK182" s="386">
        <f t="shared" si="195"/>
        <v>0</v>
      </c>
      <c r="BL182" s="386">
        <f t="shared" si="174"/>
        <v>12824.743152000001</v>
      </c>
      <c r="BM182" s="386">
        <f t="shared" si="175"/>
        <v>0</v>
      </c>
      <c r="BN182" s="386">
        <f t="shared" si="196"/>
        <v>13750</v>
      </c>
      <c r="BO182" s="386">
        <f t="shared" si="197"/>
        <v>0</v>
      </c>
      <c r="BP182" s="386">
        <f t="shared" si="198"/>
        <v>3880.4063999999998</v>
      </c>
      <c r="BQ182" s="386">
        <f t="shared" si="199"/>
        <v>907.51440000000002</v>
      </c>
      <c r="BR182" s="386">
        <f t="shared" si="200"/>
        <v>6997.2489599999999</v>
      </c>
      <c r="BS182" s="386">
        <f t="shared" si="201"/>
        <v>451.25371200000001</v>
      </c>
      <c r="BT182" s="386">
        <f t="shared" si="202"/>
        <v>0</v>
      </c>
      <c r="BU182" s="386">
        <f t="shared" si="203"/>
        <v>0</v>
      </c>
      <c r="BV182" s="386">
        <f t="shared" si="204"/>
        <v>118.91567999999999</v>
      </c>
      <c r="BW182" s="386">
        <f t="shared" si="205"/>
        <v>0</v>
      </c>
      <c r="BX182" s="386">
        <f t="shared" si="176"/>
        <v>12355.339152</v>
      </c>
      <c r="BY182" s="386">
        <f t="shared" si="177"/>
        <v>0</v>
      </c>
      <c r="BZ182" s="386">
        <f t="shared" si="178"/>
        <v>1250</v>
      </c>
      <c r="CA182" s="386">
        <f t="shared" si="179"/>
        <v>0</v>
      </c>
      <c r="CB182" s="386">
        <f t="shared" si="180"/>
        <v>0</v>
      </c>
      <c r="CC182" s="386">
        <f t="shared" si="206"/>
        <v>0</v>
      </c>
      <c r="CD182" s="386">
        <f t="shared" si="207"/>
        <v>-475.66272000000055</v>
      </c>
      <c r="CE182" s="386">
        <f t="shared" si="208"/>
        <v>0</v>
      </c>
      <c r="CF182" s="386">
        <f t="shared" si="209"/>
        <v>0</v>
      </c>
      <c r="CG182" s="386">
        <f t="shared" si="210"/>
        <v>0</v>
      </c>
      <c r="CH182" s="386">
        <f t="shared" si="211"/>
        <v>6.2587200000000029</v>
      </c>
      <c r="CI182" s="386">
        <f t="shared" si="212"/>
        <v>0</v>
      </c>
      <c r="CJ182" s="386">
        <f t="shared" si="181"/>
        <v>-469.40400000000056</v>
      </c>
      <c r="CK182" s="386" t="str">
        <f t="shared" si="182"/>
        <v/>
      </c>
      <c r="CL182" s="386" t="str">
        <f t="shared" si="183"/>
        <v/>
      </c>
      <c r="CM182" s="386" t="str">
        <f t="shared" si="184"/>
        <v/>
      </c>
      <c r="CN182" s="386" t="str">
        <f t="shared" si="185"/>
        <v>0480-00</v>
      </c>
    </row>
    <row r="183" spans="1:92" ht="15.75" thickBot="1" x14ac:dyDescent="0.3">
      <c r="A183" s="376" t="s">
        <v>162</v>
      </c>
      <c r="B183" s="376" t="s">
        <v>163</v>
      </c>
      <c r="C183" s="376" t="s">
        <v>657</v>
      </c>
      <c r="D183" s="376" t="s">
        <v>580</v>
      </c>
      <c r="E183" s="376" t="s">
        <v>505</v>
      </c>
      <c r="F183" s="377" t="s">
        <v>167</v>
      </c>
      <c r="G183" s="376" t="s">
        <v>506</v>
      </c>
      <c r="H183" s="378"/>
      <c r="I183" s="378"/>
      <c r="J183" s="376" t="s">
        <v>169</v>
      </c>
      <c r="K183" s="376" t="s">
        <v>515</v>
      </c>
      <c r="L183" s="376" t="s">
        <v>182</v>
      </c>
      <c r="M183" s="376" t="s">
        <v>172</v>
      </c>
      <c r="N183" s="376" t="s">
        <v>173</v>
      </c>
      <c r="O183" s="379">
        <v>1</v>
      </c>
      <c r="P183" s="384">
        <v>1</v>
      </c>
      <c r="Q183" s="384">
        <v>1</v>
      </c>
      <c r="R183" s="380">
        <v>80</v>
      </c>
      <c r="S183" s="384">
        <v>1</v>
      </c>
      <c r="T183" s="380">
        <v>103676.03</v>
      </c>
      <c r="U183" s="380">
        <v>0</v>
      </c>
      <c r="V183" s="380">
        <v>32976.86</v>
      </c>
      <c r="W183" s="380">
        <v>99340.800000000003</v>
      </c>
      <c r="X183" s="380">
        <v>32855.9</v>
      </c>
      <c r="Y183" s="380">
        <v>99340.800000000003</v>
      </c>
      <c r="Z183" s="380">
        <v>33360.839999999997</v>
      </c>
      <c r="AA183" s="376" t="s">
        <v>658</v>
      </c>
      <c r="AB183" s="376" t="s">
        <v>299</v>
      </c>
      <c r="AC183" s="376" t="s">
        <v>659</v>
      </c>
      <c r="AD183" s="376" t="s">
        <v>567</v>
      </c>
      <c r="AE183" s="376" t="s">
        <v>515</v>
      </c>
      <c r="AF183" s="376" t="s">
        <v>178</v>
      </c>
      <c r="AG183" s="376" t="s">
        <v>179</v>
      </c>
      <c r="AH183" s="381">
        <v>47.76</v>
      </c>
      <c r="AI183" s="379">
        <v>39540</v>
      </c>
      <c r="AJ183" s="376" t="s">
        <v>180</v>
      </c>
      <c r="AK183" s="376" t="s">
        <v>181</v>
      </c>
      <c r="AL183" s="376" t="s">
        <v>182</v>
      </c>
      <c r="AM183" s="376" t="s">
        <v>183</v>
      </c>
      <c r="AN183" s="376" t="s">
        <v>66</v>
      </c>
      <c r="AO183" s="379">
        <v>80</v>
      </c>
      <c r="AP183" s="384">
        <v>1</v>
      </c>
      <c r="AQ183" s="384">
        <v>1</v>
      </c>
      <c r="AR183" s="382" t="s">
        <v>184</v>
      </c>
      <c r="AS183" s="386">
        <f t="shared" si="169"/>
        <v>1</v>
      </c>
      <c r="AT183">
        <f t="shared" si="170"/>
        <v>1</v>
      </c>
      <c r="AU183" s="386">
        <f>IF(AT183=0,"",IF(AND(AT183=1,M183="F",SUMIF(C2:C201,C183,AS2:AS201)&lt;=1),SUMIF(C2:C201,C183,AS2:AS201),IF(AND(AT183=1,M183="F",SUMIF(C2:C201,C183,AS2:AS201)&gt;1),1,"")))</f>
        <v>1</v>
      </c>
      <c r="AV183" s="386" t="str">
        <f>IF(AT183=0,"",IF(AND(AT183=3,M183="F",SUMIF(C2:C201,C183,AS2:AS201)&lt;=1),SUMIF(C2:C201,C183,AS2:AS201),IF(AND(AT183=3,M183="F",SUMIF(C2:C201,C183,AS2:AS201)&gt;1),1,"")))</f>
        <v/>
      </c>
      <c r="AW183" s="386">
        <f>SUMIF(C2:C201,C183,O2:O201)</f>
        <v>1</v>
      </c>
      <c r="AX183" s="386">
        <f>IF(AND(M183="F",AS183&lt;&gt;0),SUMIF(C2:C201,C183,W2:W201),0)</f>
        <v>99340.800000000003</v>
      </c>
      <c r="AY183" s="386">
        <f t="shared" si="171"/>
        <v>99340.800000000003</v>
      </c>
      <c r="AZ183" s="386" t="str">
        <f t="shared" si="172"/>
        <v/>
      </c>
      <c r="BA183" s="386">
        <f t="shared" si="173"/>
        <v>0</v>
      </c>
      <c r="BB183" s="386">
        <f t="shared" si="186"/>
        <v>12500</v>
      </c>
      <c r="BC183" s="386">
        <f t="shared" si="187"/>
        <v>0</v>
      </c>
      <c r="BD183" s="386">
        <f t="shared" si="188"/>
        <v>6159.1296000000002</v>
      </c>
      <c r="BE183" s="386">
        <f t="shared" si="189"/>
        <v>1440.4416000000001</v>
      </c>
      <c r="BF183" s="386">
        <f t="shared" si="190"/>
        <v>11861.291520000001</v>
      </c>
      <c r="BG183" s="386">
        <f t="shared" si="191"/>
        <v>716.2471680000001</v>
      </c>
      <c r="BH183" s="386">
        <f t="shared" si="192"/>
        <v>0</v>
      </c>
      <c r="BI183" s="386">
        <f t="shared" si="193"/>
        <v>0</v>
      </c>
      <c r="BJ183" s="386">
        <f t="shared" si="194"/>
        <v>178.81344000000001</v>
      </c>
      <c r="BK183" s="386">
        <f t="shared" si="195"/>
        <v>0</v>
      </c>
      <c r="BL183" s="386">
        <f t="shared" si="174"/>
        <v>20355.923328000004</v>
      </c>
      <c r="BM183" s="386">
        <f t="shared" si="175"/>
        <v>0</v>
      </c>
      <c r="BN183" s="386">
        <f t="shared" si="196"/>
        <v>13750</v>
      </c>
      <c r="BO183" s="386">
        <f t="shared" si="197"/>
        <v>0</v>
      </c>
      <c r="BP183" s="386">
        <f t="shared" si="198"/>
        <v>6159.1296000000002</v>
      </c>
      <c r="BQ183" s="386">
        <f t="shared" si="199"/>
        <v>1440.4416000000001</v>
      </c>
      <c r="BR183" s="386">
        <f t="shared" si="200"/>
        <v>11106.301439999999</v>
      </c>
      <c r="BS183" s="386">
        <f t="shared" si="201"/>
        <v>716.2471680000001</v>
      </c>
      <c r="BT183" s="386">
        <f t="shared" si="202"/>
        <v>0</v>
      </c>
      <c r="BU183" s="386">
        <f t="shared" si="203"/>
        <v>0</v>
      </c>
      <c r="BV183" s="386">
        <f t="shared" si="204"/>
        <v>188.74752000000001</v>
      </c>
      <c r="BW183" s="386">
        <f t="shared" si="205"/>
        <v>0</v>
      </c>
      <c r="BX183" s="386">
        <f t="shared" si="176"/>
        <v>19610.867328000004</v>
      </c>
      <c r="BY183" s="386">
        <f t="shared" si="177"/>
        <v>0</v>
      </c>
      <c r="BZ183" s="386">
        <f t="shared" si="178"/>
        <v>1250</v>
      </c>
      <c r="CA183" s="386">
        <f t="shared" si="179"/>
        <v>0</v>
      </c>
      <c r="CB183" s="386">
        <f t="shared" si="180"/>
        <v>0</v>
      </c>
      <c r="CC183" s="386">
        <f t="shared" si="206"/>
        <v>0</v>
      </c>
      <c r="CD183" s="386">
        <f t="shared" si="207"/>
        <v>-754.99008000000094</v>
      </c>
      <c r="CE183" s="386">
        <f t="shared" si="208"/>
        <v>0</v>
      </c>
      <c r="CF183" s="386">
        <f t="shared" si="209"/>
        <v>0</v>
      </c>
      <c r="CG183" s="386">
        <f t="shared" si="210"/>
        <v>0</v>
      </c>
      <c r="CH183" s="386">
        <f t="shared" si="211"/>
        <v>9.9340800000000051</v>
      </c>
      <c r="CI183" s="386">
        <f t="shared" si="212"/>
        <v>0</v>
      </c>
      <c r="CJ183" s="386">
        <f t="shared" si="181"/>
        <v>-745.05600000000095</v>
      </c>
      <c r="CK183" s="386" t="str">
        <f t="shared" si="182"/>
        <v/>
      </c>
      <c r="CL183" s="386" t="str">
        <f t="shared" si="183"/>
        <v/>
      </c>
      <c r="CM183" s="386" t="str">
        <f t="shared" si="184"/>
        <v/>
      </c>
      <c r="CN183" s="386" t="str">
        <f t="shared" si="185"/>
        <v>0480-00</v>
      </c>
    </row>
    <row r="184" spans="1:92" ht="15.75" thickBot="1" x14ac:dyDescent="0.3">
      <c r="A184" s="376" t="s">
        <v>162</v>
      </c>
      <c r="B184" s="376" t="s">
        <v>163</v>
      </c>
      <c r="C184" s="376" t="s">
        <v>660</v>
      </c>
      <c r="D184" s="376" t="s">
        <v>536</v>
      </c>
      <c r="E184" s="376" t="s">
        <v>505</v>
      </c>
      <c r="F184" s="377" t="s">
        <v>167</v>
      </c>
      <c r="G184" s="376" t="s">
        <v>506</v>
      </c>
      <c r="H184" s="378"/>
      <c r="I184" s="378"/>
      <c r="J184" s="376" t="s">
        <v>169</v>
      </c>
      <c r="K184" s="376" t="s">
        <v>537</v>
      </c>
      <c r="L184" s="376" t="s">
        <v>522</v>
      </c>
      <c r="M184" s="376" t="s">
        <v>172</v>
      </c>
      <c r="N184" s="376" t="s">
        <v>173</v>
      </c>
      <c r="O184" s="379">
        <v>1</v>
      </c>
      <c r="P184" s="384">
        <v>1</v>
      </c>
      <c r="Q184" s="384">
        <v>1</v>
      </c>
      <c r="R184" s="380">
        <v>80</v>
      </c>
      <c r="S184" s="384">
        <v>1</v>
      </c>
      <c r="T184" s="380">
        <v>45062.22</v>
      </c>
      <c r="U184" s="380">
        <v>0</v>
      </c>
      <c r="V184" s="380">
        <v>20952.759999999998</v>
      </c>
      <c r="W184" s="380">
        <v>47444.800000000003</v>
      </c>
      <c r="X184" s="380">
        <v>22221.88</v>
      </c>
      <c r="Y184" s="380">
        <v>47444.800000000003</v>
      </c>
      <c r="Z184" s="380">
        <v>23116.04</v>
      </c>
      <c r="AA184" s="376" t="s">
        <v>661</v>
      </c>
      <c r="AB184" s="376" t="s">
        <v>662</v>
      </c>
      <c r="AC184" s="376" t="s">
        <v>663</v>
      </c>
      <c r="AD184" s="376" t="s">
        <v>567</v>
      </c>
      <c r="AE184" s="376" t="s">
        <v>537</v>
      </c>
      <c r="AF184" s="376" t="s">
        <v>178</v>
      </c>
      <c r="AG184" s="376" t="s">
        <v>179</v>
      </c>
      <c r="AH184" s="381">
        <v>22.81</v>
      </c>
      <c r="AI184" s="381">
        <v>14501.8</v>
      </c>
      <c r="AJ184" s="376" t="s">
        <v>180</v>
      </c>
      <c r="AK184" s="376" t="s">
        <v>181</v>
      </c>
      <c r="AL184" s="376" t="s">
        <v>182</v>
      </c>
      <c r="AM184" s="376" t="s">
        <v>183</v>
      </c>
      <c r="AN184" s="376" t="s">
        <v>66</v>
      </c>
      <c r="AO184" s="379">
        <v>80</v>
      </c>
      <c r="AP184" s="384">
        <v>1</v>
      </c>
      <c r="AQ184" s="384">
        <v>1</v>
      </c>
      <c r="AR184" s="382" t="s">
        <v>184</v>
      </c>
      <c r="AS184" s="386">
        <f t="shared" si="169"/>
        <v>1</v>
      </c>
      <c r="AT184">
        <f t="shared" si="170"/>
        <v>1</v>
      </c>
      <c r="AU184" s="386">
        <f>IF(AT184=0,"",IF(AND(AT184=1,M184="F",SUMIF(C2:C201,C184,AS2:AS201)&lt;=1),SUMIF(C2:C201,C184,AS2:AS201),IF(AND(AT184=1,M184="F",SUMIF(C2:C201,C184,AS2:AS201)&gt;1),1,"")))</f>
        <v>1</v>
      </c>
      <c r="AV184" s="386" t="str">
        <f>IF(AT184=0,"",IF(AND(AT184=3,M184="F",SUMIF(C2:C201,C184,AS2:AS201)&lt;=1),SUMIF(C2:C201,C184,AS2:AS201),IF(AND(AT184=3,M184="F",SUMIF(C2:C201,C184,AS2:AS201)&gt;1),1,"")))</f>
        <v/>
      </c>
      <c r="AW184" s="386">
        <f>SUMIF(C2:C201,C184,O2:O201)</f>
        <v>1</v>
      </c>
      <c r="AX184" s="386">
        <f>IF(AND(M184="F",AS184&lt;&gt;0),SUMIF(C2:C201,C184,W2:W201),0)</f>
        <v>47444.800000000003</v>
      </c>
      <c r="AY184" s="386">
        <f t="shared" si="171"/>
        <v>47444.800000000003</v>
      </c>
      <c r="AZ184" s="386" t="str">
        <f t="shared" si="172"/>
        <v/>
      </c>
      <c r="BA184" s="386">
        <f t="shared" si="173"/>
        <v>0</v>
      </c>
      <c r="BB184" s="386">
        <f t="shared" si="186"/>
        <v>12500</v>
      </c>
      <c r="BC184" s="386">
        <f t="shared" si="187"/>
        <v>0</v>
      </c>
      <c r="BD184" s="386">
        <f t="shared" si="188"/>
        <v>2941.5776000000001</v>
      </c>
      <c r="BE184" s="386">
        <f t="shared" si="189"/>
        <v>687.94960000000003</v>
      </c>
      <c r="BF184" s="386">
        <f t="shared" si="190"/>
        <v>5664.9091200000003</v>
      </c>
      <c r="BG184" s="386">
        <f t="shared" si="191"/>
        <v>342.07700800000003</v>
      </c>
      <c r="BH184" s="386">
        <f t="shared" si="192"/>
        <v>0</v>
      </c>
      <c r="BI184" s="386">
        <f t="shared" si="193"/>
        <v>0</v>
      </c>
      <c r="BJ184" s="386">
        <f t="shared" si="194"/>
        <v>85.40064000000001</v>
      </c>
      <c r="BK184" s="386">
        <f t="shared" si="195"/>
        <v>0</v>
      </c>
      <c r="BL184" s="386">
        <f t="shared" si="174"/>
        <v>9721.9139680000008</v>
      </c>
      <c r="BM184" s="386">
        <f t="shared" si="175"/>
        <v>0</v>
      </c>
      <c r="BN184" s="386">
        <f t="shared" si="196"/>
        <v>13750</v>
      </c>
      <c r="BO184" s="386">
        <f t="shared" si="197"/>
        <v>0</v>
      </c>
      <c r="BP184" s="386">
        <f t="shared" si="198"/>
        <v>2941.5776000000001</v>
      </c>
      <c r="BQ184" s="386">
        <f t="shared" si="199"/>
        <v>687.94960000000003</v>
      </c>
      <c r="BR184" s="386">
        <f t="shared" si="200"/>
        <v>5304.3286399999997</v>
      </c>
      <c r="BS184" s="386">
        <f t="shared" si="201"/>
        <v>342.07700800000003</v>
      </c>
      <c r="BT184" s="386">
        <f t="shared" si="202"/>
        <v>0</v>
      </c>
      <c r="BU184" s="386">
        <f t="shared" si="203"/>
        <v>0</v>
      </c>
      <c r="BV184" s="386">
        <f t="shared" si="204"/>
        <v>90.145120000000006</v>
      </c>
      <c r="BW184" s="386">
        <f t="shared" si="205"/>
        <v>0</v>
      </c>
      <c r="BX184" s="386">
        <f t="shared" si="176"/>
        <v>9366.0779679999996</v>
      </c>
      <c r="BY184" s="386">
        <f t="shared" si="177"/>
        <v>0</v>
      </c>
      <c r="BZ184" s="386">
        <f t="shared" si="178"/>
        <v>1250</v>
      </c>
      <c r="CA184" s="386">
        <f t="shared" si="179"/>
        <v>0</v>
      </c>
      <c r="CB184" s="386">
        <f t="shared" si="180"/>
        <v>0</v>
      </c>
      <c r="CC184" s="386">
        <f t="shared" si="206"/>
        <v>0</v>
      </c>
      <c r="CD184" s="386">
        <f t="shared" si="207"/>
        <v>-360.58048000000048</v>
      </c>
      <c r="CE184" s="386">
        <f t="shared" si="208"/>
        <v>0</v>
      </c>
      <c r="CF184" s="386">
        <f t="shared" si="209"/>
        <v>0</v>
      </c>
      <c r="CG184" s="386">
        <f t="shared" si="210"/>
        <v>0</v>
      </c>
      <c r="CH184" s="386">
        <f t="shared" si="211"/>
        <v>4.744480000000002</v>
      </c>
      <c r="CI184" s="386">
        <f t="shared" si="212"/>
        <v>0</v>
      </c>
      <c r="CJ184" s="386">
        <f t="shared" si="181"/>
        <v>-355.83600000000047</v>
      </c>
      <c r="CK184" s="386" t="str">
        <f t="shared" si="182"/>
        <v/>
      </c>
      <c r="CL184" s="386" t="str">
        <f t="shared" si="183"/>
        <v/>
      </c>
      <c r="CM184" s="386" t="str">
        <f t="shared" si="184"/>
        <v/>
      </c>
      <c r="CN184" s="386" t="str">
        <f t="shared" si="185"/>
        <v>0480-00</v>
      </c>
    </row>
    <row r="185" spans="1:92" ht="15.75" thickBot="1" x14ac:dyDescent="0.3">
      <c r="A185" s="376" t="s">
        <v>162</v>
      </c>
      <c r="B185" s="376" t="s">
        <v>163</v>
      </c>
      <c r="C185" s="376" t="s">
        <v>664</v>
      </c>
      <c r="D185" s="376" t="s">
        <v>665</v>
      </c>
      <c r="E185" s="376" t="s">
        <v>505</v>
      </c>
      <c r="F185" s="377" t="s">
        <v>167</v>
      </c>
      <c r="G185" s="376" t="s">
        <v>506</v>
      </c>
      <c r="H185" s="378"/>
      <c r="I185" s="378"/>
      <c r="J185" s="376" t="s">
        <v>169</v>
      </c>
      <c r="K185" s="376" t="s">
        <v>666</v>
      </c>
      <c r="L185" s="376" t="s">
        <v>167</v>
      </c>
      <c r="M185" s="376" t="s">
        <v>172</v>
      </c>
      <c r="N185" s="376" t="s">
        <v>173</v>
      </c>
      <c r="O185" s="379">
        <v>1</v>
      </c>
      <c r="P185" s="384">
        <v>1</v>
      </c>
      <c r="Q185" s="384">
        <v>1</v>
      </c>
      <c r="R185" s="380">
        <v>80</v>
      </c>
      <c r="S185" s="384">
        <v>1</v>
      </c>
      <c r="T185" s="380">
        <v>60345.61</v>
      </c>
      <c r="U185" s="380">
        <v>338.64</v>
      </c>
      <c r="V185" s="380">
        <v>23973.11</v>
      </c>
      <c r="W185" s="380">
        <v>62545.599999999999</v>
      </c>
      <c r="X185" s="380">
        <v>25316.2</v>
      </c>
      <c r="Y185" s="380">
        <v>62545.599999999999</v>
      </c>
      <c r="Z185" s="380">
        <v>26097.1</v>
      </c>
      <c r="AA185" s="376" t="s">
        <v>667</v>
      </c>
      <c r="AB185" s="376" t="s">
        <v>668</v>
      </c>
      <c r="AC185" s="376" t="s">
        <v>669</v>
      </c>
      <c r="AD185" s="376" t="s">
        <v>171</v>
      </c>
      <c r="AE185" s="376" t="s">
        <v>666</v>
      </c>
      <c r="AF185" s="376" t="s">
        <v>178</v>
      </c>
      <c r="AG185" s="376" t="s">
        <v>179</v>
      </c>
      <c r="AH185" s="381">
        <v>30.07</v>
      </c>
      <c r="AI185" s="381">
        <v>25733.8</v>
      </c>
      <c r="AJ185" s="376" t="s">
        <v>180</v>
      </c>
      <c r="AK185" s="376" t="s">
        <v>181</v>
      </c>
      <c r="AL185" s="376" t="s">
        <v>182</v>
      </c>
      <c r="AM185" s="376" t="s">
        <v>183</v>
      </c>
      <c r="AN185" s="376" t="s">
        <v>66</v>
      </c>
      <c r="AO185" s="379">
        <v>80</v>
      </c>
      <c r="AP185" s="384">
        <v>1</v>
      </c>
      <c r="AQ185" s="384">
        <v>1</v>
      </c>
      <c r="AR185" s="382" t="s">
        <v>184</v>
      </c>
      <c r="AS185" s="386">
        <f t="shared" si="169"/>
        <v>1</v>
      </c>
      <c r="AT185">
        <f t="shared" si="170"/>
        <v>1</v>
      </c>
      <c r="AU185" s="386">
        <f>IF(AT185=0,"",IF(AND(AT185=1,M185="F",SUMIF(C2:C201,C185,AS2:AS201)&lt;=1),SUMIF(C2:C201,C185,AS2:AS201),IF(AND(AT185=1,M185="F",SUMIF(C2:C201,C185,AS2:AS201)&gt;1),1,"")))</f>
        <v>1</v>
      </c>
      <c r="AV185" s="386" t="str">
        <f>IF(AT185=0,"",IF(AND(AT185=3,M185="F",SUMIF(C2:C201,C185,AS2:AS201)&lt;=1),SUMIF(C2:C201,C185,AS2:AS201),IF(AND(AT185=3,M185="F",SUMIF(C2:C201,C185,AS2:AS201)&gt;1),1,"")))</f>
        <v/>
      </c>
      <c r="AW185" s="386">
        <f>SUMIF(C2:C201,C185,O2:O201)</f>
        <v>1</v>
      </c>
      <c r="AX185" s="386">
        <f>IF(AND(M185="F",AS185&lt;&gt;0),SUMIF(C2:C201,C185,W2:W201),0)</f>
        <v>62545.599999999999</v>
      </c>
      <c r="AY185" s="386">
        <f t="shared" si="171"/>
        <v>62545.599999999999</v>
      </c>
      <c r="AZ185" s="386" t="str">
        <f t="shared" si="172"/>
        <v/>
      </c>
      <c r="BA185" s="386">
        <f t="shared" si="173"/>
        <v>0</v>
      </c>
      <c r="BB185" s="386">
        <f t="shared" si="186"/>
        <v>12500</v>
      </c>
      <c r="BC185" s="386">
        <f t="shared" si="187"/>
        <v>0</v>
      </c>
      <c r="BD185" s="386">
        <f t="shared" si="188"/>
        <v>3877.8271999999997</v>
      </c>
      <c r="BE185" s="386">
        <f t="shared" si="189"/>
        <v>906.91120000000001</v>
      </c>
      <c r="BF185" s="386">
        <f t="shared" si="190"/>
        <v>7467.9446400000006</v>
      </c>
      <c r="BG185" s="386">
        <f t="shared" si="191"/>
        <v>450.953776</v>
      </c>
      <c r="BH185" s="386">
        <f t="shared" si="192"/>
        <v>0</v>
      </c>
      <c r="BI185" s="386">
        <f t="shared" si="193"/>
        <v>0</v>
      </c>
      <c r="BJ185" s="386">
        <f t="shared" si="194"/>
        <v>112.58207999999999</v>
      </c>
      <c r="BK185" s="386">
        <f t="shared" si="195"/>
        <v>0</v>
      </c>
      <c r="BL185" s="386">
        <f t="shared" si="174"/>
        <v>12816.218896</v>
      </c>
      <c r="BM185" s="386">
        <f t="shared" si="175"/>
        <v>0</v>
      </c>
      <c r="BN185" s="386">
        <f t="shared" si="196"/>
        <v>13750</v>
      </c>
      <c r="BO185" s="386">
        <f t="shared" si="197"/>
        <v>0</v>
      </c>
      <c r="BP185" s="386">
        <f t="shared" si="198"/>
        <v>3877.8271999999997</v>
      </c>
      <c r="BQ185" s="386">
        <f t="shared" si="199"/>
        <v>906.91120000000001</v>
      </c>
      <c r="BR185" s="386">
        <f t="shared" si="200"/>
        <v>6992.5980799999998</v>
      </c>
      <c r="BS185" s="386">
        <f t="shared" si="201"/>
        <v>450.953776</v>
      </c>
      <c r="BT185" s="386">
        <f t="shared" si="202"/>
        <v>0</v>
      </c>
      <c r="BU185" s="386">
        <f t="shared" si="203"/>
        <v>0</v>
      </c>
      <c r="BV185" s="386">
        <f t="shared" si="204"/>
        <v>118.83664</v>
      </c>
      <c r="BW185" s="386">
        <f t="shared" si="205"/>
        <v>0</v>
      </c>
      <c r="BX185" s="386">
        <f t="shared" si="176"/>
        <v>12347.126896</v>
      </c>
      <c r="BY185" s="386">
        <f t="shared" si="177"/>
        <v>0</v>
      </c>
      <c r="BZ185" s="386">
        <f t="shared" si="178"/>
        <v>1250</v>
      </c>
      <c r="CA185" s="386">
        <f t="shared" si="179"/>
        <v>0</v>
      </c>
      <c r="CB185" s="386">
        <f t="shared" si="180"/>
        <v>0</v>
      </c>
      <c r="CC185" s="386">
        <f t="shared" si="206"/>
        <v>0</v>
      </c>
      <c r="CD185" s="386">
        <f t="shared" si="207"/>
        <v>-475.34656000000058</v>
      </c>
      <c r="CE185" s="386">
        <f t="shared" si="208"/>
        <v>0</v>
      </c>
      <c r="CF185" s="386">
        <f t="shared" si="209"/>
        <v>0</v>
      </c>
      <c r="CG185" s="386">
        <f t="shared" si="210"/>
        <v>0</v>
      </c>
      <c r="CH185" s="386">
        <f t="shared" si="211"/>
        <v>6.2545600000000023</v>
      </c>
      <c r="CI185" s="386">
        <f t="shared" si="212"/>
        <v>0</v>
      </c>
      <c r="CJ185" s="386">
        <f t="shared" si="181"/>
        <v>-469.09200000000055</v>
      </c>
      <c r="CK185" s="386" t="str">
        <f t="shared" si="182"/>
        <v/>
      </c>
      <c r="CL185" s="386" t="str">
        <f t="shared" si="183"/>
        <v/>
      </c>
      <c r="CM185" s="386" t="str">
        <f t="shared" si="184"/>
        <v/>
      </c>
      <c r="CN185" s="386" t="str">
        <f t="shared" si="185"/>
        <v>0480-00</v>
      </c>
    </row>
    <row r="186" spans="1:92" ht="15.75" thickBot="1" x14ac:dyDescent="0.3">
      <c r="A186" s="376" t="s">
        <v>162</v>
      </c>
      <c r="B186" s="376" t="s">
        <v>163</v>
      </c>
      <c r="C186" s="376" t="s">
        <v>670</v>
      </c>
      <c r="D186" s="376" t="s">
        <v>671</v>
      </c>
      <c r="E186" s="376" t="s">
        <v>505</v>
      </c>
      <c r="F186" s="377" t="s">
        <v>167</v>
      </c>
      <c r="G186" s="376" t="s">
        <v>506</v>
      </c>
      <c r="H186" s="378"/>
      <c r="I186" s="378"/>
      <c r="J186" s="376" t="s">
        <v>169</v>
      </c>
      <c r="K186" s="376" t="s">
        <v>672</v>
      </c>
      <c r="L186" s="376" t="s">
        <v>167</v>
      </c>
      <c r="M186" s="376" t="s">
        <v>172</v>
      </c>
      <c r="N186" s="376" t="s">
        <v>173</v>
      </c>
      <c r="O186" s="379">
        <v>1</v>
      </c>
      <c r="P186" s="384">
        <v>1</v>
      </c>
      <c r="Q186" s="384">
        <v>1</v>
      </c>
      <c r="R186" s="380">
        <v>80</v>
      </c>
      <c r="S186" s="384">
        <v>1</v>
      </c>
      <c r="T186" s="380">
        <v>118325.2</v>
      </c>
      <c r="U186" s="380">
        <v>0</v>
      </c>
      <c r="V186" s="380">
        <v>36208.44</v>
      </c>
      <c r="W186" s="380">
        <v>116417.60000000001</v>
      </c>
      <c r="X186" s="380">
        <v>36355.120000000003</v>
      </c>
      <c r="Y186" s="380">
        <v>116417.60000000001</v>
      </c>
      <c r="Z186" s="380">
        <v>36731.980000000003</v>
      </c>
      <c r="AA186" s="376" t="s">
        <v>673</v>
      </c>
      <c r="AB186" s="376" t="s">
        <v>674</v>
      </c>
      <c r="AC186" s="376" t="s">
        <v>213</v>
      </c>
      <c r="AD186" s="376" t="s">
        <v>470</v>
      </c>
      <c r="AE186" s="376" t="s">
        <v>672</v>
      </c>
      <c r="AF186" s="376" t="s">
        <v>178</v>
      </c>
      <c r="AG186" s="376" t="s">
        <v>179</v>
      </c>
      <c r="AH186" s="381">
        <v>55.97</v>
      </c>
      <c r="AI186" s="381">
        <v>31015.5</v>
      </c>
      <c r="AJ186" s="376" t="s">
        <v>180</v>
      </c>
      <c r="AK186" s="376" t="s">
        <v>181</v>
      </c>
      <c r="AL186" s="376" t="s">
        <v>182</v>
      </c>
      <c r="AM186" s="376" t="s">
        <v>183</v>
      </c>
      <c r="AN186" s="376" t="s">
        <v>66</v>
      </c>
      <c r="AO186" s="379">
        <v>80</v>
      </c>
      <c r="AP186" s="384">
        <v>1</v>
      </c>
      <c r="AQ186" s="384">
        <v>1</v>
      </c>
      <c r="AR186" s="382" t="s">
        <v>184</v>
      </c>
      <c r="AS186" s="386">
        <f t="shared" si="169"/>
        <v>1</v>
      </c>
      <c r="AT186">
        <f t="shared" si="170"/>
        <v>1</v>
      </c>
      <c r="AU186" s="386">
        <f>IF(AT186=0,"",IF(AND(AT186=1,M186="F",SUMIF(C2:C201,C186,AS2:AS201)&lt;=1),SUMIF(C2:C201,C186,AS2:AS201),IF(AND(AT186=1,M186="F",SUMIF(C2:C201,C186,AS2:AS201)&gt;1),1,"")))</f>
        <v>1</v>
      </c>
      <c r="AV186" s="386" t="str">
        <f>IF(AT186=0,"",IF(AND(AT186=3,M186="F",SUMIF(C2:C201,C186,AS2:AS201)&lt;=1),SUMIF(C2:C201,C186,AS2:AS201),IF(AND(AT186=3,M186="F",SUMIF(C2:C201,C186,AS2:AS201)&gt;1),1,"")))</f>
        <v/>
      </c>
      <c r="AW186" s="386">
        <f>SUMIF(C2:C201,C186,O2:O201)</f>
        <v>1</v>
      </c>
      <c r="AX186" s="386">
        <f>IF(AND(M186="F",AS186&lt;&gt;0),SUMIF(C2:C201,C186,W2:W201),0)</f>
        <v>116417.60000000001</v>
      </c>
      <c r="AY186" s="386">
        <f t="shared" si="171"/>
        <v>116417.60000000001</v>
      </c>
      <c r="AZ186" s="386" t="str">
        <f t="shared" si="172"/>
        <v/>
      </c>
      <c r="BA186" s="386">
        <f t="shared" si="173"/>
        <v>0</v>
      </c>
      <c r="BB186" s="386">
        <f t="shared" si="186"/>
        <v>12500</v>
      </c>
      <c r="BC186" s="386">
        <f t="shared" si="187"/>
        <v>0</v>
      </c>
      <c r="BD186" s="386">
        <f t="shared" si="188"/>
        <v>7217.8912</v>
      </c>
      <c r="BE186" s="386">
        <f t="shared" si="189"/>
        <v>1688.0552000000002</v>
      </c>
      <c r="BF186" s="386">
        <f t="shared" si="190"/>
        <v>13900.261440000002</v>
      </c>
      <c r="BG186" s="386">
        <f t="shared" si="191"/>
        <v>839.37089600000002</v>
      </c>
      <c r="BH186" s="386">
        <f t="shared" si="192"/>
        <v>0</v>
      </c>
      <c r="BI186" s="386">
        <f t="shared" si="193"/>
        <v>0</v>
      </c>
      <c r="BJ186" s="386">
        <f t="shared" si="194"/>
        <v>209.55168</v>
      </c>
      <c r="BK186" s="386">
        <f t="shared" si="195"/>
        <v>0</v>
      </c>
      <c r="BL186" s="386">
        <f t="shared" si="174"/>
        <v>23855.130416000004</v>
      </c>
      <c r="BM186" s="386">
        <f t="shared" si="175"/>
        <v>0</v>
      </c>
      <c r="BN186" s="386">
        <f t="shared" si="196"/>
        <v>13750</v>
      </c>
      <c r="BO186" s="386">
        <f t="shared" si="197"/>
        <v>0</v>
      </c>
      <c r="BP186" s="386">
        <f t="shared" si="198"/>
        <v>7217.8912</v>
      </c>
      <c r="BQ186" s="386">
        <f t="shared" si="199"/>
        <v>1688.0552000000002</v>
      </c>
      <c r="BR186" s="386">
        <f t="shared" si="200"/>
        <v>13015.48768</v>
      </c>
      <c r="BS186" s="386">
        <f t="shared" si="201"/>
        <v>839.37089600000002</v>
      </c>
      <c r="BT186" s="386">
        <f t="shared" si="202"/>
        <v>0</v>
      </c>
      <c r="BU186" s="386">
        <f t="shared" si="203"/>
        <v>0</v>
      </c>
      <c r="BV186" s="386">
        <f t="shared" si="204"/>
        <v>221.19344000000001</v>
      </c>
      <c r="BW186" s="386">
        <f t="shared" si="205"/>
        <v>0</v>
      </c>
      <c r="BX186" s="386">
        <f t="shared" si="176"/>
        <v>22981.998415999999</v>
      </c>
      <c r="BY186" s="386">
        <f t="shared" si="177"/>
        <v>0</v>
      </c>
      <c r="BZ186" s="386">
        <f t="shared" si="178"/>
        <v>1250</v>
      </c>
      <c r="CA186" s="386">
        <f t="shared" si="179"/>
        <v>0</v>
      </c>
      <c r="CB186" s="386">
        <f t="shared" si="180"/>
        <v>0</v>
      </c>
      <c r="CC186" s="386">
        <f t="shared" si="206"/>
        <v>0</v>
      </c>
      <c r="CD186" s="386">
        <f t="shared" si="207"/>
        <v>-884.77376000000118</v>
      </c>
      <c r="CE186" s="386">
        <f t="shared" si="208"/>
        <v>0</v>
      </c>
      <c r="CF186" s="386">
        <f t="shared" si="209"/>
        <v>0</v>
      </c>
      <c r="CG186" s="386">
        <f t="shared" si="210"/>
        <v>0</v>
      </c>
      <c r="CH186" s="386">
        <f t="shared" si="211"/>
        <v>11.641760000000005</v>
      </c>
      <c r="CI186" s="386">
        <f t="shared" si="212"/>
        <v>0</v>
      </c>
      <c r="CJ186" s="386">
        <f t="shared" si="181"/>
        <v>-873.1320000000012</v>
      </c>
      <c r="CK186" s="386" t="str">
        <f t="shared" si="182"/>
        <v/>
      </c>
      <c r="CL186" s="386" t="str">
        <f t="shared" si="183"/>
        <v/>
      </c>
      <c r="CM186" s="386" t="str">
        <f t="shared" si="184"/>
        <v/>
      </c>
      <c r="CN186" s="386" t="str">
        <f t="shared" si="185"/>
        <v>0480-00</v>
      </c>
    </row>
    <row r="187" spans="1:92" ht="15.75" thickBot="1" x14ac:dyDescent="0.3">
      <c r="A187" s="376" t="s">
        <v>162</v>
      </c>
      <c r="B187" s="376" t="s">
        <v>163</v>
      </c>
      <c r="C187" s="376" t="s">
        <v>675</v>
      </c>
      <c r="D187" s="376" t="s">
        <v>551</v>
      </c>
      <c r="E187" s="376" t="s">
        <v>505</v>
      </c>
      <c r="F187" s="377" t="s">
        <v>167</v>
      </c>
      <c r="G187" s="376" t="s">
        <v>506</v>
      </c>
      <c r="H187" s="378"/>
      <c r="I187" s="378"/>
      <c r="J187" s="376" t="s">
        <v>169</v>
      </c>
      <c r="K187" s="376" t="s">
        <v>636</v>
      </c>
      <c r="L187" s="376" t="s">
        <v>198</v>
      </c>
      <c r="M187" s="376" t="s">
        <v>172</v>
      </c>
      <c r="N187" s="376" t="s">
        <v>173</v>
      </c>
      <c r="O187" s="379">
        <v>1</v>
      </c>
      <c r="P187" s="384">
        <v>1</v>
      </c>
      <c r="Q187" s="384">
        <v>1</v>
      </c>
      <c r="R187" s="380">
        <v>80</v>
      </c>
      <c r="S187" s="384">
        <v>1</v>
      </c>
      <c r="T187" s="380">
        <v>75627.210000000006</v>
      </c>
      <c r="U187" s="380">
        <v>0</v>
      </c>
      <c r="V187" s="380">
        <v>27217.26</v>
      </c>
      <c r="W187" s="380">
        <v>75795.199999999997</v>
      </c>
      <c r="X187" s="380">
        <v>28031.18</v>
      </c>
      <c r="Y187" s="380">
        <v>75795.199999999997</v>
      </c>
      <c r="Z187" s="380">
        <v>28712.720000000001</v>
      </c>
      <c r="AA187" s="376" t="s">
        <v>676</v>
      </c>
      <c r="AB187" s="376" t="s">
        <v>677</v>
      </c>
      <c r="AC187" s="376" t="s">
        <v>678</v>
      </c>
      <c r="AD187" s="376" t="s">
        <v>177</v>
      </c>
      <c r="AE187" s="376" t="s">
        <v>636</v>
      </c>
      <c r="AF187" s="376" t="s">
        <v>178</v>
      </c>
      <c r="AG187" s="376" t="s">
        <v>179</v>
      </c>
      <c r="AH187" s="381">
        <v>36.44</v>
      </c>
      <c r="AI187" s="381">
        <v>31129.3</v>
      </c>
      <c r="AJ187" s="376" t="s">
        <v>180</v>
      </c>
      <c r="AK187" s="376" t="s">
        <v>181</v>
      </c>
      <c r="AL187" s="376" t="s">
        <v>182</v>
      </c>
      <c r="AM187" s="376" t="s">
        <v>183</v>
      </c>
      <c r="AN187" s="376" t="s">
        <v>66</v>
      </c>
      <c r="AO187" s="379">
        <v>80</v>
      </c>
      <c r="AP187" s="384">
        <v>1</v>
      </c>
      <c r="AQ187" s="384">
        <v>1</v>
      </c>
      <c r="AR187" s="382" t="s">
        <v>184</v>
      </c>
      <c r="AS187" s="386">
        <f t="shared" si="169"/>
        <v>1</v>
      </c>
      <c r="AT187">
        <f t="shared" si="170"/>
        <v>1</v>
      </c>
      <c r="AU187" s="386">
        <f>IF(AT187=0,"",IF(AND(AT187=1,M187="F",SUMIF(C2:C201,C187,AS2:AS201)&lt;=1),SUMIF(C2:C201,C187,AS2:AS201),IF(AND(AT187=1,M187="F",SUMIF(C2:C201,C187,AS2:AS201)&gt;1),1,"")))</f>
        <v>1</v>
      </c>
      <c r="AV187" s="386" t="str">
        <f>IF(AT187=0,"",IF(AND(AT187=3,M187="F",SUMIF(C2:C201,C187,AS2:AS201)&lt;=1),SUMIF(C2:C201,C187,AS2:AS201),IF(AND(AT187=3,M187="F",SUMIF(C2:C201,C187,AS2:AS201)&gt;1),1,"")))</f>
        <v/>
      </c>
      <c r="AW187" s="386">
        <f>SUMIF(C2:C201,C187,O2:O201)</f>
        <v>1</v>
      </c>
      <c r="AX187" s="386">
        <f>IF(AND(M187="F",AS187&lt;&gt;0),SUMIF(C2:C201,C187,W2:W201),0)</f>
        <v>75795.199999999997</v>
      </c>
      <c r="AY187" s="386">
        <f t="shared" si="171"/>
        <v>75795.199999999997</v>
      </c>
      <c r="AZ187" s="386" t="str">
        <f t="shared" si="172"/>
        <v/>
      </c>
      <c r="BA187" s="386">
        <f t="shared" si="173"/>
        <v>0</v>
      </c>
      <c r="BB187" s="386">
        <f t="shared" si="186"/>
        <v>12500</v>
      </c>
      <c r="BC187" s="386">
        <f t="shared" si="187"/>
        <v>0</v>
      </c>
      <c r="BD187" s="386">
        <f t="shared" si="188"/>
        <v>4699.3023999999996</v>
      </c>
      <c r="BE187" s="386">
        <f t="shared" si="189"/>
        <v>1099.0304000000001</v>
      </c>
      <c r="BF187" s="386">
        <f t="shared" si="190"/>
        <v>9049.9468799999995</v>
      </c>
      <c r="BG187" s="386">
        <f t="shared" si="191"/>
        <v>546.48339199999998</v>
      </c>
      <c r="BH187" s="386">
        <f t="shared" si="192"/>
        <v>0</v>
      </c>
      <c r="BI187" s="386">
        <f t="shared" si="193"/>
        <v>0</v>
      </c>
      <c r="BJ187" s="386">
        <f t="shared" si="194"/>
        <v>136.43135999999998</v>
      </c>
      <c r="BK187" s="386">
        <f t="shared" si="195"/>
        <v>0</v>
      </c>
      <c r="BL187" s="386">
        <f t="shared" si="174"/>
        <v>15531.194432</v>
      </c>
      <c r="BM187" s="386">
        <f t="shared" si="175"/>
        <v>0</v>
      </c>
      <c r="BN187" s="386">
        <f t="shared" si="196"/>
        <v>13750</v>
      </c>
      <c r="BO187" s="386">
        <f t="shared" si="197"/>
        <v>0</v>
      </c>
      <c r="BP187" s="386">
        <f t="shared" si="198"/>
        <v>4699.3023999999996</v>
      </c>
      <c r="BQ187" s="386">
        <f t="shared" si="199"/>
        <v>1099.0304000000001</v>
      </c>
      <c r="BR187" s="386">
        <f t="shared" si="200"/>
        <v>8473.9033600000002</v>
      </c>
      <c r="BS187" s="386">
        <f t="shared" si="201"/>
        <v>546.48339199999998</v>
      </c>
      <c r="BT187" s="386">
        <f t="shared" si="202"/>
        <v>0</v>
      </c>
      <c r="BU187" s="386">
        <f t="shared" si="203"/>
        <v>0</v>
      </c>
      <c r="BV187" s="386">
        <f t="shared" si="204"/>
        <v>144.01087999999999</v>
      </c>
      <c r="BW187" s="386">
        <f t="shared" si="205"/>
        <v>0</v>
      </c>
      <c r="BX187" s="386">
        <f t="shared" si="176"/>
        <v>14962.730432</v>
      </c>
      <c r="BY187" s="386">
        <f t="shared" si="177"/>
        <v>0</v>
      </c>
      <c r="BZ187" s="386">
        <f t="shared" si="178"/>
        <v>1250</v>
      </c>
      <c r="CA187" s="386">
        <f t="shared" si="179"/>
        <v>0</v>
      </c>
      <c r="CB187" s="386">
        <f t="shared" si="180"/>
        <v>0</v>
      </c>
      <c r="CC187" s="386">
        <f t="shared" si="206"/>
        <v>0</v>
      </c>
      <c r="CD187" s="386">
        <f t="shared" si="207"/>
        <v>-576.04352000000074</v>
      </c>
      <c r="CE187" s="386">
        <f t="shared" si="208"/>
        <v>0</v>
      </c>
      <c r="CF187" s="386">
        <f t="shared" si="209"/>
        <v>0</v>
      </c>
      <c r="CG187" s="386">
        <f t="shared" si="210"/>
        <v>0</v>
      </c>
      <c r="CH187" s="386">
        <f t="shared" si="211"/>
        <v>7.5795200000000031</v>
      </c>
      <c r="CI187" s="386">
        <f t="shared" si="212"/>
        <v>0</v>
      </c>
      <c r="CJ187" s="386">
        <f t="shared" si="181"/>
        <v>-568.46400000000074</v>
      </c>
      <c r="CK187" s="386" t="str">
        <f t="shared" si="182"/>
        <v/>
      </c>
      <c r="CL187" s="386" t="str">
        <f t="shared" si="183"/>
        <v/>
      </c>
      <c r="CM187" s="386" t="str">
        <f t="shared" si="184"/>
        <v/>
      </c>
      <c r="CN187" s="386" t="str">
        <f t="shared" si="185"/>
        <v>0480-00</v>
      </c>
    </row>
    <row r="188" spans="1:92" ht="15.75" thickBot="1" x14ac:dyDescent="0.3">
      <c r="A188" s="376" t="s">
        <v>162</v>
      </c>
      <c r="B188" s="376" t="s">
        <v>163</v>
      </c>
      <c r="C188" s="376" t="s">
        <v>679</v>
      </c>
      <c r="D188" s="376" t="s">
        <v>551</v>
      </c>
      <c r="E188" s="376" t="s">
        <v>505</v>
      </c>
      <c r="F188" s="377" t="s">
        <v>167</v>
      </c>
      <c r="G188" s="376" t="s">
        <v>506</v>
      </c>
      <c r="H188" s="378"/>
      <c r="I188" s="378"/>
      <c r="J188" s="376" t="s">
        <v>169</v>
      </c>
      <c r="K188" s="376" t="s">
        <v>641</v>
      </c>
      <c r="L188" s="376" t="s">
        <v>194</v>
      </c>
      <c r="M188" s="376" t="s">
        <v>172</v>
      </c>
      <c r="N188" s="376" t="s">
        <v>173</v>
      </c>
      <c r="O188" s="379">
        <v>1</v>
      </c>
      <c r="P188" s="384">
        <v>1</v>
      </c>
      <c r="Q188" s="384">
        <v>1</v>
      </c>
      <c r="R188" s="380">
        <v>80</v>
      </c>
      <c r="S188" s="384">
        <v>1</v>
      </c>
      <c r="T188" s="380">
        <v>65551.22</v>
      </c>
      <c r="U188" s="380">
        <v>0</v>
      </c>
      <c r="V188" s="380">
        <v>25312.89</v>
      </c>
      <c r="W188" s="380">
        <v>63731.199999999997</v>
      </c>
      <c r="X188" s="380">
        <v>25559.14</v>
      </c>
      <c r="Y188" s="380">
        <v>63731.199999999997</v>
      </c>
      <c r="Z188" s="380">
        <v>26331.15</v>
      </c>
      <c r="AA188" s="376" t="s">
        <v>680</v>
      </c>
      <c r="AB188" s="376" t="s">
        <v>681</v>
      </c>
      <c r="AC188" s="376" t="s">
        <v>682</v>
      </c>
      <c r="AD188" s="376" t="s">
        <v>683</v>
      </c>
      <c r="AE188" s="376" t="s">
        <v>641</v>
      </c>
      <c r="AF188" s="376" t="s">
        <v>178</v>
      </c>
      <c r="AG188" s="376" t="s">
        <v>179</v>
      </c>
      <c r="AH188" s="381">
        <v>30.64</v>
      </c>
      <c r="AI188" s="381">
        <v>26045.7</v>
      </c>
      <c r="AJ188" s="376" t="s">
        <v>180</v>
      </c>
      <c r="AK188" s="376" t="s">
        <v>181</v>
      </c>
      <c r="AL188" s="376" t="s">
        <v>182</v>
      </c>
      <c r="AM188" s="376" t="s">
        <v>183</v>
      </c>
      <c r="AN188" s="376" t="s">
        <v>66</v>
      </c>
      <c r="AO188" s="379">
        <v>80</v>
      </c>
      <c r="AP188" s="384">
        <v>1</v>
      </c>
      <c r="AQ188" s="384">
        <v>1</v>
      </c>
      <c r="AR188" s="382" t="s">
        <v>184</v>
      </c>
      <c r="AS188" s="386">
        <f t="shared" si="169"/>
        <v>1</v>
      </c>
      <c r="AT188">
        <f t="shared" si="170"/>
        <v>1</v>
      </c>
      <c r="AU188" s="386">
        <f>IF(AT188=0,"",IF(AND(AT188=1,M188="F",SUMIF(C2:C201,C188,AS2:AS201)&lt;=1),SUMIF(C2:C201,C188,AS2:AS201),IF(AND(AT188=1,M188="F",SUMIF(C2:C201,C188,AS2:AS201)&gt;1),1,"")))</f>
        <v>1</v>
      </c>
      <c r="AV188" s="386" t="str">
        <f>IF(AT188=0,"",IF(AND(AT188=3,M188="F",SUMIF(C2:C201,C188,AS2:AS201)&lt;=1),SUMIF(C2:C201,C188,AS2:AS201),IF(AND(AT188=3,M188="F",SUMIF(C2:C201,C188,AS2:AS201)&gt;1),1,"")))</f>
        <v/>
      </c>
      <c r="AW188" s="386">
        <f>SUMIF(C2:C201,C188,O2:O201)</f>
        <v>1</v>
      </c>
      <c r="AX188" s="386">
        <f>IF(AND(M188="F",AS188&lt;&gt;0),SUMIF(C2:C201,C188,W2:W201),0)</f>
        <v>63731.199999999997</v>
      </c>
      <c r="AY188" s="386">
        <f t="shared" si="171"/>
        <v>63731.199999999997</v>
      </c>
      <c r="AZ188" s="386" t="str">
        <f t="shared" si="172"/>
        <v/>
      </c>
      <c r="BA188" s="386">
        <f t="shared" si="173"/>
        <v>0</v>
      </c>
      <c r="BB188" s="386">
        <f t="shared" si="186"/>
        <v>12500</v>
      </c>
      <c r="BC188" s="386">
        <f t="shared" si="187"/>
        <v>0</v>
      </c>
      <c r="BD188" s="386">
        <f t="shared" si="188"/>
        <v>3951.3343999999997</v>
      </c>
      <c r="BE188" s="386">
        <f t="shared" si="189"/>
        <v>924.10239999999999</v>
      </c>
      <c r="BF188" s="386">
        <f t="shared" si="190"/>
        <v>7609.5052800000003</v>
      </c>
      <c r="BG188" s="386">
        <f t="shared" si="191"/>
        <v>459.50195200000002</v>
      </c>
      <c r="BH188" s="386">
        <f t="shared" si="192"/>
        <v>0</v>
      </c>
      <c r="BI188" s="386">
        <f t="shared" si="193"/>
        <v>0</v>
      </c>
      <c r="BJ188" s="386">
        <f t="shared" si="194"/>
        <v>114.71615999999999</v>
      </c>
      <c r="BK188" s="386">
        <f t="shared" si="195"/>
        <v>0</v>
      </c>
      <c r="BL188" s="386">
        <f t="shared" si="174"/>
        <v>13059.160192000001</v>
      </c>
      <c r="BM188" s="386">
        <f t="shared" si="175"/>
        <v>0</v>
      </c>
      <c r="BN188" s="386">
        <f t="shared" si="196"/>
        <v>13750</v>
      </c>
      <c r="BO188" s="386">
        <f t="shared" si="197"/>
        <v>0</v>
      </c>
      <c r="BP188" s="386">
        <f t="shared" si="198"/>
        <v>3951.3343999999997</v>
      </c>
      <c r="BQ188" s="386">
        <f t="shared" si="199"/>
        <v>924.10239999999999</v>
      </c>
      <c r="BR188" s="386">
        <f t="shared" si="200"/>
        <v>7125.1481599999997</v>
      </c>
      <c r="BS188" s="386">
        <f t="shared" si="201"/>
        <v>459.50195200000002</v>
      </c>
      <c r="BT188" s="386">
        <f t="shared" si="202"/>
        <v>0</v>
      </c>
      <c r="BU188" s="386">
        <f t="shared" si="203"/>
        <v>0</v>
      </c>
      <c r="BV188" s="386">
        <f t="shared" si="204"/>
        <v>121.08927999999999</v>
      </c>
      <c r="BW188" s="386">
        <f t="shared" si="205"/>
        <v>0</v>
      </c>
      <c r="BX188" s="386">
        <f t="shared" si="176"/>
        <v>12581.176192000001</v>
      </c>
      <c r="BY188" s="386">
        <f t="shared" si="177"/>
        <v>0</v>
      </c>
      <c r="BZ188" s="386">
        <f t="shared" si="178"/>
        <v>1250</v>
      </c>
      <c r="CA188" s="386">
        <f t="shared" si="179"/>
        <v>0</v>
      </c>
      <c r="CB188" s="386">
        <f t="shared" si="180"/>
        <v>0</v>
      </c>
      <c r="CC188" s="386">
        <f t="shared" si="206"/>
        <v>0</v>
      </c>
      <c r="CD188" s="386">
        <f t="shared" si="207"/>
        <v>-484.35712000000058</v>
      </c>
      <c r="CE188" s="386">
        <f t="shared" si="208"/>
        <v>0</v>
      </c>
      <c r="CF188" s="386">
        <f t="shared" si="209"/>
        <v>0</v>
      </c>
      <c r="CG188" s="386">
        <f t="shared" si="210"/>
        <v>0</v>
      </c>
      <c r="CH188" s="386">
        <f t="shared" si="211"/>
        <v>6.3731200000000028</v>
      </c>
      <c r="CI188" s="386">
        <f t="shared" si="212"/>
        <v>0</v>
      </c>
      <c r="CJ188" s="386">
        <f t="shared" si="181"/>
        <v>-477.98400000000055</v>
      </c>
      <c r="CK188" s="386" t="str">
        <f t="shared" si="182"/>
        <v/>
      </c>
      <c r="CL188" s="386" t="str">
        <f t="shared" si="183"/>
        <v/>
      </c>
      <c r="CM188" s="386" t="str">
        <f t="shared" si="184"/>
        <v/>
      </c>
      <c r="CN188" s="386" t="str">
        <f t="shared" si="185"/>
        <v>0480-00</v>
      </c>
    </row>
    <row r="189" spans="1:92" ht="15.75" thickBot="1" x14ac:dyDescent="0.3">
      <c r="A189" s="376" t="s">
        <v>162</v>
      </c>
      <c r="B189" s="376" t="s">
        <v>163</v>
      </c>
      <c r="C189" s="376" t="s">
        <v>684</v>
      </c>
      <c r="D189" s="376" t="s">
        <v>551</v>
      </c>
      <c r="E189" s="376" t="s">
        <v>505</v>
      </c>
      <c r="F189" s="377" t="s">
        <v>167</v>
      </c>
      <c r="G189" s="376" t="s">
        <v>506</v>
      </c>
      <c r="H189" s="378"/>
      <c r="I189" s="378"/>
      <c r="J189" s="376" t="s">
        <v>169</v>
      </c>
      <c r="K189" s="376" t="s">
        <v>641</v>
      </c>
      <c r="L189" s="376" t="s">
        <v>194</v>
      </c>
      <c r="M189" s="376" t="s">
        <v>172</v>
      </c>
      <c r="N189" s="376" t="s">
        <v>173</v>
      </c>
      <c r="O189" s="379">
        <v>1</v>
      </c>
      <c r="P189" s="384">
        <v>1</v>
      </c>
      <c r="Q189" s="384">
        <v>1</v>
      </c>
      <c r="R189" s="380">
        <v>80</v>
      </c>
      <c r="S189" s="384">
        <v>1</v>
      </c>
      <c r="T189" s="380">
        <v>12852</v>
      </c>
      <c r="U189" s="380">
        <v>0</v>
      </c>
      <c r="V189" s="380">
        <v>6148.84</v>
      </c>
      <c r="W189" s="380">
        <v>59612.800000000003</v>
      </c>
      <c r="X189" s="380">
        <v>24715.23</v>
      </c>
      <c r="Y189" s="380">
        <v>59612.800000000003</v>
      </c>
      <c r="Z189" s="380">
        <v>25518.14</v>
      </c>
      <c r="AA189" s="376" t="s">
        <v>685</v>
      </c>
      <c r="AB189" s="376" t="s">
        <v>686</v>
      </c>
      <c r="AC189" s="376" t="s">
        <v>687</v>
      </c>
      <c r="AD189" s="376" t="s">
        <v>688</v>
      </c>
      <c r="AE189" s="376" t="s">
        <v>641</v>
      </c>
      <c r="AF189" s="376" t="s">
        <v>178</v>
      </c>
      <c r="AG189" s="376" t="s">
        <v>179</v>
      </c>
      <c r="AH189" s="381">
        <v>28.66</v>
      </c>
      <c r="AI189" s="381">
        <v>613.70000000000005</v>
      </c>
      <c r="AJ189" s="376" t="s">
        <v>180</v>
      </c>
      <c r="AK189" s="376" t="s">
        <v>181</v>
      </c>
      <c r="AL189" s="376" t="s">
        <v>182</v>
      </c>
      <c r="AM189" s="376" t="s">
        <v>183</v>
      </c>
      <c r="AN189" s="376" t="s">
        <v>66</v>
      </c>
      <c r="AO189" s="379">
        <v>80</v>
      </c>
      <c r="AP189" s="384">
        <v>1</v>
      </c>
      <c r="AQ189" s="384">
        <v>1</v>
      </c>
      <c r="AR189" s="382" t="s">
        <v>184</v>
      </c>
      <c r="AS189" s="386">
        <f t="shared" si="169"/>
        <v>1</v>
      </c>
      <c r="AT189">
        <f t="shared" si="170"/>
        <v>1</v>
      </c>
      <c r="AU189" s="386">
        <f>IF(AT189=0,"",IF(AND(AT189=1,M189="F",SUMIF(C2:C201,C189,AS2:AS201)&lt;=1),SUMIF(C2:C201,C189,AS2:AS201),IF(AND(AT189=1,M189="F",SUMIF(C2:C201,C189,AS2:AS201)&gt;1),1,"")))</f>
        <v>1</v>
      </c>
      <c r="AV189" s="386" t="str">
        <f>IF(AT189=0,"",IF(AND(AT189=3,M189="F",SUMIF(C2:C201,C189,AS2:AS201)&lt;=1),SUMIF(C2:C201,C189,AS2:AS201),IF(AND(AT189=3,M189="F",SUMIF(C2:C201,C189,AS2:AS201)&gt;1),1,"")))</f>
        <v/>
      </c>
      <c r="AW189" s="386">
        <f>SUMIF(C2:C201,C189,O2:O201)</f>
        <v>1</v>
      </c>
      <c r="AX189" s="386">
        <f>IF(AND(M189="F",AS189&lt;&gt;0),SUMIF(C2:C201,C189,W2:W201),0)</f>
        <v>59612.800000000003</v>
      </c>
      <c r="AY189" s="386">
        <f t="shared" si="171"/>
        <v>59612.800000000003</v>
      </c>
      <c r="AZ189" s="386" t="str">
        <f t="shared" si="172"/>
        <v/>
      </c>
      <c r="BA189" s="386">
        <f t="shared" si="173"/>
        <v>0</v>
      </c>
      <c r="BB189" s="386">
        <f t="shared" si="186"/>
        <v>12500</v>
      </c>
      <c r="BC189" s="386">
        <f t="shared" si="187"/>
        <v>0</v>
      </c>
      <c r="BD189" s="386">
        <f t="shared" si="188"/>
        <v>3695.9936000000002</v>
      </c>
      <c r="BE189" s="386">
        <f t="shared" si="189"/>
        <v>864.38560000000007</v>
      </c>
      <c r="BF189" s="386">
        <f t="shared" si="190"/>
        <v>7117.768320000001</v>
      </c>
      <c r="BG189" s="386">
        <f t="shared" si="191"/>
        <v>429.80828800000006</v>
      </c>
      <c r="BH189" s="386">
        <f t="shared" si="192"/>
        <v>0</v>
      </c>
      <c r="BI189" s="386">
        <f t="shared" si="193"/>
        <v>0</v>
      </c>
      <c r="BJ189" s="386">
        <f t="shared" si="194"/>
        <v>107.30304</v>
      </c>
      <c r="BK189" s="386">
        <f t="shared" si="195"/>
        <v>0</v>
      </c>
      <c r="BL189" s="386">
        <f t="shared" si="174"/>
        <v>12215.258848000003</v>
      </c>
      <c r="BM189" s="386">
        <f t="shared" si="175"/>
        <v>0</v>
      </c>
      <c r="BN189" s="386">
        <f t="shared" si="196"/>
        <v>13750</v>
      </c>
      <c r="BO189" s="386">
        <f t="shared" si="197"/>
        <v>0</v>
      </c>
      <c r="BP189" s="386">
        <f t="shared" si="198"/>
        <v>3695.9936000000002</v>
      </c>
      <c r="BQ189" s="386">
        <f t="shared" si="199"/>
        <v>864.38560000000007</v>
      </c>
      <c r="BR189" s="386">
        <f t="shared" si="200"/>
        <v>6664.7110400000001</v>
      </c>
      <c r="BS189" s="386">
        <f t="shared" si="201"/>
        <v>429.80828800000006</v>
      </c>
      <c r="BT189" s="386">
        <f t="shared" si="202"/>
        <v>0</v>
      </c>
      <c r="BU189" s="386">
        <f t="shared" si="203"/>
        <v>0</v>
      </c>
      <c r="BV189" s="386">
        <f t="shared" si="204"/>
        <v>113.26432000000001</v>
      </c>
      <c r="BW189" s="386">
        <f t="shared" si="205"/>
        <v>0</v>
      </c>
      <c r="BX189" s="386">
        <f t="shared" si="176"/>
        <v>11768.162848000002</v>
      </c>
      <c r="BY189" s="386">
        <f t="shared" si="177"/>
        <v>0</v>
      </c>
      <c r="BZ189" s="386">
        <f t="shared" si="178"/>
        <v>1250</v>
      </c>
      <c r="CA189" s="386">
        <f t="shared" si="179"/>
        <v>0</v>
      </c>
      <c r="CB189" s="386">
        <f t="shared" si="180"/>
        <v>0</v>
      </c>
      <c r="CC189" s="386">
        <f t="shared" si="206"/>
        <v>0</v>
      </c>
      <c r="CD189" s="386">
        <f t="shared" si="207"/>
        <v>-453.05728000000062</v>
      </c>
      <c r="CE189" s="386">
        <f t="shared" si="208"/>
        <v>0</v>
      </c>
      <c r="CF189" s="386">
        <f t="shared" si="209"/>
        <v>0</v>
      </c>
      <c r="CG189" s="386">
        <f t="shared" si="210"/>
        <v>0</v>
      </c>
      <c r="CH189" s="386">
        <f t="shared" si="211"/>
        <v>5.961280000000003</v>
      </c>
      <c r="CI189" s="386">
        <f t="shared" si="212"/>
        <v>0</v>
      </c>
      <c r="CJ189" s="386">
        <f t="shared" si="181"/>
        <v>-447.09600000000063</v>
      </c>
      <c r="CK189" s="386" t="str">
        <f t="shared" si="182"/>
        <v/>
      </c>
      <c r="CL189" s="386" t="str">
        <f t="shared" si="183"/>
        <v/>
      </c>
      <c r="CM189" s="386" t="str">
        <f t="shared" si="184"/>
        <v/>
      </c>
      <c r="CN189" s="386" t="str">
        <f t="shared" si="185"/>
        <v>0480-00</v>
      </c>
    </row>
    <row r="190" spans="1:92" ht="15.75" thickBot="1" x14ac:dyDescent="0.3">
      <c r="A190" s="376" t="s">
        <v>162</v>
      </c>
      <c r="B190" s="376" t="s">
        <v>163</v>
      </c>
      <c r="C190" s="376" t="s">
        <v>689</v>
      </c>
      <c r="D190" s="376" t="s">
        <v>551</v>
      </c>
      <c r="E190" s="376" t="s">
        <v>505</v>
      </c>
      <c r="F190" s="377" t="s">
        <v>167</v>
      </c>
      <c r="G190" s="376" t="s">
        <v>506</v>
      </c>
      <c r="H190" s="378"/>
      <c r="I190" s="378"/>
      <c r="J190" s="376" t="s">
        <v>169</v>
      </c>
      <c r="K190" s="376" t="s">
        <v>636</v>
      </c>
      <c r="L190" s="376" t="s">
        <v>198</v>
      </c>
      <c r="M190" s="376" t="s">
        <v>172</v>
      </c>
      <c r="N190" s="376" t="s">
        <v>173</v>
      </c>
      <c r="O190" s="379">
        <v>1</v>
      </c>
      <c r="P190" s="384">
        <v>1</v>
      </c>
      <c r="Q190" s="384">
        <v>1</v>
      </c>
      <c r="R190" s="380">
        <v>80</v>
      </c>
      <c r="S190" s="384">
        <v>1</v>
      </c>
      <c r="T190" s="380">
        <v>63026.41</v>
      </c>
      <c r="U190" s="380">
        <v>0</v>
      </c>
      <c r="V190" s="380">
        <v>22844.85</v>
      </c>
      <c r="W190" s="380">
        <v>79726.399999999994</v>
      </c>
      <c r="X190" s="380">
        <v>28836.71</v>
      </c>
      <c r="Y190" s="380">
        <v>79726.399999999994</v>
      </c>
      <c r="Z190" s="380">
        <v>29488.77</v>
      </c>
      <c r="AA190" s="376" t="s">
        <v>690</v>
      </c>
      <c r="AB190" s="376" t="s">
        <v>691</v>
      </c>
      <c r="AC190" s="376" t="s">
        <v>692</v>
      </c>
      <c r="AD190" s="376" t="s">
        <v>231</v>
      </c>
      <c r="AE190" s="376" t="s">
        <v>636</v>
      </c>
      <c r="AF190" s="376" t="s">
        <v>178</v>
      </c>
      <c r="AG190" s="376" t="s">
        <v>179</v>
      </c>
      <c r="AH190" s="381">
        <v>38.33</v>
      </c>
      <c r="AI190" s="381">
        <v>15057.2</v>
      </c>
      <c r="AJ190" s="376" t="s">
        <v>180</v>
      </c>
      <c r="AK190" s="376" t="s">
        <v>181</v>
      </c>
      <c r="AL190" s="376" t="s">
        <v>182</v>
      </c>
      <c r="AM190" s="376" t="s">
        <v>183</v>
      </c>
      <c r="AN190" s="376" t="s">
        <v>66</v>
      </c>
      <c r="AO190" s="379">
        <v>80</v>
      </c>
      <c r="AP190" s="384">
        <v>1</v>
      </c>
      <c r="AQ190" s="384">
        <v>1</v>
      </c>
      <c r="AR190" s="382" t="s">
        <v>184</v>
      </c>
      <c r="AS190" s="386">
        <f t="shared" si="169"/>
        <v>1</v>
      </c>
      <c r="AT190">
        <f t="shared" si="170"/>
        <v>1</v>
      </c>
      <c r="AU190" s="386">
        <f>IF(AT190=0,"",IF(AND(AT190=1,M190="F",SUMIF(C2:C201,C190,AS2:AS201)&lt;=1),SUMIF(C2:C201,C190,AS2:AS201),IF(AND(AT190=1,M190="F",SUMIF(C2:C201,C190,AS2:AS201)&gt;1),1,"")))</f>
        <v>1</v>
      </c>
      <c r="AV190" s="386" t="str">
        <f>IF(AT190=0,"",IF(AND(AT190=3,M190="F",SUMIF(C2:C201,C190,AS2:AS201)&lt;=1),SUMIF(C2:C201,C190,AS2:AS201),IF(AND(AT190=3,M190="F",SUMIF(C2:C201,C190,AS2:AS201)&gt;1),1,"")))</f>
        <v/>
      </c>
      <c r="AW190" s="386">
        <f>SUMIF(C2:C201,C190,O2:O201)</f>
        <v>1</v>
      </c>
      <c r="AX190" s="386">
        <f>IF(AND(M190="F",AS190&lt;&gt;0),SUMIF(C2:C201,C190,W2:W201),0)</f>
        <v>79726.399999999994</v>
      </c>
      <c r="AY190" s="386">
        <f t="shared" si="171"/>
        <v>79726.399999999994</v>
      </c>
      <c r="AZ190" s="386" t="str">
        <f t="shared" si="172"/>
        <v/>
      </c>
      <c r="BA190" s="386">
        <f t="shared" si="173"/>
        <v>0</v>
      </c>
      <c r="BB190" s="386">
        <f t="shared" si="186"/>
        <v>12500</v>
      </c>
      <c r="BC190" s="386">
        <f t="shared" si="187"/>
        <v>0</v>
      </c>
      <c r="BD190" s="386">
        <f t="shared" si="188"/>
        <v>4943.0367999999999</v>
      </c>
      <c r="BE190" s="386">
        <f t="shared" si="189"/>
        <v>1156.0328</v>
      </c>
      <c r="BF190" s="386">
        <f t="shared" si="190"/>
        <v>9519.3321599999999</v>
      </c>
      <c r="BG190" s="386">
        <f t="shared" si="191"/>
        <v>574.82734399999993</v>
      </c>
      <c r="BH190" s="386">
        <f t="shared" si="192"/>
        <v>0</v>
      </c>
      <c r="BI190" s="386">
        <f t="shared" si="193"/>
        <v>0</v>
      </c>
      <c r="BJ190" s="386">
        <f t="shared" si="194"/>
        <v>143.50752</v>
      </c>
      <c r="BK190" s="386">
        <f t="shared" si="195"/>
        <v>0</v>
      </c>
      <c r="BL190" s="386">
        <f t="shared" si="174"/>
        <v>16336.736623999999</v>
      </c>
      <c r="BM190" s="386">
        <f t="shared" si="175"/>
        <v>0</v>
      </c>
      <c r="BN190" s="386">
        <f t="shared" si="196"/>
        <v>13750</v>
      </c>
      <c r="BO190" s="386">
        <f t="shared" si="197"/>
        <v>0</v>
      </c>
      <c r="BP190" s="386">
        <f t="shared" si="198"/>
        <v>4943.0367999999999</v>
      </c>
      <c r="BQ190" s="386">
        <f t="shared" si="199"/>
        <v>1156.0328</v>
      </c>
      <c r="BR190" s="386">
        <f t="shared" si="200"/>
        <v>8913.4115199999997</v>
      </c>
      <c r="BS190" s="386">
        <f t="shared" si="201"/>
        <v>574.82734399999993</v>
      </c>
      <c r="BT190" s="386">
        <f t="shared" si="202"/>
        <v>0</v>
      </c>
      <c r="BU190" s="386">
        <f t="shared" si="203"/>
        <v>0</v>
      </c>
      <c r="BV190" s="386">
        <f t="shared" si="204"/>
        <v>151.48015999999998</v>
      </c>
      <c r="BW190" s="386">
        <f t="shared" si="205"/>
        <v>0</v>
      </c>
      <c r="BX190" s="386">
        <f t="shared" si="176"/>
        <v>15738.788623999999</v>
      </c>
      <c r="BY190" s="386">
        <f t="shared" si="177"/>
        <v>0</v>
      </c>
      <c r="BZ190" s="386">
        <f t="shared" si="178"/>
        <v>1250</v>
      </c>
      <c r="CA190" s="386">
        <f t="shared" si="179"/>
        <v>0</v>
      </c>
      <c r="CB190" s="386">
        <f t="shared" si="180"/>
        <v>0</v>
      </c>
      <c r="CC190" s="386">
        <f t="shared" si="206"/>
        <v>0</v>
      </c>
      <c r="CD190" s="386">
        <f t="shared" si="207"/>
        <v>-605.92064000000073</v>
      </c>
      <c r="CE190" s="386">
        <f t="shared" si="208"/>
        <v>0</v>
      </c>
      <c r="CF190" s="386">
        <f t="shared" si="209"/>
        <v>0</v>
      </c>
      <c r="CG190" s="386">
        <f t="shared" si="210"/>
        <v>0</v>
      </c>
      <c r="CH190" s="386">
        <f t="shared" si="211"/>
        <v>7.9726400000000028</v>
      </c>
      <c r="CI190" s="386">
        <f t="shared" si="212"/>
        <v>0</v>
      </c>
      <c r="CJ190" s="386">
        <f t="shared" si="181"/>
        <v>-597.94800000000077</v>
      </c>
      <c r="CK190" s="386" t="str">
        <f t="shared" si="182"/>
        <v/>
      </c>
      <c r="CL190" s="386" t="str">
        <f t="shared" si="183"/>
        <v/>
      </c>
      <c r="CM190" s="386" t="str">
        <f t="shared" si="184"/>
        <v/>
      </c>
      <c r="CN190" s="386" t="str">
        <f t="shared" si="185"/>
        <v>0480-00</v>
      </c>
    </row>
    <row r="191" spans="1:92" ht="15.75" thickBot="1" x14ac:dyDescent="0.3">
      <c r="A191" s="376" t="s">
        <v>162</v>
      </c>
      <c r="B191" s="376" t="s">
        <v>163</v>
      </c>
      <c r="C191" s="376" t="s">
        <v>166</v>
      </c>
      <c r="D191" s="376" t="s">
        <v>258</v>
      </c>
      <c r="E191" s="376" t="s">
        <v>505</v>
      </c>
      <c r="F191" s="377" t="s">
        <v>167</v>
      </c>
      <c r="G191" s="376" t="s">
        <v>506</v>
      </c>
      <c r="H191" s="378"/>
      <c r="I191" s="378"/>
      <c r="J191" s="376" t="s">
        <v>169</v>
      </c>
      <c r="K191" s="376" t="s">
        <v>259</v>
      </c>
      <c r="L191" s="376" t="s">
        <v>167</v>
      </c>
      <c r="M191" s="376" t="s">
        <v>172</v>
      </c>
      <c r="N191" s="376" t="s">
        <v>173</v>
      </c>
      <c r="O191" s="379">
        <v>1</v>
      </c>
      <c r="P191" s="384">
        <v>1</v>
      </c>
      <c r="Q191" s="384">
        <v>1</v>
      </c>
      <c r="R191" s="380">
        <v>80</v>
      </c>
      <c r="S191" s="384">
        <v>1</v>
      </c>
      <c r="T191" s="380">
        <v>132822.39999999999</v>
      </c>
      <c r="U191" s="380">
        <v>0</v>
      </c>
      <c r="V191" s="380">
        <v>39176.11</v>
      </c>
      <c r="W191" s="380">
        <v>131622.39999999999</v>
      </c>
      <c r="X191" s="380">
        <v>39470.720000000001</v>
      </c>
      <c r="Y191" s="380">
        <v>131622.39999999999</v>
      </c>
      <c r="Z191" s="380">
        <v>39733.550000000003</v>
      </c>
      <c r="AA191" s="376" t="s">
        <v>693</v>
      </c>
      <c r="AB191" s="376" t="s">
        <v>694</v>
      </c>
      <c r="AC191" s="376" t="s">
        <v>695</v>
      </c>
      <c r="AD191" s="376" t="s">
        <v>567</v>
      </c>
      <c r="AE191" s="376" t="s">
        <v>259</v>
      </c>
      <c r="AF191" s="376" t="s">
        <v>178</v>
      </c>
      <c r="AG191" s="376" t="s">
        <v>179</v>
      </c>
      <c r="AH191" s="381">
        <v>63.28</v>
      </c>
      <c r="AI191" s="379">
        <v>9040</v>
      </c>
      <c r="AJ191" s="376" t="s">
        <v>180</v>
      </c>
      <c r="AK191" s="376" t="s">
        <v>181</v>
      </c>
      <c r="AL191" s="376" t="s">
        <v>182</v>
      </c>
      <c r="AM191" s="376" t="s">
        <v>183</v>
      </c>
      <c r="AN191" s="376" t="s">
        <v>66</v>
      </c>
      <c r="AO191" s="379">
        <v>80</v>
      </c>
      <c r="AP191" s="384">
        <v>1</v>
      </c>
      <c r="AQ191" s="384">
        <v>1</v>
      </c>
      <c r="AR191" s="382" t="s">
        <v>184</v>
      </c>
      <c r="AS191" s="386">
        <f t="shared" si="169"/>
        <v>1</v>
      </c>
      <c r="AT191">
        <f t="shared" si="170"/>
        <v>1</v>
      </c>
      <c r="AU191" s="386">
        <f>IF(AT191=0,"",IF(AND(AT191=1,M191="F",SUMIF(C2:C201,C191,AS2:AS201)&lt;=1),SUMIF(C2:C201,C191,AS2:AS201),IF(AND(AT191=1,M191="F",SUMIF(C2:C201,C191,AS2:AS201)&gt;1),1,"")))</f>
        <v>1</v>
      </c>
      <c r="AV191" s="386" t="str">
        <f>IF(AT191=0,"",IF(AND(AT191=3,M191="F",SUMIF(C2:C201,C191,AS2:AS201)&lt;=1),SUMIF(C2:C201,C191,AS2:AS201),IF(AND(AT191=3,M191="F",SUMIF(C2:C201,C191,AS2:AS201)&gt;1),1,"")))</f>
        <v/>
      </c>
      <c r="AW191" s="386">
        <f>SUMIF(C2:C201,C191,O2:O201)</f>
        <v>1</v>
      </c>
      <c r="AX191" s="386">
        <f>IF(AND(M191="F",AS191&lt;&gt;0),SUMIF(C2:C201,C191,W2:W201),0)</f>
        <v>131622.39999999999</v>
      </c>
      <c r="AY191" s="386">
        <f t="shared" si="171"/>
        <v>131622.39999999999</v>
      </c>
      <c r="AZ191" s="386" t="str">
        <f t="shared" si="172"/>
        <v/>
      </c>
      <c r="BA191" s="386">
        <f t="shared" si="173"/>
        <v>0</v>
      </c>
      <c r="BB191" s="386">
        <f t="shared" si="186"/>
        <v>12500</v>
      </c>
      <c r="BC191" s="386">
        <f t="shared" si="187"/>
        <v>0</v>
      </c>
      <c r="BD191" s="386">
        <f t="shared" si="188"/>
        <v>8160.5887999999995</v>
      </c>
      <c r="BE191" s="386">
        <f t="shared" si="189"/>
        <v>1908.5247999999999</v>
      </c>
      <c r="BF191" s="386">
        <f t="shared" si="190"/>
        <v>15715.71456</v>
      </c>
      <c r="BG191" s="386">
        <f t="shared" si="191"/>
        <v>948.99750400000005</v>
      </c>
      <c r="BH191" s="386">
        <f t="shared" si="192"/>
        <v>0</v>
      </c>
      <c r="BI191" s="386">
        <f t="shared" si="193"/>
        <v>0</v>
      </c>
      <c r="BJ191" s="386">
        <f t="shared" si="194"/>
        <v>236.92031999999998</v>
      </c>
      <c r="BK191" s="386">
        <f t="shared" si="195"/>
        <v>0</v>
      </c>
      <c r="BL191" s="386">
        <f t="shared" si="174"/>
        <v>26970.745983999997</v>
      </c>
      <c r="BM191" s="386">
        <f t="shared" si="175"/>
        <v>0</v>
      </c>
      <c r="BN191" s="386">
        <f t="shared" si="196"/>
        <v>13750</v>
      </c>
      <c r="BO191" s="386">
        <f t="shared" si="197"/>
        <v>0</v>
      </c>
      <c r="BP191" s="386">
        <f t="shared" si="198"/>
        <v>8160.5887999999995</v>
      </c>
      <c r="BQ191" s="386">
        <f t="shared" si="199"/>
        <v>1908.5247999999999</v>
      </c>
      <c r="BR191" s="386">
        <f t="shared" si="200"/>
        <v>14715.384319999999</v>
      </c>
      <c r="BS191" s="386">
        <f t="shared" si="201"/>
        <v>948.99750400000005</v>
      </c>
      <c r="BT191" s="386">
        <f t="shared" si="202"/>
        <v>0</v>
      </c>
      <c r="BU191" s="386">
        <f t="shared" si="203"/>
        <v>0</v>
      </c>
      <c r="BV191" s="386">
        <f t="shared" si="204"/>
        <v>250.08256</v>
      </c>
      <c r="BW191" s="386">
        <f t="shared" si="205"/>
        <v>0</v>
      </c>
      <c r="BX191" s="386">
        <f t="shared" si="176"/>
        <v>25983.577983999996</v>
      </c>
      <c r="BY191" s="386">
        <f t="shared" si="177"/>
        <v>0</v>
      </c>
      <c r="BZ191" s="386">
        <f t="shared" si="178"/>
        <v>1250</v>
      </c>
      <c r="CA191" s="386">
        <f t="shared" si="179"/>
        <v>0</v>
      </c>
      <c r="CB191" s="386">
        <f t="shared" si="180"/>
        <v>0</v>
      </c>
      <c r="CC191" s="386">
        <f t="shared" si="206"/>
        <v>0</v>
      </c>
      <c r="CD191" s="386">
        <f t="shared" si="207"/>
        <v>-1000.3302400000013</v>
      </c>
      <c r="CE191" s="386">
        <f t="shared" si="208"/>
        <v>0</v>
      </c>
      <c r="CF191" s="386">
        <f t="shared" si="209"/>
        <v>0</v>
      </c>
      <c r="CG191" s="386">
        <f t="shared" si="210"/>
        <v>0</v>
      </c>
      <c r="CH191" s="386">
        <f t="shared" si="211"/>
        <v>13.162240000000006</v>
      </c>
      <c r="CI191" s="386">
        <f t="shared" si="212"/>
        <v>0</v>
      </c>
      <c r="CJ191" s="386">
        <f t="shared" si="181"/>
        <v>-987.16800000000126</v>
      </c>
      <c r="CK191" s="386" t="str">
        <f t="shared" si="182"/>
        <v/>
      </c>
      <c r="CL191" s="386" t="str">
        <f t="shared" si="183"/>
        <v/>
      </c>
      <c r="CM191" s="386" t="str">
        <f t="shared" si="184"/>
        <v/>
      </c>
      <c r="CN191" s="386" t="str">
        <f t="shared" si="185"/>
        <v>0480-00</v>
      </c>
    </row>
    <row r="192" spans="1:92" ht="15.75" thickBot="1" x14ac:dyDescent="0.3">
      <c r="A192" s="376" t="s">
        <v>162</v>
      </c>
      <c r="B192" s="376" t="s">
        <v>163</v>
      </c>
      <c r="C192" s="376" t="s">
        <v>257</v>
      </c>
      <c r="D192" s="376" t="s">
        <v>258</v>
      </c>
      <c r="E192" s="376" t="s">
        <v>505</v>
      </c>
      <c r="F192" s="377" t="s">
        <v>167</v>
      </c>
      <c r="G192" s="376" t="s">
        <v>506</v>
      </c>
      <c r="H192" s="378"/>
      <c r="I192" s="378"/>
      <c r="J192" s="376" t="s">
        <v>220</v>
      </c>
      <c r="K192" s="376" t="s">
        <v>259</v>
      </c>
      <c r="L192" s="376" t="s">
        <v>167</v>
      </c>
      <c r="M192" s="376" t="s">
        <v>172</v>
      </c>
      <c r="N192" s="376" t="s">
        <v>173</v>
      </c>
      <c r="O192" s="379">
        <v>1</v>
      </c>
      <c r="P192" s="384">
        <v>0.15</v>
      </c>
      <c r="Q192" s="384">
        <v>0.15</v>
      </c>
      <c r="R192" s="380">
        <v>80</v>
      </c>
      <c r="S192" s="384">
        <v>0.15</v>
      </c>
      <c r="T192" s="380">
        <v>17875.43</v>
      </c>
      <c r="U192" s="380">
        <v>0</v>
      </c>
      <c r="V192" s="380">
        <v>5315.07</v>
      </c>
      <c r="W192" s="380">
        <v>19287.84</v>
      </c>
      <c r="X192" s="380">
        <v>5827.26</v>
      </c>
      <c r="Y192" s="380">
        <v>19287.84</v>
      </c>
      <c r="Z192" s="380">
        <v>5870.11</v>
      </c>
      <c r="AA192" s="376" t="s">
        <v>260</v>
      </c>
      <c r="AB192" s="376" t="s">
        <v>261</v>
      </c>
      <c r="AC192" s="376" t="s">
        <v>241</v>
      </c>
      <c r="AD192" s="376" t="s">
        <v>182</v>
      </c>
      <c r="AE192" s="376" t="s">
        <v>259</v>
      </c>
      <c r="AF192" s="376" t="s">
        <v>178</v>
      </c>
      <c r="AG192" s="376" t="s">
        <v>179</v>
      </c>
      <c r="AH192" s="381">
        <v>61.82</v>
      </c>
      <c r="AI192" s="379">
        <v>4977</v>
      </c>
      <c r="AJ192" s="376" t="s">
        <v>180</v>
      </c>
      <c r="AK192" s="376" t="s">
        <v>181</v>
      </c>
      <c r="AL192" s="376" t="s">
        <v>182</v>
      </c>
      <c r="AM192" s="376" t="s">
        <v>183</v>
      </c>
      <c r="AN192" s="376" t="s">
        <v>66</v>
      </c>
      <c r="AO192" s="379">
        <v>80</v>
      </c>
      <c r="AP192" s="384">
        <v>1</v>
      </c>
      <c r="AQ192" s="384">
        <v>0.15</v>
      </c>
      <c r="AR192" s="382" t="s">
        <v>184</v>
      </c>
      <c r="AS192" s="386">
        <f t="shared" si="169"/>
        <v>0.15</v>
      </c>
      <c r="AT192">
        <f t="shared" si="170"/>
        <v>1</v>
      </c>
      <c r="AU192" s="386">
        <f>IF(AT192=0,"",IF(AND(AT192=1,M192="F",SUMIF(C2:C201,C192,AS2:AS201)&lt;=1),SUMIF(C2:C201,C192,AS2:AS201),IF(AND(AT192=1,M192="F",SUMIF(C2:C201,C192,AS2:AS201)&gt;1),1,"")))</f>
        <v>1</v>
      </c>
      <c r="AV192" s="386" t="str">
        <f>IF(AT192=0,"",IF(AND(AT192=3,M192="F",SUMIF(C2:C201,C192,AS2:AS201)&lt;=1),SUMIF(C2:C201,C192,AS2:AS201),IF(AND(AT192=3,M192="F",SUMIF(C2:C201,C192,AS2:AS201)&gt;1),1,"")))</f>
        <v/>
      </c>
      <c r="AW192" s="386">
        <f>SUMIF(C2:C201,C192,O2:O201)</f>
        <v>5</v>
      </c>
      <c r="AX192" s="386">
        <f>IF(AND(M192="F",AS192&lt;&gt;0),SUMIF(C2:C201,C192,W2:W201),0)</f>
        <v>128585.59999999999</v>
      </c>
      <c r="AY192" s="386">
        <f t="shared" si="171"/>
        <v>19287.84</v>
      </c>
      <c r="AZ192" s="386" t="str">
        <f t="shared" si="172"/>
        <v/>
      </c>
      <c r="BA192" s="386">
        <f t="shared" si="173"/>
        <v>0</v>
      </c>
      <c r="BB192" s="386">
        <f t="shared" si="186"/>
        <v>1875</v>
      </c>
      <c r="BC192" s="386">
        <f t="shared" si="187"/>
        <v>0</v>
      </c>
      <c r="BD192" s="386">
        <f t="shared" si="188"/>
        <v>1195.84608</v>
      </c>
      <c r="BE192" s="386">
        <f t="shared" si="189"/>
        <v>279.67367999999999</v>
      </c>
      <c r="BF192" s="386">
        <f t="shared" si="190"/>
        <v>2302.9680960000001</v>
      </c>
      <c r="BG192" s="386">
        <f t="shared" si="191"/>
        <v>139.0653264</v>
      </c>
      <c r="BH192" s="386">
        <f t="shared" si="192"/>
        <v>0</v>
      </c>
      <c r="BI192" s="386">
        <f t="shared" si="193"/>
        <v>0</v>
      </c>
      <c r="BJ192" s="386">
        <f t="shared" si="194"/>
        <v>34.718111999999998</v>
      </c>
      <c r="BK192" s="386">
        <f t="shared" si="195"/>
        <v>0</v>
      </c>
      <c r="BL192" s="386">
        <f t="shared" si="174"/>
        <v>3952.2712944</v>
      </c>
      <c r="BM192" s="386">
        <f t="shared" si="175"/>
        <v>0</v>
      </c>
      <c r="BN192" s="386">
        <f t="shared" si="196"/>
        <v>2062.5</v>
      </c>
      <c r="BO192" s="386">
        <f t="shared" si="197"/>
        <v>0</v>
      </c>
      <c r="BP192" s="386">
        <f t="shared" si="198"/>
        <v>1195.84608</v>
      </c>
      <c r="BQ192" s="386">
        <f t="shared" si="199"/>
        <v>279.67367999999999</v>
      </c>
      <c r="BR192" s="386">
        <f t="shared" si="200"/>
        <v>2156.3805119999997</v>
      </c>
      <c r="BS192" s="386">
        <f t="shared" si="201"/>
        <v>139.0653264</v>
      </c>
      <c r="BT192" s="386">
        <f t="shared" si="202"/>
        <v>0</v>
      </c>
      <c r="BU192" s="386">
        <f t="shared" si="203"/>
        <v>0</v>
      </c>
      <c r="BV192" s="386">
        <f t="shared" si="204"/>
        <v>36.646895999999998</v>
      </c>
      <c r="BW192" s="386">
        <f t="shared" si="205"/>
        <v>0</v>
      </c>
      <c r="BX192" s="386">
        <f t="shared" si="176"/>
        <v>3807.6124944000003</v>
      </c>
      <c r="BY192" s="386">
        <f t="shared" si="177"/>
        <v>0</v>
      </c>
      <c r="BZ192" s="386">
        <f t="shared" si="178"/>
        <v>187.5</v>
      </c>
      <c r="CA192" s="386">
        <f t="shared" si="179"/>
        <v>0</v>
      </c>
      <c r="CB192" s="386">
        <f t="shared" si="180"/>
        <v>0</v>
      </c>
      <c r="CC192" s="386">
        <f t="shared" si="206"/>
        <v>0</v>
      </c>
      <c r="CD192" s="386">
        <f t="shared" si="207"/>
        <v>-146.58758400000019</v>
      </c>
      <c r="CE192" s="386">
        <f t="shared" si="208"/>
        <v>0</v>
      </c>
      <c r="CF192" s="386">
        <f t="shared" si="209"/>
        <v>0</v>
      </c>
      <c r="CG192" s="386">
        <f t="shared" si="210"/>
        <v>0</v>
      </c>
      <c r="CH192" s="386">
        <f t="shared" si="211"/>
        <v>1.9287840000000009</v>
      </c>
      <c r="CI192" s="386">
        <f t="shared" si="212"/>
        <v>0</v>
      </c>
      <c r="CJ192" s="386">
        <f t="shared" si="181"/>
        <v>-144.65880000000018</v>
      </c>
      <c r="CK192" s="386" t="str">
        <f t="shared" si="182"/>
        <v/>
      </c>
      <c r="CL192" s="386" t="str">
        <f t="shared" si="183"/>
        <v/>
      </c>
      <c r="CM192" s="386" t="str">
        <f t="shared" si="184"/>
        <v/>
      </c>
      <c r="CN192" s="386" t="str">
        <f t="shared" si="185"/>
        <v>0480-00</v>
      </c>
    </row>
    <row r="193" spans="1:92" ht="15.75" thickBot="1" x14ac:dyDescent="0.3">
      <c r="A193" s="376" t="s">
        <v>162</v>
      </c>
      <c r="B193" s="376" t="s">
        <v>163</v>
      </c>
      <c r="C193" s="376" t="s">
        <v>262</v>
      </c>
      <c r="D193" s="376" t="s">
        <v>263</v>
      </c>
      <c r="E193" s="376" t="s">
        <v>505</v>
      </c>
      <c r="F193" s="377" t="s">
        <v>167</v>
      </c>
      <c r="G193" s="376" t="s">
        <v>506</v>
      </c>
      <c r="H193" s="378"/>
      <c r="I193" s="378"/>
      <c r="J193" s="376" t="s">
        <v>264</v>
      </c>
      <c r="K193" s="376" t="s">
        <v>265</v>
      </c>
      <c r="L193" s="376" t="s">
        <v>182</v>
      </c>
      <c r="M193" s="376" t="s">
        <v>172</v>
      </c>
      <c r="N193" s="376" t="s">
        <v>173</v>
      </c>
      <c r="O193" s="379">
        <v>1</v>
      </c>
      <c r="P193" s="384">
        <v>0.04</v>
      </c>
      <c r="Q193" s="384">
        <v>0.04</v>
      </c>
      <c r="R193" s="380">
        <v>80</v>
      </c>
      <c r="S193" s="384">
        <v>0.04</v>
      </c>
      <c r="T193" s="380">
        <v>2979.61</v>
      </c>
      <c r="U193" s="380">
        <v>0</v>
      </c>
      <c r="V193" s="380">
        <v>1077.05</v>
      </c>
      <c r="W193" s="380">
        <v>2726.46</v>
      </c>
      <c r="X193" s="380">
        <v>1058.67</v>
      </c>
      <c r="Y193" s="380">
        <v>2726.46</v>
      </c>
      <c r="Z193" s="380">
        <v>1088.23</v>
      </c>
      <c r="AA193" s="376" t="s">
        <v>266</v>
      </c>
      <c r="AB193" s="376" t="s">
        <v>267</v>
      </c>
      <c r="AC193" s="376" t="s">
        <v>268</v>
      </c>
      <c r="AD193" s="376" t="s">
        <v>182</v>
      </c>
      <c r="AE193" s="376" t="s">
        <v>265</v>
      </c>
      <c r="AF193" s="376" t="s">
        <v>178</v>
      </c>
      <c r="AG193" s="376" t="s">
        <v>179</v>
      </c>
      <c r="AH193" s="381">
        <v>32.770000000000003</v>
      </c>
      <c r="AI193" s="379">
        <v>8538</v>
      </c>
      <c r="AJ193" s="376" t="s">
        <v>180</v>
      </c>
      <c r="AK193" s="376" t="s">
        <v>181</v>
      </c>
      <c r="AL193" s="376" t="s">
        <v>182</v>
      </c>
      <c r="AM193" s="376" t="s">
        <v>183</v>
      </c>
      <c r="AN193" s="376" t="s">
        <v>66</v>
      </c>
      <c r="AO193" s="379">
        <v>80</v>
      </c>
      <c r="AP193" s="384">
        <v>1</v>
      </c>
      <c r="AQ193" s="384">
        <v>0.04</v>
      </c>
      <c r="AR193" s="382" t="s">
        <v>184</v>
      </c>
      <c r="AS193" s="386">
        <f t="shared" si="169"/>
        <v>0.04</v>
      </c>
      <c r="AT193">
        <f t="shared" si="170"/>
        <v>1</v>
      </c>
      <c r="AU193" s="386">
        <f>IF(AT193=0,"",IF(AND(AT193=1,M193="F",SUMIF(C2:C201,C193,AS2:AS201)&lt;=1),SUMIF(C2:C201,C193,AS2:AS201),IF(AND(AT193=1,M193="F",SUMIF(C2:C201,C193,AS2:AS201)&gt;1),1,"")))</f>
        <v>1</v>
      </c>
      <c r="AV193" s="386" t="str">
        <f>IF(AT193=0,"",IF(AND(AT193=3,M193="F",SUMIF(C2:C201,C193,AS2:AS201)&lt;=1),SUMIF(C2:C201,C193,AS2:AS201),IF(AND(AT193=3,M193="F",SUMIF(C2:C201,C193,AS2:AS201)&gt;1),1,"")))</f>
        <v/>
      </c>
      <c r="AW193" s="386">
        <f>SUMIF(C2:C201,C193,O2:O201)</f>
        <v>5</v>
      </c>
      <c r="AX193" s="386">
        <f>IF(AND(M193="F",AS193&lt;&gt;0),SUMIF(C2:C201,C193,W2:W201),0)</f>
        <v>68161.590000000011</v>
      </c>
      <c r="AY193" s="386">
        <f t="shared" si="171"/>
        <v>2726.46</v>
      </c>
      <c r="AZ193" s="386" t="str">
        <f t="shared" si="172"/>
        <v/>
      </c>
      <c r="BA193" s="386">
        <f t="shared" si="173"/>
        <v>0</v>
      </c>
      <c r="BB193" s="386">
        <f t="shared" si="186"/>
        <v>500</v>
      </c>
      <c r="BC193" s="386">
        <f t="shared" si="187"/>
        <v>0</v>
      </c>
      <c r="BD193" s="386">
        <f t="shared" si="188"/>
        <v>169.04052000000001</v>
      </c>
      <c r="BE193" s="386">
        <f t="shared" si="189"/>
        <v>39.533670000000001</v>
      </c>
      <c r="BF193" s="386">
        <f t="shared" si="190"/>
        <v>325.53932400000002</v>
      </c>
      <c r="BG193" s="386">
        <f t="shared" si="191"/>
        <v>19.657776600000002</v>
      </c>
      <c r="BH193" s="386">
        <f t="shared" si="192"/>
        <v>0</v>
      </c>
      <c r="BI193" s="386">
        <f t="shared" si="193"/>
        <v>0</v>
      </c>
      <c r="BJ193" s="386">
        <f t="shared" si="194"/>
        <v>4.9076279999999999</v>
      </c>
      <c r="BK193" s="386">
        <f t="shared" si="195"/>
        <v>0</v>
      </c>
      <c r="BL193" s="386">
        <f t="shared" si="174"/>
        <v>558.67891860000009</v>
      </c>
      <c r="BM193" s="386">
        <f t="shared" si="175"/>
        <v>0</v>
      </c>
      <c r="BN193" s="386">
        <f t="shared" si="196"/>
        <v>550</v>
      </c>
      <c r="BO193" s="386">
        <f t="shared" si="197"/>
        <v>0</v>
      </c>
      <c r="BP193" s="386">
        <f t="shared" si="198"/>
        <v>169.04052000000001</v>
      </c>
      <c r="BQ193" s="386">
        <f t="shared" si="199"/>
        <v>39.533670000000001</v>
      </c>
      <c r="BR193" s="386">
        <f t="shared" si="200"/>
        <v>304.81822799999998</v>
      </c>
      <c r="BS193" s="386">
        <f t="shared" si="201"/>
        <v>19.657776600000002</v>
      </c>
      <c r="BT193" s="386">
        <f t="shared" si="202"/>
        <v>0</v>
      </c>
      <c r="BU193" s="386">
        <f t="shared" si="203"/>
        <v>0</v>
      </c>
      <c r="BV193" s="386">
        <f t="shared" si="204"/>
        <v>5.1802739999999998</v>
      </c>
      <c r="BW193" s="386">
        <f t="shared" si="205"/>
        <v>0</v>
      </c>
      <c r="BX193" s="386">
        <f t="shared" si="176"/>
        <v>538.23046860000011</v>
      </c>
      <c r="BY193" s="386">
        <f t="shared" si="177"/>
        <v>0</v>
      </c>
      <c r="BZ193" s="386">
        <f t="shared" si="178"/>
        <v>50</v>
      </c>
      <c r="CA193" s="386">
        <f t="shared" si="179"/>
        <v>0</v>
      </c>
      <c r="CB193" s="386">
        <f t="shared" si="180"/>
        <v>0</v>
      </c>
      <c r="CC193" s="386">
        <f t="shared" si="206"/>
        <v>0</v>
      </c>
      <c r="CD193" s="386">
        <f t="shared" si="207"/>
        <v>-20.721096000000028</v>
      </c>
      <c r="CE193" s="386">
        <f t="shared" si="208"/>
        <v>0</v>
      </c>
      <c r="CF193" s="386">
        <f t="shared" si="209"/>
        <v>0</v>
      </c>
      <c r="CG193" s="386">
        <f t="shared" si="210"/>
        <v>0</v>
      </c>
      <c r="CH193" s="386">
        <f t="shared" si="211"/>
        <v>0.27264600000000011</v>
      </c>
      <c r="CI193" s="386">
        <f t="shared" si="212"/>
        <v>0</v>
      </c>
      <c r="CJ193" s="386">
        <f t="shared" si="181"/>
        <v>-20.448450000000026</v>
      </c>
      <c r="CK193" s="386" t="str">
        <f t="shared" si="182"/>
        <v/>
      </c>
      <c r="CL193" s="386" t="str">
        <f t="shared" si="183"/>
        <v/>
      </c>
      <c r="CM193" s="386" t="str">
        <f t="shared" si="184"/>
        <v/>
      </c>
      <c r="CN193" s="386" t="str">
        <f t="shared" si="185"/>
        <v>0480-00</v>
      </c>
    </row>
    <row r="194" spans="1:92" ht="15.75" thickBot="1" x14ac:dyDescent="0.3">
      <c r="A194" s="376" t="s">
        <v>162</v>
      </c>
      <c r="B194" s="376" t="s">
        <v>163</v>
      </c>
      <c r="C194" s="376" t="s">
        <v>269</v>
      </c>
      <c r="D194" s="376" t="s">
        <v>270</v>
      </c>
      <c r="E194" s="376" t="s">
        <v>505</v>
      </c>
      <c r="F194" s="377" t="s">
        <v>167</v>
      </c>
      <c r="G194" s="376" t="s">
        <v>506</v>
      </c>
      <c r="H194" s="378"/>
      <c r="I194" s="378"/>
      <c r="J194" s="376" t="s">
        <v>220</v>
      </c>
      <c r="K194" s="376" t="s">
        <v>271</v>
      </c>
      <c r="L194" s="376" t="s">
        <v>167</v>
      </c>
      <c r="M194" s="376" t="s">
        <v>172</v>
      </c>
      <c r="N194" s="376" t="s">
        <v>173</v>
      </c>
      <c r="O194" s="379">
        <v>1</v>
      </c>
      <c r="P194" s="384">
        <v>0.55000000000000004</v>
      </c>
      <c r="Q194" s="384">
        <v>0.55000000000000004</v>
      </c>
      <c r="R194" s="380">
        <v>80</v>
      </c>
      <c r="S194" s="384">
        <v>0.55000000000000004</v>
      </c>
      <c r="T194" s="380">
        <v>69692.61</v>
      </c>
      <c r="U194" s="380">
        <v>0</v>
      </c>
      <c r="V194" s="380">
        <v>20734.04</v>
      </c>
      <c r="W194" s="380">
        <v>73353.279999999999</v>
      </c>
      <c r="X194" s="380">
        <v>21905.8</v>
      </c>
      <c r="Y194" s="380">
        <v>73353.279999999999</v>
      </c>
      <c r="Z194" s="380">
        <v>22043.15</v>
      </c>
      <c r="AA194" s="376" t="s">
        <v>272</v>
      </c>
      <c r="AB194" s="376" t="s">
        <v>273</v>
      </c>
      <c r="AC194" s="376" t="s">
        <v>274</v>
      </c>
      <c r="AD194" s="376" t="s">
        <v>275</v>
      </c>
      <c r="AE194" s="376" t="s">
        <v>271</v>
      </c>
      <c r="AF194" s="376" t="s">
        <v>178</v>
      </c>
      <c r="AG194" s="376" t="s">
        <v>179</v>
      </c>
      <c r="AH194" s="381">
        <v>64.12</v>
      </c>
      <c r="AI194" s="381">
        <v>43348.5</v>
      </c>
      <c r="AJ194" s="376" t="s">
        <v>180</v>
      </c>
      <c r="AK194" s="376" t="s">
        <v>181</v>
      </c>
      <c r="AL194" s="376" t="s">
        <v>182</v>
      </c>
      <c r="AM194" s="376" t="s">
        <v>183</v>
      </c>
      <c r="AN194" s="376" t="s">
        <v>66</v>
      </c>
      <c r="AO194" s="379">
        <v>80</v>
      </c>
      <c r="AP194" s="384">
        <v>1</v>
      </c>
      <c r="AQ194" s="384">
        <v>0.55000000000000004</v>
      </c>
      <c r="AR194" s="382" t="s">
        <v>184</v>
      </c>
      <c r="AS194" s="386">
        <f t="shared" si="169"/>
        <v>0.55000000000000004</v>
      </c>
      <c r="AT194">
        <f t="shared" si="170"/>
        <v>1</v>
      </c>
      <c r="AU194" s="386">
        <f>IF(AT194=0,"",IF(AND(AT194=1,M194="F",SUMIF(C2:C201,C194,AS2:AS201)&lt;=1),SUMIF(C2:C201,C194,AS2:AS201),IF(AND(AT194=1,M194="F",SUMIF(C2:C201,C194,AS2:AS201)&gt;1),1,"")))</f>
        <v>1</v>
      </c>
      <c r="AV194" s="386" t="str">
        <f>IF(AT194=0,"",IF(AND(AT194=3,M194="F",SUMIF(C2:C201,C194,AS2:AS201)&lt;=1),SUMIF(C2:C201,C194,AS2:AS201),IF(AND(AT194=3,M194="F",SUMIF(C2:C201,C194,AS2:AS201)&gt;1),1,"")))</f>
        <v/>
      </c>
      <c r="AW194" s="386">
        <f>SUMIF(C2:C201,C194,O2:O201)</f>
        <v>4</v>
      </c>
      <c r="AX194" s="386">
        <f>IF(AND(M194="F",AS194&lt;&gt;0),SUMIF(C2:C201,C194,W2:W201),0)</f>
        <v>133369.59999999998</v>
      </c>
      <c r="AY194" s="386">
        <f t="shared" si="171"/>
        <v>73353.279999999999</v>
      </c>
      <c r="AZ194" s="386" t="str">
        <f t="shared" si="172"/>
        <v/>
      </c>
      <c r="BA194" s="386">
        <f t="shared" si="173"/>
        <v>0</v>
      </c>
      <c r="BB194" s="386">
        <f t="shared" ref="BB194:BB201" si="213">IF(AND(AT194=1,AK194="E",AU194&gt;=0.75,AW194=1),Health,IF(AND(AT194=1,AK194="E",AU194&gt;=0.75),Health*P194,IF(AND(AT194=1,AK194="E",AU194&gt;=0.5,AW194=1),PTHealth,IF(AND(AT194=1,AK194="E",AU194&gt;=0.5),PTHealth*P194,0))))</f>
        <v>6875.0000000000009</v>
      </c>
      <c r="BC194" s="386">
        <f t="shared" ref="BC194:BC201" si="214">IF(AND(AT194=3,AK194="E",AV194&gt;=0.75,AW194=1),Health,IF(AND(AT194=3,AK194="E",AV194&gt;=0.75),Health*P194,IF(AND(AT194=3,AK194="E",AV194&gt;=0.5,AW194=1),PTHealth,IF(AND(AT194=3,AK194="E",AV194&gt;=0.5),PTHealth*P194,0))))</f>
        <v>0</v>
      </c>
      <c r="BD194" s="386">
        <f t="shared" ref="BD194:BD201" si="215">IF(AND(AT194&lt;&gt;0,AX194&gt;=MAXSSDI),SSDI*MAXSSDI*P194,IF(AT194&lt;&gt;0,SSDI*W194,0))</f>
        <v>4547.9033600000002</v>
      </c>
      <c r="BE194" s="386">
        <f t="shared" ref="BE194:BE201" si="216">IF(AT194&lt;&gt;0,SSHI*W194,0)</f>
        <v>1063.62256</v>
      </c>
      <c r="BF194" s="386">
        <f t="shared" ref="BF194:BF201" si="217">IF(AND(AT194&lt;&gt;0,AN194&lt;&gt;"NE"),VLOOKUP(AN194,Retirement_Rates,3,FALSE)*W194,0)</f>
        <v>8758.3816320000005</v>
      </c>
      <c r="BG194" s="386">
        <f t="shared" ref="BG194:BG201" si="218">IF(AND(AT194&lt;&gt;0,AJ194&lt;&gt;"PF"),Life*W194,0)</f>
        <v>528.87714879999999</v>
      </c>
      <c r="BH194" s="386">
        <f t="shared" ref="BH194:BH201" si="219">IF(AND(AT194&lt;&gt;0,AM194="Y"),UI*W194,0)</f>
        <v>0</v>
      </c>
      <c r="BI194" s="386">
        <f t="shared" ref="BI194:BI201" si="220">IF(AND(AT194&lt;&gt;0,N194&lt;&gt;"NR"),DHR*W194,0)</f>
        <v>0</v>
      </c>
      <c r="BJ194" s="386">
        <f t="shared" ref="BJ194:BJ201" si="221">IF(AT194&lt;&gt;0,WC*W194,0)</f>
        <v>132.03590399999999</v>
      </c>
      <c r="BK194" s="386">
        <f t="shared" ref="BK194:BK201" si="222">IF(OR(AND(AT194&lt;&gt;0,AJ194&lt;&gt;"PF",AN194&lt;&gt;"NE",AG194&lt;&gt;"A"),AND(AL194="E",OR(AT194=1,AT194=3))),Sick*W194,0)</f>
        <v>0</v>
      </c>
      <c r="BL194" s="386">
        <f t="shared" si="174"/>
        <v>15030.820604800001</v>
      </c>
      <c r="BM194" s="386">
        <f t="shared" si="175"/>
        <v>0</v>
      </c>
      <c r="BN194" s="386">
        <f t="shared" ref="BN194:BN201" si="223">IF(AND(AT194=1,AK194="E",AU194&gt;=0.75,AW194=1),HealthBY,IF(AND(AT194=1,AK194="E",AU194&gt;=0.75),HealthBY*P194,IF(AND(AT194=1,AK194="E",AU194&gt;=0.5,AW194=1),PTHealthBY,IF(AND(AT194=1,AK194="E",AU194&gt;=0.5),PTHealthBY*P194,0))))</f>
        <v>7562.5000000000009</v>
      </c>
      <c r="BO194" s="386">
        <f t="shared" ref="BO194:BO201" si="224">IF(AND(AT194=3,AK194="E",AV194&gt;=0.75,AW194=1),HealthBY,IF(AND(AT194=3,AK194="E",AV194&gt;=0.75),HealthBY*P194,IF(AND(AT194=3,AK194="E",AV194&gt;=0.5,AW194=1),PTHealthBY,IF(AND(AT194=3,AK194="E",AV194&gt;=0.5),PTHealthBY*P194,0))))</f>
        <v>0</v>
      </c>
      <c r="BP194" s="386">
        <f t="shared" ref="BP194:BP201" si="225">IF(AND(AT194&lt;&gt;0,(AX194+BA194)&gt;=MAXSSDIBY),SSDIBY*MAXSSDIBY*P194,IF(AT194&lt;&gt;0,SSDIBY*W194,0))</f>
        <v>4547.9033600000002</v>
      </c>
      <c r="BQ194" s="386">
        <f t="shared" ref="BQ194:BQ201" si="226">IF(AT194&lt;&gt;0,SSHIBY*W194,0)</f>
        <v>1063.62256</v>
      </c>
      <c r="BR194" s="386">
        <f t="shared" ref="BR194:BR201" si="227">IF(AND(AT194&lt;&gt;0,AN194&lt;&gt;"NE"),VLOOKUP(AN194,Retirement_Rates,4,FALSE)*W194,0)</f>
        <v>8200.8967039999989</v>
      </c>
      <c r="BS194" s="386">
        <f t="shared" ref="BS194:BS201" si="228">IF(AND(AT194&lt;&gt;0,AJ194&lt;&gt;"PF"),LifeBY*W194,0)</f>
        <v>528.87714879999999</v>
      </c>
      <c r="BT194" s="386">
        <f t="shared" ref="BT194:BT201" si="229">IF(AND(AT194&lt;&gt;0,AM194="Y"),UIBY*W194,0)</f>
        <v>0</v>
      </c>
      <c r="BU194" s="386">
        <f t="shared" ref="BU194:BU201" si="230">IF(AND(AT194&lt;&gt;0,N194&lt;&gt;"NR"),DHRBY*W194,0)</f>
        <v>0</v>
      </c>
      <c r="BV194" s="386">
        <f t="shared" ref="BV194:BV201" si="231">IF(AT194&lt;&gt;0,WCBY*W194,0)</f>
        <v>139.37123199999999</v>
      </c>
      <c r="BW194" s="386">
        <f t="shared" ref="BW194:BW201" si="232">IF(OR(AND(AT194&lt;&gt;0,AJ194&lt;&gt;"PF",AN194&lt;&gt;"NE",AG194&lt;&gt;"A"),AND(AL194="E",OR(AT194=1,AT194=3))),SickBY*W194,0)</f>
        <v>0</v>
      </c>
      <c r="BX194" s="386">
        <f t="shared" si="176"/>
        <v>14480.671004799999</v>
      </c>
      <c r="BY194" s="386">
        <f t="shared" si="177"/>
        <v>0</v>
      </c>
      <c r="BZ194" s="386">
        <f t="shared" si="178"/>
        <v>687.5</v>
      </c>
      <c r="CA194" s="386">
        <f t="shared" si="179"/>
        <v>0</v>
      </c>
      <c r="CB194" s="386">
        <f t="shared" si="180"/>
        <v>0</v>
      </c>
      <c r="CC194" s="386">
        <f t="shared" ref="CC194:CC201" si="233">IF(AT194&lt;&gt;0,SSHICHG*Y194,0)</f>
        <v>0</v>
      </c>
      <c r="CD194" s="386">
        <f t="shared" ref="CD194:CD201" si="234">IF(AND(AT194&lt;&gt;0,AN194&lt;&gt;"NE"),VLOOKUP(AN194,Retirement_Rates,5,FALSE)*Y194,0)</f>
        <v>-557.48492800000065</v>
      </c>
      <c r="CE194" s="386">
        <f t="shared" ref="CE194:CE201" si="235">IF(AND(AT194&lt;&gt;0,AJ194&lt;&gt;"PF"),LifeCHG*Y194,0)</f>
        <v>0</v>
      </c>
      <c r="CF194" s="386">
        <f t="shared" ref="CF194:CF201" si="236">IF(AND(AT194&lt;&gt;0,AM194="Y"),UICHG*Y194,0)</f>
        <v>0</v>
      </c>
      <c r="CG194" s="386">
        <f t="shared" ref="CG194:CG201" si="237">IF(AND(AT194&lt;&gt;0,N194&lt;&gt;"NR"),DHRCHG*Y194,0)</f>
        <v>0</v>
      </c>
      <c r="CH194" s="386">
        <f t="shared" ref="CH194:CH201" si="238">IF(AT194&lt;&gt;0,WCCHG*Y194,0)</f>
        <v>7.3353280000000032</v>
      </c>
      <c r="CI194" s="386">
        <f t="shared" ref="CI194:CI201" si="239">IF(OR(AND(AT194&lt;&gt;0,AJ194&lt;&gt;"PF",AN194&lt;&gt;"NE",AG194&lt;&gt;"A"),AND(AL194="E",OR(AT194=1,AT194=3))),SickCHG*Y194,0)</f>
        <v>0</v>
      </c>
      <c r="CJ194" s="386">
        <f t="shared" si="181"/>
        <v>-550.14960000000065</v>
      </c>
      <c r="CK194" s="386" t="str">
        <f t="shared" si="182"/>
        <v/>
      </c>
      <c r="CL194" s="386" t="str">
        <f t="shared" si="183"/>
        <v/>
      </c>
      <c r="CM194" s="386" t="str">
        <f t="shared" si="184"/>
        <v/>
      </c>
      <c r="CN194" s="386" t="str">
        <f t="shared" si="185"/>
        <v>0480-00</v>
      </c>
    </row>
    <row r="195" spans="1:92" ht="15.75" thickBot="1" x14ac:dyDescent="0.3">
      <c r="A195" s="376" t="s">
        <v>162</v>
      </c>
      <c r="B195" s="376" t="s">
        <v>163</v>
      </c>
      <c r="C195" s="376" t="s">
        <v>696</v>
      </c>
      <c r="D195" s="376" t="s">
        <v>551</v>
      </c>
      <c r="E195" s="376" t="s">
        <v>505</v>
      </c>
      <c r="F195" s="377" t="s">
        <v>167</v>
      </c>
      <c r="G195" s="376" t="s">
        <v>506</v>
      </c>
      <c r="H195" s="378"/>
      <c r="I195" s="378"/>
      <c r="J195" s="376" t="s">
        <v>169</v>
      </c>
      <c r="K195" s="376" t="s">
        <v>636</v>
      </c>
      <c r="L195" s="376" t="s">
        <v>198</v>
      </c>
      <c r="M195" s="376" t="s">
        <v>255</v>
      </c>
      <c r="N195" s="376" t="s">
        <v>173</v>
      </c>
      <c r="O195" s="379">
        <v>0</v>
      </c>
      <c r="P195" s="384">
        <v>1</v>
      </c>
      <c r="Q195" s="384">
        <v>1</v>
      </c>
      <c r="R195" s="380">
        <v>80</v>
      </c>
      <c r="S195" s="384">
        <v>1</v>
      </c>
      <c r="T195" s="380">
        <v>0</v>
      </c>
      <c r="U195" s="380">
        <v>0</v>
      </c>
      <c r="V195" s="380">
        <v>0</v>
      </c>
      <c r="W195" s="380">
        <v>59300.800000000003</v>
      </c>
      <c r="X195" s="380">
        <v>26685.360000000001</v>
      </c>
      <c r="Y195" s="380">
        <v>59300.800000000003</v>
      </c>
      <c r="Z195" s="380">
        <v>27634.17</v>
      </c>
      <c r="AA195" s="378"/>
      <c r="AB195" s="376" t="s">
        <v>45</v>
      </c>
      <c r="AC195" s="376" t="s">
        <v>45</v>
      </c>
      <c r="AD195" s="378"/>
      <c r="AE195" s="378"/>
      <c r="AF195" s="378"/>
      <c r="AG195" s="378"/>
      <c r="AH195" s="379">
        <v>0</v>
      </c>
      <c r="AI195" s="379">
        <v>0</v>
      </c>
      <c r="AJ195" s="378"/>
      <c r="AK195" s="378"/>
      <c r="AL195" s="376" t="s">
        <v>182</v>
      </c>
      <c r="AM195" s="378"/>
      <c r="AN195" s="378"/>
      <c r="AO195" s="379">
        <v>0</v>
      </c>
      <c r="AP195" s="384">
        <v>0</v>
      </c>
      <c r="AQ195" s="384">
        <v>0</v>
      </c>
      <c r="AR195" s="383"/>
      <c r="AS195" s="386">
        <f t="shared" ref="AS195:AS201" si="240">IF(((AO195/80)*AP195*P195)&gt;1,AQ195,((AO195/80)*AP195*P195))</f>
        <v>0</v>
      </c>
      <c r="AT195">
        <f t="shared" ref="AT195:AT201" si="241">IF(AND(M195="F",N195&lt;&gt;"NG",AS195&lt;&gt;0,AND(AR195&lt;&gt;6,AR195&lt;&gt;36,AR195&lt;&gt;56),AG195&lt;&gt;"A",OR(AG195="H",AJ195="FS")),1,IF(AND(M195="F",N195&lt;&gt;"NG",AS195&lt;&gt;0,AG195="A"),3,0))</f>
        <v>0</v>
      </c>
      <c r="AU195" s="386" t="str">
        <f>IF(AT195=0,"",IF(AND(AT195=1,M195="F",SUMIF(C2:C201,C195,AS2:AS201)&lt;=1),SUMIF(C2:C201,C195,AS2:AS201),IF(AND(AT195=1,M195="F",SUMIF(C2:C201,C195,AS2:AS201)&gt;1),1,"")))</f>
        <v/>
      </c>
      <c r="AV195" s="386" t="str">
        <f>IF(AT195=0,"",IF(AND(AT195=3,M195="F",SUMIF(C2:C201,C195,AS2:AS201)&lt;=1),SUMIF(C2:C201,C195,AS2:AS201),IF(AND(AT195=3,M195="F",SUMIF(C2:C201,C195,AS2:AS201)&gt;1),1,"")))</f>
        <v/>
      </c>
      <c r="AW195" s="386">
        <f>SUMIF(C2:C201,C195,O2:O201)</f>
        <v>0</v>
      </c>
      <c r="AX195" s="386">
        <f>IF(AND(M195="F",AS195&lt;&gt;0),SUMIF(C2:C201,C195,W2:W201),0)</f>
        <v>0</v>
      </c>
      <c r="AY195" s="386" t="str">
        <f t="shared" ref="AY195:AY201" si="242">IF(AT195=1,W195,"")</f>
        <v/>
      </c>
      <c r="AZ195" s="386" t="str">
        <f t="shared" ref="AZ195:AZ201" si="243">IF(AT195=3,W195,"")</f>
        <v/>
      </c>
      <c r="BA195" s="386">
        <f t="shared" ref="BA195:BA201" si="244">IF(AT195=1,Y195-W195,0)</f>
        <v>0</v>
      </c>
      <c r="BB195" s="386">
        <f t="shared" si="213"/>
        <v>0</v>
      </c>
      <c r="BC195" s="386">
        <f t="shared" si="214"/>
        <v>0</v>
      </c>
      <c r="BD195" s="386">
        <f t="shared" si="215"/>
        <v>0</v>
      </c>
      <c r="BE195" s="386">
        <f t="shared" si="216"/>
        <v>0</v>
      </c>
      <c r="BF195" s="386">
        <f t="shared" si="217"/>
        <v>0</v>
      </c>
      <c r="BG195" s="386">
        <f t="shared" si="218"/>
        <v>0</v>
      </c>
      <c r="BH195" s="386">
        <f t="shared" si="219"/>
        <v>0</v>
      </c>
      <c r="BI195" s="386">
        <f t="shared" si="220"/>
        <v>0</v>
      </c>
      <c r="BJ195" s="386">
        <f t="shared" si="221"/>
        <v>0</v>
      </c>
      <c r="BK195" s="386">
        <f t="shared" si="222"/>
        <v>0</v>
      </c>
      <c r="BL195" s="386">
        <f t="shared" ref="BL195:BL201" si="245">IF(AT195=1,SUM(BD195:BK195),0)</f>
        <v>0</v>
      </c>
      <c r="BM195" s="386">
        <f t="shared" ref="BM195:BM201" si="246">IF(AT195=3,SUM(BD195:BK195),0)</f>
        <v>0</v>
      </c>
      <c r="BN195" s="386">
        <f t="shared" si="223"/>
        <v>0</v>
      </c>
      <c r="BO195" s="386">
        <f t="shared" si="224"/>
        <v>0</v>
      </c>
      <c r="BP195" s="386">
        <f t="shared" si="225"/>
        <v>0</v>
      </c>
      <c r="BQ195" s="386">
        <f t="shared" si="226"/>
        <v>0</v>
      </c>
      <c r="BR195" s="386">
        <f t="shared" si="227"/>
        <v>0</v>
      </c>
      <c r="BS195" s="386">
        <f t="shared" si="228"/>
        <v>0</v>
      </c>
      <c r="BT195" s="386">
        <f t="shared" si="229"/>
        <v>0</v>
      </c>
      <c r="BU195" s="386">
        <f t="shared" si="230"/>
        <v>0</v>
      </c>
      <c r="BV195" s="386">
        <f t="shared" si="231"/>
        <v>0</v>
      </c>
      <c r="BW195" s="386">
        <f t="shared" si="232"/>
        <v>0</v>
      </c>
      <c r="BX195" s="386">
        <f t="shared" ref="BX195:BX201" si="247">IF(AT195=1,SUM(BP195:BW195),0)</f>
        <v>0</v>
      </c>
      <c r="BY195" s="386">
        <f t="shared" ref="BY195:BY201" si="248">IF(AT195=3,SUM(BP195:BW195),0)</f>
        <v>0</v>
      </c>
      <c r="BZ195" s="386">
        <f t="shared" ref="BZ195:BZ201" si="249">IF(AT195=1,BN195-BB195,0)</f>
        <v>0</v>
      </c>
      <c r="CA195" s="386">
        <f t="shared" ref="CA195:CA201" si="250">IF(AT195=3,BO195-BC195,0)</f>
        <v>0</v>
      </c>
      <c r="CB195" s="386">
        <f t="shared" ref="CB195:CB201" si="251">BP195-BD195</f>
        <v>0</v>
      </c>
      <c r="CC195" s="386">
        <f t="shared" si="233"/>
        <v>0</v>
      </c>
      <c r="CD195" s="386">
        <f t="shared" si="234"/>
        <v>0</v>
      </c>
      <c r="CE195" s="386">
        <f t="shared" si="235"/>
        <v>0</v>
      </c>
      <c r="CF195" s="386">
        <f t="shared" si="236"/>
        <v>0</v>
      </c>
      <c r="CG195" s="386">
        <f t="shared" si="237"/>
        <v>0</v>
      </c>
      <c r="CH195" s="386">
        <f t="shared" si="238"/>
        <v>0</v>
      </c>
      <c r="CI195" s="386">
        <f t="shared" si="239"/>
        <v>0</v>
      </c>
      <c r="CJ195" s="386">
        <f t="shared" ref="CJ195:CJ201" si="252">IF(AT195=1,SUM(CB195:CI195),0)</f>
        <v>0</v>
      </c>
      <c r="CK195" s="386" t="str">
        <f t="shared" ref="CK195:CK201" si="253">IF(AT195=3,SUM(CB195:CI195),"")</f>
        <v/>
      </c>
      <c r="CL195" s="386" t="str">
        <f t="shared" ref="CL195:CL201" si="254">IF(OR(N195="NG",AG195="D"),(T195+U195),"")</f>
        <v/>
      </c>
      <c r="CM195" s="386" t="str">
        <f t="shared" ref="CM195:CM201" si="255">IF(OR(N195="NG",AG195="D"),V195,"")</f>
        <v/>
      </c>
      <c r="CN195" s="386" t="str">
        <f t="shared" ref="CN195:CN201" si="256">E195 &amp; "-" &amp; F195</f>
        <v>0480-00</v>
      </c>
    </row>
    <row r="196" spans="1:92" ht="15.75" thickBot="1" x14ac:dyDescent="0.3">
      <c r="A196" s="376" t="s">
        <v>162</v>
      </c>
      <c r="B196" s="376" t="s">
        <v>163</v>
      </c>
      <c r="C196" s="376" t="s">
        <v>697</v>
      </c>
      <c r="D196" s="376" t="s">
        <v>698</v>
      </c>
      <c r="E196" s="376" t="s">
        <v>505</v>
      </c>
      <c r="F196" s="377" t="s">
        <v>167</v>
      </c>
      <c r="G196" s="376" t="s">
        <v>506</v>
      </c>
      <c r="H196" s="378"/>
      <c r="I196" s="378"/>
      <c r="J196" s="376" t="s">
        <v>169</v>
      </c>
      <c r="K196" s="376" t="s">
        <v>699</v>
      </c>
      <c r="L196" s="376" t="s">
        <v>700</v>
      </c>
      <c r="M196" s="376" t="s">
        <v>172</v>
      </c>
      <c r="N196" s="376" t="s">
        <v>173</v>
      </c>
      <c r="O196" s="379">
        <v>1</v>
      </c>
      <c r="P196" s="384">
        <v>1</v>
      </c>
      <c r="Q196" s="384">
        <v>1</v>
      </c>
      <c r="R196" s="380">
        <v>80</v>
      </c>
      <c r="S196" s="384">
        <v>1</v>
      </c>
      <c r="T196" s="380">
        <v>48198.91</v>
      </c>
      <c r="U196" s="380">
        <v>0</v>
      </c>
      <c r="V196" s="380">
        <v>21700.2</v>
      </c>
      <c r="W196" s="380">
        <v>47590.400000000001</v>
      </c>
      <c r="X196" s="380">
        <v>22251.73</v>
      </c>
      <c r="Y196" s="380">
        <v>47590.400000000001</v>
      </c>
      <c r="Z196" s="380">
        <v>23144.799999999999</v>
      </c>
      <c r="AA196" s="376" t="s">
        <v>701</v>
      </c>
      <c r="AB196" s="376" t="s">
        <v>702</v>
      </c>
      <c r="AC196" s="376" t="s">
        <v>703</v>
      </c>
      <c r="AD196" s="376" t="s">
        <v>311</v>
      </c>
      <c r="AE196" s="376" t="s">
        <v>699</v>
      </c>
      <c r="AF196" s="376" t="s">
        <v>178</v>
      </c>
      <c r="AG196" s="376" t="s">
        <v>179</v>
      </c>
      <c r="AH196" s="381">
        <v>22.88</v>
      </c>
      <c r="AI196" s="381">
        <v>9520.7999999999993</v>
      </c>
      <c r="AJ196" s="376" t="s">
        <v>180</v>
      </c>
      <c r="AK196" s="376" t="s">
        <v>181</v>
      </c>
      <c r="AL196" s="376" t="s">
        <v>182</v>
      </c>
      <c r="AM196" s="376" t="s">
        <v>183</v>
      </c>
      <c r="AN196" s="376" t="s">
        <v>66</v>
      </c>
      <c r="AO196" s="379">
        <v>80</v>
      </c>
      <c r="AP196" s="384">
        <v>1</v>
      </c>
      <c r="AQ196" s="384">
        <v>1</v>
      </c>
      <c r="AR196" s="382" t="s">
        <v>184</v>
      </c>
      <c r="AS196" s="386">
        <f t="shared" si="240"/>
        <v>1</v>
      </c>
      <c r="AT196">
        <f t="shared" si="241"/>
        <v>1</v>
      </c>
      <c r="AU196" s="386">
        <f>IF(AT196=0,"",IF(AND(AT196=1,M196="F",SUMIF(C2:C201,C196,AS2:AS201)&lt;=1),SUMIF(C2:C201,C196,AS2:AS201),IF(AND(AT196=1,M196="F",SUMIF(C2:C201,C196,AS2:AS201)&gt;1),1,"")))</f>
        <v>1</v>
      </c>
      <c r="AV196" s="386" t="str">
        <f>IF(AT196=0,"",IF(AND(AT196=3,M196="F",SUMIF(C2:C201,C196,AS2:AS201)&lt;=1),SUMIF(C2:C201,C196,AS2:AS201),IF(AND(AT196=3,M196="F",SUMIF(C2:C201,C196,AS2:AS201)&gt;1),1,"")))</f>
        <v/>
      </c>
      <c r="AW196" s="386">
        <f>SUMIF(C2:C201,C196,O2:O201)</f>
        <v>1</v>
      </c>
      <c r="AX196" s="386">
        <f>IF(AND(M196="F",AS196&lt;&gt;0),SUMIF(C2:C201,C196,W2:W201),0)</f>
        <v>47590.400000000001</v>
      </c>
      <c r="AY196" s="386">
        <f t="shared" si="242"/>
        <v>47590.400000000001</v>
      </c>
      <c r="AZ196" s="386" t="str">
        <f t="shared" si="243"/>
        <v/>
      </c>
      <c r="BA196" s="386">
        <f t="shared" si="244"/>
        <v>0</v>
      </c>
      <c r="BB196" s="386">
        <f t="shared" si="213"/>
        <v>12500</v>
      </c>
      <c r="BC196" s="386">
        <f t="shared" si="214"/>
        <v>0</v>
      </c>
      <c r="BD196" s="386">
        <f t="shared" si="215"/>
        <v>2950.6048000000001</v>
      </c>
      <c r="BE196" s="386">
        <f t="shared" si="216"/>
        <v>690.06080000000009</v>
      </c>
      <c r="BF196" s="386">
        <f t="shared" si="217"/>
        <v>5682.2937600000005</v>
      </c>
      <c r="BG196" s="386">
        <f t="shared" si="218"/>
        <v>343.12678400000004</v>
      </c>
      <c r="BH196" s="386">
        <f t="shared" si="219"/>
        <v>0</v>
      </c>
      <c r="BI196" s="386">
        <f t="shared" si="220"/>
        <v>0</v>
      </c>
      <c r="BJ196" s="386">
        <f t="shared" si="221"/>
        <v>85.662720000000007</v>
      </c>
      <c r="BK196" s="386">
        <f t="shared" si="222"/>
        <v>0</v>
      </c>
      <c r="BL196" s="386">
        <f t="shared" si="245"/>
        <v>9751.748864000001</v>
      </c>
      <c r="BM196" s="386">
        <f t="shared" si="246"/>
        <v>0</v>
      </c>
      <c r="BN196" s="386">
        <f t="shared" si="223"/>
        <v>13750</v>
      </c>
      <c r="BO196" s="386">
        <f t="shared" si="224"/>
        <v>0</v>
      </c>
      <c r="BP196" s="386">
        <f t="shared" si="225"/>
        <v>2950.6048000000001</v>
      </c>
      <c r="BQ196" s="386">
        <f t="shared" si="226"/>
        <v>690.06080000000009</v>
      </c>
      <c r="BR196" s="386">
        <f t="shared" si="227"/>
        <v>5320.6067199999998</v>
      </c>
      <c r="BS196" s="386">
        <f t="shared" si="228"/>
        <v>343.12678400000004</v>
      </c>
      <c r="BT196" s="386">
        <f t="shared" si="229"/>
        <v>0</v>
      </c>
      <c r="BU196" s="386">
        <f t="shared" si="230"/>
        <v>0</v>
      </c>
      <c r="BV196" s="386">
        <f t="shared" si="231"/>
        <v>90.421760000000006</v>
      </c>
      <c r="BW196" s="386">
        <f t="shared" si="232"/>
        <v>0</v>
      </c>
      <c r="BX196" s="386">
        <f t="shared" si="247"/>
        <v>9394.8208639999993</v>
      </c>
      <c r="BY196" s="386">
        <f t="shared" si="248"/>
        <v>0</v>
      </c>
      <c r="BZ196" s="386">
        <f t="shared" si="249"/>
        <v>1250</v>
      </c>
      <c r="CA196" s="386">
        <f t="shared" si="250"/>
        <v>0</v>
      </c>
      <c r="CB196" s="386">
        <f t="shared" si="251"/>
        <v>0</v>
      </c>
      <c r="CC196" s="386">
        <f t="shared" si="233"/>
        <v>0</v>
      </c>
      <c r="CD196" s="386">
        <f t="shared" si="234"/>
        <v>-361.68704000000048</v>
      </c>
      <c r="CE196" s="386">
        <f t="shared" si="235"/>
        <v>0</v>
      </c>
      <c r="CF196" s="386">
        <f t="shared" si="236"/>
        <v>0</v>
      </c>
      <c r="CG196" s="386">
        <f t="shared" si="237"/>
        <v>0</v>
      </c>
      <c r="CH196" s="386">
        <f t="shared" si="238"/>
        <v>4.7590400000000024</v>
      </c>
      <c r="CI196" s="386">
        <f t="shared" si="239"/>
        <v>0</v>
      </c>
      <c r="CJ196" s="386">
        <f t="shared" si="252"/>
        <v>-356.92800000000045</v>
      </c>
      <c r="CK196" s="386" t="str">
        <f t="shared" si="253"/>
        <v/>
      </c>
      <c r="CL196" s="386" t="str">
        <f t="shared" si="254"/>
        <v/>
      </c>
      <c r="CM196" s="386" t="str">
        <f t="shared" si="255"/>
        <v/>
      </c>
      <c r="CN196" s="386" t="str">
        <f t="shared" si="256"/>
        <v>0480-00</v>
      </c>
    </row>
    <row r="197" spans="1:92" ht="15.75" thickBot="1" x14ac:dyDescent="0.3">
      <c r="A197" s="376" t="s">
        <v>162</v>
      </c>
      <c r="B197" s="376" t="s">
        <v>163</v>
      </c>
      <c r="C197" s="376" t="s">
        <v>704</v>
      </c>
      <c r="D197" s="376" t="s">
        <v>551</v>
      </c>
      <c r="E197" s="376" t="s">
        <v>505</v>
      </c>
      <c r="F197" s="377" t="s">
        <v>167</v>
      </c>
      <c r="G197" s="376" t="s">
        <v>506</v>
      </c>
      <c r="H197" s="378"/>
      <c r="I197" s="378"/>
      <c r="J197" s="376" t="s">
        <v>169</v>
      </c>
      <c r="K197" s="376" t="s">
        <v>552</v>
      </c>
      <c r="L197" s="376" t="s">
        <v>171</v>
      </c>
      <c r="M197" s="376" t="s">
        <v>255</v>
      </c>
      <c r="N197" s="376" t="s">
        <v>173</v>
      </c>
      <c r="O197" s="379">
        <v>0</v>
      </c>
      <c r="P197" s="384">
        <v>1</v>
      </c>
      <c r="Q197" s="384">
        <v>1</v>
      </c>
      <c r="R197" s="380">
        <v>80</v>
      </c>
      <c r="S197" s="384">
        <v>1</v>
      </c>
      <c r="T197" s="380">
        <v>58368.28</v>
      </c>
      <c r="U197" s="380">
        <v>0</v>
      </c>
      <c r="V197" s="380">
        <v>18690.669999999998</v>
      </c>
      <c r="W197" s="380">
        <v>82950.399999999994</v>
      </c>
      <c r="X197" s="380">
        <v>37327.68</v>
      </c>
      <c r="Y197" s="380">
        <v>82950.399999999994</v>
      </c>
      <c r="Z197" s="380">
        <v>38654.879999999997</v>
      </c>
      <c r="AA197" s="378"/>
      <c r="AB197" s="376" t="s">
        <v>45</v>
      </c>
      <c r="AC197" s="376" t="s">
        <v>45</v>
      </c>
      <c r="AD197" s="378"/>
      <c r="AE197" s="378"/>
      <c r="AF197" s="378"/>
      <c r="AG197" s="378"/>
      <c r="AH197" s="379">
        <v>0</v>
      </c>
      <c r="AI197" s="379">
        <v>0</v>
      </c>
      <c r="AJ197" s="378"/>
      <c r="AK197" s="378"/>
      <c r="AL197" s="376" t="s">
        <v>182</v>
      </c>
      <c r="AM197" s="378"/>
      <c r="AN197" s="378"/>
      <c r="AO197" s="379">
        <v>0</v>
      </c>
      <c r="AP197" s="384">
        <v>0</v>
      </c>
      <c r="AQ197" s="384">
        <v>0</v>
      </c>
      <c r="AR197" s="383"/>
      <c r="AS197" s="386">
        <f t="shared" si="240"/>
        <v>0</v>
      </c>
      <c r="AT197">
        <f t="shared" si="241"/>
        <v>0</v>
      </c>
      <c r="AU197" s="386" t="str">
        <f>IF(AT197=0,"",IF(AND(AT197=1,M197="F",SUMIF(C2:C201,C197,AS2:AS201)&lt;=1),SUMIF(C2:C201,C197,AS2:AS201),IF(AND(AT197=1,M197="F",SUMIF(C2:C201,C197,AS2:AS201)&gt;1),1,"")))</f>
        <v/>
      </c>
      <c r="AV197" s="386" t="str">
        <f>IF(AT197=0,"",IF(AND(AT197=3,M197="F",SUMIF(C2:C201,C197,AS2:AS201)&lt;=1),SUMIF(C2:C201,C197,AS2:AS201),IF(AND(AT197=3,M197="F",SUMIF(C2:C201,C197,AS2:AS201)&gt;1),1,"")))</f>
        <v/>
      </c>
      <c r="AW197" s="386">
        <f>SUMIF(C2:C201,C197,O2:O201)</f>
        <v>0</v>
      </c>
      <c r="AX197" s="386">
        <f>IF(AND(M197="F",AS197&lt;&gt;0),SUMIF(C2:C201,C197,W2:W201),0)</f>
        <v>0</v>
      </c>
      <c r="AY197" s="386" t="str">
        <f t="shared" si="242"/>
        <v/>
      </c>
      <c r="AZ197" s="386" t="str">
        <f t="shared" si="243"/>
        <v/>
      </c>
      <c r="BA197" s="386">
        <f t="shared" si="244"/>
        <v>0</v>
      </c>
      <c r="BB197" s="386">
        <f t="shared" si="213"/>
        <v>0</v>
      </c>
      <c r="BC197" s="386">
        <f t="shared" si="214"/>
        <v>0</v>
      </c>
      <c r="BD197" s="386">
        <f t="shared" si="215"/>
        <v>0</v>
      </c>
      <c r="BE197" s="386">
        <f t="shared" si="216"/>
        <v>0</v>
      </c>
      <c r="BF197" s="386">
        <f t="shared" si="217"/>
        <v>0</v>
      </c>
      <c r="BG197" s="386">
        <f t="shared" si="218"/>
        <v>0</v>
      </c>
      <c r="BH197" s="386">
        <f t="shared" si="219"/>
        <v>0</v>
      </c>
      <c r="BI197" s="386">
        <f t="shared" si="220"/>
        <v>0</v>
      </c>
      <c r="BJ197" s="386">
        <f t="shared" si="221"/>
        <v>0</v>
      </c>
      <c r="BK197" s="386">
        <f t="shared" si="222"/>
        <v>0</v>
      </c>
      <c r="BL197" s="386">
        <f t="shared" si="245"/>
        <v>0</v>
      </c>
      <c r="BM197" s="386">
        <f t="shared" si="246"/>
        <v>0</v>
      </c>
      <c r="BN197" s="386">
        <f t="shared" si="223"/>
        <v>0</v>
      </c>
      <c r="BO197" s="386">
        <f t="shared" si="224"/>
        <v>0</v>
      </c>
      <c r="BP197" s="386">
        <f t="shared" si="225"/>
        <v>0</v>
      </c>
      <c r="BQ197" s="386">
        <f t="shared" si="226"/>
        <v>0</v>
      </c>
      <c r="BR197" s="386">
        <f t="shared" si="227"/>
        <v>0</v>
      </c>
      <c r="BS197" s="386">
        <f t="shared" si="228"/>
        <v>0</v>
      </c>
      <c r="BT197" s="386">
        <f t="shared" si="229"/>
        <v>0</v>
      </c>
      <c r="BU197" s="386">
        <f t="shared" si="230"/>
        <v>0</v>
      </c>
      <c r="BV197" s="386">
        <f t="shared" si="231"/>
        <v>0</v>
      </c>
      <c r="BW197" s="386">
        <f t="shared" si="232"/>
        <v>0</v>
      </c>
      <c r="BX197" s="386">
        <f t="shared" si="247"/>
        <v>0</v>
      </c>
      <c r="BY197" s="386">
        <f t="shared" si="248"/>
        <v>0</v>
      </c>
      <c r="BZ197" s="386">
        <f t="shared" si="249"/>
        <v>0</v>
      </c>
      <c r="CA197" s="386">
        <f t="shared" si="250"/>
        <v>0</v>
      </c>
      <c r="CB197" s="386">
        <f t="shared" si="251"/>
        <v>0</v>
      </c>
      <c r="CC197" s="386">
        <f t="shared" si="233"/>
        <v>0</v>
      </c>
      <c r="CD197" s="386">
        <f t="shared" si="234"/>
        <v>0</v>
      </c>
      <c r="CE197" s="386">
        <f t="shared" si="235"/>
        <v>0</v>
      </c>
      <c r="CF197" s="386">
        <f t="shared" si="236"/>
        <v>0</v>
      </c>
      <c r="CG197" s="386">
        <f t="shared" si="237"/>
        <v>0</v>
      </c>
      <c r="CH197" s="386">
        <f t="shared" si="238"/>
        <v>0</v>
      </c>
      <c r="CI197" s="386">
        <f t="shared" si="239"/>
        <v>0</v>
      </c>
      <c r="CJ197" s="386">
        <f t="shared" si="252"/>
        <v>0</v>
      </c>
      <c r="CK197" s="386" t="str">
        <f t="shared" si="253"/>
        <v/>
      </c>
      <c r="CL197" s="386" t="str">
        <f t="shared" si="254"/>
        <v/>
      </c>
      <c r="CM197" s="386" t="str">
        <f t="shared" si="255"/>
        <v/>
      </c>
      <c r="CN197" s="386" t="str">
        <f t="shared" si="256"/>
        <v>0480-00</v>
      </c>
    </row>
    <row r="198" spans="1:92" ht="15.75" thickBot="1" x14ac:dyDescent="0.3">
      <c r="A198" s="376" t="s">
        <v>162</v>
      </c>
      <c r="B198" s="376" t="s">
        <v>163</v>
      </c>
      <c r="C198" s="376" t="s">
        <v>305</v>
      </c>
      <c r="D198" s="376" t="s">
        <v>306</v>
      </c>
      <c r="E198" s="376" t="s">
        <v>505</v>
      </c>
      <c r="F198" s="377" t="s">
        <v>167</v>
      </c>
      <c r="G198" s="376" t="s">
        <v>506</v>
      </c>
      <c r="H198" s="378"/>
      <c r="I198" s="378"/>
      <c r="J198" s="376" t="s">
        <v>264</v>
      </c>
      <c r="K198" s="376" t="s">
        <v>307</v>
      </c>
      <c r="L198" s="376" t="s">
        <v>167</v>
      </c>
      <c r="M198" s="376" t="s">
        <v>172</v>
      </c>
      <c r="N198" s="376" t="s">
        <v>173</v>
      </c>
      <c r="O198" s="379">
        <v>1</v>
      </c>
      <c r="P198" s="384">
        <v>0.33</v>
      </c>
      <c r="Q198" s="384">
        <v>0.33</v>
      </c>
      <c r="R198" s="380">
        <v>80</v>
      </c>
      <c r="S198" s="384">
        <v>0.33</v>
      </c>
      <c r="T198" s="380">
        <v>20842.71</v>
      </c>
      <c r="U198" s="380">
        <v>0</v>
      </c>
      <c r="V198" s="380">
        <v>8098.11</v>
      </c>
      <c r="W198" s="380">
        <v>21614.73</v>
      </c>
      <c r="X198" s="380">
        <v>8554.06</v>
      </c>
      <c r="Y198" s="380">
        <v>21614.73</v>
      </c>
      <c r="Z198" s="380">
        <v>8804.4500000000007</v>
      </c>
      <c r="AA198" s="376" t="s">
        <v>308</v>
      </c>
      <c r="AB198" s="376" t="s">
        <v>309</v>
      </c>
      <c r="AC198" s="376" t="s">
        <v>310</v>
      </c>
      <c r="AD198" s="376" t="s">
        <v>311</v>
      </c>
      <c r="AE198" s="376" t="s">
        <v>307</v>
      </c>
      <c r="AF198" s="376" t="s">
        <v>178</v>
      </c>
      <c r="AG198" s="376" t="s">
        <v>179</v>
      </c>
      <c r="AH198" s="381">
        <v>31.49</v>
      </c>
      <c r="AI198" s="379">
        <v>6145</v>
      </c>
      <c r="AJ198" s="376" t="s">
        <v>180</v>
      </c>
      <c r="AK198" s="376" t="s">
        <v>181</v>
      </c>
      <c r="AL198" s="376" t="s">
        <v>182</v>
      </c>
      <c r="AM198" s="376" t="s">
        <v>183</v>
      </c>
      <c r="AN198" s="376" t="s">
        <v>66</v>
      </c>
      <c r="AO198" s="379">
        <v>80</v>
      </c>
      <c r="AP198" s="384">
        <v>1</v>
      </c>
      <c r="AQ198" s="384">
        <v>0.33</v>
      </c>
      <c r="AR198" s="382" t="s">
        <v>184</v>
      </c>
      <c r="AS198" s="386">
        <f t="shared" si="240"/>
        <v>0.33</v>
      </c>
      <c r="AT198">
        <f t="shared" si="241"/>
        <v>1</v>
      </c>
      <c r="AU198" s="386">
        <f>IF(AT198=0,"",IF(AND(AT198=1,M198="F",SUMIF(C2:C201,C198,AS2:AS201)&lt;=1),SUMIF(C2:C201,C198,AS2:AS201),IF(AND(AT198=1,M198="F",SUMIF(C2:C201,C198,AS2:AS201)&gt;1),1,"")))</f>
        <v>1</v>
      </c>
      <c r="AV198" s="386" t="str">
        <f>IF(AT198=0,"",IF(AND(AT198=3,M198="F",SUMIF(C2:C201,C198,AS2:AS201)&lt;=1),SUMIF(C2:C201,C198,AS2:AS201),IF(AND(AT198=3,M198="F",SUMIF(C2:C201,C198,AS2:AS201)&gt;1),1,"")))</f>
        <v/>
      </c>
      <c r="AW198" s="386">
        <f>SUMIF(C2:C201,C198,O2:O201)</f>
        <v>5</v>
      </c>
      <c r="AX198" s="386">
        <f>IF(AND(M198="F",AS198&lt;&gt;0),SUMIF(C2:C201,C198,W2:W201),0)</f>
        <v>65499.180000000008</v>
      </c>
      <c r="AY198" s="386">
        <f t="shared" si="242"/>
        <v>21614.73</v>
      </c>
      <c r="AZ198" s="386" t="str">
        <f t="shared" si="243"/>
        <v/>
      </c>
      <c r="BA198" s="386">
        <f t="shared" si="244"/>
        <v>0</v>
      </c>
      <c r="BB198" s="386">
        <f t="shared" si="213"/>
        <v>4125</v>
      </c>
      <c r="BC198" s="386">
        <f t="shared" si="214"/>
        <v>0</v>
      </c>
      <c r="BD198" s="386">
        <f t="shared" si="215"/>
        <v>1340.1132599999999</v>
      </c>
      <c r="BE198" s="386">
        <f t="shared" si="216"/>
        <v>313.41358500000001</v>
      </c>
      <c r="BF198" s="386">
        <f t="shared" si="217"/>
        <v>2580.7987619999999</v>
      </c>
      <c r="BG198" s="386">
        <f t="shared" si="218"/>
        <v>155.84220329999999</v>
      </c>
      <c r="BH198" s="386">
        <f t="shared" si="219"/>
        <v>0</v>
      </c>
      <c r="BI198" s="386">
        <f t="shared" si="220"/>
        <v>0</v>
      </c>
      <c r="BJ198" s="386">
        <f t="shared" si="221"/>
        <v>38.906514000000001</v>
      </c>
      <c r="BK198" s="386">
        <f t="shared" si="222"/>
        <v>0</v>
      </c>
      <c r="BL198" s="386">
        <f t="shared" si="245"/>
        <v>4429.0743242999997</v>
      </c>
      <c r="BM198" s="386">
        <f t="shared" si="246"/>
        <v>0</v>
      </c>
      <c r="BN198" s="386">
        <f t="shared" si="223"/>
        <v>4537.5</v>
      </c>
      <c r="BO198" s="386">
        <f t="shared" si="224"/>
        <v>0</v>
      </c>
      <c r="BP198" s="386">
        <f t="shared" si="225"/>
        <v>1340.1132599999999</v>
      </c>
      <c r="BQ198" s="386">
        <f t="shared" si="226"/>
        <v>313.41358500000001</v>
      </c>
      <c r="BR198" s="386">
        <f t="shared" si="227"/>
        <v>2416.5268139999998</v>
      </c>
      <c r="BS198" s="386">
        <f t="shared" si="228"/>
        <v>155.84220329999999</v>
      </c>
      <c r="BT198" s="386">
        <f t="shared" si="229"/>
        <v>0</v>
      </c>
      <c r="BU198" s="386">
        <f t="shared" si="230"/>
        <v>0</v>
      </c>
      <c r="BV198" s="386">
        <f t="shared" si="231"/>
        <v>41.067987000000002</v>
      </c>
      <c r="BW198" s="386">
        <f t="shared" si="232"/>
        <v>0</v>
      </c>
      <c r="BX198" s="386">
        <f t="shared" si="247"/>
        <v>4266.9638493000002</v>
      </c>
      <c r="BY198" s="386">
        <f t="shared" si="248"/>
        <v>0</v>
      </c>
      <c r="BZ198" s="386">
        <f t="shared" si="249"/>
        <v>412.5</v>
      </c>
      <c r="CA198" s="386">
        <f t="shared" si="250"/>
        <v>0</v>
      </c>
      <c r="CB198" s="386">
        <f t="shared" si="251"/>
        <v>0</v>
      </c>
      <c r="CC198" s="386">
        <f t="shared" si="233"/>
        <v>0</v>
      </c>
      <c r="CD198" s="386">
        <f t="shared" si="234"/>
        <v>-164.27194800000021</v>
      </c>
      <c r="CE198" s="386">
        <f t="shared" si="235"/>
        <v>0</v>
      </c>
      <c r="CF198" s="386">
        <f t="shared" si="236"/>
        <v>0</v>
      </c>
      <c r="CG198" s="386">
        <f t="shared" si="237"/>
        <v>0</v>
      </c>
      <c r="CH198" s="386">
        <f t="shared" si="238"/>
        <v>2.1614730000000009</v>
      </c>
      <c r="CI198" s="386">
        <f t="shared" si="239"/>
        <v>0</v>
      </c>
      <c r="CJ198" s="386">
        <f t="shared" si="252"/>
        <v>-162.11047500000021</v>
      </c>
      <c r="CK198" s="386" t="str">
        <f t="shared" si="253"/>
        <v/>
      </c>
      <c r="CL198" s="386" t="str">
        <f t="shared" si="254"/>
        <v/>
      </c>
      <c r="CM198" s="386" t="str">
        <f t="shared" si="255"/>
        <v/>
      </c>
      <c r="CN198" s="386" t="str">
        <f t="shared" si="256"/>
        <v>0480-00</v>
      </c>
    </row>
    <row r="199" spans="1:92" ht="15.75" thickBot="1" x14ac:dyDescent="0.3">
      <c r="A199" s="376" t="s">
        <v>162</v>
      </c>
      <c r="B199" s="376" t="s">
        <v>163</v>
      </c>
      <c r="C199" s="376" t="s">
        <v>334</v>
      </c>
      <c r="D199" s="376" t="s">
        <v>335</v>
      </c>
      <c r="E199" s="376" t="s">
        <v>505</v>
      </c>
      <c r="F199" s="377" t="s">
        <v>167</v>
      </c>
      <c r="G199" s="376" t="s">
        <v>506</v>
      </c>
      <c r="H199" s="378"/>
      <c r="I199" s="378"/>
      <c r="J199" s="376" t="s">
        <v>220</v>
      </c>
      <c r="K199" s="376" t="s">
        <v>336</v>
      </c>
      <c r="L199" s="376" t="s">
        <v>167</v>
      </c>
      <c r="M199" s="376" t="s">
        <v>172</v>
      </c>
      <c r="N199" s="376" t="s">
        <v>173</v>
      </c>
      <c r="O199" s="379">
        <v>1</v>
      </c>
      <c r="P199" s="384">
        <v>0.7</v>
      </c>
      <c r="Q199" s="384">
        <v>0.7</v>
      </c>
      <c r="R199" s="380">
        <v>80</v>
      </c>
      <c r="S199" s="384">
        <v>0.7</v>
      </c>
      <c r="T199" s="380">
        <v>94304.58</v>
      </c>
      <c r="U199" s="380">
        <v>0</v>
      </c>
      <c r="V199" s="380">
        <v>27463.18</v>
      </c>
      <c r="W199" s="380">
        <v>98076.160000000003</v>
      </c>
      <c r="X199" s="380">
        <v>28846.76</v>
      </c>
      <c r="Y199" s="380">
        <v>98076.160000000003</v>
      </c>
      <c r="Z199" s="380">
        <v>28986.19</v>
      </c>
      <c r="AA199" s="376" t="s">
        <v>337</v>
      </c>
      <c r="AB199" s="376" t="s">
        <v>338</v>
      </c>
      <c r="AC199" s="376" t="s">
        <v>339</v>
      </c>
      <c r="AD199" s="376" t="s">
        <v>340</v>
      </c>
      <c r="AE199" s="376" t="s">
        <v>336</v>
      </c>
      <c r="AF199" s="376" t="s">
        <v>178</v>
      </c>
      <c r="AG199" s="376" t="s">
        <v>179</v>
      </c>
      <c r="AH199" s="381">
        <v>67.36</v>
      </c>
      <c r="AI199" s="381">
        <v>22058.7</v>
      </c>
      <c r="AJ199" s="376" t="s">
        <v>180</v>
      </c>
      <c r="AK199" s="376" t="s">
        <v>181</v>
      </c>
      <c r="AL199" s="376" t="s">
        <v>182</v>
      </c>
      <c r="AM199" s="376" t="s">
        <v>183</v>
      </c>
      <c r="AN199" s="376" t="s">
        <v>66</v>
      </c>
      <c r="AO199" s="379">
        <v>80</v>
      </c>
      <c r="AP199" s="384">
        <v>1</v>
      </c>
      <c r="AQ199" s="384">
        <v>0.7</v>
      </c>
      <c r="AR199" s="382" t="s">
        <v>184</v>
      </c>
      <c r="AS199" s="386">
        <f t="shared" si="240"/>
        <v>0.7</v>
      </c>
      <c r="AT199">
        <f t="shared" si="241"/>
        <v>1</v>
      </c>
      <c r="AU199" s="386">
        <f>IF(AT199=0,"",IF(AND(AT199=1,M199="F",SUMIF(C2:C201,C199,AS2:AS201)&lt;=1),SUMIF(C2:C201,C199,AS2:AS201),IF(AND(AT199=1,M199="F",SUMIF(C2:C201,C199,AS2:AS201)&gt;1),1,"")))</f>
        <v>1</v>
      </c>
      <c r="AV199" s="386" t="str">
        <f>IF(AT199=0,"",IF(AND(AT199=3,M199="F",SUMIF(C2:C201,C199,AS2:AS201)&lt;=1),SUMIF(C2:C201,C199,AS2:AS201),IF(AND(AT199=3,M199="F",SUMIF(C2:C201,C199,AS2:AS201)&gt;1),1,"")))</f>
        <v/>
      </c>
      <c r="AW199" s="386">
        <f>SUMIF(C2:C201,C199,O2:O201)</f>
        <v>4</v>
      </c>
      <c r="AX199" s="386">
        <f>IF(AND(M199="F",AS199&lt;&gt;0),SUMIF(C2:C201,C199,W2:W201),0)</f>
        <v>140108.79999999999</v>
      </c>
      <c r="AY199" s="386">
        <f t="shared" si="242"/>
        <v>98076.160000000003</v>
      </c>
      <c r="AZ199" s="386" t="str">
        <f t="shared" si="243"/>
        <v/>
      </c>
      <c r="BA199" s="386">
        <f t="shared" si="244"/>
        <v>0</v>
      </c>
      <c r="BB199" s="386">
        <f t="shared" si="213"/>
        <v>8750</v>
      </c>
      <c r="BC199" s="386">
        <f t="shared" si="214"/>
        <v>0</v>
      </c>
      <c r="BD199" s="386">
        <f t="shared" si="215"/>
        <v>6080.72192</v>
      </c>
      <c r="BE199" s="386">
        <f t="shared" si="216"/>
        <v>1422.1043200000001</v>
      </c>
      <c r="BF199" s="386">
        <f t="shared" si="217"/>
        <v>11710.293504000001</v>
      </c>
      <c r="BG199" s="386">
        <f t="shared" si="218"/>
        <v>707.1291136000001</v>
      </c>
      <c r="BH199" s="386">
        <f t="shared" si="219"/>
        <v>0</v>
      </c>
      <c r="BI199" s="386">
        <f t="shared" si="220"/>
        <v>0</v>
      </c>
      <c r="BJ199" s="386">
        <f t="shared" si="221"/>
        <v>176.53708800000001</v>
      </c>
      <c r="BK199" s="386">
        <f t="shared" si="222"/>
        <v>0</v>
      </c>
      <c r="BL199" s="386">
        <f t="shared" si="245"/>
        <v>20096.785945600004</v>
      </c>
      <c r="BM199" s="386">
        <f t="shared" si="246"/>
        <v>0</v>
      </c>
      <c r="BN199" s="386">
        <f t="shared" si="223"/>
        <v>9625</v>
      </c>
      <c r="BO199" s="386">
        <f t="shared" si="224"/>
        <v>0</v>
      </c>
      <c r="BP199" s="386">
        <f t="shared" si="225"/>
        <v>6080.72192</v>
      </c>
      <c r="BQ199" s="386">
        <f t="shared" si="226"/>
        <v>1422.1043200000001</v>
      </c>
      <c r="BR199" s="386">
        <f t="shared" si="227"/>
        <v>10964.914688000001</v>
      </c>
      <c r="BS199" s="386">
        <f t="shared" si="228"/>
        <v>707.1291136000001</v>
      </c>
      <c r="BT199" s="386">
        <f t="shared" si="229"/>
        <v>0</v>
      </c>
      <c r="BU199" s="386">
        <f t="shared" si="230"/>
        <v>0</v>
      </c>
      <c r="BV199" s="386">
        <f t="shared" si="231"/>
        <v>186.34470400000001</v>
      </c>
      <c r="BW199" s="386">
        <f t="shared" si="232"/>
        <v>0</v>
      </c>
      <c r="BX199" s="386">
        <f t="shared" si="247"/>
        <v>19361.214745599998</v>
      </c>
      <c r="BY199" s="386">
        <f t="shared" si="248"/>
        <v>0</v>
      </c>
      <c r="BZ199" s="386">
        <f t="shared" si="249"/>
        <v>875</v>
      </c>
      <c r="CA199" s="386">
        <f t="shared" si="250"/>
        <v>0</v>
      </c>
      <c r="CB199" s="386">
        <f t="shared" si="251"/>
        <v>0</v>
      </c>
      <c r="CC199" s="386">
        <f t="shared" si="233"/>
        <v>0</v>
      </c>
      <c r="CD199" s="386">
        <f t="shared" si="234"/>
        <v>-745.37881600000094</v>
      </c>
      <c r="CE199" s="386">
        <f t="shared" si="235"/>
        <v>0</v>
      </c>
      <c r="CF199" s="386">
        <f t="shared" si="236"/>
        <v>0</v>
      </c>
      <c r="CG199" s="386">
        <f t="shared" si="237"/>
        <v>0</v>
      </c>
      <c r="CH199" s="386">
        <f t="shared" si="238"/>
        <v>9.8076160000000048</v>
      </c>
      <c r="CI199" s="386">
        <f t="shared" si="239"/>
        <v>0</v>
      </c>
      <c r="CJ199" s="386">
        <f t="shared" si="252"/>
        <v>-735.57120000000089</v>
      </c>
      <c r="CK199" s="386" t="str">
        <f t="shared" si="253"/>
        <v/>
      </c>
      <c r="CL199" s="386" t="str">
        <f t="shared" si="254"/>
        <v/>
      </c>
      <c r="CM199" s="386" t="str">
        <f t="shared" si="255"/>
        <v/>
      </c>
      <c r="CN199" s="386" t="str">
        <f t="shared" si="256"/>
        <v>0480-00</v>
      </c>
    </row>
    <row r="200" spans="1:92" ht="15.75" thickBot="1" x14ac:dyDescent="0.3">
      <c r="A200" s="376" t="s">
        <v>162</v>
      </c>
      <c r="B200" s="376" t="s">
        <v>163</v>
      </c>
      <c r="C200" s="376" t="s">
        <v>705</v>
      </c>
      <c r="D200" s="376" t="s">
        <v>542</v>
      </c>
      <c r="E200" s="376" t="s">
        <v>505</v>
      </c>
      <c r="F200" s="377" t="s">
        <v>167</v>
      </c>
      <c r="G200" s="376" t="s">
        <v>506</v>
      </c>
      <c r="H200" s="378"/>
      <c r="I200" s="378"/>
      <c r="J200" s="376" t="s">
        <v>169</v>
      </c>
      <c r="K200" s="376" t="s">
        <v>543</v>
      </c>
      <c r="L200" s="376" t="s">
        <v>167</v>
      </c>
      <c r="M200" s="376" t="s">
        <v>172</v>
      </c>
      <c r="N200" s="376" t="s">
        <v>173</v>
      </c>
      <c r="O200" s="379">
        <v>1</v>
      </c>
      <c r="P200" s="384">
        <v>1</v>
      </c>
      <c r="Q200" s="384">
        <v>1</v>
      </c>
      <c r="R200" s="380">
        <v>80</v>
      </c>
      <c r="S200" s="384">
        <v>1</v>
      </c>
      <c r="T200" s="380">
        <v>58251.21</v>
      </c>
      <c r="U200" s="380">
        <v>163.32</v>
      </c>
      <c r="V200" s="380">
        <v>23700.32</v>
      </c>
      <c r="W200" s="380">
        <v>60403.199999999997</v>
      </c>
      <c r="X200" s="380">
        <v>24877.19</v>
      </c>
      <c r="Y200" s="380">
        <v>60403.199999999997</v>
      </c>
      <c r="Z200" s="380">
        <v>25674.16</v>
      </c>
      <c r="AA200" s="376" t="s">
        <v>706</v>
      </c>
      <c r="AB200" s="376" t="s">
        <v>707</v>
      </c>
      <c r="AC200" s="376" t="s">
        <v>708</v>
      </c>
      <c r="AD200" s="376" t="s">
        <v>285</v>
      </c>
      <c r="AE200" s="376" t="s">
        <v>543</v>
      </c>
      <c r="AF200" s="376" t="s">
        <v>178</v>
      </c>
      <c r="AG200" s="376" t="s">
        <v>179</v>
      </c>
      <c r="AH200" s="381">
        <v>29.04</v>
      </c>
      <c r="AI200" s="381">
        <v>67927.199999999997</v>
      </c>
      <c r="AJ200" s="376" t="s">
        <v>180</v>
      </c>
      <c r="AK200" s="376" t="s">
        <v>181</v>
      </c>
      <c r="AL200" s="376" t="s">
        <v>182</v>
      </c>
      <c r="AM200" s="376" t="s">
        <v>183</v>
      </c>
      <c r="AN200" s="376" t="s">
        <v>66</v>
      </c>
      <c r="AO200" s="379">
        <v>80</v>
      </c>
      <c r="AP200" s="384">
        <v>1</v>
      </c>
      <c r="AQ200" s="384">
        <v>1</v>
      </c>
      <c r="AR200" s="382" t="s">
        <v>184</v>
      </c>
      <c r="AS200" s="386">
        <f t="shared" si="240"/>
        <v>1</v>
      </c>
      <c r="AT200">
        <f t="shared" si="241"/>
        <v>1</v>
      </c>
      <c r="AU200" s="386">
        <f>IF(AT200=0,"",IF(AND(AT200=1,M200="F",SUMIF(C2:C201,C200,AS2:AS201)&lt;=1),SUMIF(C2:C201,C200,AS2:AS201),IF(AND(AT200=1,M200="F",SUMIF(C2:C201,C200,AS2:AS201)&gt;1),1,"")))</f>
        <v>1</v>
      </c>
      <c r="AV200" s="386" t="str">
        <f>IF(AT200=0,"",IF(AND(AT200=3,M200="F",SUMIF(C2:C201,C200,AS2:AS201)&lt;=1),SUMIF(C2:C201,C200,AS2:AS201),IF(AND(AT200=3,M200="F",SUMIF(C2:C201,C200,AS2:AS201)&gt;1),1,"")))</f>
        <v/>
      </c>
      <c r="AW200" s="386">
        <f>SUMIF(C2:C201,C200,O2:O201)</f>
        <v>1</v>
      </c>
      <c r="AX200" s="386">
        <f>IF(AND(M200="F",AS200&lt;&gt;0),SUMIF(C2:C201,C200,W2:W201),0)</f>
        <v>60403.199999999997</v>
      </c>
      <c r="AY200" s="386">
        <f t="shared" si="242"/>
        <v>60403.199999999997</v>
      </c>
      <c r="AZ200" s="386" t="str">
        <f t="shared" si="243"/>
        <v/>
      </c>
      <c r="BA200" s="386">
        <f t="shared" si="244"/>
        <v>0</v>
      </c>
      <c r="BB200" s="386">
        <f t="shared" si="213"/>
        <v>12500</v>
      </c>
      <c r="BC200" s="386">
        <f t="shared" si="214"/>
        <v>0</v>
      </c>
      <c r="BD200" s="386">
        <f t="shared" si="215"/>
        <v>3744.9983999999999</v>
      </c>
      <c r="BE200" s="386">
        <f t="shared" si="216"/>
        <v>875.84640000000002</v>
      </c>
      <c r="BF200" s="386">
        <f t="shared" si="217"/>
        <v>7212.1420799999996</v>
      </c>
      <c r="BG200" s="386">
        <f t="shared" si="218"/>
        <v>435.50707199999999</v>
      </c>
      <c r="BH200" s="386">
        <f t="shared" si="219"/>
        <v>0</v>
      </c>
      <c r="BI200" s="386">
        <f t="shared" si="220"/>
        <v>0</v>
      </c>
      <c r="BJ200" s="386">
        <f t="shared" si="221"/>
        <v>108.72575999999999</v>
      </c>
      <c r="BK200" s="386">
        <f t="shared" si="222"/>
        <v>0</v>
      </c>
      <c r="BL200" s="386">
        <f t="shared" si="245"/>
        <v>12377.219712</v>
      </c>
      <c r="BM200" s="386">
        <f t="shared" si="246"/>
        <v>0</v>
      </c>
      <c r="BN200" s="386">
        <f t="shared" si="223"/>
        <v>13750</v>
      </c>
      <c r="BO200" s="386">
        <f t="shared" si="224"/>
        <v>0</v>
      </c>
      <c r="BP200" s="386">
        <f t="shared" si="225"/>
        <v>3744.9983999999999</v>
      </c>
      <c r="BQ200" s="386">
        <f t="shared" si="226"/>
        <v>875.84640000000002</v>
      </c>
      <c r="BR200" s="386">
        <f t="shared" si="227"/>
        <v>6753.0777599999992</v>
      </c>
      <c r="BS200" s="386">
        <f t="shared" si="228"/>
        <v>435.50707199999999</v>
      </c>
      <c r="BT200" s="386">
        <f t="shared" si="229"/>
        <v>0</v>
      </c>
      <c r="BU200" s="386">
        <f t="shared" si="230"/>
        <v>0</v>
      </c>
      <c r="BV200" s="386">
        <f t="shared" si="231"/>
        <v>114.76607999999999</v>
      </c>
      <c r="BW200" s="386">
        <f t="shared" si="232"/>
        <v>0</v>
      </c>
      <c r="BX200" s="386">
        <f t="shared" si="247"/>
        <v>11924.195711999999</v>
      </c>
      <c r="BY200" s="386">
        <f t="shared" si="248"/>
        <v>0</v>
      </c>
      <c r="BZ200" s="386">
        <f t="shared" si="249"/>
        <v>1250</v>
      </c>
      <c r="CA200" s="386">
        <f t="shared" si="250"/>
        <v>0</v>
      </c>
      <c r="CB200" s="386">
        <f t="shared" si="251"/>
        <v>0</v>
      </c>
      <c r="CC200" s="386">
        <f t="shared" si="233"/>
        <v>0</v>
      </c>
      <c r="CD200" s="386">
        <f t="shared" si="234"/>
        <v>-459.06432000000058</v>
      </c>
      <c r="CE200" s="386">
        <f t="shared" si="235"/>
        <v>0</v>
      </c>
      <c r="CF200" s="386">
        <f t="shared" si="236"/>
        <v>0</v>
      </c>
      <c r="CG200" s="386">
        <f t="shared" si="237"/>
        <v>0</v>
      </c>
      <c r="CH200" s="386">
        <f t="shared" si="238"/>
        <v>6.0403200000000021</v>
      </c>
      <c r="CI200" s="386">
        <f t="shared" si="239"/>
        <v>0</v>
      </c>
      <c r="CJ200" s="386">
        <f t="shared" si="252"/>
        <v>-453.02400000000057</v>
      </c>
      <c r="CK200" s="386" t="str">
        <f t="shared" si="253"/>
        <v/>
      </c>
      <c r="CL200" s="386" t="str">
        <f t="shared" si="254"/>
        <v/>
      </c>
      <c r="CM200" s="386" t="str">
        <f t="shared" si="255"/>
        <v/>
      </c>
      <c r="CN200" s="386" t="str">
        <f t="shared" si="256"/>
        <v>0480-00</v>
      </c>
    </row>
    <row r="201" spans="1:92" ht="15.75" thickBot="1" x14ac:dyDescent="0.3">
      <c r="A201" s="376" t="s">
        <v>162</v>
      </c>
      <c r="B201" s="376" t="s">
        <v>163</v>
      </c>
      <c r="C201" s="376" t="s">
        <v>351</v>
      </c>
      <c r="D201" s="376" t="s">
        <v>352</v>
      </c>
      <c r="E201" s="376" t="s">
        <v>505</v>
      </c>
      <c r="F201" s="377" t="s">
        <v>167</v>
      </c>
      <c r="G201" s="376" t="s">
        <v>506</v>
      </c>
      <c r="H201" s="378"/>
      <c r="I201" s="378"/>
      <c r="J201" s="376" t="s">
        <v>220</v>
      </c>
      <c r="K201" s="376" t="s">
        <v>353</v>
      </c>
      <c r="L201" s="376" t="s">
        <v>222</v>
      </c>
      <c r="M201" s="376" t="s">
        <v>172</v>
      </c>
      <c r="N201" s="376" t="s">
        <v>173</v>
      </c>
      <c r="O201" s="379">
        <v>1</v>
      </c>
      <c r="P201" s="384">
        <v>0.75</v>
      </c>
      <c r="Q201" s="384">
        <v>0.75</v>
      </c>
      <c r="R201" s="380">
        <v>80</v>
      </c>
      <c r="S201" s="384">
        <v>0.75</v>
      </c>
      <c r="T201" s="380">
        <v>73783.539999999994</v>
      </c>
      <c r="U201" s="380">
        <v>0</v>
      </c>
      <c r="V201" s="380">
        <v>22981.41</v>
      </c>
      <c r="W201" s="380">
        <v>78702</v>
      </c>
      <c r="X201" s="380">
        <v>25501.8</v>
      </c>
      <c r="Y201" s="380">
        <v>78702</v>
      </c>
      <c r="Z201" s="380">
        <v>25849.040000000001</v>
      </c>
      <c r="AA201" s="376" t="s">
        <v>354</v>
      </c>
      <c r="AB201" s="376" t="s">
        <v>355</v>
      </c>
      <c r="AC201" s="376" t="s">
        <v>213</v>
      </c>
      <c r="AD201" s="376" t="s">
        <v>231</v>
      </c>
      <c r="AE201" s="376" t="s">
        <v>353</v>
      </c>
      <c r="AF201" s="376" t="s">
        <v>178</v>
      </c>
      <c r="AG201" s="376" t="s">
        <v>179</v>
      </c>
      <c r="AH201" s="381">
        <v>50.45</v>
      </c>
      <c r="AI201" s="381">
        <v>22028.5</v>
      </c>
      <c r="AJ201" s="376" t="s">
        <v>180</v>
      </c>
      <c r="AK201" s="376" t="s">
        <v>181</v>
      </c>
      <c r="AL201" s="376" t="s">
        <v>182</v>
      </c>
      <c r="AM201" s="376" t="s">
        <v>183</v>
      </c>
      <c r="AN201" s="376" t="s">
        <v>66</v>
      </c>
      <c r="AO201" s="379">
        <v>80</v>
      </c>
      <c r="AP201" s="384">
        <v>1</v>
      </c>
      <c r="AQ201" s="384">
        <v>0.75</v>
      </c>
      <c r="AR201" s="382" t="s">
        <v>184</v>
      </c>
      <c r="AS201" s="386">
        <f t="shared" si="240"/>
        <v>0.75</v>
      </c>
      <c r="AT201">
        <f t="shared" si="241"/>
        <v>1</v>
      </c>
      <c r="AU201" s="386">
        <f>IF(AT201=0,"",IF(AND(AT201=1,M201="F",SUMIF(C2:C201,C201,AS2:AS201)&lt;=1),SUMIF(C2:C201,C201,AS2:AS201),IF(AND(AT201=1,M201="F",SUMIF(C2:C201,C201,AS2:AS201)&gt;1),1,"")))</f>
        <v>1</v>
      </c>
      <c r="AV201" s="386" t="str">
        <f>IF(AT201=0,"",IF(AND(AT201=3,M201="F",SUMIF(C2:C201,C201,AS2:AS201)&lt;=1),SUMIF(C2:C201,C201,AS2:AS201),IF(AND(AT201=3,M201="F",SUMIF(C2:C201,C201,AS2:AS201)&gt;1),1,"")))</f>
        <v/>
      </c>
      <c r="AW201" s="386">
        <f>SUMIF(C2:C201,C201,O2:O201)</f>
        <v>5</v>
      </c>
      <c r="AX201" s="386">
        <f>IF(AND(M201="F",AS201&lt;&gt;0),SUMIF(C2:C201,C201,W2:W201),0)</f>
        <v>104936</v>
      </c>
      <c r="AY201" s="386">
        <f t="shared" si="242"/>
        <v>78702</v>
      </c>
      <c r="AZ201" s="386" t="str">
        <f t="shared" si="243"/>
        <v/>
      </c>
      <c r="BA201" s="386">
        <f t="shared" si="244"/>
        <v>0</v>
      </c>
      <c r="BB201" s="386">
        <f t="shared" si="213"/>
        <v>9375</v>
      </c>
      <c r="BC201" s="386">
        <f t="shared" si="214"/>
        <v>0</v>
      </c>
      <c r="BD201" s="386">
        <f t="shared" si="215"/>
        <v>4879.5240000000003</v>
      </c>
      <c r="BE201" s="386">
        <f t="shared" si="216"/>
        <v>1141.1790000000001</v>
      </c>
      <c r="BF201" s="386">
        <f t="shared" si="217"/>
        <v>9397.0187999999998</v>
      </c>
      <c r="BG201" s="386">
        <f t="shared" si="218"/>
        <v>567.44141999999999</v>
      </c>
      <c r="BH201" s="386">
        <f t="shared" si="219"/>
        <v>0</v>
      </c>
      <c r="BI201" s="386">
        <f t="shared" si="220"/>
        <v>0</v>
      </c>
      <c r="BJ201" s="386">
        <f t="shared" si="221"/>
        <v>141.6636</v>
      </c>
      <c r="BK201" s="386">
        <f t="shared" si="222"/>
        <v>0</v>
      </c>
      <c r="BL201" s="386">
        <f t="shared" si="245"/>
        <v>16126.826819999998</v>
      </c>
      <c r="BM201" s="386">
        <f t="shared" si="246"/>
        <v>0</v>
      </c>
      <c r="BN201" s="386">
        <f t="shared" si="223"/>
        <v>10312.5</v>
      </c>
      <c r="BO201" s="386">
        <f t="shared" si="224"/>
        <v>0</v>
      </c>
      <c r="BP201" s="386">
        <f t="shared" si="225"/>
        <v>4879.5240000000003</v>
      </c>
      <c r="BQ201" s="386">
        <f t="shared" si="226"/>
        <v>1141.1790000000001</v>
      </c>
      <c r="BR201" s="386">
        <f t="shared" si="227"/>
        <v>8798.8835999999992</v>
      </c>
      <c r="BS201" s="386">
        <f t="shared" si="228"/>
        <v>567.44141999999999</v>
      </c>
      <c r="BT201" s="386">
        <f t="shared" si="229"/>
        <v>0</v>
      </c>
      <c r="BU201" s="386">
        <f t="shared" si="230"/>
        <v>0</v>
      </c>
      <c r="BV201" s="386">
        <f t="shared" si="231"/>
        <v>149.53380000000001</v>
      </c>
      <c r="BW201" s="386">
        <f t="shared" si="232"/>
        <v>0</v>
      </c>
      <c r="BX201" s="386">
        <f t="shared" si="247"/>
        <v>15536.561819999997</v>
      </c>
      <c r="BY201" s="386">
        <f t="shared" si="248"/>
        <v>0</v>
      </c>
      <c r="BZ201" s="386">
        <f t="shared" si="249"/>
        <v>937.5</v>
      </c>
      <c r="CA201" s="386">
        <f t="shared" si="250"/>
        <v>0</v>
      </c>
      <c r="CB201" s="386">
        <f t="shared" si="251"/>
        <v>0</v>
      </c>
      <c r="CC201" s="386">
        <f t="shared" si="233"/>
        <v>0</v>
      </c>
      <c r="CD201" s="386">
        <f t="shared" si="234"/>
        <v>-598.13520000000074</v>
      </c>
      <c r="CE201" s="386">
        <f t="shared" si="235"/>
        <v>0</v>
      </c>
      <c r="CF201" s="386">
        <f t="shared" si="236"/>
        <v>0</v>
      </c>
      <c r="CG201" s="386">
        <f t="shared" si="237"/>
        <v>0</v>
      </c>
      <c r="CH201" s="386">
        <f t="shared" si="238"/>
        <v>7.8702000000000032</v>
      </c>
      <c r="CI201" s="386">
        <f t="shared" si="239"/>
        <v>0</v>
      </c>
      <c r="CJ201" s="386">
        <f t="shared" si="252"/>
        <v>-590.26500000000078</v>
      </c>
      <c r="CK201" s="386" t="str">
        <f t="shared" si="253"/>
        <v/>
      </c>
      <c r="CL201" s="386" t="str">
        <f t="shared" si="254"/>
        <v/>
      </c>
      <c r="CM201" s="386" t="str">
        <f t="shared" si="255"/>
        <v/>
      </c>
      <c r="CN201" s="386" t="str">
        <f t="shared" si="256"/>
        <v>0480-00</v>
      </c>
    </row>
    <row r="203" spans="1:92" ht="21" x14ac:dyDescent="0.35">
      <c r="AQ203" s="251" t="s">
        <v>788</v>
      </c>
    </row>
    <row r="204" spans="1:92" ht="15.75" thickBot="1" x14ac:dyDescent="0.3">
      <c r="AR204" t="s">
        <v>757</v>
      </c>
      <c r="AS204" s="386">
        <f>SUMIFS(AS2:AS201,G2:G201,"SCAA",E2:E201,"0001",F2:F201,"00",AT2:AT201,1)</f>
        <v>6.7800000000000011</v>
      </c>
      <c r="AT204" s="386">
        <f>SUMIFS(AS2:AS201,G2:G201,"SCAA",E2:E201,"0001",F2:F201,"00",AT2:AT201,3)</f>
        <v>1</v>
      </c>
      <c r="AU204" s="386">
        <f>SUMIFS(AU2:AU201,G2:G201,"SCAA",E2:E201,"0001",F2:F201,"00")</f>
        <v>13.15</v>
      </c>
      <c r="AV204" s="386">
        <f>SUMIFS(AV2:AV201,G2:G201,"SCAA",E2:E201,"0001",F2:F201,"00")</f>
        <v>1</v>
      </c>
      <c r="AW204" s="386">
        <f>SUMIFS(AW2:AW201,G2:G201,"SCAA",E2:E201,"0001",F2:F201,"00")</f>
        <v>106</v>
      </c>
      <c r="AX204" s="386">
        <f>SUMIFS(AX2:AX201,G2:G201,"SCAA",E2:E201,"0001",F2:F201,"00")</f>
        <v>1269162.1899999997</v>
      </c>
      <c r="AY204" s="386">
        <f>SUMIFS(AY2:AY201,G2:G201,"SCAA",E2:E201,"0001",F2:F201,"00")</f>
        <v>554693.98</v>
      </c>
      <c r="AZ204" s="386">
        <f>SUMIFS(AZ2:AZ201,G2:G201,"SCAA",E2:E201,"0001",F2:F201,"00")</f>
        <v>117556.7</v>
      </c>
      <c r="BA204" s="386">
        <f>SUMIFS(BA2:BA201,G2:G201,"SCAA",E2:E201,"0001",F2:F201,"00")</f>
        <v>0</v>
      </c>
      <c r="BB204" s="386">
        <f>SUMIFS(BB2:BB201,G2:G201,"SCAA",E2:E201,"0001",F2:F201,"00")</f>
        <v>90375</v>
      </c>
      <c r="BC204" s="386">
        <f>SUMIFS(BC2:BC201,G2:G201,"SCAA",E2:E201,"0001",F2:F201,"00")</f>
        <v>12500</v>
      </c>
      <c r="BD204" s="386">
        <f>SUMIFS(BD2:BD201,G2:G201,"SCAA",E2:E201,"0001",F2:F201,"00")</f>
        <v>41679.54215999999</v>
      </c>
      <c r="BE204" s="386">
        <f>SUMIFS(BE2:BE201,G2:G201,"SCAA",E2:E201,"0001",F2:F201,"00")</f>
        <v>9747.6348600000019</v>
      </c>
      <c r="BF204" s="386">
        <f>SUMIFS(BF2:BF201,G2:G201,"SCAA",E2:E201,"0001",F2:F201,"00")</f>
        <v>80266.731191999992</v>
      </c>
      <c r="BG204" s="386">
        <f>SUMIFS(BG2:BG201,G2:G201,"SCAA",E2:E201,"0001",F2:F201,"00")</f>
        <v>4846.9274028</v>
      </c>
      <c r="BH204" s="386">
        <f>SUMIFS(BH2:BH201,G2:G201,"SCAA",E2:E201,"0001",F2:F201,"00")</f>
        <v>0</v>
      </c>
      <c r="BI204" s="386">
        <f>SUMIFS(BI2:BI201,G2:G201,"SCAA",E2:E201,"0001",F2:F201,"00")</f>
        <v>0</v>
      </c>
      <c r="BJ204" s="386">
        <f>SUMIFS(BJ2:BJ201,G2:G201,"SCAA",E2:E201,"0001",F2:F201,"00")</f>
        <v>1210.0512240000003</v>
      </c>
      <c r="BK204" s="386">
        <f>SUMIFS(BK2:BK201,G2:G201,"SCAA",E2:E201,"0001",F2:F201,"00")</f>
        <v>0</v>
      </c>
      <c r="BL204" s="386">
        <f>SUMIFS(BL2:BL201,G2:G201,"SCAA",E2:E201,"0001",F2:F201,"00")</f>
        <v>113662.3434418</v>
      </c>
      <c r="BM204" s="386">
        <f>SUMIFS(BM2:BM201,G2:G201,"SCAA",E2:E201,"0001",F2:F201,"00")</f>
        <v>24088.543397000001</v>
      </c>
      <c r="BN204" s="386">
        <f>SUMIFS(BN2:BN201,G2:G201,"SCAA",E2:E201,"0001",F2:F201,"00")</f>
        <v>99412.5</v>
      </c>
      <c r="BO204" s="386">
        <f>SUMIFS(BO2:BO201,G2:G201,"SCAA",E2:E201,"0001",F2:F201,"00")</f>
        <v>13750</v>
      </c>
      <c r="BP204" s="386">
        <f>SUMIFS(BP2:BP201,G2:G201,"SCAA",E2:E201,"0001",F2:F201,"00")</f>
        <v>41679.54215999999</v>
      </c>
      <c r="BQ204" s="386">
        <f>SUMIFS(BQ2:BQ201,G2:G201,"SCAA",E2:E201,"0001",F2:F201,"00")</f>
        <v>9747.6348600000019</v>
      </c>
      <c r="BR204" s="386">
        <f>SUMIFS(BR2:BR201,G2:G201,"SCAA",E2:E201,"0001",F2:F201,"00")</f>
        <v>75157.626023999983</v>
      </c>
      <c r="BS204" s="386">
        <f>SUMIFS(BS2:BS201,G2:G201,"SCAA",E2:E201,"0001",F2:F201,"00")</f>
        <v>4846.9274028</v>
      </c>
      <c r="BT204" s="386">
        <f>SUMIFS(BT2:BT201,G2:G201,"SCAA",E2:E201,"0001",F2:F201,"00")</f>
        <v>0</v>
      </c>
      <c r="BU204" s="386">
        <f>SUMIFS(BU2:BU201,G2:G201,"SCAA",E2:E201,"0001",F2:F201,"00")</f>
        <v>0</v>
      </c>
      <c r="BV204" s="386">
        <f>SUMIFS(BV2:BV201,G2:G201,"SCAA",E2:E201,"0001",F2:F201,"00")</f>
        <v>1277.2762920000002</v>
      </c>
      <c r="BW204" s="386">
        <f>SUMIFS(BW2:BW201,G2:G201,"SCAA",E2:E201,"0001",F2:F201,"00")</f>
        <v>0</v>
      </c>
      <c r="BX204" s="386">
        <f>SUMIFS(BX2:BX201,G2:G201,"SCAA",E2:E201,"0001",F2:F201,"00")</f>
        <v>109502.1385918</v>
      </c>
      <c r="BY204" s="386">
        <f>SUMIFS(BY2:BY201,G2:G201,"SCAA",E2:E201,"0001",F2:F201,"00")</f>
        <v>23206.868146999997</v>
      </c>
      <c r="BZ204" s="386">
        <f>SUMIFS(BZ2:BZ201,G2:G201,"SCAA",E2:E201,"0001",F2:F201,"00")</f>
        <v>9037.5</v>
      </c>
      <c r="CA204" s="386">
        <f>SUMIFS(CA2:CA201,G2:G201,"SCAA",E2:E201,"0001",F2:F201,"00")</f>
        <v>1250</v>
      </c>
      <c r="CB204" s="386">
        <f>SUMIFS(CB2:CB201,G2:G201,"SCAA",E2:E201,"0001",F2:F201,"00")</f>
        <v>0</v>
      </c>
      <c r="CC204" s="386">
        <f>SUMIFS(CC2:CC201,G2:G201,"SCAA",E2:E201,"0001",F2:F201,"00")</f>
        <v>0</v>
      </c>
      <c r="CD204" s="386">
        <f>SUMIFS(CD2:CD201,G2:G201,"SCAA",E2:E201,"0001",F2:F201,"00")</f>
        <v>-5109.1051680000064</v>
      </c>
      <c r="CE204" s="386">
        <f>SUMIFS(CE2:CE201,G2:G201,"SCAA",E2:E201,"0001",F2:F201,"00")</f>
        <v>0</v>
      </c>
      <c r="CF204" s="386">
        <f>SUMIFS(CF2:CF201,G2:G201,"SCAA",E2:E201,"0001",F2:F201,"00")</f>
        <v>0</v>
      </c>
      <c r="CG204" s="386">
        <f>SUMIFS(CG2:CG201,G2:G201,"SCAA",E2:E201,"0001",F2:F201,"00")</f>
        <v>0</v>
      </c>
      <c r="CH204" s="386">
        <f>SUMIFS(CH2:CH201,G2:G201,"SCAA",E2:E201,"0001",F2:F201,"00")</f>
        <v>67.225068000000022</v>
      </c>
      <c r="CI204" s="386">
        <f>SUMIFS(CI2:CI201,G2:G201,"SCAA",E2:E201,"0001",F2:F201,"00")</f>
        <v>0</v>
      </c>
      <c r="CJ204" s="386">
        <f>SUMIFS(CJ2:CJ201,G2:G201,"SCAA",E2:E201,"0001",F2:F201,"00")</f>
        <v>-4160.2048500000055</v>
      </c>
      <c r="CK204" s="386">
        <f>SUMIFS(CK2:CK201,G2:G201,"SCAA",E2:E201,"0001",F2:F201,"00")</f>
        <v>-881.67525000000114</v>
      </c>
      <c r="CL204" s="386">
        <f>SUMIFS(CL2:CL201,G2:G201,"SCAA",E2:E201,"0001",F2:F201,"00")</f>
        <v>0</v>
      </c>
      <c r="CM204" s="386">
        <f>SUMIFS(CM2:CM201,G2:G201,"SCAA",E2:E201,"0001",F2:F201,"00")</f>
        <v>0</v>
      </c>
    </row>
    <row r="205" spans="1:92" ht="18.75" x14ac:dyDescent="0.3">
      <c r="AQ205" s="392" t="s">
        <v>758</v>
      </c>
      <c r="AS205" s="393">
        <f t="shared" ref="AS205:CM205" si="257">SUM(AS204:AS204)</f>
        <v>6.7800000000000011</v>
      </c>
      <c r="AT205" s="393">
        <f t="shared" si="257"/>
        <v>1</v>
      </c>
      <c r="AU205" s="393">
        <f t="shared" si="257"/>
        <v>13.15</v>
      </c>
      <c r="AV205" s="393">
        <f t="shared" si="257"/>
        <v>1</v>
      </c>
      <c r="AW205" s="393">
        <f t="shared" si="257"/>
        <v>106</v>
      </c>
      <c r="AX205" s="393">
        <f t="shared" si="257"/>
        <v>1269162.1899999997</v>
      </c>
      <c r="AY205" s="393">
        <f t="shared" si="257"/>
        <v>554693.98</v>
      </c>
      <c r="AZ205" s="393">
        <f t="shared" si="257"/>
        <v>117556.7</v>
      </c>
      <c r="BA205" s="393">
        <f t="shared" si="257"/>
        <v>0</v>
      </c>
      <c r="BB205" s="393">
        <f t="shared" si="257"/>
        <v>90375</v>
      </c>
      <c r="BC205" s="393">
        <f t="shared" si="257"/>
        <v>12500</v>
      </c>
      <c r="BD205" s="393">
        <f t="shared" si="257"/>
        <v>41679.54215999999</v>
      </c>
      <c r="BE205" s="393">
        <f t="shared" si="257"/>
        <v>9747.6348600000019</v>
      </c>
      <c r="BF205" s="393">
        <f t="shared" si="257"/>
        <v>80266.731191999992</v>
      </c>
      <c r="BG205" s="393">
        <f t="shared" si="257"/>
        <v>4846.9274028</v>
      </c>
      <c r="BH205" s="393">
        <f t="shared" si="257"/>
        <v>0</v>
      </c>
      <c r="BI205" s="393">
        <f t="shared" si="257"/>
        <v>0</v>
      </c>
      <c r="BJ205" s="393">
        <f t="shared" si="257"/>
        <v>1210.0512240000003</v>
      </c>
      <c r="BK205" s="393">
        <f t="shared" si="257"/>
        <v>0</v>
      </c>
      <c r="BL205" s="393">
        <f t="shared" si="257"/>
        <v>113662.3434418</v>
      </c>
      <c r="BM205" s="393">
        <f t="shared" si="257"/>
        <v>24088.543397000001</v>
      </c>
      <c r="BN205" s="393">
        <f t="shared" si="257"/>
        <v>99412.5</v>
      </c>
      <c r="BO205" s="393">
        <f t="shared" si="257"/>
        <v>13750</v>
      </c>
      <c r="BP205" s="393">
        <f t="shared" si="257"/>
        <v>41679.54215999999</v>
      </c>
      <c r="BQ205" s="393">
        <f t="shared" si="257"/>
        <v>9747.6348600000019</v>
      </c>
      <c r="BR205" s="393">
        <f t="shared" si="257"/>
        <v>75157.626023999983</v>
      </c>
      <c r="BS205" s="393">
        <f t="shared" si="257"/>
        <v>4846.9274028</v>
      </c>
      <c r="BT205" s="393">
        <f t="shared" si="257"/>
        <v>0</v>
      </c>
      <c r="BU205" s="393">
        <f t="shared" si="257"/>
        <v>0</v>
      </c>
      <c r="BV205" s="393">
        <f t="shared" si="257"/>
        <v>1277.2762920000002</v>
      </c>
      <c r="BW205" s="393">
        <f t="shared" si="257"/>
        <v>0</v>
      </c>
      <c r="BX205" s="393">
        <f t="shared" si="257"/>
        <v>109502.1385918</v>
      </c>
      <c r="BY205" s="393">
        <f t="shared" si="257"/>
        <v>23206.868146999997</v>
      </c>
      <c r="BZ205" s="393">
        <f t="shared" si="257"/>
        <v>9037.5</v>
      </c>
      <c r="CA205" s="393">
        <f t="shared" si="257"/>
        <v>1250</v>
      </c>
      <c r="CB205" s="393">
        <f t="shared" si="257"/>
        <v>0</v>
      </c>
      <c r="CC205" s="393">
        <f t="shared" si="257"/>
        <v>0</v>
      </c>
      <c r="CD205" s="393">
        <f t="shared" si="257"/>
        <v>-5109.1051680000064</v>
      </c>
      <c r="CE205" s="393">
        <f t="shared" si="257"/>
        <v>0</v>
      </c>
      <c r="CF205" s="393">
        <f t="shared" si="257"/>
        <v>0</v>
      </c>
      <c r="CG205" s="393">
        <f t="shared" si="257"/>
        <v>0</v>
      </c>
      <c r="CH205" s="393">
        <f t="shared" si="257"/>
        <v>67.225068000000022</v>
      </c>
      <c r="CI205" s="393">
        <f t="shared" si="257"/>
        <v>0</v>
      </c>
      <c r="CJ205" s="393">
        <f t="shared" si="257"/>
        <v>-4160.2048500000055</v>
      </c>
      <c r="CK205" s="393">
        <f t="shared" si="257"/>
        <v>-881.67525000000114</v>
      </c>
      <c r="CL205" s="393">
        <f t="shared" si="257"/>
        <v>0</v>
      </c>
      <c r="CM205" s="393">
        <f t="shared" si="257"/>
        <v>0</v>
      </c>
    </row>
    <row r="206" spans="1:92" ht="15.75" thickBot="1" x14ac:dyDescent="0.3">
      <c r="AR206" t="s">
        <v>765</v>
      </c>
      <c r="AS206" s="386">
        <f>SUMIFS(AS2:AS201,G2:G201,"SCBA",E2:E201,"0001",F2:F201,"00",AT2:AT201,1)</f>
        <v>19.600000000000001</v>
      </c>
      <c r="AT206" s="386">
        <f>SUMIFS(AS2:AS201,G2:G201,"SCBA",E2:E201,"0001",F2:F201,"00",AT2:AT201,3)</f>
        <v>0</v>
      </c>
      <c r="AU206" s="386">
        <f>SUMIFS(AU2:AU201,G2:G201,"SCBA",E2:E201,"0001",F2:F201,"00")</f>
        <v>28</v>
      </c>
      <c r="AV206" s="386">
        <f>SUMIFS(AV2:AV201,G2:G201,"SCBA",E2:E201,"0001",F2:F201,"00")</f>
        <v>0</v>
      </c>
      <c r="AW206" s="386">
        <f>SUMIFS(AW2:AW201,G2:G201,"SCBA",E2:E201,"0001",F2:F201,"00")</f>
        <v>101</v>
      </c>
      <c r="AX206" s="386">
        <f>SUMIFS(AX2:AX201,G2:G201,"SCBA",E2:E201,"0001",F2:F201,"00")</f>
        <v>2214804.7699999996</v>
      </c>
      <c r="AY206" s="386">
        <f>SUMIFS(AY2:AY201,G2:G201,"SCBA",E2:E201,"0001",F2:F201,"00")</f>
        <v>1406692.7599999998</v>
      </c>
      <c r="AZ206" s="386">
        <f>SUMIFS(AZ2:AZ201,G2:G201,"SCBA",E2:E201,"0001",F2:F201,"00")</f>
        <v>0</v>
      </c>
      <c r="BA206" s="386">
        <f>SUMIFS(BA2:BA201,G2:G201,"SCBA",E2:E201,"0001",F2:F201,"00")</f>
        <v>0</v>
      </c>
      <c r="BB206" s="386">
        <f>SUMIFS(BB2:BB201,G2:G201,"SCBA",E2:E201,"0001",F2:F201,"00")</f>
        <v>245000</v>
      </c>
      <c r="BC206" s="386">
        <f>SUMIFS(BC2:BC201,G2:G201,"SCBA",E2:E201,"0001",F2:F201,"00")</f>
        <v>0</v>
      </c>
      <c r="BD206" s="386">
        <f>SUMIFS(BD2:BD201,G2:G201,"SCBA",E2:E201,"0001",F2:F201,"00")</f>
        <v>87214.951120000042</v>
      </c>
      <c r="BE206" s="386">
        <f>SUMIFS(BE2:BE201,G2:G201,"SCBA",E2:E201,"0001",F2:F201,"00")</f>
        <v>20397.045020000005</v>
      </c>
      <c r="BF206" s="386">
        <f>SUMIFS(BF2:BF201,G2:G201,"SCBA",E2:E201,"0001",F2:F201,"00")</f>
        <v>167959.115544</v>
      </c>
      <c r="BG206" s="386">
        <f>SUMIFS(BG2:BG201,G2:G201,"SCBA",E2:E201,"0001",F2:F201,"00")</f>
        <v>10142.254799599999</v>
      </c>
      <c r="BH206" s="386">
        <f>SUMIFS(BH2:BH201,G2:G201,"SCBA",E2:E201,"0001",F2:F201,"00")</f>
        <v>0</v>
      </c>
      <c r="BI206" s="386">
        <f>SUMIFS(BI2:BI201,G2:G201,"SCBA",E2:E201,"0001",F2:F201,"00")</f>
        <v>0</v>
      </c>
      <c r="BJ206" s="386">
        <f>SUMIFS(BJ2:BJ201,G2:G201,"SCBA",E2:E201,"0001",F2:F201,"00")</f>
        <v>2532.0469679999992</v>
      </c>
      <c r="BK206" s="386">
        <f>SUMIFS(BK2:BK201,G2:G201,"SCBA",E2:E201,"0001",F2:F201,"00")</f>
        <v>0</v>
      </c>
      <c r="BL206" s="386">
        <f>SUMIFS(BL2:BL201,G2:G201,"SCBA",E2:E201,"0001",F2:F201,"00")</f>
        <v>288245.4134516</v>
      </c>
      <c r="BM206" s="386">
        <f>SUMIFS(BM2:BM201,G2:G201,"SCBA",E2:E201,"0001",F2:F201,"00")</f>
        <v>0</v>
      </c>
      <c r="BN206" s="386">
        <f>SUMIFS(BN2:BN201,G2:G201,"SCBA",E2:E201,"0001",F2:F201,"00")</f>
        <v>269500</v>
      </c>
      <c r="BO206" s="386">
        <f>SUMIFS(BO2:BO201,G2:G201,"SCBA",E2:E201,"0001",F2:F201,"00")</f>
        <v>0</v>
      </c>
      <c r="BP206" s="386">
        <f>SUMIFS(BP2:BP201,G2:G201,"SCBA",E2:E201,"0001",F2:F201,"00")</f>
        <v>87214.951120000042</v>
      </c>
      <c r="BQ206" s="386">
        <f>SUMIFS(BQ2:BQ201,G2:G201,"SCBA",E2:E201,"0001",F2:F201,"00")</f>
        <v>20397.045020000005</v>
      </c>
      <c r="BR206" s="386">
        <f>SUMIFS(BR2:BR201,G2:G201,"SCBA",E2:E201,"0001",F2:F201,"00")</f>
        <v>157268.25056800002</v>
      </c>
      <c r="BS206" s="386">
        <f>SUMIFS(BS2:BS201,G2:G201,"SCBA",E2:E201,"0001",F2:F201,"00")</f>
        <v>10142.254799599999</v>
      </c>
      <c r="BT206" s="386">
        <f>SUMIFS(BT2:BT201,G2:G201,"SCBA",E2:E201,"0001",F2:F201,"00")</f>
        <v>0</v>
      </c>
      <c r="BU206" s="386">
        <f>SUMIFS(BU2:BU201,G2:G201,"SCBA",E2:E201,"0001",F2:F201,"00")</f>
        <v>0</v>
      </c>
      <c r="BV206" s="386">
        <f>SUMIFS(BV2:BV201,G2:G201,"SCBA",E2:E201,"0001",F2:F201,"00")</f>
        <v>2672.7162440000002</v>
      </c>
      <c r="BW206" s="386">
        <f>SUMIFS(BW2:BW201,G2:G201,"SCBA",E2:E201,"0001",F2:F201,"00")</f>
        <v>0</v>
      </c>
      <c r="BX206" s="386">
        <f>SUMIFS(BX2:BX201,G2:G201,"SCBA",E2:E201,"0001",F2:F201,"00")</f>
        <v>277695.21775159996</v>
      </c>
      <c r="BY206" s="386">
        <f>SUMIFS(BY2:BY201,G2:G201,"SCBA",E2:E201,"0001",F2:F201,"00")</f>
        <v>0</v>
      </c>
      <c r="BZ206" s="386">
        <f>SUMIFS(BZ2:BZ201,G2:G201,"SCBA",E2:E201,"0001",F2:F201,"00")</f>
        <v>24500</v>
      </c>
      <c r="CA206" s="386">
        <f>SUMIFS(CA2:CA201,G2:G201,"SCBA",E2:E201,"0001",F2:F201,"00")</f>
        <v>0</v>
      </c>
      <c r="CB206" s="386">
        <f>SUMIFS(CB2:CB201,G2:G201,"SCBA",E2:E201,"0001",F2:F201,"00")</f>
        <v>0</v>
      </c>
      <c r="CC206" s="386">
        <f>SUMIFS(CC2:CC201,G2:G201,"SCBA",E2:E201,"0001",F2:F201,"00")</f>
        <v>0</v>
      </c>
      <c r="CD206" s="386">
        <f>SUMIFS(CD2:CD201,G2:G201,"SCBA",E2:E201,"0001",F2:F201,"00")</f>
        <v>-10690.864976000013</v>
      </c>
      <c r="CE206" s="386">
        <f>SUMIFS(CE2:CE201,G2:G201,"SCBA",E2:E201,"0001",F2:F201,"00")</f>
        <v>0</v>
      </c>
      <c r="CF206" s="386">
        <f>SUMIFS(CF2:CF201,G2:G201,"SCBA",E2:E201,"0001",F2:F201,"00")</f>
        <v>0</v>
      </c>
      <c r="CG206" s="386">
        <f>SUMIFS(CG2:CG201,G2:G201,"SCBA",E2:E201,"0001",F2:F201,"00")</f>
        <v>0</v>
      </c>
      <c r="CH206" s="386">
        <f>SUMIFS(CH2:CH201,G2:G201,"SCBA",E2:E201,"0001",F2:F201,"00")</f>
        <v>140.66927600000005</v>
      </c>
      <c r="CI206" s="386">
        <f>SUMIFS(CI2:CI201,G2:G201,"SCBA",E2:E201,"0001",F2:F201,"00")</f>
        <v>0</v>
      </c>
      <c r="CJ206" s="386">
        <f>SUMIFS(CJ2:CJ201,G2:G201,"SCBA",E2:E201,"0001",F2:F201,"00")</f>
        <v>-10550.195700000015</v>
      </c>
      <c r="CK206" s="386">
        <f>SUMIFS(CK2:CK201,G2:G201,"SCBA",E2:E201,"0001",F2:F201,"00")</f>
        <v>0</v>
      </c>
      <c r="CL206" s="386">
        <f>SUMIFS(CL2:CL201,G2:G201,"SCBA",E2:E201,"0001",F2:F201,"00")</f>
        <v>0</v>
      </c>
      <c r="CM206" s="386">
        <f>SUMIFS(CM2:CM201,G2:G201,"SCBA",E2:E201,"0001",F2:F201,"00")</f>
        <v>0</v>
      </c>
    </row>
    <row r="207" spans="1:92" ht="18.75" x14ac:dyDescent="0.3">
      <c r="AQ207" s="392" t="s">
        <v>766</v>
      </c>
      <c r="AS207" s="393">
        <f t="shared" ref="AS207:CM207" si="258">SUM(AS206:AS206)</f>
        <v>19.600000000000001</v>
      </c>
      <c r="AT207" s="393">
        <f t="shared" si="258"/>
        <v>0</v>
      </c>
      <c r="AU207" s="393">
        <f t="shared" si="258"/>
        <v>28</v>
      </c>
      <c r="AV207" s="393">
        <f t="shared" si="258"/>
        <v>0</v>
      </c>
      <c r="AW207" s="393">
        <f t="shared" si="258"/>
        <v>101</v>
      </c>
      <c r="AX207" s="393">
        <f t="shared" si="258"/>
        <v>2214804.7699999996</v>
      </c>
      <c r="AY207" s="393">
        <f t="shared" si="258"/>
        <v>1406692.7599999998</v>
      </c>
      <c r="AZ207" s="393">
        <f t="shared" si="258"/>
        <v>0</v>
      </c>
      <c r="BA207" s="393">
        <f t="shared" si="258"/>
        <v>0</v>
      </c>
      <c r="BB207" s="393">
        <f t="shared" si="258"/>
        <v>245000</v>
      </c>
      <c r="BC207" s="393">
        <f t="shared" si="258"/>
        <v>0</v>
      </c>
      <c r="BD207" s="393">
        <f t="shared" si="258"/>
        <v>87214.951120000042</v>
      </c>
      <c r="BE207" s="393">
        <f t="shared" si="258"/>
        <v>20397.045020000005</v>
      </c>
      <c r="BF207" s="393">
        <f t="shared" si="258"/>
        <v>167959.115544</v>
      </c>
      <c r="BG207" s="393">
        <f t="shared" si="258"/>
        <v>10142.254799599999</v>
      </c>
      <c r="BH207" s="393">
        <f t="shared" si="258"/>
        <v>0</v>
      </c>
      <c r="BI207" s="393">
        <f t="shared" si="258"/>
        <v>0</v>
      </c>
      <c r="BJ207" s="393">
        <f t="shared" si="258"/>
        <v>2532.0469679999992</v>
      </c>
      <c r="BK207" s="393">
        <f t="shared" si="258"/>
        <v>0</v>
      </c>
      <c r="BL207" s="393">
        <f t="shared" si="258"/>
        <v>288245.4134516</v>
      </c>
      <c r="BM207" s="393">
        <f t="shared" si="258"/>
        <v>0</v>
      </c>
      <c r="BN207" s="393">
        <f t="shared" si="258"/>
        <v>269500</v>
      </c>
      <c r="BO207" s="393">
        <f t="shared" si="258"/>
        <v>0</v>
      </c>
      <c r="BP207" s="393">
        <f t="shared" si="258"/>
        <v>87214.951120000042</v>
      </c>
      <c r="BQ207" s="393">
        <f t="shared" si="258"/>
        <v>20397.045020000005</v>
      </c>
      <c r="BR207" s="393">
        <f t="shared" si="258"/>
        <v>157268.25056800002</v>
      </c>
      <c r="BS207" s="393">
        <f t="shared" si="258"/>
        <v>10142.254799599999</v>
      </c>
      <c r="BT207" s="393">
        <f t="shared" si="258"/>
        <v>0</v>
      </c>
      <c r="BU207" s="393">
        <f t="shared" si="258"/>
        <v>0</v>
      </c>
      <c r="BV207" s="393">
        <f t="shared" si="258"/>
        <v>2672.7162440000002</v>
      </c>
      <c r="BW207" s="393">
        <f t="shared" si="258"/>
        <v>0</v>
      </c>
      <c r="BX207" s="393">
        <f t="shared" si="258"/>
        <v>277695.21775159996</v>
      </c>
      <c r="BY207" s="393">
        <f t="shared" si="258"/>
        <v>0</v>
      </c>
      <c r="BZ207" s="393">
        <f t="shared" si="258"/>
        <v>24500</v>
      </c>
      <c r="CA207" s="393">
        <f t="shared" si="258"/>
        <v>0</v>
      </c>
      <c r="CB207" s="393">
        <f t="shared" si="258"/>
        <v>0</v>
      </c>
      <c r="CC207" s="393">
        <f t="shared" si="258"/>
        <v>0</v>
      </c>
      <c r="CD207" s="393">
        <f t="shared" si="258"/>
        <v>-10690.864976000013</v>
      </c>
      <c r="CE207" s="393">
        <f t="shared" si="258"/>
        <v>0</v>
      </c>
      <c r="CF207" s="393">
        <f t="shared" si="258"/>
        <v>0</v>
      </c>
      <c r="CG207" s="393">
        <f t="shared" si="258"/>
        <v>0</v>
      </c>
      <c r="CH207" s="393">
        <f t="shared" si="258"/>
        <v>140.66927600000005</v>
      </c>
      <c r="CI207" s="393">
        <f t="shared" si="258"/>
        <v>0</v>
      </c>
      <c r="CJ207" s="393">
        <f t="shared" si="258"/>
        <v>-10550.195700000015</v>
      </c>
      <c r="CK207" s="393">
        <f t="shared" si="258"/>
        <v>0</v>
      </c>
      <c r="CL207" s="393">
        <f t="shared" si="258"/>
        <v>0</v>
      </c>
      <c r="CM207" s="393">
        <f t="shared" si="258"/>
        <v>0</v>
      </c>
    </row>
    <row r="208" spans="1:92" ht="15.75" thickBot="1" x14ac:dyDescent="0.3">
      <c r="AR208" t="s">
        <v>769</v>
      </c>
      <c r="AS208" s="386">
        <f>SUMIFS(AS2:AS201,G2:G201,"SCBA",E2:E201,"0126",F2:F201,"00",AT2:AT201,1)</f>
        <v>0</v>
      </c>
      <c r="AT208" s="386">
        <f>SUMIFS(AS2:AS201,G2:G201,"SCBA",E2:E201,"0126",F2:F201,"00",AT2:AT201,3)</f>
        <v>0</v>
      </c>
      <c r="AU208" s="386">
        <f>SUMIFS(AU2:AU201,G2:G201,"SCBA",E2:E201,"0126",F2:F201,"00")</f>
        <v>0</v>
      </c>
      <c r="AV208" s="386">
        <f>SUMIFS(AV2:AV201,G2:G201,"SCBA",E2:E201,"0126",F2:F201,"00")</f>
        <v>0</v>
      </c>
      <c r="AW208" s="386">
        <f>SUMIFS(AW2:AW201,G2:G201,"SCBA",E2:E201,"0126",F2:F201,"00")</f>
        <v>0</v>
      </c>
      <c r="AX208" s="386">
        <f>SUMIFS(AX2:AX201,G2:G201,"SCBA",E2:E201,"0126",F2:F201,"00")</f>
        <v>0</v>
      </c>
      <c r="AY208" s="386">
        <f>SUMIFS(AY2:AY201,G2:G201,"SCBA",E2:E201,"0126",F2:F201,"00")</f>
        <v>0</v>
      </c>
      <c r="AZ208" s="386">
        <f>SUMIFS(AZ2:AZ201,G2:G201,"SCBA",E2:E201,"0126",F2:F201,"00")</f>
        <v>0</v>
      </c>
      <c r="BA208" s="386">
        <f>SUMIFS(BA2:BA201,G2:G201,"SCBA",E2:E201,"0126",F2:F201,"00")</f>
        <v>0</v>
      </c>
      <c r="BB208" s="386">
        <f>SUMIFS(BB2:BB201,G2:G201,"SCBA",E2:E201,"0126",F2:F201,"00")</f>
        <v>0</v>
      </c>
      <c r="BC208" s="386">
        <f>SUMIFS(BC2:BC201,G2:G201,"SCBA",E2:E201,"0126",F2:F201,"00")</f>
        <v>0</v>
      </c>
      <c r="BD208" s="386">
        <f>SUMIFS(BD2:BD201,G2:G201,"SCBA",E2:E201,"0126",F2:F201,"00")</f>
        <v>0</v>
      </c>
      <c r="BE208" s="386">
        <f>SUMIFS(BE2:BE201,G2:G201,"SCBA",E2:E201,"0126",F2:F201,"00")</f>
        <v>0</v>
      </c>
      <c r="BF208" s="386">
        <f>SUMIFS(BF2:BF201,G2:G201,"SCBA",E2:E201,"0126",F2:F201,"00")</f>
        <v>0</v>
      </c>
      <c r="BG208" s="386">
        <f>SUMIFS(BG2:BG201,G2:G201,"SCBA",E2:E201,"0126",F2:F201,"00")</f>
        <v>0</v>
      </c>
      <c r="BH208" s="386">
        <f>SUMIFS(BH2:BH201,G2:G201,"SCBA",E2:E201,"0126",F2:F201,"00")</f>
        <v>0</v>
      </c>
      <c r="BI208" s="386">
        <f>SUMIFS(BI2:BI201,G2:G201,"SCBA",E2:E201,"0126",F2:F201,"00")</f>
        <v>0</v>
      </c>
      <c r="BJ208" s="386">
        <f>SUMIFS(BJ2:BJ201,G2:G201,"SCBA",E2:E201,"0126",F2:F201,"00")</f>
        <v>0</v>
      </c>
      <c r="BK208" s="386">
        <f>SUMIFS(BK2:BK201,G2:G201,"SCBA",E2:E201,"0126",F2:F201,"00")</f>
        <v>0</v>
      </c>
      <c r="BL208" s="386">
        <f>SUMIFS(BL2:BL201,G2:G201,"SCBA",E2:E201,"0126",F2:F201,"00")</f>
        <v>0</v>
      </c>
      <c r="BM208" s="386">
        <f>SUMIFS(BM2:BM201,G2:G201,"SCBA",E2:E201,"0126",F2:F201,"00")</f>
        <v>0</v>
      </c>
      <c r="BN208" s="386">
        <f>SUMIFS(BN2:BN201,G2:G201,"SCBA",E2:E201,"0126",F2:F201,"00")</f>
        <v>0</v>
      </c>
      <c r="BO208" s="386">
        <f>SUMIFS(BO2:BO201,G2:G201,"SCBA",E2:E201,"0126",F2:F201,"00")</f>
        <v>0</v>
      </c>
      <c r="BP208" s="386">
        <f>SUMIFS(BP2:BP201,G2:G201,"SCBA",E2:E201,"0126",F2:F201,"00")</f>
        <v>0</v>
      </c>
      <c r="BQ208" s="386">
        <f>SUMIFS(BQ2:BQ201,G2:G201,"SCBA",E2:E201,"0126",F2:F201,"00")</f>
        <v>0</v>
      </c>
      <c r="BR208" s="386">
        <f>SUMIFS(BR2:BR201,G2:G201,"SCBA",E2:E201,"0126",F2:F201,"00")</f>
        <v>0</v>
      </c>
      <c r="BS208" s="386">
        <f>SUMIFS(BS2:BS201,G2:G201,"SCBA",E2:E201,"0126",F2:F201,"00")</f>
        <v>0</v>
      </c>
      <c r="BT208" s="386">
        <f>SUMIFS(BT2:BT201,G2:G201,"SCBA",E2:E201,"0126",F2:F201,"00")</f>
        <v>0</v>
      </c>
      <c r="BU208" s="386">
        <f>SUMIFS(BU2:BU201,G2:G201,"SCBA",E2:E201,"0126",F2:F201,"00")</f>
        <v>0</v>
      </c>
      <c r="BV208" s="386">
        <f>SUMIFS(BV2:BV201,G2:G201,"SCBA",E2:E201,"0126",F2:F201,"00")</f>
        <v>0</v>
      </c>
      <c r="BW208" s="386">
        <f>SUMIFS(BW2:BW201,G2:G201,"SCBA",E2:E201,"0126",F2:F201,"00")</f>
        <v>0</v>
      </c>
      <c r="BX208" s="386">
        <f>SUMIFS(BX2:BX201,G2:G201,"SCBA",E2:E201,"0126",F2:F201,"00")</f>
        <v>0</v>
      </c>
      <c r="BY208" s="386">
        <f>SUMIFS(BY2:BY201,G2:G201,"SCBA",E2:E201,"0126",F2:F201,"00")</f>
        <v>0</v>
      </c>
      <c r="BZ208" s="386">
        <f>SUMIFS(BZ2:BZ201,G2:G201,"SCBA",E2:E201,"0126",F2:F201,"00")</f>
        <v>0</v>
      </c>
      <c r="CA208" s="386">
        <f>SUMIFS(CA2:CA201,G2:G201,"SCBA",E2:E201,"0126",F2:F201,"00")</f>
        <v>0</v>
      </c>
      <c r="CB208" s="386">
        <f>SUMIFS(CB2:CB201,G2:G201,"SCBA",E2:E201,"0126",F2:F201,"00")</f>
        <v>0</v>
      </c>
      <c r="CC208" s="386">
        <f>SUMIFS(CC2:CC201,G2:G201,"SCBA",E2:E201,"0126",F2:F201,"00")</f>
        <v>0</v>
      </c>
      <c r="CD208" s="386">
        <f>SUMIFS(CD2:CD201,G2:G201,"SCBA",E2:E201,"0126",F2:F201,"00")</f>
        <v>0</v>
      </c>
      <c r="CE208" s="386">
        <f>SUMIFS(CE2:CE201,G2:G201,"SCBA",E2:E201,"0126",F2:F201,"00")</f>
        <v>0</v>
      </c>
      <c r="CF208" s="386">
        <f>SUMIFS(CF2:CF201,G2:G201,"SCBA",E2:E201,"0126",F2:F201,"00")</f>
        <v>0</v>
      </c>
      <c r="CG208" s="386">
        <f>SUMIFS(CG2:CG201,G2:G201,"SCBA",E2:E201,"0126",F2:F201,"00")</f>
        <v>0</v>
      </c>
      <c r="CH208" s="386">
        <f>SUMIFS(CH2:CH201,G2:G201,"SCBA",E2:E201,"0126",F2:F201,"00")</f>
        <v>0</v>
      </c>
      <c r="CI208" s="386">
        <f>SUMIFS(CI2:CI201,G2:G201,"SCBA",E2:E201,"0126",F2:F201,"00")</f>
        <v>0</v>
      </c>
      <c r="CJ208" s="386">
        <f>SUMIFS(CJ2:CJ201,G2:G201,"SCBA",E2:E201,"0126",F2:F201,"00")</f>
        <v>0</v>
      </c>
      <c r="CK208" s="386">
        <f>SUMIFS(CK2:CK201,G2:G201,"SCBA",E2:E201,"0126",F2:F201,"00")</f>
        <v>0</v>
      </c>
      <c r="CL208" s="386">
        <f>SUMIFS(CL2:CL201,G2:G201,"SCBA",E2:E201,"0126",F2:F201,"00")</f>
        <v>0</v>
      </c>
      <c r="CM208" s="386">
        <f>SUMIFS(CM2:CM201,G2:G201,"SCBA",E2:E201,"0126",F2:F201,"00")</f>
        <v>0</v>
      </c>
    </row>
    <row r="209" spans="41:91" ht="18.75" x14ac:dyDescent="0.3">
      <c r="AQ209" s="392" t="s">
        <v>770</v>
      </c>
      <c r="AS209" s="393">
        <f t="shared" ref="AS209:CM209" si="259">SUM(AS208:AS208)</f>
        <v>0</v>
      </c>
      <c r="AT209" s="393">
        <f t="shared" si="259"/>
        <v>0</v>
      </c>
      <c r="AU209" s="393">
        <f t="shared" si="259"/>
        <v>0</v>
      </c>
      <c r="AV209" s="393">
        <f t="shared" si="259"/>
        <v>0</v>
      </c>
      <c r="AW209" s="393">
        <f t="shared" si="259"/>
        <v>0</v>
      </c>
      <c r="AX209" s="393">
        <f t="shared" si="259"/>
        <v>0</v>
      </c>
      <c r="AY209" s="393">
        <f t="shared" si="259"/>
        <v>0</v>
      </c>
      <c r="AZ209" s="393">
        <f t="shared" si="259"/>
        <v>0</v>
      </c>
      <c r="BA209" s="393">
        <f t="shared" si="259"/>
        <v>0</v>
      </c>
      <c r="BB209" s="393">
        <f t="shared" si="259"/>
        <v>0</v>
      </c>
      <c r="BC209" s="393">
        <f t="shared" si="259"/>
        <v>0</v>
      </c>
      <c r="BD209" s="393">
        <f t="shared" si="259"/>
        <v>0</v>
      </c>
      <c r="BE209" s="393">
        <f t="shared" si="259"/>
        <v>0</v>
      </c>
      <c r="BF209" s="393">
        <f t="shared" si="259"/>
        <v>0</v>
      </c>
      <c r="BG209" s="393">
        <f t="shared" si="259"/>
        <v>0</v>
      </c>
      <c r="BH209" s="393">
        <f t="shared" si="259"/>
        <v>0</v>
      </c>
      <c r="BI209" s="393">
        <f t="shared" si="259"/>
        <v>0</v>
      </c>
      <c r="BJ209" s="393">
        <f t="shared" si="259"/>
        <v>0</v>
      </c>
      <c r="BK209" s="393">
        <f t="shared" si="259"/>
        <v>0</v>
      </c>
      <c r="BL209" s="393">
        <f t="shared" si="259"/>
        <v>0</v>
      </c>
      <c r="BM209" s="393">
        <f t="shared" si="259"/>
        <v>0</v>
      </c>
      <c r="BN209" s="393">
        <f t="shared" si="259"/>
        <v>0</v>
      </c>
      <c r="BO209" s="393">
        <f t="shared" si="259"/>
        <v>0</v>
      </c>
      <c r="BP209" s="393">
        <f t="shared" si="259"/>
        <v>0</v>
      </c>
      <c r="BQ209" s="393">
        <f t="shared" si="259"/>
        <v>0</v>
      </c>
      <c r="BR209" s="393">
        <f t="shared" si="259"/>
        <v>0</v>
      </c>
      <c r="BS209" s="393">
        <f t="shared" si="259"/>
        <v>0</v>
      </c>
      <c r="BT209" s="393">
        <f t="shared" si="259"/>
        <v>0</v>
      </c>
      <c r="BU209" s="393">
        <f t="shared" si="259"/>
        <v>0</v>
      </c>
      <c r="BV209" s="393">
        <f t="shared" si="259"/>
        <v>0</v>
      </c>
      <c r="BW209" s="393">
        <f t="shared" si="259"/>
        <v>0</v>
      </c>
      <c r="BX209" s="393">
        <f t="shared" si="259"/>
        <v>0</v>
      </c>
      <c r="BY209" s="393">
        <f t="shared" si="259"/>
        <v>0</v>
      </c>
      <c r="BZ209" s="393">
        <f t="shared" si="259"/>
        <v>0</v>
      </c>
      <c r="CA209" s="393">
        <f t="shared" si="259"/>
        <v>0</v>
      </c>
      <c r="CB209" s="393">
        <f t="shared" si="259"/>
        <v>0</v>
      </c>
      <c r="CC209" s="393">
        <f t="shared" si="259"/>
        <v>0</v>
      </c>
      <c r="CD209" s="393">
        <f t="shared" si="259"/>
        <v>0</v>
      </c>
      <c r="CE209" s="393">
        <f t="shared" si="259"/>
        <v>0</v>
      </c>
      <c r="CF209" s="393">
        <f t="shared" si="259"/>
        <v>0</v>
      </c>
      <c r="CG209" s="393">
        <f t="shared" si="259"/>
        <v>0</v>
      </c>
      <c r="CH209" s="393">
        <f t="shared" si="259"/>
        <v>0</v>
      </c>
      <c r="CI209" s="393">
        <f t="shared" si="259"/>
        <v>0</v>
      </c>
      <c r="CJ209" s="393">
        <f t="shared" si="259"/>
        <v>0</v>
      </c>
      <c r="CK209" s="393">
        <f t="shared" si="259"/>
        <v>0</v>
      </c>
      <c r="CL209" s="393">
        <f t="shared" si="259"/>
        <v>0</v>
      </c>
      <c r="CM209" s="393">
        <f t="shared" si="259"/>
        <v>0</v>
      </c>
    </row>
    <row r="210" spans="41:91" ht="15.75" thickBot="1" x14ac:dyDescent="0.3">
      <c r="AR210" t="s">
        <v>775</v>
      </c>
      <c r="AS210" s="386">
        <f>SUMIFS(AS2:AS201,G2:G201,"SCBI",E2:E201,"0126",F2:F201,"00",AT2:AT201,1)</f>
        <v>4.95</v>
      </c>
      <c r="AT210" s="386">
        <f>SUMIFS(AS2:AS201,G2:G201,"SCBI",E2:E201,"0126",F2:F201,"00",AT2:AT201,3)</f>
        <v>0</v>
      </c>
      <c r="AU210" s="386">
        <f>SUMIFS(AU2:AU201,G2:G201,"SCBI",E2:E201,"0126",F2:F201,"00")</f>
        <v>6</v>
      </c>
      <c r="AV210" s="386">
        <f>SUMIFS(AV2:AV201,G2:G201,"SCBI",E2:E201,"0126",F2:F201,"00")</f>
        <v>0</v>
      </c>
      <c r="AW210" s="386">
        <f>SUMIFS(AW2:AW201,G2:G201,"SCBI",E2:E201,"0126",F2:F201,"00")</f>
        <v>115</v>
      </c>
      <c r="AX210" s="386">
        <f>SUMIFS(AX2:AX201,G2:G201,"SCBI",E2:E201,"0126",F2:F201,"00")</f>
        <v>491129.57</v>
      </c>
      <c r="AY210" s="386">
        <f>SUMIFS(AY2:AY201,G2:G201,"SCBI",E2:E201,"0126",F2:F201,"00")</f>
        <v>421556.72</v>
      </c>
      <c r="AZ210" s="386">
        <f>SUMIFS(AZ2:AZ201,G2:G201,"SCBI",E2:E201,"0126",F2:F201,"00")</f>
        <v>0</v>
      </c>
      <c r="BA210" s="386">
        <f>SUMIFS(BA2:BA201,G2:G201,"SCBI",E2:E201,"0126",F2:F201,"00")</f>
        <v>0</v>
      </c>
      <c r="BB210" s="386">
        <f>SUMIFS(BB2:BB201,G2:G201,"SCBI",E2:E201,"0126",F2:F201,"00")</f>
        <v>61875</v>
      </c>
      <c r="BC210" s="386">
        <f>SUMIFS(BC2:BC201,G2:G201,"SCBI",E2:E201,"0126",F2:F201,"00")</f>
        <v>0</v>
      </c>
      <c r="BD210" s="386">
        <f>SUMIFS(BD2:BD201,G2:G201,"SCBI",E2:E201,"0126",F2:F201,"00")</f>
        <v>26136.516640000002</v>
      </c>
      <c r="BE210" s="386">
        <f>SUMIFS(BE2:BE201,G2:G201,"SCBI",E2:E201,"0126",F2:F201,"00")</f>
        <v>6112.5724399999999</v>
      </c>
      <c r="BF210" s="386">
        <f>SUMIFS(BF2:BF201,G2:G201,"SCBI",E2:E201,"0126",F2:F201,"00")</f>
        <v>50333.872368000004</v>
      </c>
      <c r="BG210" s="386">
        <f>SUMIFS(BG2:BG201,G2:G201,"SCBI",E2:E201,"0126",F2:F201,"00")</f>
        <v>3039.4239511999999</v>
      </c>
      <c r="BH210" s="386">
        <f>SUMIFS(BH2:BH201,G2:G201,"SCBI",E2:E201,"0126",F2:F201,"00")</f>
        <v>0</v>
      </c>
      <c r="BI210" s="386">
        <f>SUMIFS(BI2:BI201,G2:G201,"SCBI",E2:E201,"0126",F2:F201,"00")</f>
        <v>0</v>
      </c>
      <c r="BJ210" s="386">
        <f>SUMIFS(BJ2:BJ201,G2:G201,"SCBI",E2:E201,"0126",F2:F201,"00")</f>
        <v>758.80209600000001</v>
      </c>
      <c r="BK210" s="386">
        <f>SUMIFS(BK2:BK201,G2:G201,"SCBI",E2:E201,"0126",F2:F201,"00")</f>
        <v>0</v>
      </c>
      <c r="BL210" s="386">
        <f>SUMIFS(BL2:BL201,G2:G201,"SCBI",E2:E201,"0126",F2:F201,"00")</f>
        <v>86381.187495199993</v>
      </c>
      <c r="BM210" s="386">
        <f>SUMIFS(BM2:BM201,G2:G201,"SCBI",E2:E201,"0126",F2:F201,"00")</f>
        <v>0</v>
      </c>
      <c r="BN210" s="386">
        <f>SUMIFS(BN2:BN201,G2:G201,"SCBI",E2:E201,"0126",F2:F201,"00")</f>
        <v>68062.5</v>
      </c>
      <c r="BO210" s="386">
        <f>SUMIFS(BO2:BO201,G2:G201,"SCBI",E2:E201,"0126",F2:F201,"00")</f>
        <v>0</v>
      </c>
      <c r="BP210" s="386">
        <f>SUMIFS(BP2:BP201,G2:G201,"SCBI",E2:E201,"0126",F2:F201,"00")</f>
        <v>26136.516640000002</v>
      </c>
      <c r="BQ210" s="386">
        <f>SUMIFS(BQ2:BQ201,G2:G201,"SCBI",E2:E201,"0126",F2:F201,"00")</f>
        <v>6112.5724399999999</v>
      </c>
      <c r="BR210" s="386">
        <f>SUMIFS(BR2:BR201,G2:G201,"SCBI",E2:E201,"0126",F2:F201,"00")</f>
        <v>47130.041295999996</v>
      </c>
      <c r="BS210" s="386">
        <f>SUMIFS(BS2:BS201,G2:G201,"SCBI",E2:E201,"0126",F2:F201,"00")</f>
        <v>3039.4239511999999</v>
      </c>
      <c r="BT210" s="386">
        <f>SUMIFS(BT2:BT201,G2:G201,"SCBI",E2:E201,"0126",F2:F201,"00")</f>
        <v>0</v>
      </c>
      <c r="BU210" s="386">
        <f>SUMIFS(BU2:BU201,G2:G201,"SCBI",E2:E201,"0126",F2:F201,"00")</f>
        <v>0</v>
      </c>
      <c r="BV210" s="386">
        <f>SUMIFS(BV2:BV201,G2:G201,"SCBI",E2:E201,"0126",F2:F201,"00")</f>
        <v>800.95776799999999</v>
      </c>
      <c r="BW210" s="386">
        <f>SUMIFS(BW2:BW201,G2:G201,"SCBI",E2:E201,"0126",F2:F201,"00")</f>
        <v>0</v>
      </c>
      <c r="BX210" s="386">
        <f>SUMIFS(BX2:BX201,G2:G201,"SCBI",E2:E201,"0126",F2:F201,"00")</f>
        <v>83219.512095200014</v>
      </c>
      <c r="BY210" s="386">
        <f>SUMIFS(BY2:BY201,G2:G201,"SCBI",E2:E201,"0126",F2:F201,"00")</f>
        <v>0</v>
      </c>
      <c r="BZ210" s="386">
        <f>SUMIFS(BZ2:BZ201,G2:G201,"SCBI",E2:E201,"0126",F2:F201,"00")</f>
        <v>6187.5</v>
      </c>
      <c r="CA210" s="386">
        <f>SUMIFS(CA2:CA201,G2:G201,"SCBI",E2:E201,"0126",F2:F201,"00")</f>
        <v>0</v>
      </c>
      <c r="CB210" s="386">
        <f>SUMIFS(CB2:CB201,G2:G201,"SCBI",E2:E201,"0126",F2:F201,"00")</f>
        <v>0</v>
      </c>
      <c r="CC210" s="386">
        <f>SUMIFS(CC2:CC201,G2:G201,"SCBI",E2:E201,"0126",F2:F201,"00")</f>
        <v>0</v>
      </c>
      <c r="CD210" s="386">
        <f>SUMIFS(CD2:CD201,G2:G201,"SCBI",E2:E201,"0126",F2:F201,"00")</f>
        <v>-3203.8310720000036</v>
      </c>
      <c r="CE210" s="386">
        <f>SUMIFS(CE2:CE201,G2:G201,"SCBI",E2:E201,"0126",F2:F201,"00")</f>
        <v>0</v>
      </c>
      <c r="CF210" s="386">
        <f>SUMIFS(CF2:CF201,G2:G201,"SCBI",E2:E201,"0126",F2:F201,"00")</f>
        <v>0</v>
      </c>
      <c r="CG210" s="386">
        <f>SUMIFS(CG2:CG201,G2:G201,"SCBI",E2:E201,"0126",F2:F201,"00")</f>
        <v>0</v>
      </c>
      <c r="CH210" s="386">
        <f>SUMIFS(CH2:CH201,G2:G201,"SCBI",E2:E201,"0126",F2:F201,"00")</f>
        <v>42.155672000000017</v>
      </c>
      <c r="CI210" s="386">
        <f>SUMIFS(CI2:CI201,G2:G201,"SCBI",E2:E201,"0126",F2:F201,"00")</f>
        <v>0</v>
      </c>
      <c r="CJ210" s="386">
        <f>SUMIFS(CJ2:CJ201,G2:G201,"SCBI",E2:E201,"0126",F2:F201,"00")</f>
        <v>-3161.6754000000037</v>
      </c>
      <c r="CK210" s="386">
        <f>SUMIFS(CK2:CK201,G2:G201,"SCBI",E2:E201,"0126",F2:F201,"00")</f>
        <v>0</v>
      </c>
      <c r="CL210" s="386">
        <f>SUMIFS(CL2:CL201,G2:G201,"SCBI",E2:E201,"0126",F2:F201,"00")</f>
        <v>1352966.46</v>
      </c>
      <c r="CM210" s="386">
        <f>SUMIFS(CM2:CM201,G2:G201,"SCBI",E2:E201,"0126",F2:F201,"00")</f>
        <v>463457.76</v>
      </c>
    </row>
    <row r="211" spans="41:91" ht="18.75" x14ac:dyDescent="0.3">
      <c r="AQ211" s="392" t="s">
        <v>776</v>
      </c>
      <c r="AS211" s="393">
        <f t="shared" ref="AS211:CM211" si="260">SUM(AS210:AS210)</f>
        <v>4.95</v>
      </c>
      <c r="AT211" s="393">
        <f t="shared" si="260"/>
        <v>0</v>
      </c>
      <c r="AU211" s="393">
        <f t="shared" si="260"/>
        <v>6</v>
      </c>
      <c r="AV211" s="393">
        <f t="shared" si="260"/>
        <v>0</v>
      </c>
      <c r="AW211" s="393">
        <f t="shared" si="260"/>
        <v>115</v>
      </c>
      <c r="AX211" s="393">
        <f t="shared" si="260"/>
        <v>491129.57</v>
      </c>
      <c r="AY211" s="393">
        <f t="shared" si="260"/>
        <v>421556.72</v>
      </c>
      <c r="AZ211" s="393">
        <f t="shared" si="260"/>
        <v>0</v>
      </c>
      <c r="BA211" s="393">
        <f t="shared" si="260"/>
        <v>0</v>
      </c>
      <c r="BB211" s="393">
        <f t="shared" si="260"/>
        <v>61875</v>
      </c>
      <c r="BC211" s="393">
        <f t="shared" si="260"/>
        <v>0</v>
      </c>
      <c r="BD211" s="393">
        <f t="shared" si="260"/>
        <v>26136.516640000002</v>
      </c>
      <c r="BE211" s="393">
        <f t="shared" si="260"/>
        <v>6112.5724399999999</v>
      </c>
      <c r="BF211" s="393">
        <f t="shared" si="260"/>
        <v>50333.872368000004</v>
      </c>
      <c r="BG211" s="393">
        <f t="shared" si="260"/>
        <v>3039.4239511999999</v>
      </c>
      <c r="BH211" s="393">
        <f t="shared" si="260"/>
        <v>0</v>
      </c>
      <c r="BI211" s="393">
        <f t="shared" si="260"/>
        <v>0</v>
      </c>
      <c r="BJ211" s="393">
        <f t="shared" si="260"/>
        <v>758.80209600000001</v>
      </c>
      <c r="BK211" s="393">
        <f t="shared" si="260"/>
        <v>0</v>
      </c>
      <c r="BL211" s="393">
        <f t="shared" si="260"/>
        <v>86381.187495199993</v>
      </c>
      <c r="BM211" s="393">
        <f t="shared" si="260"/>
        <v>0</v>
      </c>
      <c r="BN211" s="393">
        <f t="shared" si="260"/>
        <v>68062.5</v>
      </c>
      <c r="BO211" s="393">
        <f t="shared" si="260"/>
        <v>0</v>
      </c>
      <c r="BP211" s="393">
        <f t="shared" si="260"/>
        <v>26136.516640000002</v>
      </c>
      <c r="BQ211" s="393">
        <f t="shared" si="260"/>
        <v>6112.5724399999999</v>
      </c>
      <c r="BR211" s="393">
        <f t="shared" si="260"/>
        <v>47130.041295999996</v>
      </c>
      <c r="BS211" s="393">
        <f t="shared" si="260"/>
        <v>3039.4239511999999</v>
      </c>
      <c r="BT211" s="393">
        <f t="shared" si="260"/>
        <v>0</v>
      </c>
      <c r="BU211" s="393">
        <f t="shared" si="260"/>
        <v>0</v>
      </c>
      <c r="BV211" s="393">
        <f t="shared" si="260"/>
        <v>800.95776799999999</v>
      </c>
      <c r="BW211" s="393">
        <f t="shared" si="260"/>
        <v>0</v>
      </c>
      <c r="BX211" s="393">
        <f t="shared" si="260"/>
        <v>83219.512095200014</v>
      </c>
      <c r="BY211" s="393">
        <f t="shared" si="260"/>
        <v>0</v>
      </c>
      <c r="BZ211" s="393">
        <f t="shared" si="260"/>
        <v>6187.5</v>
      </c>
      <c r="CA211" s="393">
        <f t="shared" si="260"/>
        <v>0</v>
      </c>
      <c r="CB211" s="393">
        <f t="shared" si="260"/>
        <v>0</v>
      </c>
      <c r="CC211" s="393">
        <f t="shared" si="260"/>
        <v>0</v>
      </c>
      <c r="CD211" s="393">
        <f t="shared" si="260"/>
        <v>-3203.8310720000036</v>
      </c>
      <c r="CE211" s="393">
        <f t="shared" si="260"/>
        <v>0</v>
      </c>
      <c r="CF211" s="393">
        <f t="shared" si="260"/>
        <v>0</v>
      </c>
      <c r="CG211" s="393">
        <f t="shared" si="260"/>
        <v>0</v>
      </c>
      <c r="CH211" s="393">
        <f t="shared" si="260"/>
        <v>42.155672000000017</v>
      </c>
      <c r="CI211" s="393">
        <f t="shared" si="260"/>
        <v>0</v>
      </c>
      <c r="CJ211" s="393">
        <f t="shared" si="260"/>
        <v>-3161.6754000000037</v>
      </c>
      <c r="CK211" s="393">
        <f t="shared" si="260"/>
        <v>0</v>
      </c>
      <c r="CL211" s="393">
        <f t="shared" si="260"/>
        <v>1352966.46</v>
      </c>
      <c r="CM211" s="393">
        <f t="shared" si="260"/>
        <v>463457.76</v>
      </c>
    </row>
    <row r="212" spans="41:91" ht="15.75" thickBot="1" x14ac:dyDescent="0.3">
      <c r="AR212" t="s">
        <v>777</v>
      </c>
      <c r="AS212" s="386">
        <f>SUMIFS(AS2:AS201,G2:G201,"SCCA",E2:E201,"0001",F2:F201,"00",AT2:AT201,1)</f>
        <v>16.600000000000001</v>
      </c>
      <c r="AT212" s="386">
        <f>SUMIFS(AS2:AS201,G2:G201,"SCCA",E2:E201,"0001",F2:F201,"00",AT2:AT201,3)</f>
        <v>0</v>
      </c>
      <c r="AU212" s="386">
        <f>SUMIFS(AU2:AU201,G2:G201,"SCCA",E2:E201,"0001",F2:F201,"00")</f>
        <v>25</v>
      </c>
      <c r="AV212" s="386">
        <f>SUMIFS(AV2:AV201,G2:G201,"SCCA",E2:E201,"0001",F2:F201,"00")</f>
        <v>0</v>
      </c>
      <c r="AW212" s="386">
        <f>SUMIFS(AW2:AW201,G2:G201,"SCCA",E2:E201,"0001",F2:F201,"00")</f>
        <v>75</v>
      </c>
      <c r="AX212" s="386">
        <f>SUMIFS(AX2:AX201,G2:G201,"SCCA",E2:E201,"0001",F2:F201,"00")</f>
        <v>1938809.5699999996</v>
      </c>
      <c r="AY212" s="386">
        <f>SUMIFS(AY2:AY201,G2:G201,"SCCA",E2:E201,"0001",F2:F201,"00")</f>
        <v>1130697.56</v>
      </c>
      <c r="AZ212" s="386">
        <f>SUMIFS(AZ2:AZ201,G2:G201,"SCCA",E2:E201,"0001",F2:F201,"00")</f>
        <v>0</v>
      </c>
      <c r="BA212" s="386">
        <f>SUMIFS(BA2:BA201,G2:G201,"SCCA",E2:E201,"0001",F2:F201,"00")</f>
        <v>0</v>
      </c>
      <c r="BB212" s="386">
        <f>SUMIFS(BB2:BB201,G2:G201,"SCCA",E2:E201,"0001",F2:F201,"00")</f>
        <v>207500</v>
      </c>
      <c r="BC212" s="386">
        <f>SUMIFS(BC2:BC201,G2:G201,"SCCA",E2:E201,"0001",F2:F201,"00")</f>
        <v>0</v>
      </c>
      <c r="BD212" s="386">
        <f>SUMIFS(BD2:BD201,G2:G201,"SCCA",E2:E201,"0001",F2:F201,"00")</f>
        <v>70103.248719999989</v>
      </c>
      <c r="BE212" s="386">
        <f>SUMIFS(BE2:BE201,G2:G201,"SCCA",E2:E201,"0001",F2:F201,"00")</f>
        <v>16395.11462</v>
      </c>
      <c r="BF212" s="386">
        <f>SUMIFS(BF2:BF201,G2:G201,"SCCA",E2:E201,"0001",F2:F201,"00")</f>
        <v>135005.28866400002</v>
      </c>
      <c r="BG212" s="386">
        <f>SUMIFS(BG2:BG201,G2:G201,"SCCA",E2:E201,"0001",F2:F201,"00")</f>
        <v>8152.3294076000002</v>
      </c>
      <c r="BH212" s="386">
        <f>SUMIFS(BH2:BH201,G2:G201,"SCCA",E2:E201,"0001",F2:F201,"00")</f>
        <v>0</v>
      </c>
      <c r="BI212" s="386">
        <f>SUMIFS(BI2:BI201,G2:G201,"SCCA",E2:E201,"0001",F2:F201,"00")</f>
        <v>0</v>
      </c>
      <c r="BJ212" s="386">
        <f>SUMIFS(BJ2:BJ201,G2:G201,"SCCA",E2:E201,"0001",F2:F201,"00")</f>
        <v>2035.2556080000002</v>
      </c>
      <c r="BK212" s="386">
        <f>SUMIFS(BK2:BK201,G2:G201,"SCCA",E2:E201,"0001",F2:F201,"00")</f>
        <v>0</v>
      </c>
      <c r="BL212" s="386">
        <f>SUMIFS(BL2:BL201,G2:G201,"SCCA",E2:E201,"0001",F2:F201,"00")</f>
        <v>231691.23701959997</v>
      </c>
      <c r="BM212" s="386">
        <f>SUMIFS(BM2:BM201,G2:G201,"SCCA",E2:E201,"0001",F2:F201,"00")</f>
        <v>0</v>
      </c>
      <c r="BN212" s="386">
        <f>SUMIFS(BN2:BN201,G2:G201,"SCCA",E2:E201,"0001",F2:F201,"00")</f>
        <v>228250</v>
      </c>
      <c r="BO212" s="386">
        <f>SUMIFS(BO2:BO201,G2:G201,"SCCA",E2:E201,"0001",F2:F201,"00")</f>
        <v>0</v>
      </c>
      <c r="BP212" s="386">
        <f>SUMIFS(BP2:BP201,G2:G201,"SCCA",E2:E201,"0001",F2:F201,"00")</f>
        <v>70103.248719999989</v>
      </c>
      <c r="BQ212" s="386">
        <f>SUMIFS(BQ2:BQ201,G2:G201,"SCCA",E2:E201,"0001",F2:F201,"00")</f>
        <v>16395.11462</v>
      </c>
      <c r="BR212" s="386">
        <f>SUMIFS(BR2:BR201,G2:G201,"SCCA",E2:E201,"0001",F2:F201,"00")</f>
        <v>126411.98720800001</v>
      </c>
      <c r="BS212" s="386">
        <f>SUMIFS(BS2:BS201,G2:G201,"SCCA",E2:E201,"0001",F2:F201,"00")</f>
        <v>8152.3294076000002</v>
      </c>
      <c r="BT212" s="386">
        <f>SUMIFS(BT2:BT201,G2:G201,"SCCA",E2:E201,"0001",F2:F201,"00")</f>
        <v>0</v>
      </c>
      <c r="BU212" s="386">
        <f>SUMIFS(BU2:BU201,G2:G201,"SCCA",E2:E201,"0001",F2:F201,"00")</f>
        <v>0</v>
      </c>
      <c r="BV212" s="386">
        <f>SUMIFS(BV2:BV201,G2:G201,"SCCA",E2:E201,"0001",F2:F201,"00")</f>
        <v>2148.3253639999998</v>
      </c>
      <c r="BW212" s="386">
        <f>SUMIFS(BW2:BW201,G2:G201,"SCCA",E2:E201,"0001",F2:F201,"00")</f>
        <v>0</v>
      </c>
      <c r="BX212" s="386">
        <f>SUMIFS(BX2:BX201,G2:G201,"SCCA",E2:E201,"0001",F2:F201,"00")</f>
        <v>223211.00531959996</v>
      </c>
      <c r="BY212" s="386">
        <f>SUMIFS(BY2:BY201,G2:G201,"SCCA",E2:E201,"0001",F2:F201,"00")</f>
        <v>0</v>
      </c>
      <c r="BZ212" s="386">
        <f>SUMIFS(BZ2:BZ201,G2:G201,"SCCA",E2:E201,"0001",F2:F201,"00")</f>
        <v>20750</v>
      </c>
      <c r="CA212" s="386">
        <f>SUMIFS(CA2:CA201,G2:G201,"SCCA",E2:E201,"0001",F2:F201,"00")</f>
        <v>0</v>
      </c>
      <c r="CB212" s="386">
        <f>SUMIFS(CB2:CB201,G2:G201,"SCCA",E2:E201,"0001",F2:F201,"00")</f>
        <v>0</v>
      </c>
      <c r="CC212" s="386">
        <f>SUMIFS(CC2:CC201,G2:G201,"SCCA",E2:E201,"0001",F2:F201,"00")</f>
        <v>0</v>
      </c>
      <c r="CD212" s="386">
        <f>SUMIFS(CD2:CD201,G2:G201,"SCCA",E2:E201,"0001",F2:F201,"00")</f>
        <v>-8593.3014560000101</v>
      </c>
      <c r="CE212" s="386">
        <f>SUMIFS(CE2:CE201,G2:G201,"SCCA",E2:E201,"0001",F2:F201,"00")</f>
        <v>0</v>
      </c>
      <c r="CF212" s="386">
        <f>SUMIFS(CF2:CF201,G2:G201,"SCCA",E2:E201,"0001",F2:F201,"00")</f>
        <v>0</v>
      </c>
      <c r="CG212" s="386">
        <f>SUMIFS(CG2:CG201,G2:G201,"SCCA",E2:E201,"0001",F2:F201,"00")</f>
        <v>0</v>
      </c>
      <c r="CH212" s="386">
        <f>SUMIFS(CH2:CH201,G2:G201,"SCCA",E2:E201,"0001",F2:F201,"00")</f>
        <v>113.06975600000004</v>
      </c>
      <c r="CI212" s="386">
        <f>SUMIFS(CI2:CI201,G2:G201,"SCCA",E2:E201,"0001",F2:F201,"00")</f>
        <v>0</v>
      </c>
      <c r="CJ212" s="386">
        <f>SUMIFS(CJ2:CJ201,G2:G201,"SCCA",E2:E201,"0001",F2:F201,"00")</f>
        <v>-8480.2317000000094</v>
      </c>
      <c r="CK212" s="386">
        <f>SUMIFS(CK2:CK201,G2:G201,"SCCA",E2:E201,"0001",F2:F201,"00")</f>
        <v>0</v>
      </c>
      <c r="CL212" s="386">
        <f>SUMIFS(CL2:CL201,G2:G201,"SCCA",E2:E201,"0001",F2:F201,"00")</f>
        <v>0</v>
      </c>
      <c r="CM212" s="386">
        <f>SUMIFS(CM2:CM201,G2:G201,"SCCA",E2:E201,"0001",F2:F201,"00")</f>
        <v>0</v>
      </c>
    </row>
    <row r="213" spans="41:91" ht="18.75" x14ac:dyDescent="0.3">
      <c r="AQ213" s="392" t="s">
        <v>778</v>
      </c>
      <c r="AS213" s="393">
        <f t="shared" ref="AS213:CM213" si="261">SUM(AS212:AS212)</f>
        <v>16.600000000000001</v>
      </c>
      <c r="AT213" s="393">
        <f t="shared" si="261"/>
        <v>0</v>
      </c>
      <c r="AU213" s="393">
        <f t="shared" si="261"/>
        <v>25</v>
      </c>
      <c r="AV213" s="393">
        <f t="shared" si="261"/>
        <v>0</v>
      </c>
      <c r="AW213" s="393">
        <f t="shared" si="261"/>
        <v>75</v>
      </c>
      <c r="AX213" s="393">
        <f t="shared" si="261"/>
        <v>1938809.5699999996</v>
      </c>
      <c r="AY213" s="393">
        <f t="shared" si="261"/>
        <v>1130697.56</v>
      </c>
      <c r="AZ213" s="393">
        <f t="shared" si="261"/>
        <v>0</v>
      </c>
      <c r="BA213" s="393">
        <f t="shared" si="261"/>
        <v>0</v>
      </c>
      <c r="BB213" s="393">
        <f t="shared" si="261"/>
        <v>207500</v>
      </c>
      <c r="BC213" s="393">
        <f t="shared" si="261"/>
        <v>0</v>
      </c>
      <c r="BD213" s="393">
        <f t="shared" si="261"/>
        <v>70103.248719999989</v>
      </c>
      <c r="BE213" s="393">
        <f t="shared" si="261"/>
        <v>16395.11462</v>
      </c>
      <c r="BF213" s="393">
        <f t="shared" si="261"/>
        <v>135005.28866400002</v>
      </c>
      <c r="BG213" s="393">
        <f t="shared" si="261"/>
        <v>8152.3294076000002</v>
      </c>
      <c r="BH213" s="393">
        <f t="shared" si="261"/>
        <v>0</v>
      </c>
      <c r="BI213" s="393">
        <f t="shared" si="261"/>
        <v>0</v>
      </c>
      <c r="BJ213" s="393">
        <f t="shared" si="261"/>
        <v>2035.2556080000002</v>
      </c>
      <c r="BK213" s="393">
        <f t="shared" si="261"/>
        <v>0</v>
      </c>
      <c r="BL213" s="393">
        <f t="shared" si="261"/>
        <v>231691.23701959997</v>
      </c>
      <c r="BM213" s="393">
        <f t="shared" si="261"/>
        <v>0</v>
      </c>
      <c r="BN213" s="393">
        <f t="shared" si="261"/>
        <v>228250</v>
      </c>
      <c r="BO213" s="393">
        <f t="shared" si="261"/>
        <v>0</v>
      </c>
      <c r="BP213" s="393">
        <f t="shared" si="261"/>
        <v>70103.248719999989</v>
      </c>
      <c r="BQ213" s="393">
        <f t="shared" si="261"/>
        <v>16395.11462</v>
      </c>
      <c r="BR213" s="393">
        <f t="shared" si="261"/>
        <v>126411.98720800001</v>
      </c>
      <c r="BS213" s="393">
        <f t="shared" si="261"/>
        <v>8152.3294076000002</v>
      </c>
      <c r="BT213" s="393">
        <f t="shared" si="261"/>
        <v>0</v>
      </c>
      <c r="BU213" s="393">
        <f t="shared" si="261"/>
        <v>0</v>
      </c>
      <c r="BV213" s="393">
        <f t="shared" si="261"/>
        <v>2148.3253639999998</v>
      </c>
      <c r="BW213" s="393">
        <f t="shared" si="261"/>
        <v>0</v>
      </c>
      <c r="BX213" s="393">
        <f t="shared" si="261"/>
        <v>223211.00531959996</v>
      </c>
      <c r="BY213" s="393">
        <f t="shared" si="261"/>
        <v>0</v>
      </c>
      <c r="BZ213" s="393">
        <f t="shared" si="261"/>
        <v>20750</v>
      </c>
      <c r="CA213" s="393">
        <f t="shared" si="261"/>
        <v>0</v>
      </c>
      <c r="CB213" s="393">
        <f t="shared" si="261"/>
        <v>0</v>
      </c>
      <c r="CC213" s="393">
        <f t="shared" si="261"/>
        <v>0</v>
      </c>
      <c r="CD213" s="393">
        <f t="shared" si="261"/>
        <v>-8593.3014560000101</v>
      </c>
      <c r="CE213" s="393">
        <f t="shared" si="261"/>
        <v>0</v>
      </c>
      <c r="CF213" s="393">
        <f t="shared" si="261"/>
        <v>0</v>
      </c>
      <c r="CG213" s="393">
        <f t="shared" si="261"/>
        <v>0</v>
      </c>
      <c r="CH213" s="393">
        <f t="shared" si="261"/>
        <v>113.06975600000004</v>
      </c>
      <c r="CI213" s="393">
        <f t="shared" si="261"/>
        <v>0</v>
      </c>
      <c r="CJ213" s="393">
        <f t="shared" si="261"/>
        <v>-8480.2317000000094</v>
      </c>
      <c r="CK213" s="393">
        <f t="shared" si="261"/>
        <v>0</v>
      </c>
      <c r="CL213" s="393">
        <f t="shared" si="261"/>
        <v>0</v>
      </c>
      <c r="CM213" s="393">
        <f t="shared" si="261"/>
        <v>0</v>
      </c>
    </row>
    <row r="214" spans="41:91" ht="15.75" thickBot="1" x14ac:dyDescent="0.3">
      <c r="AR214" t="s">
        <v>781</v>
      </c>
      <c r="AS214" s="386">
        <f>SUMIFS(AS2:AS201,G2:G201,"SCDA",E2:E201,"0480",F2:F201,"00",AT2:AT201,1)</f>
        <v>47.419999999999995</v>
      </c>
      <c r="AT214" s="386">
        <f>SUMIFS(AS2:AS201,G2:G201,"SCDA",E2:E201,"0480",F2:F201,"00",AT2:AT201,3)</f>
        <v>0</v>
      </c>
      <c r="AU214" s="386">
        <f>SUMIFS(AU2:AU201,G2:G201,"SCDA",E2:E201,"0480",F2:F201,"00")</f>
        <v>52.2</v>
      </c>
      <c r="AV214" s="386">
        <f>SUMIFS(AV2:AV201,G2:G201,"SCDA",E2:E201,"0480",F2:F201,"00")</f>
        <v>0</v>
      </c>
      <c r="AW214" s="386">
        <f>SUMIFS(AW2:AW201,G2:G201,"SCDA",E2:E201,"0480",F2:F201,"00")</f>
        <v>91</v>
      </c>
      <c r="AX214" s="386">
        <f>SUMIFS(AX2:AX201,G2:G201,"SCDA",E2:E201,"0480",F2:F201,"00")</f>
        <v>4260912.41</v>
      </c>
      <c r="AY214" s="386">
        <f>SUMIFS(AY2:AY201,G2:G201,"SCDA",E2:E201,"0480",F2:F201,"00")</f>
        <v>3826100.91</v>
      </c>
      <c r="AZ214" s="386">
        <f>SUMIFS(AZ2:AZ201,G2:G201,"SCDA",E2:E201,"0480",F2:F201,"00")</f>
        <v>0</v>
      </c>
      <c r="BA214" s="386">
        <f>SUMIFS(BA2:BA201,G2:G201,"SCDA",E2:E201,"0480",F2:F201,"00")</f>
        <v>0</v>
      </c>
      <c r="BB214" s="386">
        <f>SUMIFS(BB2:BB201,G2:G201,"SCDA",E2:E201,"0480",F2:F201,"00")</f>
        <v>597750</v>
      </c>
      <c r="BC214" s="386">
        <f>SUMIFS(BC2:BC201,G2:G201,"SCDA",E2:E201,"0480",F2:F201,"00")</f>
        <v>0</v>
      </c>
      <c r="BD214" s="386">
        <f>SUMIFS(BD2:BD201,G2:G201,"SCDA",E2:E201,"0480",F2:F201,"00")</f>
        <v>237218.25642000002</v>
      </c>
      <c r="BE214" s="386">
        <f>SUMIFS(BE2:BE201,G2:G201,"SCDA",E2:E201,"0480",F2:F201,"00")</f>
        <v>55478.463195000018</v>
      </c>
      <c r="BF214" s="386">
        <f>SUMIFS(BF2:BF201,G2:G201,"SCDA",E2:E201,"0480",F2:F201,"00")</f>
        <v>456836.44865400001</v>
      </c>
      <c r="BG214" s="386">
        <f>SUMIFS(BG2:BG201,G2:G201,"SCDA",E2:E201,"0480",F2:F201,"00")</f>
        <v>27586.187561099992</v>
      </c>
      <c r="BH214" s="386">
        <f>SUMIFS(BH2:BH201,G2:G201,"SCDA",E2:E201,"0480",F2:F201,"00")</f>
        <v>0</v>
      </c>
      <c r="BI214" s="386">
        <f>SUMIFS(BI2:BI201,G2:G201,"SCDA",E2:E201,"0480",F2:F201,"00")</f>
        <v>0</v>
      </c>
      <c r="BJ214" s="386">
        <f>SUMIFS(BJ2:BJ201,G2:G201,"SCDA",E2:E201,"0480",F2:F201,"00")</f>
        <v>6886.9816379999984</v>
      </c>
      <c r="BK214" s="386">
        <f>SUMIFS(BK2:BK201,G2:G201,"SCDA",E2:E201,"0480",F2:F201,"00")</f>
        <v>0</v>
      </c>
      <c r="BL214" s="386">
        <f>SUMIFS(BL2:BL201,G2:G201,"SCDA",E2:E201,"0480",F2:F201,"00")</f>
        <v>784006.3374680999</v>
      </c>
      <c r="BM214" s="386">
        <f>SUMIFS(BM2:BM201,G2:G201,"SCDA",E2:E201,"0480",F2:F201,"00")</f>
        <v>0</v>
      </c>
      <c r="BN214" s="386">
        <f>SUMIFS(BN2:BN201,G2:G201,"SCDA",E2:E201,"0480",F2:F201,"00")</f>
        <v>657525</v>
      </c>
      <c r="BO214" s="386">
        <f>SUMIFS(BO2:BO201,G2:G201,"SCDA",E2:E201,"0480",F2:F201,"00")</f>
        <v>0</v>
      </c>
      <c r="BP214" s="386">
        <f>SUMIFS(BP2:BP201,G2:G201,"SCDA",E2:E201,"0480",F2:F201,"00")</f>
        <v>237218.25642000002</v>
      </c>
      <c r="BQ214" s="386">
        <f>SUMIFS(BQ2:BQ201,G2:G201,"SCDA",E2:E201,"0480",F2:F201,"00")</f>
        <v>55478.463195000018</v>
      </c>
      <c r="BR214" s="386">
        <f>SUMIFS(BR2:BR201,G2:G201,"SCDA",E2:E201,"0480",F2:F201,"00")</f>
        <v>427758.08173800021</v>
      </c>
      <c r="BS214" s="386">
        <f>SUMIFS(BS2:BS201,G2:G201,"SCDA",E2:E201,"0480",F2:F201,"00")</f>
        <v>27586.187561099992</v>
      </c>
      <c r="BT214" s="386">
        <f>SUMIFS(BT2:BT201,G2:G201,"SCDA",E2:E201,"0480",F2:F201,"00")</f>
        <v>0</v>
      </c>
      <c r="BU214" s="386">
        <f>SUMIFS(BU2:BU201,G2:G201,"SCDA",E2:E201,"0480",F2:F201,"00")</f>
        <v>0</v>
      </c>
      <c r="BV214" s="386">
        <f>SUMIFS(BV2:BV201,G2:G201,"SCDA",E2:E201,"0480",F2:F201,"00")</f>
        <v>7269.5917290000025</v>
      </c>
      <c r="BW214" s="386">
        <f>SUMIFS(BW2:BW201,G2:G201,"SCDA",E2:E201,"0480",F2:F201,"00")</f>
        <v>0</v>
      </c>
      <c r="BX214" s="386">
        <f>SUMIFS(BX2:BX201,G2:G201,"SCDA",E2:E201,"0480",F2:F201,"00")</f>
        <v>755310.5806431002</v>
      </c>
      <c r="BY214" s="386">
        <f>SUMIFS(BY2:BY201,G2:G201,"SCDA",E2:E201,"0480",F2:F201,"00")</f>
        <v>0</v>
      </c>
      <c r="BZ214" s="386">
        <f>SUMIFS(BZ2:BZ201,G2:G201,"SCDA",E2:E201,"0480",F2:F201,"00")</f>
        <v>59775</v>
      </c>
      <c r="CA214" s="386">
        <f>SUMIFS(CA2:CA201,G2:G201,"SCDA",E2:E201,"0480",F2:F201,"00")</f>
        <v>0</v>
      </c>
      <c r="CB214" s="386">
        <f>SUMIFS(CB2:CB201,G2:G201,"SCDA",E2:E201,"0480",F2:F201,"00")</f>
        <v>0</v>
      </c>
      <c r="CC214" s="386">
        <f>SUMIFS(CC2:CC201,G2:G201,"SCDA",E2:E201,"0480",F2:F201,"00")</f>
        <v>0</v>
      </c>
      <c r="CD214" s="386">
        <f>SUMIFS(CD2:CD201,G2:G201,"SCDA",E2:E201,"0480",F2:F201,"00")</f>
        <v>-29078.366916000035</v>
      </c>
      <c r="CE214" s="386">
        <f>SUMIFS(CE2:CE201,G2:G201,"SCDA",E2:E201,"0480",F2:F201,"00")</f>
        <v>0</v>
      </c>
      <c r="CF214" s="386">
        <f>SUMIFS(CF2:CF201,G2:G201,"SCDA",E2:E201,"0480",F2:F201,"00")</f>
        <v>0</v>
      </c>
      <c r="CG214" s="386">
        <f>SUMIFS(CG2:CG201,G2:G201,"SCDA",E2:E201,"0480",F2:F201,"00")</f>
        <v>0</v>
      </c>
      <c r="CH214" s="386">
        <f>SUMIFS(CH2:CH201,G2:G201,"SCDA",E2:E201,"0480",F2:F201,"00")</f>
        <v>382.61009100000024</v>
      </c>
      <c r="CI214" s="386">
        <f>SUMIFS(CI2:CI201,G2:G201,"SCDA",E2:E201,"0480",F2:F201,"00")</f>
        <v>0</v>
      </c>
      <c r="CJ214" s="386">
        <f>SUMIFS(CJ2:CJ201,G2:G201,"SCDA",E2:E201,"0480",F2:F201,"00")</f>
        <v>-28695.756825000037</v>
      </c>
      <c r="CK214" s="386">
        <f>SUMIFS(CK2:CK201,G2:G201,"SCDA",E2:E201,"0480",F2:F201,"00")</f>
        <v>0</v>
      </c>
      <c r="CL214" s="386">
        <f>SUMIFS(CL2:CL201,G2:G201,"SCDA",E2:E201,"0480",F2:F201,"00")</f>
        <v>0</v>
      </c>
      <c r="CM214" s="386">
        <f>SUMIFS(CM2:CM201,G2:G201,"SCDA",E2:E201,"0480",F2:F201,"00")</f>
        <v>0</v>
      </c>
    </row>
    <row r="215" spans="41:91" ht="18.75" x14ac:dyDescent="0.3">
      <c r="AQ215" s="392" t="s">
        <v>782</v>
      </c>
      <c r="AS215" s="393">
        <f t="shared" ref="AS215:CM215" si="262">SUM(AS214:AS214)</f>
        <v>47.419999999999995</v>
      </c>
      <c r="AT215" s="393">
        <f t="shared" si="262"/>
        <v>0</v>
      </c>
      <c r="AU215" s="393">
        <f t="shared" si="262"/>
        <v>52.2</v>
      </c>
      <c r="AV215" s="393">
        <f t="shared" si="262"/>
        <v>0</v>
      </c>
      <c r="AW215" s="393">
        <f t="shared" si="262"/>
        <v>91</v>
      </c>
      <c r="AX215" s="393">
        <f t="shared" si="262"/>
        <v>4260912.41</v>
      </c>
      <c r="AY215" s="393">
        <f t="shared" si="262"/>
        <v>3826100.91</v>
      </c>
      <c r="AZ215" s="393">
        <f t="shared" si="262"/>
        <v>0</v>
      </c>
      <c r="BA215" s="393">
        <f t="shared" si="262"/>
        <v>0</v>
      </c>
      <c r="BB215" s="393">
        <f t="shared" si="262"/>
        <v>597750</v>
      </c>
      <c r="BC215" s="393">
        <f t="shared" si="262"/>
        <v>0</v>
      </c>
      <c r="BD215" s="393">
        <f t="shared" si="262"/>
        <v>237218.25642000002</v>
      </c>
      <c r="BE215" s="393">
        <f t="shared" si="262"/>
        <v>55478.463195000018</v>
      </c>
      <c r="BF215" s="393">
        <f t="shared" si="262"/>
        <v>456836.44865400001</v>
      </c>
      <c r="BG215" s="393">
        <f t="shared" si="262"/>
        <v>27586.187561099992</v>
      </c>
      <c r="BH215" s="393">
        <f t="shared" si="262"/>
        <v>0</v>
      </c>
      <c r="BI215" s="393">
        <f t="shared" si="262"/>
        <v>0</v>
      </c>
      <c r="BJ215" s="393">
        <f t="shared" si="262"/>
        <v>6886.9816379999984</v>
      </c>
      <c r="BK215" s="393">
        <f t="shared" si="262"/>
        <v>0</v>
      </c>
      <c r="BL215" s="393">
        <f t="shared" si="262"/>
        <v>784006.3374680999</v>
      </c>
      <c r="BM215" s="393">
        <f t="shared" si="262"/>
        <v>0</v>
      </c>
      <c r="BN215" s="393">
        <f t="shared" si="262"/>
        <v>657525</v>
      </c>
      <c r="BO215" s="393">
        <f t="shared" si="262"/>
        <v>0</v>
      </c>
      <c r="BP215" s="393">
        <f t="shared" si="262"/>
        <v>237218.25642000002</v>
      </c>
      <c r="BQ215" s="393">
        <f t="shared" si="262"/>
        <v>55478.463195000018</v>
      </c>
      <c r="BR215" s="393">
        <f t="shared" si="262"/>
        <v>427758.08173800021</v>
      </c>
      <c r="BS215" s="393">
        <f t="shared" si="262"/>
        <v>27586.187561099992</v>
      </c>
      <c r="BT215" s="393">
        <f t="shared" si="262"/>
        <v>0</v>
      </c>
      <c r="BU215" s="393">
        <f t="shared" si="262"/>
        <v>0</v>
      </c>
      <c r="BV215" s="393">
        <f t="shared" si="262"/>
        <v>7269.5917290000025</v>
      </c>
      <c r="BW215" s="393">
        <f t="shared" si="262"/>
        <v>0</v>
      </c>
      <c r="BX215" s="393">
        <f t="shared" si="262"/>
        <v>755310.5806431002</v>
      </c>
      <c r="BY215" s="393">
        <f t="shared" si="262"/>
        <v>0</v>
      </c>
      <c r="BZ215" s="393">
        <f t="shared" si="262"/>
        <v>59775</v>
      </c>
      <c r="CA215" s="393">
        <f t="shared" si="262"/>
        <v>0</v>
      </c>
      <c r="CB215" s="393">
        <f t="shared" si="262"/>
        <v>0</v>
      </c>
      <c r="CC215" s="393">
        <f t="shared" si="262"/>
        <v>0</v>
      </c>
      <c r="CD215" s="393">
        <f t="shared" si="262"/>
        <v>-29078.366916000035</v>
      </c>
      <c r="CE215" s="393">
        <f t="shared" si="262"/>
        <v>0</v>
      </c>
      <c r="CF215" s="393">
        <f t="shared" si="262"/>
        <v>0</v>
      </c>
      <c r="CG215" s="393">
        <f t="shared" si="262"/>
        <v>0</v>
      </c>
      <c r="CH215" s="393">
        <f t="shared" si="262"/>
        <v>382.61009100000024</v>
      </c>
      <c r="CI215" s="393">
        <f t="shared" si="262"/>
        <v>0</v>
      </c>
      <c r="CJ215" s="393">
        <f t="shared" si="262"/>
        <v>-28695.756825000037</v>
      </c>
      <c r="CK215" s="393">
        <f t="shared" si="262"/>
        <v>0</v>
      </c>
      <c r="CL215" s="393">
        <f t="shared" si="262"/>
        <v>0</v>
      </c>
      <c r="CM215" s="393">
        <f t="shared" si="262"/>
        <v>0</v>
      </c>
    </row>
    <row r="217" spans="41:91" ht="21" x14ac:dyDescent="0.35">
      <c r="AO217" s="251" t="s">
        <v>95</v>
      </c>
      <c r="AP217" s="251"/>
      <c r="AQ217" s="251"/>
    </row>
    <row r="219" spans="41:91" ht="21" x14ac:dyDescent="0.35">
      <c r="AO219" s="252"/>
      <c r="AP219" s="252"/>
      <c r="AQ219" s="252"/>
    </row>
    <row r="220" spans="41:91" ht="15.75" x14ac:dyDescent="0.25">
      <c r="AS220" s="373" t="s">
        <v>81</v>
      </c>
      <c r="AT220" s="491" t="s">
        <v>791</v>
      </c>
      <c r="AU220" s="491"/>
      <c r="AV220" s="492" t="s">
        <v>789</v>
      </c>
      <c r="AW220" s="491" t="s">
        <v>792</v>
      </c>
      <c r="AX220" s="491"/>
      <c r="AY220" s="492" t="s">
        <v>790</v>
      </c>
      <c r="AZ220" s="491" t="s">
        <v>793</v>
      </c>
      <c r="BA220" s="491"/>
    </row>
    <row r="221" spans="41:91" ht="15.75" x14ac:dyDescent="0.25">
      <c r="AS221" s="249"/>
      <c r="AT221" s="373" t="s">
        <v>92</v>
      </c>
      <c r="AU221" s="372" t="s">
        <v>94</v>
      </c>
      <c r="AV221" s="493"/>
      <c r="AW221" s="373" t="s">
        <v>96</v>
      </c>
      <c r="AX221" s="372" t="s">
        <v>93</v>
      </c>
      <c r="AY221" s="493"/>
      <c r="AZ221" s="373" t="s">
        <v>96</v>
      </c>
      <c r="BA221" s="372" t="s">
        <v>93</v>
      </c>
    </row>
    <row r="222" spans="41:91" x14ac:dyDescent="0.25">
      <c r="AO222" s="391" t="s">
        <v>794</v>
      </c>
    </row>
    <row r="223" spans="41:91" x14ac:dyDescent="0.25">
      <c r="AQ223" t="s">
        <v>762</v>
      </c>
      <c r="AS223" s="386">
        <f>SUM(SUMIFS(AS2:AS201,CN2:CN201,AQ223,E2:E201,"0001",F2:F201,"00",AT2:AT201,{1,3}))</f>
        <v>43.98</v>
      </c>
      <c r="AT223" s="386">
        <f>SUMPRODUCT(--(CN2:CN201=AQ223),--(N2:N201&lt;&gt;"NG"),--(AG2:AG201&lt;&gt;"D"),--(AR2:AR201&lt;&gt;6),--(AR2:AR201&lt;&gt;36),--(AR2:AR201&lt;&gt;56),T2:T201)+SUMPRODUCT(--(CN2:CN201=AQ223),--(N2:N201&lt;&gt;"NG"),--(AG2:AG201&lt;&gt;"D"),--(AR2:AR201&lt;&gt;6),--(AR2:AR201&lt;&gt;36),--(AR2:AR201&lt;&gt;56),U2:U201)</f>
        <v>3209925.4800000004</v>
      </c>
      <c r="AU223" s="386">
        <f>SUMPRODUCT(--(CN2:CN201=AQ223),--(N2:N201&lt;&gt;"NG"),--(AG2:AG201&lt;&gt;"D"),--(AR2:AR201&lt;&gt;6),--(AR2:AR201&lt;&gt;36),--(AR2:AR201&lt;&gt;56),V2:V201)</f>
        <v>1140419.0599999998</v>
      </c>
      <c r="AV223" s="386">
        <f>SUMPRODUCT(--(CN2:CN201=AQ223),AY2:AY201)+SUMPRODUCT(--(CN2:CN201=AQ223),AZ2:AZ201)</f>
        <v>3209641</v>
      </c>
      <c r="AW223" s="386">
        <f>SUMPRODUCT(--(CN2:CN201=AQ223),BB2:BB201)+SUMPRODUCT(--(CN2:CN201=AQ223),BC2:BC201)</f>
        <v>555375</v>
      </c>
      <c r="AX223" s="386">
        <f>SUMPRODUCT(--(CN2:CN201=AQ223),BL2:BL201)+SUMPRODUCT(--(CN2:CN201=AQ223),BM2:BM201)</f>
        <v>657687.53731000004</v>
      </c>
      <c r="AY223" s="386">
        <f>SUMPRODUCT(--(CN2:CN201=AQ223),AY2:AY201)+SUMPRODUCT(--(CN2:CN201=AQ223),AZ2:AZ201)+SUMPRODUCT(--(CN2:CN201=AQ223),BA2:BA201)</f>
        <v>3209641</v>
      </c>
      <c r="AZ223" s="386">
        <f>SUMPRODUCT(--(CN2:CN201=AQ223),BN2:BN201)+SUMPRODUCT(--(CN2:CN201=AQ223),BO2:BO201)</f>
        <v>610912.5</v>
      </c>
      <c r="BA223" s="386">
        <f>SUMPRODUCT(--(CN2:CN201=AQ223),BX2:BX201)+SUMPRODUCT(--(CN2:CN201=AQ223),BY2:BY201)</f>
        <v>633615.22981000005</v>
      </c>
    </row>
    <row r="224" spans="41:91" x14ac:dyDescent="0.25">
      <c r="AP224" t="s">
        <v>795</v>
      </c>
      <c r="AS224" s="397">
        <f t="shared" ref="AS224:BA224" si="263">SUM(AS223:AS223)</f>
        <v>43.98</v>
      </c>
      <c r="AT224" s="397">
        <f t="shared" si="263"/>
        <v>3209925.4800000004</v>
      </c>
      <c r="AU224" s="397">
        <f t="shared" si="263"/>
        <v>1140419.0599999998</v>
      </c>
      <c r="AV224" s="397">
        <f t="shared" si="263"/>
        <v>3209641</v>
      </c>
      <c r="AW224" s="397">
        <f t="shared" si="263"/>
        <v>555375</v>
      </c>
      <c r="AX224" s="397">
        <f t="shared" si="263"/>
        <v>657687.53731000004</v>
      </c>
      <c r="AY224" s="397">
        <f t="shared" si="263"/>
        <v>3209641</v>
      </c>
      <c r="AZ224" s="397">
        <f t="shared" si="263"/>
        <v>610912.5</v>
      </c>
      <c r="BA224" s="397">
        <f t="shared" si="263"/>
        <v>633615.22981000005</v>
      </c>
    </row>
    <row r="225" spans="41:281" x14ac:dyDescent="0.25">
      <c r="AQ225" t="s">
        <v>772</v>
      </c>
      <c r="AS225" s="386">
        <f>SUM(SUMIFS(AS2:AS201,CN2:CN201,AQ225,E2:E201,"0126",F2:F201,"00",AT2:AT201,{1,3}))</f>
        <v>4.95</v>
      </c>
      <c r="AT225" s="386">
        <f>SUMPRODUCT(--(CN2:CN201=AQ225),--(N2:N201&lt;&gt;"NG"),--(AG2:AG201&lt;&gt;"D"),--(AR2:AR201&lt;&gt;6),--(AR2:AR201&lt;&gt;36),--(AR2:AR201&lt;&gt;56),T2:T201)+SUMPRODUCT(--(CN2:CN201=AQ225),--(N2:N201&lt;&gt;"NG"),--(AG2:AG201&lt;&gt;"D"),--(AR2:AR201&lt;&gt;6),--(AR2:AR201&lt;&gt;36),--(AR2:AR201&lt;&gt;56),U2:U201)</f>
        <v>564802.54999999981</v>
      </c>
      <c r="AU225" s="386">
        <f>SUMPRODUCT(--(CN2:CN201=AQ225),--(N2:N201&lt;&gt;"NG"),--(AG2:AG201&lt;&gt;"D"),--(AR2:AR201&lt;&gt;6),--(AR2:AR201&lt;&gt;36),--(AR2:AR201&lt;&gt;56),V2:V201)</f>
        <v>194767.37</v>
      </c>
      <c r="AV225" s="386">
        <f>SUMPRODUCT(--(CN2:CN201=AQ225),AY2:AY201)+SUMPRODUCT(--(CN2:CN201=AQ225),AZ2:AZ201)</f>
        <v>421556.72</v>
      </c>
      <c r="AW225" s="386">
        <f>SUMPRODUCT(--(CN2:CN201=AQ225),BB2:BB201)+SUMPRODUCT(--(CN2:CN201=AQ225),BC2:BC201)</f>
        <v>61875</v>
      </c>
      <c r="AX225" s="386">
        <f>SUMPRODUCT(--(CN2:CN201=AQ225),BL2:BL201)+SUMPRODUCT(--(CN2:CN201=AQ225),BM2:BM201)</f>
        <v>86381.187495199993</v>
      </c>
      <c r="AY225" s="386">
        <f>SUMPRODUCT(--(CN2:CN201=AQ225),AY2:AY201)+SUMPRODUCT(--(CN2:CN201=AQ225),AZ2:AZ201)+SUMPRODUCT(--(CN2:CN201=AQ225),BA2:BA201)</f>
        <v>421556.72</v>
      </c>
      <c r="AZ225" s="386">
        <f>SUMPRODUCT(--(CN2:CN201=AQ225),BN2:BN201)+SUMPRODUCT(--(CN2:CN201=AQ225),BO2:BO201)</f>
        <v>68062.5</v>
      </c>
      <c r="BA225" s="386">
        <f>SUMPRODUCT(--(CN2:CN201=AQ225),BX2:BX201)+SUMPRODUCT(--(CN2:CN201=AQ225),BY2:BY201)</f>
        <v>83219.512095200014</v>
      </c>
    </row>
    <row r="226" spans="41:281" x14ac:dyDescent="0.25">
      <c r="AP226" t="s">
        <v>796</v>
      </c>
      <c r="AS226" s="397">
        <f t="shared" ref="AS226:BA226" si="264">SUM(AS225:AS225)</f>
        <v>4.95</v>
      </c>
      <c r="AT226" s="397">
        <f t="shared" si="264"/>
        <v>564802.54999999981</v>
      </c>
      <c r="AU226" s="397">
        <f t="shared" si="264"/>
        <v>194767.37</v>
      </c>
      <c r="AV226" s="397">
        <f t="shared" si="264"/>
        <v>421556.72</v>
      </c>
      <c r="AW226" s="397">
        <f t="shared" si="264"/>
        <v>61875</v>
      </c>
      <c r="AX226" s="397">
        <f t="shared" si="264"/>
        <v>86381.187495199993</v>
      </c>
      <c r="AY226" s="397">
        <f t="shared" si="264"/>
        <v>421556.72</v>
      </c>
      <c r="AZ226" s="397">
        <f t="shared" si="264"/>
        <v>68062.5</v>
      </c>
      <c r="BA226" s="397">
        <f t="shared" si="264"/>
        <v>83219.512095200014</v>
      </c>
    </row>
    <row r="227" spans="41:281" x14ac:dyDescent="0.25">
      <c r="AQ227" t="s">
        <v>785</v>
      </c>
      <c r="AS227" s="386">
        <f>SUM(SUMIFS(AS2:AS201,CN2:CN201,AQ227,E2:E201,"0480",F2:F201,"00",AT2:AT201,{1,3}))</f>
        <v>47.419999999999995</v>
      </c>
      <c r="AT227" s="386">
        <f>SUMPRODUCT(--(CN2:CN201=AQ227),--(N2:N201&lt;&gt;"NG"),--(AG2:AG201&lt;&gt;"D"),--(AR2:AR201&lt;&gt;6),--(AR2:AR201&lt;&gt;36),--(AR2:AR201&lt;&gt;56),T2:T201)+SUMPRODUCT(--(CN2:CN201=AQ227),--(N2:N201&lt;&gt;"NG"),--(AG2:AG201&lt;&gt;"D"),--(AR2:AR201&lt;&gt;6),--(AR2:AR201&lt;&gt;36),--(AR2:AR201&lt;&gt;56),U2:U201)</f>
        <v>3877766.7199999993</v>
      </c>
      <c r="AU227" s="386">
        <f>SUMPRODUCT(--(CN2:CN201=AQ227),--(N2:N201&lt;&gt;"NG"),--(AG2:AG201&lt;&gt;"D"),--(AR2:AR201&lt;&gt;6),--(AR2:AR201&lt;&gt;36),--(AR2:AR201&lt;&gt;56),V2:V201)</f>
        <v>1355878.1400000001</v>
      </c>
      <c r="AV227" s="386">
        <f>SUMPRODUCT(--(CN2:CN201=AQ227),AY2:AY201)+SUMPRODUCT(--(CN2:CN201=AQ227),AZ2:AZ201)</f>
        <v>3826100.91</v>
      </c>
      <c r="AW227" s="386">
        <f>SUMPRODUCT(--(CN2:CN201=AQ227),BB2:BB201)+SUMPRODUCT(--(CN2:CN201=AQ227),BC2:BC201)</f>
        <v>597750</v>
      </c>
      <c r="AX227" s="386">
        <f>SUMPRODUCT(--(CN2:CN201=AQ227),BL2:BL201)+SUMPRODUCT(--(CN2:CN201=AQ227),BM2:BM201)</f>
        <v>784006.3374680999</v>
      </c>
      <c r="AY227" s="386">
        <f>SUMPRODUCT(--(CN2:CN201=AQ227),AY2:AY201)+SUMPRODUCT(--(CN2:CN201=AQ227),AZ2:AZ201)+SUMPRODUCT(--(CN2:CN201=AQ227),BA2:BA201)</f>
        <v>3826100.91</v>
      </c>
      <c r="AZ227" s="386">
        <f>SUMPRODUCT(--(CN2:CN201=AQ227),BN2:BN201)+SUMPRODUCT(--(CN2:CN201=AQ227),BO2:BO201)</f>
        <v>657525</v>
      </c>
      <c r="BA227" s="386">
        <f>SUMPRODUCT(--(CN2:CN201=AQ227),BX2:BX201)+SUMPRODUCT(--(CN2:CN201=AQ227),BY2:BY201)</f>
        <v>755310.5806431002</v>
      </c>
    </row>
    <row r="228" spans="41:281" x14ac:dyDescent="0.25">
      <c r="AP228" t="s">
        <v>797</v>
      </c>
      <c r="AS228" s="397">
        <f t="shared" ref="AS228:BA228" si="265">SUM(AS227:AS227)</f>
        <v>47.419999999999995</v>
      </c>
      <c r="AT228" s="397">
        <f t="shared" si="265"/>
        <v>3877766.7199999993</v>
      </c>
      <c r="AU228" s="397">
        <f t="shared" si="265"/>
        <v>1355878.1400000001</v>
      </c>
      <c r="AV228" s="397">
        <f t="shared" si="265"/>
        <v>3826100.91</v>
      </c>
      <c r="AW228" s="397">
        <f t="shared" si="265"/>
        <v>597750</v>
      </c>
      <c r="AX228" s="397">
        <f t="shared" si="265"/>
        <v>784006.3374680999</v>
      </c>
      <c r="AY228" s="397">
        <f t="shared" si="265"/>
        <v>3826100.91</v>
      </c>
      <c r="AZ228" s="397">
        <f t="shared" si="265"/>
        <v>657525</v>
      </c>
      <c r="BA228" s="397">
        <f t="shared" si="265"/>
        <v>755310.5806431002</v>
      </c>
    </row>
    <row r="229" spans="41:281" x14ac:dyDescent="0.25">
      <c r="AS229" s="386"/>
      <c r="AT229" s="386"/>
      <c r="AU229" s="386"/>
      <c r="AV229" s="386"/>
      <c r="AW229" s="386"/>
      <c r="AX229" s="386"/>
      <c r="AY229" s="386"/>
      <c r="AZ229" s="386"/>
      <c r="BA229" s="386"/>
    </row>
    <row r="230" spans="41:281" x14ac:dyDescent="0.25">
      <c r="AO230" s="395" t="s">
        <v>798</v>
      </c>
      <c r="AS230" s="398">
        <f t="shared" ref="AS230:BA230" si="266">SUM(AS224,AS226,AS228)</f>
        <v>96.35</v>
      </c>
      <c r="AT230" s="398">
        <f t="shared" si="266"/>
        <v>7652494.75</v>
      </c>
      <c r="AU230" s="398">
        <f t="shared" si="266"/>
        <v>2691064.57</v>
      </c>
      <c r="AV230" s="398">
        <f t="shared" si="266"/>
        <v>7457298.6299999999</v>
      </c>
      <c r="AW230" s="398">
        <f t="shared" si="266"/>
        <v>1215000</v>
      </c>
      <c r="AX230" s="398">
        <f t="shared" si="266"/>
        <v>1528075.0622732998</v>
      </c>
      <c r="AY230" s="398">
        <f t="shared" si="266"/>
        <v>7457298.6299999999</v>
      </c>
      <c r="AZ230" s="398">
        <f t="shared" si="266"/>
        <v>1336500</v>
      </c>
      <c r="BA230" s="398">
        <f t="shared" si="266"/>
        <v>1472145.3225483003</v>
      </c>
    </row>
    <row r="231" spans="41:281" x14ac:dyDescent="0.25">
      <c r="AS231" s="386"/>
      <c r="AT231" s="386"/>
      <c r="AU231" s="386"/>
      <c r="AV231" s="386"/>
      <c r="AW231" s="386"/>
      <c r="AX231" s="386"/>
      <c r="AY231" s="386"/>
      <c r="AZ231" s="386"/>
      <c r="BA231" s="386"/>
    </row>
    <row r="232" spans="41:281" x14ac:dyDescent="0.25">
      <c r="AO232" s="391" t="s">
        <v>799</v>
      </c>
      <c r="AS232" s="386"/>
      <c r="AT232" s="386"/>
      <c r="AU232" s="386"/>
      <c r="AV232" s="386"/>
      <c r="AW232" s="386"/>
      <c r="AX232" s="386"/>
      <c r="AY232" s="386"/>
      <c r="AZ232" s="386"/>
      <c r="BA232" s="386"/>
    </row>
    <row r="233" spans="41:281" x14ac:dyDescent="0.25">
      <c r="AQ233" t="s">
        <v>772</v>
      </c>
      <c r="AS233" s="386"/>
      <c r="AT233" s="386">
        <f>SUMIF(CN2:CN201,AQ233,CL2:CL201)</f>
        <v>1352966.46</v>
      </c>
      <c r="AU233" s="386">
        <f>SUMIF(CN2:CN201,AQ233,CM2:CM201)</f>
        <v>463457.76</v>
      </c>
      <c r="AV233" s="386">
        <f>SUMIF(CN2:CN201,AQ233,CL2:CL201)</f>
        <v>1352966.46</v>
      </c>
      <c r="AW233" s="386">
        <v>0</v>
      </c>
      <c r="AX233" s="386">
        <f>SUMIF(CN2:CN201,AQ233,CM2:CM201)</f>
        <v>463457.76</v>
      </c>
      <c r="AY233" s="386">
        <f>SUMIF(CN2:CN201,AQ233,CL2:CL201)</f>
        <v>1352966.46</v>
      </c>
      <c r="AZ233" s="386">
        <v>0</v>
      </c>
      <c r="BA233" s="386">
        <f>SUMIF(CN2:CN201,AQ233,CM2:CM201)</f>
        <v>463457.76</v>
      </c>
    </row>
    <row r="234" spans="41:281" x14ac:dyDescent="0.25">
      <c r="AP234" t="s">
        <v>796</v>
      </c>
      <c r="AS234" s="397"/>
      <c r="AT234" s="397">
        <f t="shared" ref="AT234:BA234" si="267">SUM(AT233:AT233)</f>
        <v>1352966.46</v>
      </c>
      <c r="AU234" s="397">
        <f t="shared" si="267"/>
        <v>463457.76</v>
      </c>
      <c r="AV234" s="397">
        <f t="shared" si="267"/>
        <v>1352966.46</v>
      </c>
      <c r="AW234" s="397">
        <f t="shared" si="267"/>
        <v>0</v>
      </c>
      <c r="AX234" s="397">
        <f t="shared" si="267"/>
        <v>463457.76</v>
      </c>
      <c r="AY234" s="397">
        <f t="shared" si="267"/>
        <v>1352966.46</v>
      </c>
      <c r="AZ234" s="397">
        <f t="shared" si="267"/>
        <v>0</v>
      </c>
      <c r="BA234" s="397">
        <f t="shared" si="267"/>
        <v>463457.76</v>
      </c>
    </row>
    <row r="235" spans="41:281" x14ac:dyDescent="0.25">
      <c r="AS235" s="386"/>
      <c r="AT235" s="386"/>
      <c r="AU235" s="386"/>
      <c r="AV235" s="386"/>
      <c r="AW235" s="386"/>
      <c r="AX235" s="386"/>
      <c r="AY235" s="386"/>
      <c r="AZ235" s="386"/>
      <c r="BA235" s="386"/>
    </row>
    <row r="236" spans="41:281" x14ac:dyDescent="0.25">
      <c r="AO236" s="395" t="s">
        <v>800</v>
      </c>
      <c r="AS236" s="398">
        <f t="shared" ref="AS236:BA236" si="268">SUM(AS234)</f>
        <v>0</v>
      </c>
      <c r="AT236" s="398">
        <f t="shared" si="268"/>
        <v>1352966.46</v>
      </c>
      <c r="AU236" s="398">
        <f t="shared" si="268"/>
        <v>463457.76</v>
      </c>
      <c r="AV236" s="398">
        <f t="shared" si="268"/>
        <v>1352966.46</v>
      </c>
      <c r="AW236" s="398">
        <f t="shared" si="268"/>
        <v>0</v>
      </c>
      <c r="AX236" s="398">
        <f t="shared" si="268"/>
        <v>463457.76</v>
      </c>
      <c r="AY236" s="398">
        <f t="shared" si="268"/>
        <v>1352966.46</v>
      </c>
      <c r="AZ236" s="398">
        <f t="shared" si="268"/>
        <v>0</v>
      </c>
      <c r="BA236" s="398">
        <f t="shared" si="268"/>
        <v>463457.76</v>
      </c>
      <c r="JO236" s="391"/>
      <c r="JU236" s="391"/>
    </row>
    <row r="237" spans="41:281" x14ac:dyDescent="0.25">
      <c r="AS237" s="386"/>
      <c r="AT237" s="386"/>
      <c r="AU237" s="386"/>
      <c r="AV237" s="386"/>
      <c r="AW237" s="386"/>
      <c r="AX237" s="386"/>
      <c r="AY237" s="386"/>
      <c r="AZ237" s="386"/>
      <c r="BA237" s="386"/>
    </row>
    <row r="238" spans="41:281" x14ac:dyDescent="0.25">
      <c r="AO238" s="396" t="s">
        <v>801</v>
      </c>
      <c r="AS238" s="399">
        <f t="shared" ref="AS238:BA238" si="269">SUM(AS230,AS236)</f>
        <v>96.35</v>
      </c>
      <c r="AT238" s="400">
        <f t="shared" si="269"/>
        <v>9005461.2100000009</v>
      </c>
      <c r="AU238" s="400">
        <f t="shared" si="269"/>
        <v>3154522.33</v>
      </c>
      <c r="AV238" s="400">
        <f t="shared" si="269"/>
        <v>8810265.0899999999</v>
      </c>
      <c r="AW238" s="400">
        <f t="shared" si="269"/>
        <v>1215000</v>
      </c>
      <c r="AX238" s="400">
        <f t="shared" si="269"/>
        <v>1991532.8222732998</v>
      </c>
      <c r="AY238" s="400">
        <f t="shared" si="269"/>
        <v>8810265.0899999999</v>
      </c>
      <c r="AZ238" s="400">
        <f t="shared" si="269"/>
        <v>1336500</v>
      </c>
      <c r="BA238" s="400">
        <f t="shared" si="269"/>
        <v>1935603.0825483003</v>
      </c>
    </row>
  </sheetData>
  <mergeCells count="5">
    <mergeCell ref="AT220:AU220"/>
    <mergeCell ref="AV220:AV221"/>
    <mergeCell ref="AW220:AX220"/>
    <mergeCell ref="AY220:AY221"/>
    <mergeCell ref="AZ220:BA220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O40"/>
  <sheetViews>
    <sheetView topLeftCell="A4" zoomScaleNormal="100" workbookViewId="0">
      <selection activeCell="H6" sqref="H6"/>
    </sheetView>
  </sheetViews>
  <sheetFormatPr defaultColWidth="9.140625" defaultRowHeight="19.5" x14ac:dyDescent="0.3"/>
  <cols>
    <col min="1" max="1" width="4" style="1" customWidth="1"/>
    <col min="2" max="2" width="42" style="1" bestFit="1" customWidth="1"/>
    <col min="3" max="3" width="20.28515625" style="1" customWidth="1"/>
    <col min="4" max="4" width="21.42578125" style="1" bestFit="1" customWidth="1"/>
    <col min="5" max="5" width="20.5703125" style="1" customWidth="1"/>
    <col min="6" max="6" width="14.28515625" style="1" bestFit="1" customWidth="1"/>
    <col min="7" max="7" width="20.140625" style="1" customWidth="1"/>
    <col min="8" max="8" width="16.5703125" style="1" bestFit="1" customWidth="1"/>
    <col min="9" max="9" width="19.28515625" style="1" bestFit="1" customWidth="1"/>
    <col min="10" max="10" width="9.140625" style="1"/>
    <col min="11" max="11" width="9.85546875" style="1" bestFit="1" customWidth="1"/>
    <col min="12" max="12" width="16.42578125" style="1" bestFit="1" customWidth="1"/>
    <col min="13" max="14" width="15.85546875" style="1" bestFit="1" customWidth="1"/>
    <col min="15" max="15" width="16.42578125" style="1" bestFit="1" customWidth="1"/>
    <col min="16" max="16384" width="9.140625" style="1"/>
  </cols>
  <sheetData>
    <row r="1" spans="1:15" x14ac:dyDescent="0.3">
      <c r="A1" s="494"/>
      <c r="B1" s="494"/>
      <c r="C1" s="494"/>
      <c r="D1" s="494"/>
      <c r="E1" s="494"/>
    </row>
    <row r="2" spans="1:15" ht="28.5" customHeight="1" x14ac:dyDescent="0.3">
      <c r="A2" s="2" t="s">
        <v>10</v>
      </c>
      <c r="B2" s="2"/>
      <c r="C2" s="2"/>
      <c r="D2" s="2"/>
      <c r="E2" s="2"/>
    </row>
    <row r="3" spans="1:15" x14ac:dyDescent="0.3">
      <c r="A3" s="3"/>
      <c r="B3" s="3"/>
      <c r="C3" s="4" t="s">
        <v>0</v>
      </c>
      <c r="D3" s="4" t="s">
        <v>1</v>
      </c>
      <c r="E3" s="3"/>
    </row>
    <row r="4" spans="1:15" ht="39" x14ac:dyDescent="0.3">
      <c r="A4" s="3"/>
      <c r="B4" s="225"/>
      <c r="C4" s="5">
        <f>D4-1</f>
        <v>2023</v>
      </c>
      <c r="D4" s="6">
        <f>FiscalYear</f>
        <v>2024</v>
      </c>
      <c r="E4" s="7" t="str">
        <f>"DIFFERENCE "&amp;D4&amp;" - "&amp;C4</f>
        <v>DIFFERENCE 2024 - 2023</v>
      </c>
      <c r="F4" s="247" t="str">
        <f>"MAX "&amp;C4</f>
        <v>MAX 2023</v>
      </c>
      <c r="G4" s="247" t="str">
        <f>"MAX "&amp;D4</f>
        <v>MAX 2024</v>
      </c>
    </row>
    <row r="5" spans="1:15" x14ac:dyDescent="0.3">
      <c r="A5" s="3"/>
      <c r="B5" s="130" t="s">
        <v>2</v>
      </c>
      <c r="C5" s="226">
        <v>6.2E-2</v>
      </c>
      <c r="D5" s="226">
        <v>6.2E-2</v>
      </c>
      <c r="E5" s="313">
        <f>D5-C5</f>
        <v>0</v>
      </c>
      <c r="F5" s="248">
        <v>142800</v>
      </c>
      <c r="G5" s="248">
        <v>147000</v>
      </c>
    </row>
    <row r="6" spans="1:15" x14ac:dyDescent="0.3">
      <c r="A6" s="3"/>
      <c r="B6" s="130" t="s">
        <v>3</v>
      </c>
      <c r="C6" s="226">
        <v>1.4500000000000001E-2</v>
      </c>
      <c r="D6" s="226">
        <v>1.4500000000000001E-2</v>
      </c>
      <c r="E6" s="313">
        <f t="shared" ref="E6:E15" si="0">D6-C6</f>
        <v>0</v>
      </c>
    </row>
    <row r="7" spans="1:15" x14ac:dyDescent="0.3">
      <c r="A7" s="3"/>
      <c r="B7" s="130" t="s">
        <v>4</v>
      </c>
      <c r="C7" s="226">
        <v>0</v>
      </c>
      <c r="D7" s="226">
        <v>0</v>
      </c>
      <c r="E7" s="313">
        <f t="shared" si="0"/>
        <v>0</v>
      </c>
    </row>
    <row r="8" spans="1:15" x14ac:dyDescent="0.3">
      <c r="A8" s="3"/>
      <c r="B8" s="130" t="s">
        <v>5</v>
      </c>
      <c r="C8" s="235">
        <v>1.8E-3</v>
      </c>
      <c r="D8" s="234">
        <v>1.9E-3</v>
      </c>
      <c r="E8" s="314">
        <f t="shared" si="0"/>
        <v>1.0000000000000005E-4</v>
      </c>
    </row>
    <row r="9" spans="1:15" x14ac:dyDescent="0.3">
      <c r="A9" s="3"/>
      <c r="B9" s="130" t="s">
        <v>6</v>
      </c>
      <c r="C9" s="226">
        <v>7.2100000000000003E-3</v>
      </c>
      <c r="D9" s="226">
        <v>7.2100000000000003E-3</v>
      </c>
      <c r="E9" s="313">
        <f t="shared" si="0"/>
        <v>0</v>
      </c>
    </row>
    <row r="10" spans="1:15" x14ac:dyDescent="0.3">
      <c r="A10" s="3"/>
      <c r="B10" s="130" t="s">
        <v>7</v>
      </c>
      <c r="C10" s="226">
        <v>0</v>
      </c>
      <c r="D10" s="226">
        <v>0</v>
      </c>
      <c r="E10" s="313">
        <f t="shared" si="0"/>
        <v>0</v>
      </c>
      <c r="G10" s="410" t="s">
        <v>802</v>
      </c>
      <c r="H10" s="411"/>
      <c r="I10" s="412"/>
    </row>
    <row r="11" spans="1:15" x14ac:dyDescent="0.3">
      <c r="A11" s="3"/>
      <c r="B11" s="130" t="s">
        <v>8</v>
      </c>
      <c r="C11" s="226">
        <v>0</v>
      </c>
      <c r="D11" s="226">
        <v>0</v>
      </c>
      <c r="E11" s="313">
        <f t="shared" si="0"/>
        <v>0</v>
      </c>
      <c r="G11" s="413" t="s">
        <v>803</v>
      </c>
      <c r="H11" s="414"/>
      <c r="I11" s="415"/>
    </row>
    <row r="12" spans="1:15" x14ac:dyDescent="0.3">
      <c r="A12" s="3"/>
      <c r="B12" s="233" t="s">
        <v>11</v>
      </c>
      <c r="C12" s="234">
        <f>SUM(C5:C11)</f>
        <v>8.5509999999999989E-2</v>
      </c>
      <c r="D12" s="234">
        <f>SUM(D5:D11)</f>
        <v>8.5609999999999992E-2</v>
      </c>
      <c r="E12" s="315">
        <f>D12-C12</f>
        <v>1.0000000000000286E-4</v>
      </c>
      <c r="G12" s="413"/>
      <c r="H12" s="414"/>
      <c r="I12" s="415"/>
      <c r="M12" s="320"/>
    </row>
    <row r="13" spans="1:15" x14ac:dyDescent="0.3">
      <c r="A13" s="3"/>
      <c r="B13" s="231" t="s">
        <v>9</v>
      </c>
      <c r="C13" s="226">
        <f>SUM(C5:C8)</f>
        <v>7.8299999999999995E-2</v>
      </c>
      <c r="D13" s="226">
        <f>SUM(D5:D8)</f>
        <v>7.8399999999999997E-2</v>
      </c>
      <c r="E13" s="313">
        <f t="shared" si="0"/>
        <v>1.0000000000000286E-4</v>
      </c>
      <c r="F13" s="8"/>
      <c r="G13" s="413" t="s">
        <v>92</v>
      </c>
      <c r="H13" s="414" t="s">
        <v>804</v>
      </c>
      <c r="I13" s="415" t="s">
        <v>104</v>
      </c>
    </row>
    <row r="14" spans="1:15" x14ac:dyDescent="0.3">
      <c r="A14" s="230"/>
      <c r="B14" s="232" t="s">
        <v>100</v>
      </c>
      <c r="C14" s="226">
        <f>SUM(C5:C6,C8:C9)</f>
        <v>8.5509999999999989E-2</v>
      </c>
      <c r="D14" s="226">
        <f>SUM(D5:D6,D8:D9)</f>
        <v>8.5609999999999992E-2</v>
      </c>
      <c r="E14" s="313">
        <f>D14-C14</f>
        <v>1.0000000000000286E-4</v>
      </c>
      <c r="G14" s="416">
        <v>5567</v>
      </c>
      <c r="H14" s="417">
        <f>G14*(ElectVBBY+Retire1BY)</f>
        <v>1098.9814699999999</v>
      </c>
      <c r="I14" s="418">
        <f>G14+H14</f>
        <v>6665.9814699999997</v>
      </c>
      <c r="M14" s="320"/>
    </row>
    <row r="15" spans="1:15" x14ac:dyDescent="0.3">
      <c r="A15" s="3"/>
      <c r="B15" s="231" t="s">
        <v>12</v>
      </c>
      <c r="C15" s="228">
        <v>12500</v>
      </c>
      <c r="D15" s="228">
        <v>13750</v>
      </c>
      <c r="E15" s="311">
        <f t="shared" si="0"/>
        <v>1250</v>
      </c>
      <c r="G15" s="404" t="s">
        <v>805</v>
      </c>
      <c r="H15" s="405" t="s">
        <v>806</v>
      </c>
      <c r="I15" s="406" t="s">
        <v>807</v>
      </c>
      <c r="L15" s="8"/>
      <c r="O15" s="9"/>
    </row>
    <row r="16" spans="1:15" x14ac:dyDescent="0.3">
      <c r="A16" s="3"/>
      <c r="B16" s="231" t="s">
        <v>80</v>
      </c>
      <c r="C16" s="229">
        <v>10000</v>
      </c>
      <c r="D16" s="229">
        <v>11000</v>
      </c>
      <c r="E16" s="312">
        <f>PTHealthBY-PTHealth</f>
        <v>1000</v>
      </c>
      <c r="G16" s="407">
        <f>ROUND(G14,-2)</f>
        <v>5600</v>
      </c>
      <c r="H16" s="408">
        <f t="shared" ref="H16:I16" si="1">ROUND(H14,-2)</f>
        <v>1100</v>
      </c>
      <c r="I16" s="409">
        <f t="shared" si="1"/>
        <v>6700</v>
      </c>
      <c r="L16" s="8"/>
      <c r="O16" s="9"/>
    </row>
    <row r="17" spans="1:11" x14ac:dyDescent="0.3">
      <c r="B17" s="130"/>
      <c r="D17" s="1" t="s">
        <v>45</v>
      </c>
      <c r="K17" s="319"/>
    </row>
    <row r="18" spans="1:11" ht="12" customHeight="1" x14ac:dyDescent="0.3">
      <c r="C18" s="1" t="s">
        <v>45</v>
      </c>
    </row>
    <row r="19" spans="1:11" ht="39" x14ac:dyDescent="0.3">
      <c r="B19" s="10" t="s">
        <v>79</v>
      </c>
      <c r="C19" s="227">
        <f>C4</f>
        <v>2023</v>
      </c>
      <c r="D19" s="227">
        <f>BudgetYear</f>
        <v>2024</v>
      </c>
      <c r="E19" s="11" t="str">
        <f>E4</f>
        <v>DIFFERENCE 2024 - 2023</v>
      </c>
    </row>
    <row r="20" spans="1:11" x14ac:dyDescent="0.3">
      <c r="A20" s="1" t="s">
        <v>66</v>
      </c>
      <c r="B20" s="216" t="s">
        <v>73</v>
      </c>
      <c r="C20" s="361">
        <v>0.11940000000000001</v>
      </c>
      <c r="D20" s="361">
        <v>0.1118</v>
      </c>
      <c r="E20" s="362">
        <f>D20-C20</f>
        <v>-7.6000000000000095E-3</v>
      </c>
    </row>
    <row r="21" spans="1:11" x14ac:dyDescent="0.3">
      <c r="A21" s="1" t="s">
        <v>68</v>
      </c>
      <c r="B21" s="1" t="s">
        <v>74</v>
      </c>
      <c r="C21" s="361">
        <v>0.12280000000000001</v>
      </c>
      <c r="D21" s="361">
        <v>0.1326</v>
      </c>
      <c r="E21" s="362">
        <f t="shared" ref="E21" si="2">D21-C21</f>
        <v>9.7999999999999893E-3</v>
      </c>
    </row>
    <row r="22" spans="1:11" x14ac:dyDescent="0.3">
      <c r="A22" s="1" t="s">
        <v>69</v>
      </c>
      <c r="B22" s="1" t="s">
        <v>75</v>
      </c>
      <c r="C22" s="361">
        <v>0.11940000000000001</v>
      </c>
      <c r="D22" s="361">
        <v>0.1118</v>
      </c>
      <c r="E22" s="362">
        <f>D22-C22</f>
        <v>-7.6000000000000095E-3</v>
      </c>
    </row>
    <row r="23" spans="1:11" hidden="1" x14ac:dyDescent="0.3">
      <c r="A23" s="1" t="s">
        <v>70</v>
      </c>
      <c r="B23" s="1" t="s">
        <v>76</v>
      </c>
      <c r="C23" s="361">
        <v>0</v>
      </c>
      <c r="D23" s="361">
        <v>0</v>
      </c>
      <c r="E23" s="362">
        <v>0</v>
      </c>
    </row>
    <row r="24" spans="1:11" x14ac:dyDescent="0.3">
      <c r="A24" s="1" t="s">
        <v>67</v>
      </c>
      <c r="B24" s="1" t="s">
        <v>77</v>
      </c>
      <c r="C24" s="361">
        <v>0.62529999999999997</v>
      </c>
      <c r="D24" s="361">
        <v>0.62529999999999997</v>
      </c>
      <c r="E24" s="362">
        <f>D24-C24</f>
        <v>0</v>
      </c>
    </row>
    <row r="25" spans="1:11" x14ac:dyDescent="0.3">
      <c r="A25" s="1" t="s">
        <v>72</v>
      </c>
      <c r="B25" s="1" t="s">
        <v>78</v>
      </c>
      <c r="C25" s="361">
        <v>0.1084</v>
      </c>
      <c r="D25" s="361">
        <v>0.1084</v>
      </c>
      <c r="E25" s="362">
        <f>D25-C25</f>
        <v>0</v>
      </c>
    </row>
    <row r="26" spans="1:11" x14ac:dyDescent="0.3">
      <c r="A26" s="1" t="s">
        <v>71</v>
      </c>
      <c r="B26" s="1" t="s">
        <v>78</v>
      </c>
      <c r="C26" s="361">
        <v>0.1084</v>
      </c>
      <c r="D26" s="361">
        <v>0.1084</v>
      </c>
      <c r="E26" s="362">
        <f>D26-C26</f>
        <v>0</v>
      </c>
    </row>
    <row r="27" spans="1:11" x14ac:dyDescent="0.3">
      <c r="B27" s="363" t="s">
        <v>118</v>
      </c>
      <c r="C27" s="363">
        <v>0.11940000000000001</v>
      </c>
      <c r="D27" s="363">
        <v>0.12690000000000001</v>
      </c>
      <c r="E27" s="363">
        <f>D27-C27</f>
        <v>7.5000000000000067E-3</v>
      </c>
    </row>
    <row r="28" spans="1:11" x14ac:dyDescent="0.3">
      <c r="A28" s="495" t="s">
        <v>108</v>
      </c>
      <c r="B28" s="495"/>
      <c r="C28" s="495"/>
      <c r="D28" s="495"/>
      <c r="E28" s="495"/>
    </row>
    <row r="29" spans="1:11" x14ac:dyDescent="0.3">
      <c r="A29" s="495" t="s">
        <v>109</v>
      </c>
      <c r="B29" s="495"/>
      <c r="C29" s="495"/>
      <c r="D29" s="495"/>
      <c r="E29" s="495"/>
    </row>
    <row r="30" spans="1:11" ht="12.75" customHeight="1" x14ac:dyDescent="0.3">
      <c r="A30" s="247"/>
      <c r="B30" s="247"/>
      <c r="C30" s="247"/>
      <c r="D30" s="247"/>
      <c r="E30" s="247"/>
    </row>
    <row r="31" spans="1:11" x14ac:dyDescent="0.3">
      <c r="A31" s="316" t="s">
        <v>86</v>
      </c>
      <c r="B31" s="316"/>
      <c r="C31" s="247"/>
      <c r="D31" s="247"/>
      <c r="E31" s="247"/>
    </row>
    <row r="32" spans="1:11" x14ac:dyDescent="0.3">
      <c r="A32" s="316"/>
      <c r="B32" s="316" t="s">
        <v>87</v>
      </c>
      <c r="C32" s="247"/>
      <c r="D32" s="247"/>
      <c r="E32" s="247"/>
    </row>
    <row r="33" spans="1:5" x14ac:dyDescent="0.3">
      <c r="A33" s="316"/>
      <c r="B33" s="316" t="s">
        <v>88</v>
      </c>
      <c r="C33" s="247"/>
      <c r="D33" s="247"/>
      <c r="E33" s="247"/>
    </row>
    <row r="34" spans="1:5" x14ac:dyDescent="0.3">
      <c r="A34" s="316"/>
      <c r="B34" s="316" t="s">
        <v>89</v>
      </c>
      <c r="C34" s="247"/>
      <c r="D34" s="247"/>
      <c r="E34" s="247"/>
    </row>
    <row r="35" spans="1:5" x14ac:dyDescent="0.3">
      <c r="A35" s="316"/>
      <c r="B35" s="316" t="s">
        <v>90</v>
      </c>
      <c r="C35" s="247"/>
      <c r="D35" s="247"/>
      <c r="E35" s="247"/>
    </row>
    <row r="36" spans="1:5" x14ac:dyDescent="0.3">
      <c r="A36" s="316"/>
      <c r="B36" s="316" t="s">
        <v>91</v>
      </c>
      <c r="C36" s="247"/>
      <c r="D36" s="247"/>
      <c r="E36" s="247"/>
    </row>
    <row r="38" spans="1:5" x14ac:dyDescent="0.3">
      <c r="B38" s="317" t="s">
        <v>101</v>
      </c>
      <c r="C38" s="318">
        <v>0.01</v>
      </c>
    </row>
    <row r="39" spans="1:5" x14ac:dyDescent="0.3">
      <c r="B39" s="341" t="s">
        <v>102</v>
      </c>
      <c r="C39" s="340">
        <v>0.01</v>
      </c>
    </row>
    <row r="40" spans="1:5" x14ac:dyDescent="0.3">
      <c r="B40" s="342" t="s">
        <v>107</v>
      </c>
      <c r="C40" s="343">
        <v>1</v>
      </c>
    </row>
  </sheetData>
  <mergeCells count="3">
    <mergeCell ref="A1:E1"/>
    <mergeCell ref="A28:E28"/>
    <mergeCell ref="A29:E29"/>
  </mergeCell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CP80"/>
  <sheetViews>
    <sheetView showGridLines="0" zoomScaleNormal="100" workbookViewId="0">
      <selection sqref="A1:XFD1048576"/>
    </sheetView>
  </sheetViews>
  <sheetFormatPr defaultColWidth="9.140625" defaultRowHeight="15.75" x14ac:dyDescent="0.25"/>
  <cols>
    <col min="1" max="1" width="7.85546875" style="124" customWidth="1"/>
    <col min="2" max="2" width="7.7109375" style="125" customWidth="1"/>
    <col min="3" max="3" width="9" style="125" customWidth="1"/>
    <col min="4" max="4" width="39.28515625" style="53" customWidth="1"/>
    <col min="5" max="5" width="13" style="126" customWidth="1"/>
    <col min="6" max="6" width="12.28515625" style="127" customWidth="1"/>
    <col min="7" max="7" width="12.140625" style="127" bestFit="1" customWidth="1"/>
    <col min="8" max="8" width="14.5703125" style="127" customWidth="1"/>
    <col min="9" max="9" width="19.5703125" style="128" bestFit="1" customWidth="1"/>
    <col min="10" max="10" width="13.7109375" style="129" customWidth="1"/>
    <col min="11" max="11" width="13.7109375" style="129" hidden="1" customWidth="1"/>
    <col min="12" max="12" width="18.42578125" style="129" customWidth="1"/>
    <col min="13" max="13" width="16.42578125" style="129" customWidth="1"/>
    <col min="14" max="14" width="16.140625" style="128" customWidth="1"/>
    <col min="15" max="25" width="16.140625" customWidth="1"/>
    <col min="26" max="26" width="16.140625" style="344" customWidth="1"/>
    <col min="27" max="27" width="22.140625" style="334" bestFit="1" customWidth="1"/>
    <col min="28" max="28" width="31.140625" style="334" bestFit="1" customWidth="1"/>
    <col min="29" max="29" width="7.85546875" style="334" bestFit="1" customWidth="1"/>
    <col min="30" max="30" width="9.140625" style="110" customWidth="1"/>
    <col min="31" max="94" width="9.140625" style="17"/>
    <col min="95" max="16384" width="9.140625" style="18"/>
  </cols>
  <sheetData>
    <row r="1" spans="1:94" x14ac:dyDescent="0.25">
      <c r="A1" s="12" t="s">
        <v>13</v>
      </c>
      <c r="B1" s="13"/>
      <c r="C1" s="13"/>
      <c r="D1" s="14"/>
      <c r="E1" s="15"/>
      <c r="F1" s="15"/>
      <c r="G1" s="15"/>
      <c r="H1" s="15"/>
      <c r="I1" s="15"/>
      <c r="J1" s="15"/>
      <c r="K1" s="15"/>
      <c r="L1" s="16" t="s">
        <v>14</v>
      </c>
      <c r="M1" s="484"/>
      <c r="N1" s="485"/>
      <c r="AA1" s="337"/>
      <c r="AB1" s="333"/>
      <c r="AC1" s="333"/>
      <c r="AD1" s="325"/>
    </row>
    <row r="2" spans="1:94" ht="20.25" x14ac:dyDescent="0.25">
      <c r="A2" s="19" t="s">
        <v>114</v>
      </c>
      <c r="B2" s="20"/>
      <c r="C2" s="20"/>
      <c r="D2" s="14"/>
      <c r="E2" s="21"/>
      <c r="F2" s="21"/>
      <c r="G2" s="21"/>
      <c r="H2" s="21"/>
      <c r="I2" s="21"/>
      <c r="J2" s="20"/>
      <c r="K2" s="20"/>
      <c r="L2" s="22" t="s">
        <v>111</v>
      </c>
      <c r="M2" s="486"/>
      <c r="N2" s="487"/>
      <c r="AA2" s="333"/>
      <c r="AB2" s="333"/>
      <c r="AC2" s="333"/>
      <c r="AD2" s="325"/>
    </row>
    <row r="3" spans="1:94" x14ac:dyDescent="0.25">
      <c r="A3" s="19" t="s">
        <v>115</v>
      </c>
      <c r="B3" s="20"/>
      <c r="C3" s="20"/>
      <c r="D3" s="23"/>
      <c r="E3" s="24"/>
      <c r="F3" s="25"/>
      <c r="G3" s="25"/>
      <c r="H3" s="25"/>
      <c r="I3" s="26"/>
      <c r="J3" s="20"/>
      <c r="K3" s="20"/>
      <c r="L3" s="22" t="s">
        <v>112</v>
      </c>
      <c r="M3" s="484"/>
      <c r="N3" s="485"/>
      <c r="AA3" s="337"/>
      <c r="AB3" s="333"/>
      <c r="AC3" s="333"/>
      <c r="AD3" s="325"/>
    </row>
    <row r="4" spans="1:94" x14ac:dyDescent="0.25">
      <c r="A4" s="19"/>
      <c r="B4" s="20"/>
      <c r="C4" s="20"/>
      <c r="D4" s="27"/>
      <c r="E4" s="24"/>
      <c r="F4" s="25"/>
      <c r="G4" s="25"/>
      <c r="H4" s="25"/>
      <c r="I4" s="28"/>
      <c r="J4" s="26"/>
      <c r="K4" s="26"/>
      <c r="L4" s="22" t="s">
        <v>15</v>
      </c>
      <c r="M4" s="484">
        <v>2024</v>
      </c>
      <c r="N4" s="485"/>
      <c r="AA4" s="337"/>
      <c r="AB4" s="333"/>
      <c r="AC4" s="333"/>
      <c r="AD4" s="325"/>
    </row>
    <row r="5" spans="1:94" s="34" customFormat="1" ht="18" customHeight="1" x14ac:dyDescent="0.25">
      <c r="A5" s="19" t="s">
        <v>16</v>
      </c>
      <c r="B5" s="20"/>
      <c r="C5" s="20"/>
      <c r="D5" s="350">
        <v>44805</v>
      </c>
      <c r="E5" s="27"/>
      <c r="F5" s="30"/>
      <c r="G5" s="31"/>
      <c r="H5" s="31" t="s">
        <v>17</v>
      </c>
      <c r="I5" s="486"/>
      <c r="J5" s="488"/>
      <c r="K5" s="488"/>
      <c r="L5" s="487"/>
      <c r="M5" s="351" t="s">
        <v>113</v>
      </c>
      <c r="N5" s="32"/>
      <c r="O5"/>
      <c r="P5"/>
      <c r="Q5"/>
      <c r="R5"/>
      <c r="S5"/>
      <c r="T5"/>
      <c r="U5"/>
      <c r="V5"/>
      <c r="W5"/>
      <c r="X5"/>
      <c r="Y5"/>
      <c r="Z5" s="344"/>
      <c r="AA5" s="337"/>
      <c r="AB5" s="333"/>
      <c r="AC5" s="333"/>
      <c r="AD5" s="326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</row>
    <row r="6" spans="1:94" ht="23.25" customHeight="1" x14ac:dyDescent="0.25">
      <c r="A6" s="19"/>
      <c r="B6" s="20" t="s">
        <v>18</v>
      </c>
      <c r="C6" s="20"/>
      <c r="D6" s="29"/>
      <c r="E6" s="35" t="s">
        <v>19</v>
      </c>
      <c r="F6" s="36"/>
      <c r="G6" s="25"/>
      <c r="H6" s="25"/>
      <c r="I6" s="37"/>
      <c r="J6" s="31" t="s">
        <v>82</v>
      </c>
      <c r="K6" s="31"/>
      <c r="L6" s="352"/>
      <c r="M6" s="353" t="s">
        <v>83</v>
      </c>
      <c r="N6" s="306"/>
      <c r="AA6" s="337"/>
      <c r="AB6" s="333"/>
      <c r="AC6" s="333"/>
      <c r="AD6" s="325"/>
    </row>
    <row r="7" spans="1:94" x14ac:dyDescent="0.25">
      <c r="A7" s="38"/>
      <c r="B7" s="39"/>
      <c r="C7" s="40"/>
      <c r="D7" s="41"/>
      <c r="E7" s="42"/>
      <c r="F7" s="40"/>
      <c r="G7" s="43"/>
      <c r="H7" s="44"/>
      <c r="I7" s="45"/>
      <c r="J7" s="46"/>
      <c r="K7" s="46"/>
      <c r="L7" s="46"/>
      <c r="M7" s="46"/>
      <c r="N7" s="47"/>
    </row>
    <row r="8" spans="1:94" s="52" customFormat="1" ht="40.5" customHeight="1" x14ac:dyDescent="0.25">
      <c r="A8" s="48" t="s">
        <v>20</v>
      </c>
      <c r="B8" s="256" t="s">
        <v>21</v>
      </c>
      <c r="C8" s="489" t="s">
        <v>22</v>
      </c>
      <c r="D8" s="490"/>
      <c r="E8" s="332" t="s">
        <v>23</v>
      </c>
      <c r="F8" s="49" t="s">
        <v>24</v>
      </c>
      <c r="G8" s="50" t="str">
        <f>"FY "&amp;[0]!FiscalYear-1&amp;" SALARY"</f>
        <v>FY 2023 SALARY</v>
      </c>
      <c r="H8" s="50" t="str">
        <f>"FY "&amp;[0]!FiscalYear-1&amp;" HEALTH BENEFITS"</f>
        <v>FY 2023 HEALTH BENEFITS</v>
      </c>
      <c r="I8" s="50" t="str">
        <f>"FY "&amp;[0]!FiscalYear-1&amp;" VAR BENEFITS"</f>
        <v>FY 2023 VAR BENEFITS</v>
      </c>
      <c r="J8" s="50" t="str">
        <f>"FY "&amp;[0]!FiscalYear-1&amp;" TOTAL"</f>
        <v>FY 2023 TOTAL</v>
      </c>
      <c r="K8" s="50" t="str">
        <f>"FY "&amp;[0]!FiscalYear&amp;" SALARY CHANGE"</f>
        <v>FY 2024 SALARY CHANGE</v>
      </c>
      <c r="L8" s="50" t="str">
        <f>"FY "&amp;[0]!FiscalYear&amp;" CHG HEALTH BENEFITS"</f>
        <v>FY 2024 CHG HEALTH BENEFITS</v>
      </c>
      <c r="M8" s="50" t="str">
        <f>"FY "&amp;[0]!FiscalYear&amp;" CHG VAR BENEFITS"</f>
        <v>FY 2024 CHG VAR BENEFITS</v>
      </c>
      <c r="N8" s="50" t="s">
        <v>25</v>
      </c>
      <c r="O8"/>
      <c r="P8"/>
      <c r="Q8"/>
      <c r="R8"/>
      <c r="S8"/>
      <c r="T8"/>
      <c r="U8"/>
      <c r="V8"/>
      <c r="W8"/>
      <c r="X8"/>
      <c r="Y8"/>
      <c r="Z8" s="344"/>
      <c r="AA8" s="480" t="s">
        <v>103</v>
      </c>
      <c r="AB8" s="480"/>
      <c r="AC8" s="480"/>
      <c r="AD8" s="327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</row>
    <row r="9" spans="1:94" s="149" customFormat="1" x14ac:dyDescent="0.25">
      <c r="A9" s="139"/>
      <c r="B9" s="140"/>
      <c r="C9" s="481" t="s">
        <v>26</v>
      </c>
      <c r="D9" s="482"/>
      <c r="E9" s="141"/>
      <c r="F9" s="142"/>
      <c r="G9" s="143"/>
      <c r="H9" s="143"/>
      <c r="I9" s="143"/>
      <c r="J9" s="144"/>
      <c r="K9" s="144"/>
      <c r="L9" s="145"/>
      <c r="M9" s="146"/>
      <c r="N9" s="144"/>
      <c r="O9"/>
      <c r="P9"/>
      <c r="Q9"/>
      <c r="R9"/>
      <c r="S9"/>
      <c r="T9"/>
      <c r="U9"/>
      <c r="V9"/>
      <c r="W9"/>
      <c r="X9"/>
      <c r="Y9"/>
      <c r="Z9" s="344"/>
      <c r="AA9" s="337" t="s">
        <v>92</v>
      </c>
      <c r="AB9" s="333" t="s">
        <v>93</v>
      </c>
      <c r="AC9" s="333" t="s">
        <v>104</v>
      </c>
      <c r="AD9" s="32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</row>
    <row r="10" spans="1:94" s="149" customFormat="1" x14ac:dyDescent="0.25">
      <c r="A10" s="139"/>
      <c r="B10" s="139"/>
      <c r="C10" s="460" t="s">
        <v>27</v>
      </c>
      <c r="D10" s="483"/>
      <c r="E10" s="217">
        <v>1</v>
      </c>
      <c r="F10" s="288">
        <v>0</v>
      </c>
      <c r="G10" s="218">
        <v>0</v>
      </c>
      <c r="H10" s="218">
        <v>0</v>
      </c>
      <c r="I10" s="218">
        <v>0</v>
      </c>
      <c r="J10" s="219">
        <f>SUM(G10:I10)</f>
        <v>0</v>
      </c>
      <c r="K10" s="219">
        <v>0</v>
      </c>
      <c r="L10" s="218">
        <v>0</v>
      </c>
      <c r="M10" s="218">
        <v>0</v>
      </c>
      <c r="N10" s="218">
        <f>SUM(L10:M10)</f>
        <v>0</v>
      </c>
      <c r="O10"/>
      <c r="P10"/>
      <c r="Q10"/>
      <c r="R10"/>
      <c r="S10"/>
      <c r="T10"/>
      <c r="U10"/>
      <c r="V10"/>
      <c r="W10"/>
      <c r="X10"/>
      <c r="Y10"/>
      <c r="Z10" s="344"/>
      <c r="AA10" s="338">
        <f>ROUND(CECPerm*PermSalary,-2)</f>
        <v>0</v>
      </c>
      <c r="AB10" s="335">
        <f>ROUND(PermVarBen*CECPerm+(CECPerm*PermVarBenChg),-2)</f>
        <v>0</v>
      </c>
      <c r="AC10" s="335">
        <f>SUM(AA10:AB10)</f>
        <v>0</v>
      </c>
      <c r="AD10" s="32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</row>
    <row r="11" spans="1:94" s="149" customFormat="1" x14ac:dyDescent="0.25">
      <c r="A11" s="139"/>
      <c r="B11" s="139"/>
      <c r="C11" s="460" t="s">
        <v>28</v>
      </c>
      <c r="D11" s="483"/>
      <c r="E11" s="217">
        <v>2</v>
      </c>
      <c r="F11" s="288"/>
      <c r="G11" s="218">
        <v>0</v>
      </c>
      <c r="H11" s="218">
        <v>0</v>
      </c>
      <c r="I11" s="218">
        <v>0</v>
      </c>
      <c r="J11" s="219">
        <f>SUM(G11:I11)</f>
        <v>0</v>
      </c>
      <c r="K11" s="268"/>
      <c r="L11" s="218"/>
      <c r="M11" s="218"/>
      <c r="N11" s="218"/>
      <c r="O11"/>
      <c r="P11"/>
      <c r="Q11"/>
      <c r="R11"/>
      <c r="S11"/>
      <c r="T11"/>
      <c r="U11"/>
      <c r="V11"/>
      <c r="W11"/>
      <c r="X11"/>
      <c r="Y11"/>
      <c r="Z11" s="344"/>
      <c r="AA11" s="338">
        <f>ROUND(GroupSalary*CECGroup,-2)</f>
        <v>0</v>
      </c>
      <c r="AB11" s="335">
        <f>ROUND((GroupSalary*GroupVBBY)*CECGroup,-2)</f>
        <v>0</v>
      </c>
      <c r="AC11" s="335">
        <f>SUM(AA12:AB12)</f>
        <v>0</v>
      </c>
      <c r="AD11" s="32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</row>
    <row r="12" spans="1:94" s="149" customFormat="1" x14ac:dyDescent="0.25">
      <c r="A12" s="139"/>
      <c r="B12" s="139"/>
      <c r="C12" s="460" t="s">
        <v>29</v>
      </c>
      <c r="D12" s="461"/>
      <c r="E12" s="217">
        <v>3</v>
      </c>
      <c r="F12" s="288">
        <v>0</v>
      </c>
      <c r="G12" s="218">
        <v>0</v>
      </c>
      <c r="H12" s="218">
        <v>0</v>
      </c>
      <c r="I12" s="218">
        <v>0</v>
      </c>
      <c r="J12" s="219">
        <f>SUM(G12:I12)</f>
        <v>0</v>
      </c>
      <c r="K12" s="268"/>
      <c r="L12" s="218">
        <v>0</v>
      </c>
      <c r="M12" s="218">
        <v>0</v>
      </c>
      <c r="N12" s="219">
        <f>SUM(L12:M12)</f>
        <v>0</v>
      </c>
      <c r="O12"/>
      <c r="P12"/>
      <c r="Q12"/>
      <c r="R12"/>
      <c r="S12"/>
      <c r="T12"/>
      <c r="U12"/>
      <c r="V12"/>
      <c r="W12"/>
      <c r="X12"/>
      <c r="Y12"/>
      <c r="Z12" s="344"/>
      <c r="AA12" s="336"/>
      <c r="AB12" s="336"/>
      <c r="AC12" s="336"/>
      <c r="AD12" s="32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</row>
    <row r="13" spans="1:94" s="153" customFormat="1" x14ac:dyDescent="0.25">
      <c r="A13" s="139"/>
      <c r="B13" s="139"/>
      <c r="C13" s="460" t="s">
        <v>30</v>
      </c>
      <c r="D13" s="483"/>
      <c r="E13" s="217"/>
      <c r="F13" s="220">
        <f>SUM(F10:F12)</f>
        <v>0</v>
      </c>
      <c r="G13" s="221">
        <f>SUM(G10:G12)</f>
        <v>0</v>
      </c>
      <c r="H13" s="221">
        <f>SUM(H10:H12)</f>
        <v>0</v>
      </c>
      <c r="I13" s="221">
        <f>SUM(I10:I12)</f>
        <v>0</v>
      </c>
      <c r="J13" s="219">
        <f>SUM(G13:I13)</f>
        <v>0</v>
      </c>
      <c r="K13" s="268"/>
      <c r="L13" s="219">
        <f>SUM(L10:L12)</f>
        <v>0</v>
      </c>
      <c r="M13" s="219">
        <f>SUM(M10:M12)</f>
        <v>0</v>
      </c>
      <c r="N13" s="219">
        <f>SUM(N10:N12)</f>
        <v>0</v>
      </c>
      <c r="O13"/>
      <c r="P13"/>
      <c r="Q13"/>
      <c r="R13"/>
      <c r="S13"/>
      <c r="T13"/>
      <c r="U13"/>
      <c r="V13"/>
      <c r="W13"/>
      <c r="X13"/>
      <c r="Y13"/>
      <c r="Z13" s="344"/>
      <c r="AA13" s="336"/>
      <c r="AB13" s="336"/>
      <c r="AC13" s="336"/>
      <c r="AD13" s="329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</row>
    <row r="14" spans="1:94" s="153" customFormat="1" ht="5.45" customHeight="1" x14ac:dyDescent="0.25">
      <c r="A14" s="139"/>
      <c r="B14" s="139"/>
      <c r="C14" s="154"/>
      <c r="D14" s="155"/>
      <c r="E14" s="217"/>
      <c r="F14" s="220"/>
      <c r="G14" s="219"/>
      <c r="H14" s="219"/>
      <c r="I14" s="219"/>
      <c r="J14" s="219"/>
      <c r="K14" s="268"/>
      <c r="L14" s="219"/>
      <c r="M14" s="222"/>
      <c r="N14" s="222"/>
      <c r="O14"/>
      <c r="P14"/>
      <c r="Q14"/>
      <c r="R14"/>
      <c r="S14"/>
      <c r="T14"/>
      <c r="U14"/>
      <c r="V14"/>
      <c r="W14"/>
      <c r="X14"/>
      <c r="Y14"/>
      <c r="Z14" s="344"/>
      <c r="AA14" s="336"/>
      <c r="AB14" s="336"/>
      <c r="AC14" s="336"/>
      <c r="AD14" s="329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</row>
    <row r="15" spans="1:94" s="153" customFormat="1" ht="15.75" customHeight="1" x14ac:dyDescent="0.25">
      <c r="A15" s="139"/>
      <c r="B15" s="156"/>
      <c r="C15" s="157" t="str">
        <f>"FY "&amp;[0]!FiscalYear-1</f>
        <v>FY 2023</v>
      </c>
      <c r="D15" s="158" t="s">
        <v>31</v>
      </c>
      <c r="E15" s="354">
        <v>0</v>
      </c>
      <c r="F15" s="55">
        <v>0</v>
      </c>
      <c r="G15" s="223">
        <f>IF(OrigApprop=0,0,(G13/$J$13)*OrigApprop)</f>
        <v>0</v>
      </c>
      <c r="H15" s="223">
        <f>IF(OrigApprop=0,0,(H13/$J$13)*OrigApprop)</f>
        <v>0</v>
      </c>
      <c r="I15" s="223">
        <f>IF(G15=0,0,(I13/$J$13)*OrigApprop)</f>
        <v>0</v>
      </c>
      <c r="J15" s="223">
        <f>SUM(G15:I15)</f>
        <v>0</v>
      </c>
      <c r="K15" s="268"/>
      <c r="L15" s="224"/>
      <c r="M15" s="224"/>
      <c r="N15" s="224"/>
      <c r="O15"/>
      <c r="P15"/>
      <c r="Q15"/>
      <c r="R15"/>
      <c r="S15"/>
      <c r="T15"/>
      <c r="U15"/>
      <c r="V15"/>
      <c r="W15"/>
      <c r="X15"/>
      <c r="Y15"/>
      <c r="Z15" s="344"/>
      <c r="AA15" s="336"/>
      <c r="AB15" s="336"/>
      <c r="AC15" s="336"/>
      <c r="AD15" s="329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</row>
    <row r="16" spans="1:94" s="153" customFormat="1" ht="15.75" customHeight="1" x14ac:dyDescent="0.25">
      <c r="A16" s="139"/>
      <c r="B16" s="139"/>
      <c r="C16" s="470" t="s">
        <v>32</v>
      </c>
      <c r="D16" s="471"/>
      <c r="E16" s="160" t="s">
        <v>33</v>
      </c>
      <c r="F16" s="161">
        <f>F15-F13</f>
        <v>0</v>
      </c>
      <c r="G16" s="162">
        <f>G15-G13</f>
        <v>0</v>
      </c>
      <c r="H16" s="162">
        <f>H15-H13</f>
        <v>0</v>
      </c>
      <c r="I16" s="162">
        <f>I15-I13</f>
        <v>0</v>
      </c>
      <c r="J16" s="162">
        <f>J15-J13</f>
        <v>0</v>
      </c>
      <c r="K16" s="269"/>
      <c r="L16" s="56" t="str">
        <f>IF([0]!OrigApprop=0,"No Original Appropriation amount in DU 3.00 for this fund","Calculated "&amp;IF([0]!AdjustedTotal&gt;0,"overfunding ","underfunding ")&amp;"is "&amp;TEXT([0]!AdjustedTotal/[0]!AppropTotal,"#.0%;(#.0% );0% ;")&amp;" of Original Appropriation")</f>
        <v>No Original Appropriation amount in DU 3.00 for this fund</v>
      </c>
      <c r="M16" s="163"/>
      <c r="N16" s="164"/>
      <c r="O16"/>
      <c r="P16"/>
      <c r="Q16"/>
      <c r="R16"/>
      <c r="S16"/>
      <c r="T16"/>
      <c r="U16"/>
      <c r="V16"/>
      <c r="W16"/>
      <c r="X16"/>
      <c r="Y16"/>
      <c r="Z16" s="344"/>
      <c r="AA16" s="336"/>
      <c r="AB16" s="336"/>
      <c r="AC16" s="336"/>
      <c r="AD16" s="329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</row>
    <row r="17" spans="1:94" s="153" customFormat="1" x14ac:dyDescent="0.25">
      <c r="A17" s="139"/>
      <c r="B17" s="139"/>
      <c r="C17" s="472" t="s">
        <v>34</v>
      </c>
      <c r="D17" s="473"/>
      <c r="E17" s="147"/>
      <c r="F17" s="258"/>
      <c r="G17" s="147"/>
      <c r="H17" s="166"/>
      <c r="I17" s="167"/>
      <c r="J17" s="166"/>
      <c r="K17" s="166"/>
      <c r="L17" s="166"/>
      <c r="M17" s="166"/>
      <c r="N17" s="166"/>
      <c r="O17"/>
      <c r="P17"/>
      <c r="Q17"/>
      <c r="R17"/>
      <c r="S17"/>
      <c r="T17"/>
      <c r="U17"/>
      <c r="V17"/>
      <c r="W17"/>
      <c r="X17"/>
      <c r="Y17"/>
      <c r="Z17" s="344"/>
      <c r="AA17" s="336"/>
      <c r="AB17" s="336"/>
      <c r="AC17" s="336"/>
      <c r="AD17" s="329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</row>
    <row r="18" spans="1:94" s="153" customFormat="1" ht="26.25" customHeight="1" x14ac:dyDescent="0.25">
      <c r="A18" s="139"/>
      <c r="B18" s="168"/>
      <c r="C18" s="474" t="s">
        <v>35</v>
      </c>
      <c r="D18" s="475"/>
      <c r="E18" s="150"/>
      <c r="F18" s="165"/>
      <c r="G18" s="166"/>
      <c r="H18" s="169"/>
      <c r="I18" s="166"/>
      <c r="J18" s="166"/>
      <c r="K18" s="166"/>
      <c r="L18" s="166"/>
      <c r="M18" s="166"/>
      <c r="N18" s="166"/>
      <c r="O18"/>
      <c r="P18"/>
      <c r="Q18"/>
      <c r="R18"/>
      <c r="S18"/>
      <c r="T18"/>
      <c r="U18"/>
      <c r="V18"/>
      <c r="W18"/>
      <c r="X18"/>
      <c r="Y18"/>
      <c r="Z18" s="344"/>
      <c r="AA18" s="336"/>
      <c r="AB18" s="336"/>
      <c r="AC18" s="336"/>
      <c r="AD18" s="329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</row>
    <row r="19" spans="1:94" s="153" customFormat="1" ht="25.5" x14ac:dyDescent="0.25">
      <c r="A19" s="238"/>
      <c r="B19" s="202"/>
      <c r="C19" s="239" t="s">
        <v>84</v>
      </c>
      <c r="D19" s="240" t="s">
        <v>85</v>
      </c>
      <c r="E19" s="241"/>
      <c r="F19" s="165"/>
      <c r="G19" s="166"/>
      <c r="H19" s="169"/>
      <c r="I19" s="170"/>
      <c r="J19" s="166"/>
      <c r="K19" s="166"/>
      <c r="L19" s="169"/>
      <c r="M19" s="166"/>
      <c r="N19" s="166"/>
      <c r="O19"/>
      <c r="P19"/>
      <c r="Q19"/>
      <c r="R19"/>
      <c r="S19"/>
      <c r="T19"/>
      <c r="U19"/>
      <c r="V19"/>
      <c r="W19"/>
      <c r="X19"/>
      <c r="Y19"/>
      <c r="Z19" s="344"/>
      <c r="AA19" s="337"/>
      <c r="AB19" s="337"/>
      <c r="AC19" s="337"/>
      <c r="AD19" s="329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</row>
    <row r="20" spans="1:94" s="177" customFormat="1" ht="15" x14ac:dyDescent="0.25">
      <c r="A20" s="171"/>
      <c r="B20" s="172"/>
      <c r="C20" s="244"/>
      <c r="D20" s="242"/>
      <c r="E20" s="173"/>
      <c r="F20" s="174">
        <v>0</v>
      </c>
      <c r="G20" s="175">
        <v>0</v>
      </c>
      <c r="H20" s="176">
        <f t="shared" ref="H20:H30" si="0">IF(AND($F20&lt;&gt;0,$G20&lt;&gt;0,OR($E20=1,$E20=3)),$F20*Health,0)</f>
        <v>0</v>
      </c>
      <c r="I20" s="176">
        <f t="shared" ref="I20:I30" si="1">IF(AND($E20=1,$C20=""),$G20*PermVB+$G20*Retire1,IF($E20=1,$G20*PermVB+$G20*VLOOKUP($C20,Retirement_Rates,3,FALSE),IF($E20=2,$G20*GroupVB,IF(AND($E20=3,$C20=""),$G20*ElectVB+$G20*Retire1,IF($E20=3,$G20*ElectVB+$G20*VLOOKUP($C20,Retirement_Rates,3,FALSE),0)))))</f>
        <v>0</v>
      </c>
      <c r="J20" s="159">
        <f>IF($E20&gt;0,SUM($G20:$I20),0)</f>
        <v>0</v>
      </c>
      <c r="K20" s="166"/>
      <c r="L20" s="176">
        <f t="shared" ref="L20:L30" si="2">IF(AND($F20&lt;&gt;0,$G20&lt;&gt;0,OR($E20=1,$E20=3)),$F20*HealthCHG,0)</f>
        <v>0</v>
      </c>
      <c r="M20" s="176">
        <f>IF(AND($E20=1,$C20=""),$G20*PermVBCHG+$G20*Retire1CHG,IF($E20=1,$G20*PermVBCHG+$G20*VLOOKUP($C20,Retirement_Rates,5,FALSE),IF($E20=2,0,IF(AND($E20=3,$C20=""),$G20*ElectVBCHG+$G20*Retire1CHG,IF($E20=3,$G20*ElectVBCHG+$G20*VLOOKUP($C20,Retirement_Rates,5,FALSE),0)))))</f>
        <v>0</v>
      </c>
      <c r="N20" s="176">
        <f>SUM(L20:M20)</f>
        <v>0</v>
      </c>
      <c r="O20"/>
      <c r="P20"/>
      <c r="Q20"/>
      <c r="R20"/>
      <c r="S20"/>
      <c r="T20"/>
      <c r="U20"/>
      <c r="V20"/>
      <c r="W20"/>
      <c r="X20"/>
      <c r="Y20"/>
      <c r="Z20" s="344"/>
      <c r="AA20" s="337"/>
      <c r="AB20" s="337"/>
      <c r="AC20" s="337"/>
      <c r="AD20" s="329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</row>
    <row r="21" spans="1:94" s="177" customFormat="1" ht="15" x14ac:dyDescent="0.25">
      <c r="A21" s="178"/>
      <c r="B21" s="179"/>
      <c r="C21" s="244"/>
      <c r="D21" s="242"/>
      <c r="E21" s="180"/>
      <c r="F21" s="181">
        <v>0</v>
      </c>
      <c r="G21" s="175">
        <v>0</v>
      </c>
      <c r="H21" s="176">
        <f t="shared" si="0"/>
        <v>0</v>
      </c>
      <c r="I21" s="176">
        <f t="shared" si="1"/>
        <v>0</v>
      </c>
      <c r="J21" s="159">
        <f t="shared" ref="J21:J35" si="3">IF($E21&gt;0,SUM($G21:$I21),0)</f>
        <v>0</v>
      </c>
      <c r="K21" s="166"/>
      <c r="L21" s="176">
        <f t="shared" si="2"/>
        <v>0</v>
      </c>
      <c r="M21" s="176">
        <f t="shared" ref="M21:M30" si="4">IF(AND($E21=1,$C21=""),$G21*PermVBCHG+$G21*Retire1CHG,IF($E21=1,$G21*PermVBCHG+$G21*VLOOKUP($C21,Retirement_Rates,5,FALSE),IF($E21=2,0,IF(AND($E21=3,$C21=""),$G21*ElectVBCHG+$G21*Retire1CHG,IF($E21=3,$G21*ElectVBCHG+$G21*VLOOKUP($C21,Retirement_Rates,5,FALSE),0)))))</f>
        <v>0</v>
      </c>
      <c r="N21" s="183">
        <f t="shared" ref="N21:N30" si="5">SUM(L21:M21)</f>
        <v>0</v>
      </c>
      <c r="O21"/>
      <c r="P21"/>
      <c r="Q21"/>
      <c r="R21"/>
      <c r="S21"/>
      <c r="T21"/>
      <c r="U21"/>
      <c r="V21"/>
      <c r="W21"/>
      <c r="X21"/>
      <c r="Y21"/>
      <c r="Z21" s="344"/>
      <c r="AA21" s="337"/>
      <c r="AB21" s="337"/>
      <c r="AC21" s="337"/>
      <c r="AD21" s="329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</row>
    <row r="22" spans="1:94" s="177" customFormat="1" ht="15" x14ac:dyDescent="0.25">
      <c r="A22" s="178"/>
      <c r="B22" s="179"/>
      <c r="C22" s="244"/>
      <c r="D22" s="242"/>
      <c r="E22" s="180"/>
      <c r="F22" s="181">
        <v>0</v>
      </c>
      <c r="G22" s="175">
        <v>0</v>
      </c>
      <c r="H22" s="176">
        <f t="shared" si="0"/>
        <v>0</v>
      </c>
      <c r="I22" s="176">
        <f t="shared" si="1"/>
        <v>0</v>
      </c>
      <c r="J22" s="159">
        <f t="shared" si="3"/>
        <v>0</v>
      </c>
      <c r="K22" s="166"/>
      <c r="L22" s="176">
        <f t="shared" si="2"/>
        <v>0</v>
      </c>
      <c r="M22" s="176">
        <f t="shared" si="4"/>
        <v>0</v>
      </c>
      <c r="N22" s="183">
        <f t="shared" si="5"/>
        <v>0</v>
      </c>
      <c r="O22"/>
      <c r="P22"/>
      <c r="Q22"/>
      <c r="R22"/>
      <c r="S22"/>
      <c r="T22"/>
      <c r="U22"/>
      <c r="V22"/>
      <c r="W22"/>
      <c r="X22"/>
      <c r="Y22"/>
      <c r="Z22" s="344"/>
      <c r="AA22" s="337"/>
      <c r="AB22" s="337"/>
      <c r="AC22" s="337"/>
      <c r="AD22" s="329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</row>
    <row r="23" spans="1:94" s="177" customFormat="1" ht="15" x14ac:dyDescent="0.25">
      <c r="A23" s="178"/>
      <c r="B23" s="179"/>
      <c r="C23" s="244"/>
      <c r="D23" s="242"/>
      <c r="E23" s="180"/>
      <c r="F23" s="181">
        <v>0</v>
      </c>
      <c r="G23" s="175">
        <v>0</v>
      </c>
      <c r="H23" s="176">
        <f t="shared" si="0"/>
        <v>0</v>
      </c>
      <c r="I23" s="176">
        <f t="shared" si="1"/>
        <v>0</v>
      </c>
      <c r="J23" s="159">
        <f t="shared" si="3"/>
        <v>0</v>
      </c>
      <c r="K23" s="166"/>
      <c r="L23" s="176">
        <f t="shared" si="2"/>
        <v>0</v>
      </c>
      <c r="M23" s="176">
        <f t="shared" si="4"/>
        <v>0</v>
      </c>
      <c r="N23" s="183">
        <f t="shared" si="5"/>
        <v>0</v>
      </c>
      <c r="O23"/>
      <c r="P23"/>
      <c r="Q23"/>
      <c r="R23"/>
      <c r="S23"/>
      <c r="T23"/>
      <c r="U23"/>
      <c r="V23"/>
      <c r="W23"/>
      <c r="X23"/>
      <c r="Y23"/>
      <c r="Z23" s="344"/>
      <c r="AA23" s="337"/>
      <c r="AB23" s="337"/>
      <c r="AC23" s="337"/>
      <c r="AD23" s="329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</row>
    <row r="24" spans="1:94" s="177" customFormat="1" ht="15" x14ac:dyDescent="0.25">
      <c r="A24" s="178"/>
      <c r="B24" s="179"/>
      <c r="C24" s="244"/>
      <c r="D24" s="242"/>
      <c r="E24" s="180"/>
      <c r="F24" s="181">
        <v>0</v>
      </c>
      <c r="G24" s="175">
        <v>0</v>
      </c>
      <c r="H24" s="176">
        <f t="shared" si="0"/>
        <v>0</v>
      </c>
      <c r="I24" s="176">
        <f t="shared" si="1"/>
        <v>0</v>
      </c>
      <c r="J24" s="159">
        <f t="shared" si="3"/>
        <v>0</v>
      </c>
      <c r="K24" s="166"/>
      <c r="L24" s="176">
        <f t="shared" si="2"/>
        <v>0</v>
      </c>
      <c r="M24" s="176">
        <f t="shared" si="4"/>
        <v>0</v>
      </c>
      <c r="N24" s="183">
        <f t="shared" si="5"/>
        <v>0</v>
      </c>
      <c r="O24"/>
      <c r="P24"/>
      <c r="Q24"/>
      <c r="R24"/>
      <c r="S24"/>
      <c r="T24"/>
      <c r="U24"/>
      <c r="V24"/>
      <c r="W24"/>
      <c r="X24"/>
      <c r="Y24"/>
      <c r="Z24" s="344"/>
      <c r="AA24" s="345"/>
      <c r="AB24" s="337"/>
      <c r="AC24" s="337"/>
      <c r="AD24" s="329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</row>
    <row r="25" spans="1:94" s="177" customFormat="1" ht="15" x14ac:dyDescent="0.25">
      <c r="A25" s="178"/>
      <c r="B25" s="179"/>
      <c r="C25" s="244"/>
      <c r="D25" s="242"/>
      <c r="E25" s="180"/>
      <c r="F25" s="181">
        <v>0</v>
      </c>
      <c r="G25" s="182">
        <v>0</v>
      </c>
      <c r="H25" s="176">
        <f t="shared" si="0"/>
        <v>0</v>
      </c>
      <c r="I25" s="176">
        <f t="shared" si="1"/>
        <v>0</v>
      </c>
      <c r="J25" s="159">
        <f t="shared" si="3"/>
        <v>0</v>
      </c>
      <c r="K25" s="166"/>
      <c r="L25" s="176">
        <f t="shared" si="2"/>
        <v>0</v>
      </c>
      <c r="M25" s="176">
        <f t="shared" si="4"/>
        <v>0</v>
      </c>
      <c r="N25" s="183">
        <f t="shared" si="5"/>
        <v>0</v>
      </c>
      <c r="O25"/>
      <c r="P25"/>
      <c r="Q25"/>
      <c r="R25"/>
      <c r="S25"/>
      <c r="T25"/>
      <c r="U25"/>
      <c r="V25"/>
      <c r="W25"/>
      <c r="X25"/>
      <c r="Y25"/>
      <c r="Z25" s="344"/>
      <c r="AA25" s="345"/>
      <c r="AB25" s="337"/>
      <c r="AC25" s="337"/>
      <c r="AD25" s="329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</row>
    <row r="26" spans="1:94" s="177" customFormat="1" ht="15" x14ac:dyDescent="0.25">
      <c r="A26" s="178"/>
      <c r="B26" s="179"/>
      <c r="C26" s="244"/>
      <c r="D26" s="242"/>
      <c r="E26" s="180"/>
      <c r="F26" s="181">
        <v>0</v>
      </c>
      <c r="G26" s="182">
        <v>0</v>
      </c>
      <c r="H26" s="176">
        <f t="shared" si="0"/>
        <v>0</v>
      </c>
      <c r="I26" s="176">
        <f t="shared" si="1"/>
        <v>0</v>
      </c>
      <c r="J26" s="159">
        <f t="shared" si="3"/>
        <v>0</v>
      </c>
      <c r="K26" s="166"/>
      <c r="L26" s="176">
        <f t="shared" si="2"/>
        <v>0</v>
      </c>
      <c r="M26" s="176">
        <f t="shared" si="4"/>
        <v>0</v>
      </c>
      <c r="N26" s="183">
        <f t="shared" si="5"/>
        <v>0</v>
      </c>
      <c r="O26"/>
      <c r="P26"/>
      <c r="Q26"/>
      <c r="R26"/>
      <c r="S26"/>
      <c r="T26"/>
      <c r="U26"/>
      <c r="V26"/>
      <c r="W26"/>
      <c r="X26"/>
      <c r="Y26"/>
      <c r="Z26" s="344"/>
      <c r="AA26" s="345"/>
      <c r="AB26" s="337"/>
      <c r="AC26" s="337"/>
      <c r="AD26" s="329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</row>
    <row r="27" spans="1:94" s="177" customFormat="1" ht="15" x14ac:dyDescent="0.25">
      <c r="A27" s="178"/>
      <c r="B27" s="179"/>
      <c r="C27" s="244"/>
      <c r="D27" s="242"/>
      <c r="E27" s="180"/>
      <c r="F27" s="181">
        <v>0</v>
      </c>
      <c r="G27" s="182">
        <v>0</v>
      </c>
      <c r="H27" s="176">
        <f t="shared" si="0"/>
        <v>0</v>
      </c>
      <c r="I27" s="176">
        <f t="shared" si="1"/>
        <v>0</v>
      </c>
      <c r="J27" s="159">
        <f t="shared" si="3"/>
        <v>0</v>
      </c>
      <c r="K27" s="166"/>
      <c r="L27" s="176">
        <f t="shared" si="2"/>
        <v>0</v>
      </c>
      <c r="M27" s="176">
        <f t="shared" si="4"/>
        <v>0</v>
      </c>
      <c r="N27" s="183">
        <f t="shared" si="5"/>
        <v>0</v>
      </c>
      <c r="O27"/>
      <c r="P27"/>
      <c r="Q27"/>
      <c r="R27"/>
      <c r="S27"/>
      <c r="T27"/>
      <c r="U27"/>
      <c r="V27"/>
      <c r="W27"/>
      <c r="X27"/>
      <c r="Y27"/>
      <c r="Z27" s="344"/>
      <c r="AA27" s="337"/>
      <c r="AB27" s="337"/>
      <c r="AC27" s="337"/>
      <c r="AD27" s="329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</row>
    <row r="28" spans="1:94" s="177" customFormat="1" ht="15" x14ac:dyDescent="0.25">
      <c r="A28" s="178"/>
      <c r="B28" s="179"/>
      <c r="C28" s="244"/>
      <c r="D28" s="242"/>
      <c r="E28" s="180"/>
      <c r="F28" s="181">
        <v>0</v>
      </c>
      <c r="G28" s="182">
        <v>0</v>
      </c>
      <c r="H28" s="176">
        <f t="shared" si="0"/>
        <v>0</v>
      </c>
      <c r="I28" s="176">
        <f t="shared" si="1"/>
        <v>0</v>
      </c>
      <c r="J28" s="159">
        <f t="shared" si="3"/>
        <v>0</v>
      </c>
      <c r="K28" s="166"/>
      <c r="L28" s="176">
        <f t="shared" si="2"/>
        <v>0</v>
      </c>
      <c r="M28" s="176">
        <f t="shared" si="4"/>
        <v>0</v>
      </c>
      <c r="N28" s="183">
        <f t="shared" si="5"/>
        <v>0</v>
      </c>
      <c r="O28"/>
      <c r="P28"/>
      <c r="Q28"/>
      <c r="R28"/>
      <c r="S28"/>
      <c r="T28"/>
      <c r="U28"/>
      <c r="V28"/>
      <c r="W28"/>
      <c r="X28"/>
      <c r="Y28"/>
      <c r="Z28" s="344"/>
      <c r="AA28" s="337"/>
      <c r="AB28" s="337"/>
      <c r="AC28" s="337"/>
      <c r="AD28" s="329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</row>
    <row r="29" spans="1:94" s="177" customFormat="1" ht="15" x14ac:dyDescent="0.25">
      <c r="A29" s="179"/>
      <c r="B29" s="179"/>
      <c r="C29" s="171"/>
      <c r="D29" s="243"/>
      <c r="E29" s="180"/>
      <c r="F29" s="181">
        <v>0</v>
      </c>
      <c r="G29" s="182">
        <v>0</v>
      </c>
      <c r="H29" s="176">
        <f t="shared" si="0"/>
        <v>0</v>
      </c>
      <c r="I29" s="176">
        <f t="shared" si="1"/>
        <v>0</v>
      </c>
      <c r="J29" s="159">
        <f t="shared" si="3"/>
        <v>0</v>
      </c>
      <c r="K29" s="166"/>
      <c r="L29" s="176">
        <f t="shared" si="2"/>
        <v>0</v>
      </c>
      <c r="M29" s="176">
        <f t="shared" si="4"/>
        <v>0</v>
      </c>
      <c r="N29" s="183">
        <f t="shared" si="5"/>
        <v>0</v>
      </c>
      <c r="O29"/>
      <c r="P29"/>
      <c r="Q29"/>
      <c r="R29"/>
      <c r="S29"/>
      <c r="T29"/>
      <c r="U29"/>
      <c r="V29"/>
      <c r="W29"/>
      <c r="X29"/>
      <c r="Y29"/>
      <c r="Z29" s="344"/>
      <c r="AA29" s="337"/>
      <c r="AB29" s="337"/>
      <c r="AC29" s="337"/>
      <c r="AD29" s="329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</row>
    <row r="30" spans="1:94" s="177" customFormat="1" ht="15" x14ac:dyDescent="0.25">
      <c r="A30" s="179"/>
      <c r="B30" s="184"/>
      <c r="C30" s="171"/>
      <c r="D30" s="243"/>
      <c r="E30" s="180"/>
      <c r="F30" s="181">
        <v>0</v>
      </c>
      <c r="G30" s="182">
        <v>0</v>
      </c>
      <c r="H30" s="176">
        <f t="shared" si="0"/>
        <v>0</v>
      </c>
      <c r="I30" s="176">
        <f t="shared" si="1"/>
        <v>0</v>
      </c>
      <c r="J30" s="159">
        <f t="shared" si="3"/>
        <v>0</v>
      </c>
      <c r="K30" s="166"/>
      <c r="L30" s="176">
        <f t="shared" si="2"/>
        <v>0</v>
      </c>
      <c r="M30" s="176">
        <f t="shared" si="4"/>
        <v>0</v>
      </c>
      <c r="N30" s="183">
        <f t="shared" si="5"/>
        <v>0</v>
      </c>
      <c r="O30"/>
      <c r="P30"/>
      <c r="Q30"/>
      <c r="R30"/>
      <c r="S30"/>
      <c r="T30"/>
      <c r="U30"/>
      <c r="V30"/>
      <c r="W30"/>
      <c r="X30"/>
      <c r="Y30"/>
      <c r="Z30" s="344"/>
      <c r="AA30" s="337"/>
      <c r="AB30" s="337"/>
      <c r="AC30" s="337"/>
      <c r="AD30" s="329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</row>
    <row r="31" spans="1:94" s="153" customFormat="1" ht="15" x14ac:dyDescent="0.25">
      <c r="A31" s="139"/>
      <c r="B31" s="168"/>
      <c r="C31" s="245"/>
      <c r="D31" s="246" t="s">
        <v>36</v>
      </c>
      <c r="E31" s="150"/>
      <c r="F31" s="165"/>
      <c r="G31" s="166"/>
      <c r="H31" s="166"/>
      <c r="I31" s="166"/>
      <c r="J31" s="166"/>
      <c r="K31" s="166"/>
      <c r="L31" s="166"/>
      <c r="M31" s="166"/>
      <c r="N31" s="166"/>
      <c r="O31"/>
      <c r="P31"/>
      <c r="Q31"/>
      <c r="R31"/>
      <c r="S31"/>
      <c r="T31"/>
      <c r="U31"/>
      <c r="V31"/>
      <c r="W31"/>
      <c r="X31"/>
      <c r="Y31"/>
      <c r="Z31" s="344"/>
      <c r="AA31" s="337"/>
      <c r="AB31" s="337"/>
      <c r="AC31" s="337"/>
      <c r="AD31" s="329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</row>
    <row r="32" spans="1:94" s="177" customFormat="1" ht="15" x14ac:dyDescent="0.25">
      <c r="A32" s="185"/>
      <c r="B32" s="185"/>
      <c r="C32" s="244"/>
      <c r="D32" s="242"/>
      <c r="E32" s="173"/>
      <c r="F32" s="174">
        <v>0</v>
      </c>
      <c r="G32" s="175">
        <v>0</v>
      </c>
      <c r="H32" s="176">
        <f t="shared" ref="H32:H35" si="6">IF(AND($F32&lt;&gt;0,$G32&lt;&gt;0,OR($E32=1,$E32=3)),$F32*Health,0)</f>
        <v>0</v>
      </c>
      <c r="I32" s="176">
        <f t="shared" ref="I32:I34" si="7">IF(AND($E32=1,$C32=""),$G32*PermVB+$G32*Retire1,IF($E32=1,$G32*PermVB+$G32*VLOOKUP($C32,Retirement_Rates,3,FALSE),IF($E32=2,$G32*GroupVB,IF(AND($E32=3,$C32=""),$G32*ElectVB+$G32*Retire1,IF($E32=3,$G32*ElectVB+$G32*VLOOKUP($C32,Retirement_Rates,3,FALSE),0)))))</f>
        <v>0</v>
      </c>
      <c r="J32" s="279">
        <f t="shared" si="3"/>
        <v>0</v>
      </c>
      <c r="K32" s="166"/>
      <c r="L32" s="176">
        <f t="shared" ref="L32:L35" si="8">IF(AND($F32&lt;&gt;0,$G32&lt;&gt;0,OR($E32=1,$E32=3)),$F32*HealthCHG,0)</f>
        <v>0</v>
      </c>
      <c r="M32" s="176">
        <f t="shared" ref="M32:M35" si="9">IF(AND($E32=1,$C32=""),$G32*PermVBCHG+$G32*Retire1CHG,IF($E32=1,$G32*PermVBCHG+$G32*VLOOKUP($C32,Retirement_Rates,5,FALSE),IF($E32=2,0,IF(AND($E32=3,$C32=""),$G32*ElectVBCHG+$G32*Retire1CHG,IF($E32=3,$G32*ElectVBCHG+$G32*VLOOKUP($C32,Retirement_Rates,5,FALSE),0)))))</f>
        <v>0</v>
      </c>
      <c r="N32" s="176">
        <f t="shared" ref="N32:N35" si="10">SUM(L32:M32)</f>
        <v>0</v>
      </c>
      <c r="O32"/>
      <c r="P32"/>
      <c r="Q32"/>
      <c r="R32"/>
      <c r="S32"/>
      <c r="T32"/>
      <c r="U32"/>
      <c r="V32"/>
      <c r="W32"/>
      <c r="X32"/>
      <c r="Y32"/>
      <c r="Z32" s="344"/>
      <c r="AA32" s="337"/>
      <c r="AB32" s="337"/>
      <c r="AC32" s="337"/>
      <c r="AD32" s="329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</row>
    <row r="33" spans="1:94" s="177" customFormat="1" ht="15" x14ac:dyDescent="0.25">
      <c r="A33" s="186"/>
      <c r="B33" s="187"/>
      <c r="C33" s="244"/>
      <c r="D33" s="242"/>
      <c r="E33" s="180"/>
      <c r="F33" s="181">
        <v>0</v>
      </c>
      <c r="G33" s="182">
        <v>0</v>
      </c>
      <c r="H33" s="176">
        <f t="shared" si="6"/>
        <v>0</v>
      </c>
      <c r="I33" s="176">
        <f t="shared" si="7"/>
        <v>0</v>
      </c>
      <c r="J33" s="279">
        <f t="shared" si="3"/>
        <v>0</v>
      </c>
      <c r="K33" s="166"/>
      <c r="L33" s="176">
        <f t="shared" si="8"/>
        <v>0</v>
      </c>
      <c r="M33" s="176">
        <f t="shared" si="9"/>
        <v>0</v>
      </c>
      <c r="N33" s="183">
        <f t="shared" si="10"/>
        <v>0</v>
      </c>
      <c r="O33"/>
      <c r="P33"/>
      <c r="Q33"/>
      <c r="R33"/>
      <c r="S33"/>
      <c r="T33"/>
      <c r="U33"/>
      <c r="V33"/>
      <c r="W33"/>
      <c r="X33"/>
      <c r="Y33"/>
      <c r="Z33" s="344"/>
      <c r="AA33" s="337"/>
      <c r="AB33" s="337"/>
      <c r="AC33" s="337"/>
      <c r="AD33" s="329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</row>
    <row r="34" spans="1:94" s="177" customFormat="1" ht="15" x14ac:dyDescent="0.25">
      <c r="A34" s="186"/>
      <c r="B34" s="187"/>
      <c r="C34" s="244"/>
      <c r="D34" s="242"/>
      <c r="E34" s="180"/>
      <c r="F34" s="181">
        <v>0</v>
      </c>
      <c r="G34" s="182">
        <v>0</v>
      </c>
      <c r="H34" s="176">
        <f t="shared" si="6"/>
        <v>0</v>
      </c>
      <c r="I34" s="176">
        <f t="shared" si="7"/>
        <v>0</v>
      </c>
      <c r="J34" s="279">
        <f t="shared" si="3"/>
        <v>0</v>
      </c>
      <c r="K34" s="280"/>
      <c r="L34" s="176">
        <f t="shared" si="8"/>
        <v>0</v>
      </c>
      <c r="M34" s="176">
        <f t="shared" si="9"/>
        <v>0</v>
      </c>
      <c r="N34" s="183">
        <f t="shared" si="10"/>
        <v>0</v>
      </c>
      <c r="O34"/>
      <c r="P34"/>
      <c r="Q34"/>
      <c r="R34"/>
      <c r="S34"/>
      <c r="T34"/>
      <c r="U34"/>
      <c r="V34"/>
      <c r="W34"/>
      <c r="X34"/>
      <c r="Y34"/>
      <c r="Z34" s="344"/>
      <c r="AA34" s="337"/>
      <c r="AB34" s="337"/>
      <c r="AC34" s="337"/>
      <c r="AD34" s="329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</row>
    <row r="35" spans="1:94" s="177" customFormat="1" ht="15" x14ac:dyDescent="0.25">
      <c r="A35" s="186"/>
      <c r="B35" s="187"/>
      <c r="C35" s="244"/>
      <c r="D35" s="242"/>
      <c r="E35" s="180"/>
      <c r="F35" s="181">
        <v>0</v>
      </c>
      <c r="G35" s="182">
        <v>0</v>
      </c>
      <c r="H35" s="176">
        <f t="shared" si="6"/>
        <v>0</v>
      </c>
      <c r="I35" s="176">
        <f>IF(AND($E35=1,$C35=""),$G35*(PermVB+Retire1),IF($E35=1,$G35*PermVB+$G35*VLOOKUP($C35,Retirement_Rates,3,FALSE),IF($E35=2,$G35*GroupVB,IF(AND($E35=3,$C35=""),$G35*ElectVB+$G35*Retire1,IF($E35=3,$G35*ElectVB+$G35*VLOOKUP($C35,Retirement_Rates,3,FALSE),0)))))</f>
        <v>0</v>
      </c>
      <c r="J35" s="279">
        <f t="shared" si="3"/>
        <v>0</v>
      </c>
      <c r="K35" s="309"/>
      <c r="L35" s="176">
        <f t="shared" si="8"/>
        <v>0</v>
      </c>
      <c r="M35" s="176">
        <f t="shared" si="9"/>
        <v>0</v>
      </c>
      <c r="N35" s="183">
        <f t="shared" si="10"/>
        <v>0</v>
      </c>
      <c r="O35"/>
      <c r="P35"/>
      <c r="Q35"/>
      <c r="R35"/>
      <c r="S35"/>
      <c r="T35"/>
      <c r="U35"/>
      <c r="V35"/>
      <c r="W35"/>
      <c r="X35"/>
      <c r="Y35"/>
      <c r="Z35" s="344"/>
      <c r="AA35" s="337"/>
      <c r="AB35" s="337"/>
      <c r="AC35" s="337"/>
      <c r="AD35" s="329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</row>
    <row r="36" spans="1:94" s="213" customFormat="1" ht="15" x14ac:dyDescent="0.25">
      <c r="A36" s="281"/>
      <c r="B36" s="282"/>
      <c r="C36" s="283"/>
      <c r="D36" s="284"/>
      <c r="E36" s="285"/>
      <c r="F36" s="197"/>
      <c r="G36" s="259"/>
      <c r="H36" s="259"/>
      <c r="I36" s="259"/>
      <c r="J36" s="286"/>
      <c r="K36" s="280"/>
      <c r="L36" s="321"/>
      <c r="M36" s="259"/>
      <c r="N36" s="259"/>
      <c r="O36"/>
      <c r="P36"/>
      <c r="Q36"/>
      <c r="R36"/>
      <c r="S36"/>
      <c r="T36"/>
      <c r="U36"/>
      <c r="V36"/>
      <c r="W36"/>
      <c r="X36"/>
      <c r="Y36"/>
      <c r="Z36" s="344"/>
      <c r="AA36" s="337" t="s">
        <v>92</v>
      </c>
      <c r="AB36" s="333" t="s">
        <v>93</v>
      </c>
      <c r="AC36" s="333" t="s">
        <v>104</v>
      </c>
      <c r="AD36" s="330"/>
    </row>
    <row r="37" spans="1:94" s="153" customFormat="1" ht="17.25" customHeight="1" x14ac:dyDescent="0.25">
      <c r="A37" s="139"/>
      <c r="B37" s="188"/>
      <c r="C37" s="476" t="s">
        <v>37</v>
      </c>
      <c r="D37" s="477"/>
      <c r="E37" s="150"/>
      <c r="F37" s="165"/>
      <c r="G37" s="166"/>
      <c r="H37" s="166"/>
      <c r="I37" s="166"/>
      <c r="J37" s="322"/>
      <c r="K37" s="166"/>
      <c r="L37" s="166"/>
      <c r="M37" s="166"/>
      <c r="N37" s="166"/>
      <c r="O37"/>
      <c r="P37"/>
      <c r="Q37"/>
      <c r="R37"/>
      <c r="S37"/>
      <c r="T37"/>
      <c r="U37"/>
      <c r="V37"/>
      <c r="W37"/>
      <c r="X37"/>
      <c r="Y37"/>
      <c r="Z37" s="344"/>
      <c r="AA37" s="478" t="s">
        <v>105</v>
      </c>
      <c r="AB37" s="479"/>
      <c r="AC37" s="479"/>
      <c r="AD37" s="329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</row>
    <row r="38" spans="1:94" s="153" customFormat="1" ht="15" x14ac:dyDescent="0.25">
      <c r="A38" s="139"/>
      <c r="B38" s="188"/>
      <c r="C38" s="460" t="str">
        <f>perm_name</f>
        <v>Permanent Positions</v>
      </c>
      <c r="D38" s="461"/>
      <c r="E38" s="189">
        <v>1</v>
      </c>
      <c r="F38" s="190">
        <f>SUMIF($E9:$E35,$E38,$F9:$F35)</f>
        <v>0</v>
      </c>
      <c r="G38" s="191">
        <f>SUMIF($E10:$E35,$E38,$G10:$G35)</f>
        <v>0</v>
      </c>
      <c r="H38" s="192">
        <f>SUMIF($E10:$E35,$E38,$H10:$H35)</f>
        <v>0</v>
      </c>
      <c r="I38" s="192">
        <f>SUMIF($E10:$E35,$E38,$I10:$I35)</f>
        <v>0</v>
      </c>
      <c r="J38" s="192">
        <f>SUM(G38:I38)</f>
        <v>0</v>
      </c>
      <c r="K38" s="166"/>
      <c r="L38" s="191">
        <f>SUMIF($E10:$E35,$E38,$L10:$L35)</f>
        <v>0</v>
      </c>
      <c r="M38" s="192">
        <f>SUMIF($E10:$E35,$E38,$M10:$M35)</f>
        <v>0</v>
      </c>
      <c r="N38" s="192">
        <f>SUM(L38:M38)</f>
        <v>0</v>
      </c>
      <c r="O38"/>
      <c r="P38"/>
      <c r="Q38"/>
      <c r="R38"/>
      <c r="S38"/>
      <c r="T38"/>
      <c r="U38"/>
      <c r="V38"/>
      <c r="W38"/>
      <c r="X38"/>
      <c r="Y38"/>
      <c r="Z38" s="344"/>
      <c r="AA38" s="338">
        <f>ROUND(AdjPermSalary*CECPerm,-2)</f>
        <v>0</v>
      </c>
      <c r="AB38" s="338">
        <f>ROUND((AdjPermVB*CECPerm+AdjPermVBBY*CECPerm),-2)</f>
        <v>0</v>
      </c>
      <c r="AC38" s="338">
        <f>SUM(AA38:AB38)</f>
        <v>0</v>
      </c>
      <c r="AD38" s="329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</row>
    <row r="39" spans="1:94" s="153" customFormat="1" ht="15" x14ac:dyDescent="0.25">
      <c r="A39" s="139"/>
      <c r="B39" s="188"/>
      <c r="C39" s="460" t="str">
        <f>Group_name</f>
        <v>Board &amp; Group Positions</v>
      </c>
      <c r="D39" s="461"/>
      <c r="E39" s="189">
        <v>2</v>
      </c>
      <c r="F39" s="151">
        <f>SUMIF($E9:$E35,$E39,$F9:$F35)</f>
        <v>0</v>
      </c>
      <c r="G39" s="193">
        <f>SUMIF($E10:$E35,$E39,$G10:$G35)</f>
        <v>0</v>
      </c>
      <c r="H39" s="152">
        <f>SUMIF($E10:$E35,$E39,$H10:$H35)</f>
        <v>0</v>
      </c>
      <c r="I39" s="152">
        <f>SUMIF($E10:$E35,$E39,$I10:$I35)</f>
        <v>0</v>
      </c>
      <c r="J39" s="152">
        <f>SUM(G39:I39)</f>
        <v>0</v>
      </c>
      <c r="K39" s="259"/>
      <c r="L39" s="193">
        <f>SUMIF($E10:$E35,$E39,$L10:$L35)</f>
        <v>0</v>
      </c>
      <c r="M39" s="152">
        <f>SUMIF($E11:$E37,$E39,$M11:$M37)</f>
        <v>0</v>
      </c>
      <c r="N39" s="152">
        <f>SUM(L39:M39)</f>
        <v>0</v>
      </c>
      <c r="O39"/>
      <c r="P39"/>
      <c r="Q39"/>
      <c r="R39"/>
      <c r="S39"/>
      <c r="T39"/>
      <c r="U39"/>
      <c r="V39"/>
      <c r="W39"/>
      <c r="X39"/>
      <c r="Y39"/>
      <c r="Z39" s="344"/>
      <c r="AA39" s="338">
        <f>ROUND(AdjGroupSalary*CECGroup,-2)</f>
        <v>0</v>
      </c>
      <c r="AB39" s="338">
        <f>ROUND(AdjGroupVB*CECGroup,-2)</f>
        <v>0</v>
      </c>
      <c r="AC39" s="338">
        <f>SUM(AA39:AB39)</f>
        <v>0</v>
      </c>
      <c r="AD39" s="329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</row>
    <row r="40" spans="1:94" s="153" customFormat="1" ht="15" x14ac:dyDescent="0.25">
      <c r="A40" s="139"/>
      <c r="B40" s="188"/>
      <c r="C40" s="154" t="str">
        <f>Elect_name</f>
        <v>Elected Officials &amp; Full Time Commissioners</v>
      </c>
      <c r="D40" s="194"/>
      <c r="E40" s="189">
        <v>3</v>
      </c>
      <c r="F40" s="151">
        <f>SUMIF($E9:$E35,$E40,$F9:$F35)</f>
        <v>0</v>
      </c>
      <c r="G40" s="193">
        <f>SUMIF($E10:$E35,$E40,$G10:$G35)</f>
        <v>0</v>
      </c>
      <c r="H40" s="152">
        <f>SUMIF($E10:$E35,$E40,$H10:$H35)</f>
        <v>0</v>
      </c>
      <c r="I40" s="152">
        <f>SUMIF($E10:$E35,$E40,$I10:$I35)</f>
        <v>0</v>
      </c>
      <c r="J40" s="152">
        <f>SUM(G40:I40)</f>
        <v>0</v>
      </c>
      <c r="K40" s="259"/>
      <c r="L40" s="193">
        <f>SUMIF($E10:$E35,$E40,$L10:$L35)</f>
        <v>0</v>
      </c>
      <c r="M40" s="152">
        <f>SUMIF($E10:$E35,$E40,$M10:$M35)</f>
        <v>0</v>
      </c>
      <c r="N40" s="152">
        <f>SUM(L40:M40)</f>
        <v>0</v>
      </c>
      <c r="O40"/>
      <c r="P40"/>
      <c r="Q40"/>
      <c r="R40"/>
      <c r="S40"/>
      <c r="T40"/>
      <c r="U40"/>
      <c r="V40"/>
      <c r="W40"/>
      <c r="X40"/>
      <c r="Y40"/>
      <c r="Z40" s="344"/>
      <c r="AA40" s="337"/>
      <c r="AB40" s="337"/>
      <c r="AC40" s="337"/>
      <c r="AD40" s="329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</row>
    <row r="41" spans="1:94" s="153" customFormat="1" ht="15" x14ac:dyDescent="0.25">
      <c r="A41" s="139"/>
      <c r="B41" s="188"/>
      <c r="C41" s="460" t="s">
        <v>38</v>
      </c>
      <c r="D41" s="461"/>
      <c r="E41" s="189"/>
      <c r="F41" s="161">
        <f>SUM(F38:F40)</f>
        <v>0</v>
      </c>
      <c r="G41" s="195">
        <f>SUM($G$38:$G$40)</f>
        <v>0</v>
      </c>
      <c r="H41" s="162">
        <f>SUM($H$38:$H$40)</f>
        <v>0</v>
      </c>
      <c r="I41" s="162">
        <f>SUM($I$38:$I$40)</f>
        <v>0</v>
      </c>
      <c r="J41" s="162">
        <f>SUM($J$38:$J$40)</f>
        <v>0</v>
      </c>
      <c r="K41" s="259"/>
      <c r="L41" s="195">
        <f>SUM($L$38:$L$40)</f>
        <v>0</v>
      </c>
      <c r="M41" s="162">
        <f>SUM($M$38:$M$40)</f>
        <v>0</v>
      </c>
      <c r="N41" s="162">
        <f>SUM(L41:M41)</f>
        <v>0</v>
      </c>
      <c r="O41"/>
      <c r="P41"/>
      <c r="Q41"/>
      <c r="R41"/>
      <c r="S41"/>
      <c r="T41"/>
      <c r="U41"/>
      <c r="V41"/>
      <c r="W41"/>
      <c r="X41"/>
      <c r="Y41"/>
      <c r="Z41" s="344"/>
      <c r="AA41" s="337" t="s">
        <v>92</v>
      </c>
      <c r="AB41" s="333" t="s">
        <v>93</v>
      </c>
      <c r="AC41" s="333" t="s">
        <v>104</v>
      </c>
      <c r="AD41" s="329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</row>
    <row r="42" spans="1:94" s="153" customFormat="1" ht="4.5" customHeight="1" x14ac:dyDescent="0.25">
      <c r="A42" s="139"/>
      <c r="B42" s="188"/>
      <c r="C42" s="462"/>
      <c r="D42" s="463"/>
      <c r="E42" s="196"/>
      <c r="F42" s="197"/>
      <c r="G42" s="198"/>
      <c r="H42" s="199"/>
      <c r="I42" s="199"/>
      <c r="J42" s="324"/>
      <c r="K42" s="200"/>
      <c r="L42" s="323"/>
      <c r="M42" s="323"/>
      <c r="N42" s="201"/>
      <c r="O42"/>
      <c r="P42"/>
      <c r="Q42"/>
      <c r="R42"/>
      <c r="S42"/>
      <c r="T42"/>
      <c r="U42"/>
      <c r="V42"/>
      <c r="W42"/>
      <c r="X42"/>
      <c r="Y42"/>
      <c r="Z42" s="344"/>
      <c r="AA42" s="337"/>
      <c r="AB42" s="337"/>
      <c r="AC42" s="337"/>
      <c r="AD42" s="329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</row>
    <row r="43" spans="1:94" s="153" customFormat="1" ht="15.75" customHeight="1" x14ac:dyDescent="0.25">
      <c r="A43" s="139"/>
      <c r="B43" s="202"/>
      <c r="C43" s="464" t="s">
        <v>39</v>
      </c>
      <c r="D43" s="465"/>
      <c r="E43" s="203" t="s">
        <v>40</v>
      </c>
      <c r="F43" s="205">
        <f>ROUND(F51-F41,2)</f>
        <v>0</v>
      </c>
      <c r="G43" s="206">
        <f>G51-G41</f>
        <v>0</v>
      </c>
      <c r="H43" s="159">
        <f>H51-H41</f>
        <v>0</v>
      </c>
      <c r="I43" s="159">
        <f>I51-I41</f>
        <v>0</v>
      </c>
      <c r="J43" s="159">
        <f>SUM(G43:I43)</f>
        <v>0</v>
      </c>
      <c r="K43" s="441" t="str">
        <f>IF(E51=0,"No Original Appropriation amount in DU 3.00 for this fund","Calculated "&amp;IF(J43&gt;0,"overfunding ","underfunding ")&amp;"is "&amp;TEXT(J43/J51,"#.0%;(#.0% );0%;")&amp;" of Original Appropriation")</f>
        <v>No Original Appropriation amount in DU 3.00 for this fund</v>
      </c>
      <c r="L43" s="442"/>
      <c r="M43" s="442"/>
      <c r="N43" s="443"/>
      <c r="O43"/>
      <c r="P43"/>
      <c r="Q43"/>
      <c r="R43"/>
      <c r="S43"/>
      <c r="T43"/>
      <c r="U43"/>
      <c r="V43"/>
      <c r="W43"/>
      <c r="X43"/>
      <c r="Y43"/>
      <c r="Z43" s="344"/>
      <c r="AA43" s="468" t="s">
        <v>106</v>
      </c>
      <c r="AB43" s="469"/>
      <c r="AC43" s="469"/>
      <c r="AD43" s="329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</row>
    <row r="44" spans="1:94" s="153" customFormat="1" ht="15.75" customHeight="1" x14ac:dyDescent="0.25">
      <c r="A44" s="139"/>
      <c r="B44" s="202"/>
      <c r="C44" s="466"/>
      <c r="D44" s="467"/>
      <c r="E44" s="204" t="s">
        <v>41</v>
      </c>
      <c r="F44" s="205">
        <f>ROUND(F60-F41,2)</f>
        <v>0</v>
      </c>
      <c r="G44" s="206">
        <f>G60-G41</f>
        <v>0</v>
      </c>
      <c r="H44" s="159">
        <f>H60-H41</f>
        <v>0</v>
      </c>
      <c r="I44" s="159">
        <f>I60-I41</f>
        <v>0</v>
      </c>
      <c r="J44" s="159">
        <f>SUM(G44:I44)</f>
        <v>0</v>
      </c>
      <c r="K44" s="441" t="str">
        <f>IF(J60=0,"This fund has zero estimated expenditures in DU 7.00",IF(J60=0,"ERROR! Verify/enter 6 series adjustments!","Calculated "&amp;IF(J44&gt;0,"overfunding ","underfunding ")&amp;"is "&amp;TEXT(J44/J60,"#.0%;(#.0% );0%;")&amp;" of Est. Expenditures"))</f>
        <v>This fund has zero estimated expenditures in DU 7.00</v>
      </c>
      <c r="L44" s="442"/>
      <c r="M44" s="442"/>
      <c r="N44" s="443"/>
      <c r="O44"/>
      <c r="P44"/>
      <c r="Q44"/>
      <c r="R44"/>
      <c r="S44"/>
      <c r="T44"/>
      <c r="U44"/>
      <c r="V44"/>
      <c r="W44"/>
      <c r="X44"/>
      <c r="Y44"/>
      <c r="Z44" s="344"/>
      <c r="AA44" s="338">
        <f>NEW_AdjPermSalary-NEW_PermSalaryFilled</f>
        <v>0</v>
      </c>
      <c r="AB44" s="338">
        <f>NEW_AdjPermVB-NEW_PermVBFilled</f>
        <v>0</v>
      </c>
      <c r="AC44" s="338">
        <f>SUM(AA44:AB44)</f>
        <v>0</v>
      </c>
      <c r="AD44" s="329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</row>
    <row r="45" spans="1:94" s="153" customFormat="1" ht="15.75" customHeight="1" x14ac:dyDescent="0.25">
      <c r="A45" s="139"/>
      <c r="B45" s="202"/>
      <c r="C45" s="215"/>
      <c r="D45" s="215"/>
      <c r="E45" s="204" t="s">
        <v>97</v>
      </c>
      <c r="F45" s="205">
        <f>ROUND(F67-F41-F63,2)</f>
        <v>0</v>
      </c>
      <c r="G45" s="206">
        <f>G67-G41-G63</f>
        <v>0</v>
      </c>
      <c r="H45" s="206">
        <f>H67-H41-H63</f>
        <v>0</v>
      </c>
      <c r="I45" s="206">
        <f>I67-I41-I63</f>
        <v>0</v>
      </c>
      <c r="J45" s="159">
        <f>SUM(G45:I45)</f>
        <v>0</v>
      </c>
      <c r="K45" s="441" t="str">
        <f>IF(J67=0,"This fund has a $0 Base in DU 9.00",IF(J67=0,"ERROR! Verify/enter 8 series adjustments!","Calculated "&amp;IF(J45&gt;0,"overfunding ","underfunding ")&amp;"is "&amp;TEXT(J45/J67,"#.0%;(#.0% );0%;")&amp;" of the Base"))</f>
        <v>This fund has a $0 Base in DU 9.00</v>
      </c>
      <c r="L45" s="442"/>
      <c r="M45" s="442"/>
      <c r="N45" s="443"/>
      <c r="O45"/>
      <c r="P45"/>
      <c r="Q45"/>
      <c r="R45"/>
      <c r="S45"/>
      <c r="T45"/>
      <c r="U45"/>
      <c r="V45"/>
      <c r="W45"/>
      <c r="X45"/>
      <c r="Y45"/>
      <c r="Z45" s="344"/>
      <c r="AA45" s="338">
        <f>NEW_AdjGroupSalary-NEW_GroupSalaryFilled</f>
        <v>0</v>
      </c>
      <c r="AB45" s="338">
        <f>NEW_AdjGroupVB-NEW_GroupVBFilled</f>
        <v>0</v>
      </c>
      <c r="AC45" s="338">
        <f>SUM(AA45:AB45)</f>
        <v>0</v>
      </c>
      <c r="AD45" s="329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</row>
    <row r="46" spans="1:94" s="153" customFormat="1" ht="28.5" customHeight="1" x14ac:dyDescent="0.25">
      <c r="A46" s="139"/>
      <c r="B46" s="202"/>
      <c r="C46" s="215"/>
      <c r="D46" s="215"/>
      <c r="E46" s="444" t="s">
        <v>98</v>
      </c>
      <c r="F46" s="445"/>
      <c r="G46" s="445"/>
      <c r="H46" s="445"/>
      <c r="I46" s="445"/>
      <c r="J46" s="446"/>
      <c r="K46" s="450" t="str">
        <f>IF(OR(J45&lt;0,F45&lt;0),"You may not have sufficient funding or authorized FTP, and may need to make additional adjustments to finalize this form.  Please contact both your DFM and LSO analysts.","")</f>
        <v/>
      </c>
      <c r="L46" s="451"/>
      <c r="M46" s="451"/>
      <c r="N46" s="452"/>
      <c r="O46"/>
      <c r="P46"/>
      <c r="Q46"/>
      <c r="R46"/>
      <c r="S46"/>
      <c r="T46"/>
      <c r="U46"/>
      <c r="V46"/>
      <c r="W46"/>
      <c r="X46"/>
      <c r="Y46"/>
      <c r="Z46" s="344"/>
      <c r="AA46" s="337"/>
      <c r="AB46" s="337"/>
      <c r="AC46" s="337"/>
      <c r="AD46" s="329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</row>
    <row r="47" spans="1:94" s="153" customFormat="1" ht="21.75" customHeight="1" x14ac:dyDescent="0.25">
      <c r="A47" s="139"/>
      <c r="B47" s="202"/>
      <c r="C47" s="215"/>
      <c r="D47" s="215"/>
      <c r="E47" s="447"/>
      <c r="F47" s="448"/>
      <c r="G47" s="448"/>
      <c r="H47" s="448"/>
      <c r="I47" s="448"/>
      <c r="J47" s="449"/>
      <c r="K47" s="453"/>
      <c r="L47" s="454"/>
      <c r="M47" s="454"/>
      <c r="N47" s="455"/>
      <c r="O47"/>
      <c r="P47"/>
      <c r="Q47"/>
      <c r="R47"/>
      <c r="S47"/>
      <c r="T47"/>
      <c r="U47"/>
      <c r="V47"/>
      <c r="W47"/>
      <c r="X47"/>
      <c r="Y47"/>
      <c r="Z47" s="344"/>
      <c r="AA47" s="337"/>
      <c r="AB47" s="337"/>
      <c r="AC47" s="337"/>
      <c r="AD47" s="329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</row>
    <row r="48" spans="1:94" s="214" customFormat="1" ht="8.25" customHeight="1" x14ac:dyDescent="0.25">
      <c r="A48" s="207"/>
      <c r="B48" s="208"/>
      <c r="C48" s="136"/>
      <c r="D48" s="136"/>
      <c r="E48" s="209"/>
      <c r="F48" s="210"/>
      <c r="G48" s="211"/>
      <c r="H48" s="211"/>
      <c r="I48" s="211"/>
      <c r="J48" s="211"/>
      <c r="K48" s="211"/>
      <c r="L48" s="137"/>
      <c r="M48" s="138"/>
      <c r="N48" s="212"/>
      <c r="O48"/>
      <c r="P48"/>
      <c r="Q48"/>
      <c r="R48"/>
      <c r="S48"/>
      <c r="T48"/>
      <c r="U48"/>
      <c r="V48"/>
      <c r="W48"/>
      <c r="X48"/>
      <c r="Y48"/>
      <c r="Z48" s="344"/>
      <c r="AA48" s="339"/>
      <c r="AB48" s="339"/>
      <c r="AC48" s="339"/>
      <c r="AD48" s="330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  <c r="CM48" s="213"/>
      <c r="CN48" s="213"/>
      <c r="CO48" s="213"/>
      <c r="CP48" s="213"/>
    </row>
    <row r="49" spans="1:94" s="53" customFormat="1" ht="6" customHeight="1" x14ac:dyDescent="0.25">
      <c r="A49" s="63"/>
      <c r="B49" s="64"/>
      <c r="C49" s="65"/>
      <c r="D49" s="66"/>
      <c r="E49" s="67"/>
      <c r="F49" s="68"/>
      <c r="G49" s="64"/>
      <c r="H49" s="64"/>
      <c r="I49" s="64"/>
      <c r="J49" s="64"/>
      <c r="K49" s="64"/>
      <c r="L49" s="69"/>
      <c r="M49" s="69"/>
      <c r="N49" s="70"/>
      <c r="O49"/>
      <c r="P49"/>
      <c r="Q49"/>
      <c r="R49"/>
      <c r="S49"/>
      <c r="T49"/>
      <c r="U49"/>
      <c r="V49"/>
      <c r="W49"/>
      <c r="X49"/>
      <c r="Y49"/>
      <c r="Z49" s="344"/>
      <c r="AA49" s="337"/>
      <c r="AB49" s="337"/>
      <c r="AC49" s="337"/>
      <c r="AD49" s="110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</row>
    <row r="50" spans="1:94" s="53" customFormat="1" ht="24.75" customHeight="1" x14ac:dyDescent="0.25">
      <c r="A50" s="257" t="s">
        <v>42</v>
      </c>
      <c r="B50" s="71"/>
      <c r="C50" s="456"/>
      <c r="D50" s="457"/>
      <c r="E50" s="72" t="s">
        <v>43</v>
      </c>
      <c r="F50" s="73" t="s">
        <v>24</v>
      </c>
      <c r="G50" s="72" t="str">
        <f>"FY "&amp;M4-2001&amp;" Salary"</f>
        <v>FY 23 Salary</v>
      </c>
      <c r="H50" s="72" t="str">
        <f>"FY "&amp;M4-2001&amp;" Health Ben"</f>
        <v>FY 23 Health Ben</v>
      </c>
      <c r="I50" s="72" t="str">
        <f>"FY "&amp;M4-2001&amp;" Var Ben"</f>
        <v>FY 23 Var Ben</v>
      </c>
      <c r="J50" s="72" t="str">
        <f>"FY "&amp;M4-1&amp;" Total"</f>
        <v>FY 2023 Total</v>
      </c>
      <c r="K50" s="307" t="str">
        <f>"FY "&amp;FiscalYear&amp;" SALARY CHG"</f>
        <v>FY 2024 SALARY CHG</v>
      </c>
      <c r="L50" s="74" t="str">
        <f>"FY "&amp;M4-2000&amp;" Chg Health Bens"</f>
        <v>FY 24 Chg Health Bens</v>
      </c>
      <c r="M50" s="74" t="str">
        <f>"FY "&amp;M4-2000&amp;" Chg Var Bens"</f>
        <v>FY 24 Chg Var Bens</v>
      </c>
      <c r="N50" s="74" t="s">
        <v>44</v>
      </c>
      <c r="O50"/>
      <c r="P50"/>
      <c r="Q50"/>
      <c r="R50"/>
      <c r="S50"/>
      <c r="T50"/>
      <c r="U50"/>
      <c r="V50"/>
      <c r="W50"/>
      <c r="X50"/>
      <c r="Y50"/>
      <c r="Z50" s="344"/>
      <c r="AA50" s="337"/>
      <c r="AB50" s="337"/>
      <c r="AC50" s="337"/>
      <c r="AD50" s="110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</row>
    <row r="51" spans="1:94" s="53" customFormat="1" ht="15.75" customHeight="1" x14ac:dyDescent="0.25">
      <c r="A51" s="75">
        <v>3</v>
      </c>
      <c r="B51" s="76" t="s">
        <v>45</v>
      </c>
      <c r="C51" s="54" t="str">
        <f>"FY "&amp;M4-1</f>
        <v>FY 2023</v>
      </c>
      <c r="D51" s="77" t="s">
        <v>31</v>
      </c>
      <c r="E51" s="78">
        <f>OrigApprop</f>
        <v>0</v>
      </c>
      <c r="F51" s="272">
        <f>AppropFTP</f>
        <v>0</v>
      </c>
      <c r="G51" s="274">
        <f>IF(E51=0,0,(G41/$J$41)*$E$51)</f>
        <v>0</v>
      </c>
      <c r="H51" s="274">
        <f>IF(E51=0,0,(H41/$J$41)*$E$51)</f>
        <v>0</v>
      </c>
      <c r="I51" s="275">
        <f>IF(E51=0,0,(I41/$J$41)*$E$51)</f>
        <v>0</v>
      </c>
      <c r="J51" s="90">
        <f>SUM(G51:I51)</f>
        <v>0</v>
      </c>
      <c r="K51" s="263"/>
      <c r="L51" s="61"/>
      <c r="M51" s="81"/>
      <c r="N51" s="81"/>
      <c r="O51"/>
      <c r="P51"/>
      <c r="Q51"/>
      <c r="R51"/>
      <c r="S51"/>
      <c r="T51"/>
      <c r="U51"/>
      <c r="V51"/>
      <c r="W51"/>
      <c r="X51"/>
      <c r="Y51"/>
      <c r="Z51" s="344"/>
      <c r="AA51" s="346"/>
      <c r="AB51" s="337"/>
      <c r="AC51" s="337"/>
      <c r="AD51" s="110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</row>
    <row r="52" spans="1:94" s="53" customFormat="1" ht="15.75" customHeight="1" x14ac:dyDescent="0.25">
      <c r="A52" s="82"/>
      <c r="B52" s="83"/>
      <c r="C52" s="84"/>
      <c r="D52" s="132" t="s">
        <v>46</v>
      </c>
      <c r="E52" s="133"/>
      <c r="F52" s="55">
        <f>F51</f>
        <v>0</v>
      </c>
      <c r="G52" s="79">
        <f>ROUND(G51,-2)</f>
        <v>0</v>
      </c>
      <c r="H52" s="79">
        <f>ROUND(H51,-2)</f>
        <v>0</v>
      </c>
      <c r="I52" s="266">
        <f>ROUND(I51,-2)</f>
        <v>0</v>
      </c>
      <c r="J52" s="80">
        <f>ROUND(J51,-2)</f>
        <v>0</v>
      </c>
      <c r="K52" s="263"/>
      <c r="L52" s="61"/>
      <c r="M52" s="81"/>
      <c r="N52" s="81"/>
      <c r="O52"/>
      <c r="P52"/>
      <c r="Q52"/>
      <c r="R52"/>
      <c r="S52"/>
      <c r="T52"/>
      <c r="U52"/>
      <c r="V52"/>
      <c r="W52"/>
      <c r="X52"/>
      <c r="Y52"/>
      <c r="Z52" s="344"/>
      <c r="AA52" s="347"/>
      <c r="AB52" s="337"/>
      <c r="AC52" s="337"/>
      <c r="AD52" s="110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</row>
    <row r="53" spans="1:94" s="53" customFormat="1" ht="15" x14ac:dyDescent="0.25">
      <c r="A53" s="85"/>
      <c r="B53" s="83"/>
      <c r="C53" s="458" t="s">
        <v>47</v>
      </c>
      <c r="D53" s="459"/>
      <c r="E53" s="271"/>
      <c r="F53" s="273"/>
      <c r="G53" s="62"/>
      <c r="H53" s="62"/>
      <c r="I53" s="62"/>
      <c r="J53" s="62"/>
      <c r="K53" s="62"/>
      <c r="L53" s="61"/>
      <c r="M53" s="86"/>
      <c r="N53" s="86"/>
      <c r="O53"/>
      <c r="P53"/>
      <c r="Q53"/>
      <c r="R53"/>
      <c r="S53"/>
      <c r="T53"/>
      <c r="U53"/>
      <c r="V53"/>
      <c r="W53"/>
      <c r="X53"/>
      <c r="Y53"/>
      <c r="Z53" s="344"/>
      <c r="AA53" s="337"/>
      <c r="AB53" s="337"/>
      <c r="AC53" s="337"/>
      <c r="AD53" s="110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</row>
    <row r="54" spans="1:94" s="53" customFormat="1" ht="15.75" customHeight="1" x14ac:dyDescent="0.25">
      <c r="A54" s="85">
        <v>4.1100000000000003</v>
      </c>
      <c r="B54" s="83"/>
      <c r="C54" s="423" t="s">
        <v>48</v>
      </c>
      <c r="D54" s="424"/>
      <c r="E54" s="59"/>
      <c r="F54" s="58">
        <v>0</v>
      </c>
      <c r="G54" s="88">
        <v>0</v>
      </c>
      <c r="H54" s="88">
        <v>0</v>
      </c>
      <c r="I54" s="265">
        <v>0</v>
      </c>
      <c r="J54" s="89">
        <f>SUM(G54:I54)</f>
        <v>0</v>
      </c>
      <c r="K54" s="62"/>
      <c r="L54" s="61"/>
      <c r="M54" s="86"/>
      <c r="N54" s="86"/>
      <c r="O54"/>
      <c r="P54"/>
      <c r="Q54"/>
      <c r="R54"/>
      <c r="S54"/>
      <c r="T54"/>
      <c r="U54"/>
      <c r="V54"/>
      <c r="W54"/>
      <c r="X54"/>
      <c r="Y54"/>
      <c r="Z54" s="344"/>
      <c r="AA54" s="337"/>
      <c r="AB54" s="337"/>
      <c r="AC54" s="337"/>
      <c r="AD54" s="110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</row>
    <row r="55" spans="1:94" s="53" customFormat="1" ht="15.75" customHeight="1" x14ac:dyDescent="0.25">
      <c r="A55" s="85">
        <v>4.3099999999999996</v>
      </c>
      <c r="B55" s="83"/>
      <c r="C55" s="430" t="s">
        <v>49</v>
      </c>
      <c r="D55" s="431"/>
      <c r="E55" s="59"/>
      <c r="F55" s="277">
        <v>0</v>
      </c>
      <c r="G55" s="92">
        <v>0</v>
      </c>
      <c r="H55" s="92">
        <v>0</v>
      </c>
      <c r="I55" s="264">
        <v>0</v>
      </c>
      <c r="J55" s="287">
        <f>SUM(G55:I55)</f>
        <v>0</v>
      </c>
      <c r="K55" s="62"/>
      <c r="L55" s="88"/>
      <c r="M55" s="261"/>
      <c r="N55" s="89">
        <f>SUM(L55:M55)</f>
        <v>0</v>
      </c>
      <c r="O55"/>
      <c r="P55"/>
      <c r="Q55"/>
      <c r="R55"/>
      <c r="S55"/>
      <c r="T55"/>
      <c r="U55"/>
      <c r="V55"/>
      <c r="W55"/>
      <c r="X55"/>
      <c r="Y55"/>
      <c r="Z55" s="344"/>
      <c r="AA55" s="337"/>
      <c r="AB55" s="337"/>
      <c r="AC55" s="337"/>
      <c r="AD55" s="110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</row>
    <row r="56" spans="1:94" s="53" customFormat="1" ht="15.75" customHeight="1" x14ac:dyDescent="0.25">
      <c r="A56" s="75">
        <v>5</v>
      </c>
      <c r="B56" s="76"/>
      <c r="C56" s="54" t="str">
        <f>"FY "&amp;M4-1</f>
        <v>FY 2023</v>
      </c>
      <c r="D56" s="131" t="s">
        <v>50</v>
      </c>
      <c r="E56" s="135"/>
      <c r="F56" s="55">
        <f>SUM(F52:F55)</f>
        <v>0</v>
      </c>
      <c r="G56" s="80">
        <f>SUM(G52:G55)</f>
        <v>0</v>
      </c>
      <c r="H56" s="80">
        <f>SUM(H52:H55)</f>
        <v>0</v>
      </c>
      <c r="I56" s="260">
        <f>SUM(I52:I55)</f>
        <v>0</v>
      </c>
      <c r="J56" s="80">
        <f>SUM(J52:J55)</f>
        <v>0</v>
      </c>
      <c r="K56" s="263"/>
      <c r="L56" s="61"/>
      <c r="M56" s="61"/>
      <c r="N56" s="61"/>
      <c r="O56"/>
      <c r="P56"/>
      <c r="Q56"/>
      <c r="R56"/>
      <c r="S56"/>
      <c r="T56"/>
      <c r="U56"/>
      <c r="V56"/>
      <c r="W56"/>
      <c r="X56"/>
      <c r="Y56"/>
      <c r="Z56" s="344"/>
      <c r="AA56" s="337"/>
      <c r="AB56" s="337"/>
      <c r="AC56" s="337"/>
      <c r="AD56" s="110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</row>
    <row r="57" spans="1:94" s="53" customFormat="1" ht="15.75" customHeight="1" x14ac:dyDescent="0.25">
      <c r="A57" s="85"/>
      <c r="B57" s="83"/>
      <c r="C57" s="428" t="s">
        <v>51</v>
      </c>
      <c r="D57" s="432"/>
      <c r="E57" s="331"/>
      <c r="F57" s="273"/>
      <c r="G57" s="62"/>
      <c r="H57" s="62"/>
      <c r="I57" s="62"/>
      <c r="J57" s="62"/>
      <c r="K57" s="62"/>
      <c r="L57" s="61"/>
      <c r="M57" s="61"/>
      <c r="N57" s="61"/>
      <c r="O57"/>
      <c r="P57"/>
      <c r="Q57"/>
      <c r="R57"/>
      <c r="S57"/>
      <c r="T57"/>
      <c r="U57"/>
      <c r="V57"/>
      <c r="W57"/>
      <c r="X57"/>
      <c r="Y57"/>
      <c r="Z57" s="344"/>
      <c r="AA57" s="337"/>
      <c r="AB57" s="337"/>
      <c r="AC57" s="337"/>
      <c r="AD57" s="110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</row>
    <row r="58" spans="1:94" s="53" customFormat="1" ht="15.75" customHeight="1" x14ac:dyDescent="0.25">
      <c r="A58" s="85">
        <v>6.31</v>
      </c>
      <c r="B58" s="83"/>
      <c r="C58" s="433" t="s">
        <v>116</v>
      </c>
      <c r="D58" s="434"/>
      <c r="E58" s="102"/>
      <c r="F58" s="58">
        <v>0</v>
      </c>
      <c r="G58" s="88">
        <v>0</v>
      </c>
      <c r="H58" s="88">
        <v>0</v>
      </c>
      <c r="I58" s="265"/>
      <c r="J58" s="89">
        <f>SUM(G58:I58)</f>
        <v>0</v>
      </c>
      <c r="K58" s="62"/>
      <c r="L58" s="88"/>
      <c r="M58" s="262"/>
      <c r="N58" s="89">
        <f>SUM(L58:M58)</f>
        <v>0</v>
      </c>
      <c r="O58"/>
      <c r="P58"/>
      <c r="Q58"/>
      <c r="R58"/>
      <c r="S58"/>
      <c r="T58"/>
      <c r="U58"/>
      <c r="V58"/>
      <c r="W58"/>
      <c r="X58"/>
      <c r="Y58"/>
      <c r="Z58" s="344"/>
      <c r="AA58" s="337"/>
      <c r="AB58" s="337"/>
      <c r="AC58" s="337"/>
      <c r="AD58" s="110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</row>
    <row r="59" spans="1:94" s="53" customFormat="1" ht="15.75" customHeight="1" x14ac:dyDescent="0.25">
      <c r="A59" s="85">
        <v>6.41</v>
      </c>
      <c r="B59" s="83"/>
      <c r="C59" s="433" t="s">
        <v>52</v>
      </c>
      <c r="D59" s="434"/>
      <c r="E59" s="102"/>
      <c r="F59" s="58">
        <v>0</v>
      </c>
      <c r="G59" s="88">
        <v>0</v>
      </c>
      <c r="H59" s="92">
        <v>0</v>
      </c>
      <c r="I59" s="264">
        <v>0</v>
      </c>
      <c r="J59" s="267">
        <f>SUM(G59:I59)</f>
        <v>0</v>
      </c>
      <c r="K59" s="62"/>
      <c r="L59" s="88"/>
      <c r="M59" s="261"/>
      <c r="N59" s="89">
        <f>SUM(L59:M59)</f>
        <v>0</v>
      </c>
      <c r="O59"/>
      <c r="P59"/>
      <c r="Q59"/>
      <c r="R59"/>
      <c r="S59"/>
      <c r="T59"/>
      <c r="U59"/>
      <c r="V59"/>
      <c r="W59"/>
      <c r="X59"/>
      <c r="Y59"/>
      <c r="Z59" s="344"/>
      <c r="AA59" s="337"/>
      <c r="AB59" s="337"/>
      <c r="AC59" s="337"/>
      <c r="AD59" s="110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</row>
    <row r="60" spans="1:94" s="53" customFormat="1" ht="15.75" customHeight="1" x14ac:dyDescent="0.25">
      <c r="A60" s="75">
        <v>7</v>
      </c>
      <c r="B60" s="76"/>
      <c r="C60" s="54" t="str">
        <f>"FY "&amp;M4-1</f>
        <v>FY 2023</v>
      </c>
      <c r="D60" s="131" t="s">
        <v>53</v>
      </c>
      <c r="E60" s="135"/>
      <c r="F60" s="55">
        <f>SUM(F56:F59)</f>
        <v>0</v>
      </c>
      <c r="G60" s="80">
        <f>SUM(G56:G59)</f>
        <v>0</v>
      </c>
      <c r="H60" s="80">
        <f>SUM(H56:H59)</f>
        <v>0</v>
      </c>
      <c r="I60" s="260">
        <f>SUM(I56:I59)</f>
        <v>0</v>
      </c>
      <c r="J60" s="80">
        <f>SUM(J56:J59)</f>
        <v>0</v>
      </c>
      <c r="K60" s="263"/>
      <c r="L60" s="61"/>
      <c r="M60" s="61"/>
      <c r="N60" s="60"/>
      <c r="O60"/>
      <c r="P60"/>
      <c r="Q60"/>
      <c r="R60"/>
      <c r="S60"/>
      <c r="T60"/>
      <c r="U60"/>
      <c r="V60"/>
      <c r="W60"/>
      <c r="X60"/>
      <c r="Y60"/>
      <c r="Z60" s="344"/>
      <c r="AA60" s="337"/>
      <c r="AB60" s="337"/>
      <c r="AC60" s="337"/>
      <c r="AD60" s="110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</row>
    <row r="61" spans="1:94" s="53" customFormat="1" ht="15.75" customHeight="1" x14ac:dyDescent="0.25">
      <c r="A61" s="85"/>
      <c r="B61" s="83"/>
      <c r="C61" s="428" t="s">
        <v>54</v>
      </c>
      <c r="D61" s="432"/>
      <c r="E61" s="331"/>
      <c r="F61" s="273"/>
      <c r="G61" s="62"/>
      <c r="H61" s="62"/>
      <c r="I61" s="62"/>
      <c r="J61" s="62"/>
      <c r="K61" s="62"/>
      <c r="L61" s="61"/>
      <c r="M61" s="61"/>
      <c r="N61" s="60"/>
      <c r="O61"/>
      <c r="P61"/>
      <c r="Q61"/>
      <c r="R61"/>
      <c r="S61"/>
      <c r="T61"/>
      <c r="U61"/>
      <c r="V61"/>
      <c r="W61"/>
      <c r="X61"/>
      <c r="Y61"/>
      <c r="Z61" s="344"/>
      <c r="AA61" s="337"/>
      <c r="AB61" s="337"/>
      <c r="AC61" s="337"/>
      <c r="AD61" s="110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</row>
    <row r="62" spans="1:94" s="53" customFormat="1" ht="15.75" customHeight="1" x14ac:dyDescent="0.25">
      <c r="A62" s="85">
        <v>8.31</v>
      </c>
      <c r="B62" s="83"/>
      <c r="C62" s="423" t="s">
        <v>65</v>
      </c>
      <c r="D62" s="424"/>
      <c r="E62" s="102"/>
      <c r="F62" s="58">
        <v>0</v>
      </c>
      <c r="G62" s="88">
        <v>0</v>
      </c>
      <c r="H62" s="91">
        <v>0</v>
      </c>
      <c r="I62" s="276">
        <v>0</v>
      </c>
      <c r="J62" s="89">
        <f>SUM(G62:I62)</f>
        <v>0</v>
      </c>
      <c r="K62" s="62"/>
      <c r="L62" s="88"/>
      <c r="M62" s="261"/>
      <c r="N62" s="89">
        <f>SUM(L62:M62)</f>
        <v>0</v>
      </c>
      <c r="O62"/>
      <c r="P62"/>
      <c r="Q62"/>
      <c r="R62"/>
      <c r="S62"/>
      <c r="T62"/>
      <c r="U62"/>
      <c r="V62"/>
      <c r="W62"/>
      <c r="X62"/>
      <c r="Y62"/>
      <c r="Z62" s="344"/>
      <c r="AA62" s="337"/>
      <c r="AB62" s="337"/>
      <c r="AC62" s="337"/>
      <c r="AD62" s="110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</row>
    <row r="63" spans="1:94" s="53" customFormat="1" ht="15.75" customHeight="1" x14ac:dyDescent="0.25">
      <c r="A63" s="85">
        <v>8.41</v>
      </c>
      <c r="B63" s="83"/>
      <c r="C63" s="423" t="s">
        <v>55</v>
      </c>
      <c r="D63" s="424"/>
      <c r="E63" s="102"/>
      <c r="F63" s="58">
        <v>0</v>
      </c>
      <c r="G63" s="89">
        <f>ROUND((OneTimePC_Total-H63)/(1+(PermVB+Retire1)),-2)</f>
        <v>0</v>
      </c>
      <c r="H63" s="89">
        <f>ROUND(IF(AND(F63&lt;0,OneTimePC_Total&lt;0),F63*Health,0),-2)</f>
        <v>0</v>
      </c>
      <c r="I63" s="310">
        <f>OneTimePC_Total-G63-H63</f>
        <v>0</v>
      </c>
      <c r="J63" s="89"/>
      <c r="K63" s="308"/>
      <c r="L63" s="88"/>
      <c r="M63" s="261"/>
      <c r="N63" s="89">
        <f>SUM(L63:M63)</f>
        <v>0</v>
      </c>
      <c r="O63"/>
      <c r="P63"/>
      <c r="Q63"/>
      <c r="R63"/>
      <c r="S63"/>
      <c r="T63"/>
      <c r="U63"/>
      <c r="V63"/>
      <c r="W63"/>
      <c r="X63"/>
      <c r="Y63"/>
      <c r="Z63" s="344"/>
      <c r="AA63" s="337"/>
      <c r="AB63" s="337"/>
      <c r="AC63" s="337"/>
      <c r="AD63" s="110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</row>
    <row r="64" spans="1:94" s="53" customFormat="1" ht="15.75" customHeight="1" thickBot="1" x14ac:dyDescent="0.3">
      <c r="A64" s="93">
        <v>8.51</v>
      </c>
      <c r="B64" s="93"/>
      <c r="C64" s="435" t="s">
        <v>56</v>
      </c>
      <c r="D64" s="436"/>
      <c r="E64" s="134"/>
      <c r="F64" s="58">
        <v>0</v>
      </c>
      <c r="G64" s="88">
        <v>0</v>
      </c>
      <c r="H64" s="88">
        <v>0</v>
      </c>
      <c r="I64" s="265">
        <v>0</v>
      </c>
      <c r="J64" s="89">
        <f>SUM(G64:I64)</f>
        <v>0</v>
      </c>
      <c r="K64" s="62"/>
      <c r="L64" s="88"/>
      <c r="M64" s="261"/>
      <c r="N64" s="89">
        <f>SUM(L64:M64)</f>
        <v>0</v>
      </c>
      <c r="O64"/>
      <c r="P64"/>
      <c r="Q64"/>
      <c r="R64"/>
      <c r="S64"/>
      <c r="T64"/>
      <c r="U64"/>
      <c r="V64"/>
      <c r="W64"/>
      <c r="X64"/>
      <c r="Y64"/>
      <c r="Z64" s="344"/>
      <c r="AA64" s="337"/>
      <c r="AB64" s="337"/>
      <c r="AC64" s="337"/>
      <c r="AD64" s="110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</row>
    <row r="65" spans="1:94" s="53" customFormat="1" ht="6" customHeight="1" thickTop="1" x14ac:dyDescent="0.25">
      <c r="A65" s="94"/>
      <c r="B65" s="95"/>
      <c r="C65" s="437"/>
      <c r="D65" s="438"/>
      <c r="E65" s="96"/>
      <c r="F65" s="97"/>
      <c r="G65" s="98"/>
      <c r="H65" s="98"/>
      <c r="I65" s="98"/>
      <c r="J65" s="98"/>
      <c r="K65" s="98"/>
      <c r="L65" s="98"/>
      <c r="M65" s="99"/>
      <c r="N65" s="95"/>
      <c r="O65"/>
      <c r="P65"/>
      <c r="Q65"/>
      <c r="R65"/>
      <c r="S65"/>
      <c r="T65"/>
      <c r="U65"/>
      <c r="V65"/>
      <c r="W65"/>
      <c r="X65"/>
      <c r="Y65"/>
      <c r="Z65" s="344"/>
      <c r="AA65" s="337"/>
      <c r="AB65" s="337"/>
      <c r="AC65" s="337"/>
      <c r="AD65" s="110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</row>
    <row r="66" spans="1:94" s="107" customFormat="1" ht="15" x14ac:dyDescent="0.25">
      <c r="A66" s="100"/>
      <c r="B66" s="101"/>
      <c r="C66" s="439"/>
      <c r="D66" s="440"/>
      <c r="E66" s="102"/>
      <c r="F66" s="103" t="s">
        <v>24</v>
      </c>
      <c r="G66" s="104" t="str">
        <f>"FY "&amp;M4-2000&amp;" Salary"</f>
        <v>FY 24 Salary</v>
      </c>
      <c r="H66" s="104" t="str">
        <f>"FY"&amp;M4-2000&amp;" Health Ben"</f>
        <v>FY24 Health Ben</v>
      </c>
      <c r="I66" s="104" t="str">
        <f>"FY "&amp;M4-2000&amp;" Var Ben"</f>
        <v>FY 24 Var Ben</v>
      </c>
      <c r="J66" s="104" t="str">
        <f>"FY "&amp;M4&amp;" Total"</f>
        <v>FY 2024 Total</v>
      </c>
      <c r="K66" s="104"/>
      <c r="L66" s="105"/>
      <c r="M66" s="105"/>
      <c r="N66" s="101"/>
      <c r="O66"/>
      <c r="P66"/>
      <c r="Q66"/>
      <c r="R66"/>
      <c r="S66"/>
      <c r="T66"/>
      <c r="U66"/>
      <c r="V66"/>
      <c r="W66"/>
      <c r="X66"/>
      <c r="Y66"/>
      <c r="Z66" s="344"/>
      <c r="AA66" s="339"/>
      <c r="AB66" s="339"/>
      <c r="AC66" s="339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</row>
    <row r="67" spans="1:94" s="53" customFormat="1" ht="15" x14ac:dyDescent="0.25">
      <c r="A67" s="82">
        <v>9</v>
      </c>
      <c r="B67" s="83"/>
      <c r="C67" s="84" t="str">
        <f>"FY "&amp;M4</f>
        <v>FY 2024</v>
      </c>
      <c r="D67" s="108" t="s">
        <v>57</v>
      </c>
      <c r="E67" s="109"/>
      <c r="F67" s="55">
        <f>SUM(F60:F64)</f>
        <v>0</v>
      </c>
      <c r="G67" s="80">
        <f>SUM(G60:G64)</f>
        <v>0</v>
      </c>
      <c r="H67" s="80">
        <f>SUM(H60:H64)</f>
        <v>0</v>
      </c>
      <c r="I67" s="80">
        <f>SUM(I60:I64)</f>
        <v>0</v>
      </c>
      <c r="J67" s="80">
        <f>SUM(J60:J64)</f>
        <v>0</v>
      </c>
      <c r="K67" s="263"/>
      <c r="L67" s="110"/>
      <c r="M67" s="110"/>
      <c r="N67" s="111"/>
      <c r="O67"/>
      <c r="P67"/>
      <c r="Q67"/>
      <c r="R67"/>
      <c r="S67"/>
      <c r="T67"/>
      <c r="U67"/>
      <c r="V67"/>
      <c r="W67"/>
      <c r="X67"/>
      <c r="Y67"/>
      <c r="Z67" s="344"/>
      <c r="AA67" s="337"/>
      <c r="AB67" s="337"/>
      <c r="AC67" s="337"/>
      <c r="AD67" s="110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</row>
    <row r="68" spans="1:94" s="53" customFormat="1" ht="15.75" customHeight="1" x14ac:dyDescent="0.25">
      <c r="A68" s="85">
        <v>10.11</v>
      </c>
      <c r="B68" s="83"/>
      <c r="C68" s="428" t="s">
        <v>58</v>
      </c>
      <c r="D68" s="429"/>
      <c r="E68" s="112"/>
      <c r="F68" s="288"/>
      <c r="G68" s="287"/>
      <c r="H68" s="113">
        <f>IF(DUNine=0,0,ROUND(SUM(L41:L65),-2))</f>
        <v>0</v>
      </c>
      <c r="I68" s="113"/>
      <c r="J68" s="287">
        <f>SUM(G68:I68)</f>
        <v>0</v>
      </c>
      <c r="K68" s="291"/>
      <c r="L68" s="292"/>
      <c r="M68" s="292"/>
      <c r="N68" s="293"/>
      <c r="O68"/>
      <c r="P68"/>
      <c r="Q68"/>
      <c r="R68"/>
      <c r="S68"/>
      <c r="T68"/>
      <c r="U68"/>
      <c r="V68"/>
      <c r="W68"/>
      <c r="X68"/>
      <c r="Y68"/>
      <c r="Z68" s="344"/>
      <c r="AA68" s="337"/>
      <c r="AB68" s="337"/>
      <c r="AC68" s="337"/>
      <c r="AD68" s="110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</row>
    <row r="69" spans="1:94" s="53" customFormat="1" ht="15" x14ac:dyDescent="0.25">
      <c r="A69" s="85">
        <v>10.119999999999999</v>
      </c>
      <c r="B69" s="83"/>
      <c r="C69" s="428" t="s">
        <v>59</v>
      </c>
      <c r="D69" s="429"/>
      <c r="E69" s="112"/>
      <c r="F69" s="288"/>
      <c r="G69" s="113"/>
      <c r="H69" s="113"/>
      <c r="I69" s="113">
        <f>IF(DUNine=0,0,ROUND(SUM(M41:M64),-2))</f>
        <v>0</v>
      </c>
      <c r="J69" s="287">
        <f>SUM(G69:I69)</f>
        <v>0</v>
      </c>
      <c r="K69" s="291"/>
      <c r="L69" s="292"/>
      <c r="M69" s="292"/>
      <c r="N69" s="293"/>
      <c r="O69"/>
      <c r="P69"/>
      <c r="Q69"/>
      <c r="R69"/>
      <c r="S69"/>
      <c r="T69"/>
      <c r="U69"/>
      <c r="V69"/>
      <c r="W69"/>
      <c r="X69"/>
      <c r="Y69"/>
      <c r="Z69" s="344"/>
      <c r="AA69" s="337"/>
      <c r="AB69" s="337"/>
      <c r="AC69" s="337"/>
      <c r="AD69" s="110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</row>
    <row r="70" spans="1:94" s="53" customFormat="1" ht="15" x14ac:dyDescent="0.25">
      <c r="A70" s="85"/>
      <c r="B70" s="83"/>
      <c r="C70" s="421"/>
      <c r="D70" s="422"/>
      <c r="E70" s="236" t="s">
        <v>23</v>
      </c>
      <c r="F70" s="288"/>
      <c r="G70" s="113"/>
      <c r="H70" s="113"/>
      <c r="I70" s="113"/>
      <c r="J70" s="287">
        <f>SUM(G70:I70)</f>
        <v>0</v>
      </c>
      <c r="K70" s="291"/>
      <c r="L70" s="292"/>
      <c r="M70" s="294"/>
      <c r="N70" s="295"/>
      <c r="O70"/>
      <c r="P70"/>
      <c r="Q70"/>
      <c r="R70"/>
      <c r="S70"/>
      <c r="T70"/>
      <c r="U70"/>
      <c r="V70"/>
      <c r="W70"/>
      <c r="X70"/>
      <c r="Y70"/>
      <c r="Z70" s="344"/>
      <c r="AA70" s="337"/>
      <c r="AB70" s="337"/>
      <c r="AC70" s="337"/>
      <c r="AD70" s="110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</row>
    <row r="71" spans="1:94" s="53" customFormat="1" ht="15.75" customHeight="1" x14ac:dyDescent="0.25">
      <c r="A71" s="85">
        <v>10.51</v>
      </c>
      <c r="B71" s="83"/>
      <c r="C71" s="423" t="s">
        <v>60</v>
      </c>
      <c r="D71" s="424"/>
      <c r="E71" s="237"/>
      <c r="F71" s="288"/>
      <c r="G71" s="92">
        <v>0</v>
      </c>
      <c r="H71" s="92">
        <v>0</v>
      </c>
      <c r="I71" s="287">
        <f>ROUND(IF(AND($G71&lt;&gt;0,$E71=1),$G71*PermVBBY+$G71*Retire1BY,IF(AND($G71&lt;&gt;0,$E71=2),$G71*GroupVBBY,IF(AND($G71&lt;&gt;0,$E71=3),$G71*ElectVBBY+$G71*Retire1BY,0))),-2)</f>
        <v>0</v>
      </c>
      <c r="J71" s="113">
        <f t="shared" ref="J71:J74" si="11">SUM(G71:I71)</f>
        <v>0</v>
      </c>
      <c r="K71" s="296"/>
      <c r="L71" s="297"/>
      <c r="M71" s="348" t="s">
        <v>110</v>
      </c>
      <c r="N71" s="356"/>
      <c r="O71" s="357"/>
      <c r="P71" s="357"/>
      <c r="Q71"/>
      <c r="R71"/>
      <c r="S71"/>
      <c r="T71"/>
      <c r="U71"/>
      <c r="V71"/>
      <c r="W71"/>
      <c r="X71"/>
      <c r="Y71"/>
      <c r="Z71" s="344"/>
      <c r="AA71" s="337"/>
      <c r="AB71" s="337"/>
      <c r="AC71" s="337"/>
      <c r="AD71" s="110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</row>
    <row r="72" spans="1:94" s="53" customFormat="1" ht="15.75" customHeight="1" x14ac:dyDescent="0.25">
      <c r="A72" s="85">
        <v>10.61</v>
      </c>
      <c r="B72" s="83"/>
      <c r="C72" s="423" t="s">
        <v>99</v>
      </c>
      <c r="D72" s="425"/>
      <c r="E72" s="290">
        <f>CECPerm</f>
        <v>0.01</v>
      </c>
      <c r="F72" s="288"/>
      <c r="G72" s="355">
        <f>IF(DUNine=0,0,IF(DUNine&lt;0,0,ROUND(AdjPermSalary*CECPerm,-2)))</f>
        <v>0</v>
      </c>
      <c r="H72" s="287"/>
      <c r="I72" s="287">
        <f>ROUND(($G72*PermVBBY+$G72*Retire1BY),-2)</f>
        <v>0</v>
      </c>
      <c r="J72" s="113">
        <f>SUM(G72:I72)</f>
        <v>0</v>
      </c>
      <c r="K72" s="296"/>
      <c r="L72" s="298"/>
      <c r="M72" s="349">
        <f>IF(DUNine=0,0,IF(((#REF!-G39-G40)*E72)&lt;0,0,ROUND(((#REF!-G39-G40)*E72),-2)))</f>
        <v>0</v>
      </c>
      <c r="N72" s="358"/>
      <c r="O72" s="357">
        <f>IF(DUNine=0,0,IF(DUNine&lt;0,0,IF(SubCECBase&lt;RoundedAppropSalary,ROUND(AdjPermSalary*CECpermCalc,-2)+((SubCECBase-RoundedAppropSalary)*CECpermCalc),IF(SubCECBase&gt;RoundedAppropSalary,ROUND(AdjPermSalary*CECpermCalc,-2)+((SubCECBase-RoundedAppropSalary)*CECpermCalc),ROUND(AdjPermSalary*CECpermCalc,-2)))))</f>
        <v>0</v>
      </c>
      <c r="P72" s="357"/>
      <c r="Q72"/>
      <c r="R72"/>
      <c r="S72"/>
      <c r="T72"/>
      <c r="U72"/>
      <c r="V72"/>
      <c r="W72"/>
      <c r="X72"/>
      <c r="Y72"/>
      <c r="Z72" s="344"/>
      <c r="AA72" s="337"/>
      <c r="AB72" s="337"/>
      <c r="AC72" s="337"/>
      <c r="AD72" s="110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</row>
    <row r="73" spans="1:94" s="53" customFormat="1" ht="15.6" customHeight="1" x14ac:dyDescent="0.25">
      <c r="A73" s="85">
        <v>10.62</v>
      </c>
      <c r="B73" s="83"/>
      <c r="C73" s="423" t="s">
        <v>117</v>
      </c>
      <c r="D73" s="425"/>
      <c r="E73" s="289">
        <f>CECGroup</f>
        <v>0.01</v>
      </c>
      <c r="F73" s="288"/>
      <c r="G73" s="355">
        <f>IF(DUNine=0,0,IF(DUNine&lt;0,0,ROUND(AdjGroupSalary*CECGroup,-2)))</f>
        <v>0</v>
      </c>
      <c r="H73" s="287"/>
      <c r="I73" s="287">
        <f>ROUND(($G73*GroupVBBY),-2)</f>
        <v>0</v>
      </c>
      <c r="J73" s="113">
        <f t="shared" si="11"/>
        <v>0</v>
      </c>
      <c r="K73" s="301"/>
      <c r="L73" s="302"/>
      <c r="M73" s="359"/>
      <c r="N73" s="360"/>
      <c r="O73" s="357"/>
      <c r="P73" s="357"/>
      <c r="Q73"/>
      <c r="R73"/>
      <c r="S73"/>
      <c r="T73"/>
      <c r="U73"/>
      <c r="V73"/>
      <c r="W73"/>
      <c r="X73"/>
      <c r="Y73"/>
      <c r="Z73" s="344"/>
      <c r="AA73" s="337"/>
      <c r="AB73" s="337"/>
      <c r="AC73" s="337"/>
      <c r="AD73" s="110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</row>
    <row r="74" spans="1:94" s="53" customFormat="1" ht="15.6" customHeight="1" x14ac:dyDescent="0.25">
      <c r="A74" s="85">
        <v>10.63</v>
      </c>
      <c r="B74" s="83"/>
      <c r="C74" s="114" t="s">
        <v>61</v>
      </c>
      <c r="D74" s="115"/>
      <c r="E74" s="112"/>
      <c r="F74" s="288"/>
      <c r="G74" s="92">
        <v>0</v>
      </c>
      <c r="H74" s="287"/>
      <c r="I74" s="287">
        <f>ROUND(($G74*ElectVBBY+$G74*Retire1BY),-2)</f>
        <v>0</v>
      </c>
      <c r="J74" s="113">
        <f t="shared" si="11"/>
        <v>0</v>
      </c>
      <c r="K74" s="301"/>
      <c r="L74" s="302"/>
      <c r="M74" s="303"/>
      <c r="N74" s="304"/>
      <c r="O74"/>
      <c r="P74"/>
      <c r="Q74"/>
      <c r="R74"/>
      <c r="S74"/>
      <c r="T74"/>
      <c r="U74"/>
      <c r="V74"/>
      <c r="W74"/>
      <c r="X74"/>
      <c r="Y74"/>
      <c r="Z74" s="344"/>
      <c r="AA74" s="337"/>
      <c r="AB74" s="337"/>
      <c r="AC74" s="337"/>
      <c r="AD74" s="110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</row>
    <row r="75" spans="1:94" s="53" customFormat="1" ht="15.75" customHeight="1" x14ac:dyDescent="0.25">
      <c r="A75" s="75">
        <v>11</v>
      </c>
      <c r="B75" s="76"/>
      <c r="C75" s="54" t="str">
        <f>"FY "&amp;M4</f>
        <v>FY 2024</v>
      </c>
      <c r="D75" s="77" t="s">
        <v>62</v>
      </c>
      <c r="E75" s="112"/>
      <c r="F75" s="55">
        <f>SUM(F67:F74)</f>
        <v>0</v>
      </c>
      <c r="G75" s="80">
        <f>SUM(G67:G74)</f>
        <v>0</v>
      </c>
      <c r="H75" s="80">
        <f>SUM(H67:H74)</f>
        <v>0</v>
      </c>
      <c r="I75" s="80">
        <f>SUM(I67:I74)</f>
        <v>0</v>
      </c>
      <c r="J75" s="80">
        <f>SUM(J67:K74)</f>
        <v>0</v>
      </c>
      <c r="K75" s="296"/>
      <c r="L75" s="299"/>
      <c r="M75" s="299"/>
      <c r="N75" s="300"/>
      <c r="O75"/>
      <c r="P75"/>
      <c r="Q75"/>
      <c r="R75"/>
      <c r="S75"/>
      <c r="T75"/>
      <c r="U75"/>
      <c r="V75"/>
      <c r="W75"/>
      <c r="X75"/>
      <c r="Y75"/>
      <c r="Z75" s="344"/>
      <c r="AA75" s="337"/>
      <c r="AB75" s="337"/>
      <c r="AC75" s="337"/>
      <c r="AD75" s="110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</row>
    <row r="76" spans="1:94" s="53" customFormat="1" ht="28.5" customHeight="1" x14ac:dyDescent="0.25">
      <c r="A76" s="85"/>
      <c r="B76" s="83"/>
      <c r="C76" s="426" t="s">
        <v>63</v>
      </c>
      <c r="D76" s="427"/>
      <c r="E76" s="59"/>
      <c r="F76" s="59"/>
      <c r="G76" s="61"/>
      <c r="H76" s="61"/>
      <c r="I76" s="61"/>
      <c r="J76" s="61"/>
      <c r="K76" s="291"/>
      <c r="L76" s="292"/>
      <c r="M76" s="305"/>
      <c r="N76" s="293"/>
      <c r="O76"/>
      <c r="P76"/>
      <c r="Q76"/>
      <c r="R76"/>
      <c r="S76"/>
      <c r="T76"/>
      <c r="U76"/>
      <c r="V76"/>
      <c r="W76"/>
      <c r="X76"/>
      <c r="Y76"/>
      <c r="Z76" s="344"/>
      <c r="AA76" s="337"/>
      <c r="AB76" s="337"/>
      <c r="AC76" s="337"/>
      <c r="AD76" s="110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</row>
    <row r="77" spans="1:94" s="53" customFormat="1" ht="15" x14ac:dyDescent="0.25">
      <c r="A77" s="116">
        <v>12.01</v>
      </c>
      <c r="B77" s="57"/>
      <c r="C77" s="419"/>
      <c r="D77" s="420"/>
      <c r="E77" s="87"/>
      <c r="F77" s="58"/>
      <c r="G77" s="88"/>
      <c r="H77" s="88"/>
      <c r="I77" s="88"/>
      <c r="J77" s="80">
        <f>ROUND(SUM(G77:I77),-2)</f>
        <v>0</v>
      </c>
      <c r="K77" s="296"/>
      <c r="L77" s="292"/>
      <c r="M77" s="292"/>
      <c r="N77" s="293"/>
      <c r="O77"/>
      <c r="P77"/>
      <c r="Q77"/>
      <c r="R77"/>
      <c r="S77"/>
      <c r="T77"/>
      <c r="U77"/>
      <c r="V77"/>
      <c r="W77"/>
      <c r="X77"/>
      <c r="Y77"/>
      <c r="Z77" s="344"/>
      <c r="AA77" s="337"/>
      <c r="AB77" s="337"/>
      <c r="AC77" s="337"/>
      <c r="AD77" s="110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</row>
    <row r="78" spans="1:94" s="53" customFormat="1" ht="15" x14ac:dyDescent="0.25">
      <c r="A78" s="116">
        <v>12.02</v>
      </c>
      <c r="B78" s="57"/>
      <c r="C78" s="419"/>
      <c r="D78" s="420"/>
      <c r="E78" s="87"/>
      <c r="F78" s="58"/>
      <c r="G78" s="88"/>
      <c r="H78" s="88"/>
      <c r="I78" s="88"/>
      <c r="J78" s="80">
        <f>ROUND(SUM(G78:I78),-2)</f>
        <v>0</v>
      </c>
      <c r="K78" s="296"/>
      <c r="L78" s="292"/>
      <c r="M78" s="292"/>
      <c r="N78" s="293"/>
      <c r="O78"/>
      <c r="P78"/>
      <c r="Q78"/>
      <c r="R78"/>
      <c r="S78"/>
      <c r="T78"/>
      <c r="U78"/>
      <c r="V78"/>
      <c r="W78"/>
      <c r="X78"/>
      <c r="Y78"/>
      <c r="Z78" s="344"/>
      <c r="AA78" s="337"/>
      <c r="AB78" s="337"/>
      <c r="AC78" s="337"/>
      <c r="AD78" s="110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</row>
    <row r="79" spans="1:94" s="53" customFormat="1" ht="15" x14ac:dyDescent="0.25">
      <c r="A79" s="116">
        <v>12.03</v>
      </c>
      <c r="B79" s="57" t="s">
        <v>45</v>
      </c>
      <c r="C79" s="419"/>
      <c r="D79" s="420"/>
      <c r="E79" s="87"/>
      <c r="F79" s="58"/>
      <c r="G79" s="88"/>
      <c r="H79" s="88"/>
      <c r="I79" s="88"/>
      <c r="J79" s="80">
        <f>ROUND(SUM(G79:I79),-2)</f>
        <v>0</v>
      </c>
      <c r="K79" s="296"/>
      <c r="L79" s="292"/>
      <c r="M79" s="292"/>
      <c r="N79" s="293"/>
      <c r="O79"/>
      <c r="P79"/>
      <c r="Q79"/>
      <c r="R79"/>
      <c r="S79"/>
      <c r="T79"/>
      <c r="U79"/>
      <c r="V79"/>
      <c r="W79"/>
      <c r="X79"/>
      <c r="Y79"/>
      <c r="Z79" s="344"/>
      <c r="AA79" s="337"/>
      <c r="AB79" s="337"/>
      <c r="AC79" s="337"/>
      <c r="AD79" s="110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</row>
    <row r="80" spans="1:94" s="53" customFormat="1" ht="15.75" customHeight="1" x14ac:dyDescent="0.25">
      <c r="A80" s="117">
        <v>13</v>
      </c>
      <c r="B80" s="118"/>
      <c r="C80" s="119" t="str">
        <f>"FY "&amp;M4</f>
        <v>FY 2024</v>
      </c>
      <c r="D80" s="120" t="s">
        <v>64</v>
      </c>
      <c r="E80" s="121"/>
      <c r="F80" s="55">
        <f>SUM(F75:F79)</f>
        <v>0</v>
      </c>
      <c r="G80" s="80">
        <f>SUM(G75:G79)</f>
        <v>0</v>
      </c>
      <c r="H80" s="80">
        <f>SUM(H75:H79)</f>
        <v>0</v>
      </c>
      <c r="I80" s="80">
        <f>SUM(I75:I79)</f>
        <v>0</v>
      </c>
      <c r="J80" s="80">
        <f>SUM(J75:J79)</f>
        <v>0</v>
      </c>
      <c r="K80" s="270"/>
      <c r="L80" s="122"/>
      <c r="M80" s="122"/>
      <c r="N80" s="123"/>
      <c r="O80"/>
      <c r="P80"/>
      <c r="Q80"/>
      <c r="R80"/>
      <c r="S80"/>
      <c r="T80"/>
      <c r="U80"/>
      <c r="V80"/>
      <c r="W80"/>
      <c r="X80"/>
      <c r="Y80"/>
      <c r="Z80" s="344"/>
      <c r="AA80" s="337"/>
      <c r="AB80" s="337"/>
      <c r="AC80" s="337"/>
      <c r="AD80" s="110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</row>
  </sheetData>
  <mergeCells count="51">
    <mergeCell ref="C39:D39"/>
    <mergeCell ref="C8:D8"/>
    <mergeCell ref="C9:D9"/>
    <mergeCell ref="C10:D10"/>
    <mergeCell ref="C11:D11"/>
    <mergeCell ref="C12:D12"/>
    <mergeCell ref="C13:D13"/>
    <mergeCell ref="C16:D16"/>
    <mergeCell ref="C17:D17"/>
    <mergeCell ref="C18:D18"/>
    <mergeCell ref="C38:D38"/>
    <mergeCell ref="C37:D37"/>
    <mergeCell ref="M1:N1"/>
    <mergeCell ref="M2:N2"/>
    <mergeCell ref="M3:N3"/>
    <mergeCell ref="M4:N4"/>
    <mergeCell ref="I5:L5"/>
    <mergeCell ref="C64:D64"/>
    <mergeCell ref="C57:D57"/>
    <mergeCell ref="C58:D58"/>
    <mergeCell ref="C59:D59"/>
    <mergeCell ref="K45:N45"/>
    <mergeCell ref="K46:N47"/>
    <mergeCell ref="E46:J47"/>
    <mergeCell ref="C79:D79"/>
    <mergeCell ref="C78:D78"/>
    <mergeCell ref="C66:D66"/>
    <mergeCell ref="C68:D68"/>
    <mergeCell ref="C69:D69"/>
    <mergeCell ref="C70:D70"/>
    <mergeCell ref="C77:D77"/>
    <mergeCell ref="C71:D71"/>
    <mergeCell ref="C73:D73"/>
    <mergeCell ref="C76:D76"/>
    <mergeCell ref="C72:D72"/>
    <mergeCell ref="AA8:AC8"/>
    <mergeCell ref="AA37:AC37"/>
    <mergeCell ref="AA43:AC43"/>
    <mergeCell ref="C65:D65"/>
    <mergeCell ref="C53:D53"/>
    <mergeCell ref="C61:D61"/>
    <mergeCell ref="C41:D41"/>
    <mergeCell ref="C42:D42"/>
    <mergeCell ref="C43:D44"/>
    <mergeCell ref="C54:D54"/>
    <mergeCell ref="C55:D55"/>
    <mergeCell ref="C50:D50"/>
    <mergeCell ref="K43:N43"/>
    <mergeCell ref="K44:N44"/>
    <mergeCell ref="C62:D62"/>
    <mergeCell ref="C63:D63"/>
  </mergeCells>
  <conditionalFormatting sqref="K44">
    <cfRule type="expression" dxfId="12" priority="8">
      <formula>$J$44&lt;0</formula>
    </cfRule>
  </conditionalFormatting>
  <conditionalFormatting sqref="K43">
    <cfRule type="expression" dxfId="11" priority="7">
      <formula>$J$43&lt;0</formula>
    </cfRule>
  </conditionalFormatting>
  <conditionalFormatting sqref="L16">
    <cfRule type="expression" dxfId="10" priority="6">
      <formula>$J$16&lt;0</formula>
    </cfRule>
  </conditionalFormatting>
  <conditionalFormatting sqref="K45">
    <cfRule type="expression" dxfId="9" priority="5">
      <formula>$J$44&lt;0</formula>
    </cfRule>
  </conditionalFormatting>
  <conditionalFormatting sqref="K43:N45">
    <cfRule type="containsText" dxfId="8" priority="4" operator="containsText" text="underfunding">
      <formula>NOT(ISERROR(SEARCH("underfunding",K43)))</formula>
    </cfRule>
  </conditionalFormatting>
  <conditionalFormatting sqref="K44">
    <cfRule type="expression" dxfId="7" priority="3">
      <formula>$J$44&lt;0</formula>
    </cfRule>
  </conditionalFormatting>
  <conditionalFormatting sqref="K45">
    <cfRule type="expression" dxfId="6" priority="2">
      <formula>$J$44&lt;0</formula>
    </cfRule>
  </conditionalFormatting>
  <conditionalFormatting sqref="K45">
    <cfRule type="expression" dxfId="5" priority="1">
      <formula>$J$44&lt;0</formula>
    </cfRule>
  </conditionalFormatting>
  <printOptions horizontalCentered="1"/>
  <pageMargins left="0.5" right="0.5" top="0.65" bottom="0.65" header="0.26" footer="0.31"/>
  <pageSetup scale="63" fitToHeight="2" orientation="landscape" r:id="rId1"/>
  <headerFooter>
    <oddHeader>&amp;L&amp;"Helv,Bold"FORM B6:  WAGE &amp;&amp; SALARY RECONCILIATION</oddHeader>
    <oddFooter>&amp;LPrinted: &amp;D, &amp;T&amp;RPage &amp;P of &amp;N</oddFooter>
  </headerFooter>
  <rowBreaks count="1" manualBreakCount="1">
    <brk id="64" max="1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Benefits!$A$20:$A$26</xm:f>
          </x14:formula1>
          <xm:sqref>C20:C30 C32:C36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L54"/>
  <sheetViews>
    <sheetView topLeftCell="A18" workbookViewId="0">
      <selection activeCell="A46" sqref="A46:L54"/>
    </sheetView>
  </sheetViews>
  <sheetFormatPr defaultRowHeight="15" x14ac:dyDescent="0.25"/>
  <cols>
    <col min="1" max="1" width="9" customWidth="1"/>
    <col min="2" max="2" width="39.28515625" customWidth="1"/>
    <col min="3" max="3" width="13" customWidth="1"/>
    <col min="4" max="4" width="12.28515625" customWidth="1"/>
    <col min="5" max="5" width="12.140625" customWidth="1"/>
    <col min="6" max="6" width="14.5703125" customWidth="1"/>
    <col min="7" max="7" width="19.5703125" customWidth="1"/>
    <col min="8" max="8" width="13.7109375" customWidth="1"/>
    <col min="9" max="9" width="0" hidden="1" customWidth="1"/>
    <col min="10" max="10" width="18.42578125" customWidth="1"/>
    <col min="11" max="11" width="16.42578125" customWidth="1"/>
    <col min="12" max="12" width="16.140625" customWidth="1"/>
  </cols>
  <sheetData>
    <row r="1" spans="1:12" x14ac:dyDescent="0.25">
      <c r="A1" s="394" t="s">
        <v>764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</row>
    <row r="2" spans="1:12" ht="39" x14ac:dyDescent="0.25">
      <c r="A2" s="489" t="s">
        <v>22</v>
      </c>
      <c r="B2" s="490"/>
      <c r="C2" s="370" t="s">
        <v>23</v>
      </c>
      <c r="D2" s="49" t="s">
        <v>24</v>
      </c>
      <c r="E2" s="50" t="str">
        <f>"FY "&amp;'SCAA|0001-00'!FiscalYear-1&amp;" SALARY"</f>
        <v>FY 2023 SALARY</v>
      </c>
      <c r="F2" s="50" t="str">
        <f>"FY "&amp;'SCAA|0001-00'!FiscalYear-1&amp;" HEALTH BENEFITS"</f>
        <v>FY 2023 HEALTH BENEFITS</v>
      </c>
      <c r="G2" s="50" t="str">
        <f>"FY "&amp;'SCAA|0001-00'!FiscalYear-1&amp;" VAR BENEFITS"</f>
        <v>FY 2023 VAR BENEFITS</v>
      </c>
      <c r="H2" s="50" t="str">
        <f>"FY "&amp;'SCAA|0001-00'!FiscalYear-1&amp;" TOTAL"</f>
        <v>FY 2023 TOTAL</v>
      </c>
      <c r="I2" s="50" t="str">
        <f>"FY "&amp;'SCAA|0001-00'!FiscalYear&amp;" SALARY CHANGE"</f>
        <v>FY 2024 SALARY CHANGE</v>
      </c>
      <c r="J2" s="50" t="str">
        <f>"FY "&amp;'SCAA|0001-00'!FiscalYear&amp;" CHG HEALTH BENEFITS"</f>
        <v>FY 2024 CHG HEALTH BENEFITS</v>
      </c>
      <c r="K2" s="50" t="str">
        <f>"FY "&amp;'SCAA|0001-00'!FiscalYear&amp;" CHG VAR BENEFITS"</f>
        <v>FY 2024 CHG VAR BENEFITS</v>
      </c>
      <c r="L2" s="50" t="s">
        <v>25</v>
      </c>
    </row>
    <row r="3" spans="1:12" x14ac:dyDescent="0.25">
      <c r="A3" s="481" t="s">
        <v>26</v>
      </c>
      <c r="B3" s="482"/>
      <c r="C3" s="141"/>
      <c r="D3" s="142"/>
      <c r="E3" s="143"/>
      <c r="F3" s="143"/>
      <c r="G3" s="143"/>
      <c r="H3" s="144"/>
      <c r="I3" s="144"/>
      <c r="J3" s="145"/>
      <c r="K3" s="146"/>
      <c r="L3" s="144"/>
    </row>
    <row r="4" spans="1:12" x14ac:dyDescent="0.25">
      <c r="A4" s="460" t="s">
        <v>27</v>
      </c>
      <c r="B4" s="483"/>
      <c r="C4" s="217">
        <v>1</v>
      </c>
      <c r="D4" s="288">
        <f>[0]!SCAA000100col_INC_FTI</f>
        <v>6.7800000000000011</v>
      </c>
      <c r="E4" s="218">
        <f>[0]!SCAA000100col_FTI_SALARY_PERM</f>
        <v>554693.98</v>
      </c>
      <c r="F4" s="218">
        <f>[0]!SCAA000100col_HEALTH_PERM</f>
        <v>90375</v>
      </c>
      <c r="G4" s="218">
        <f>[0]!SCAA000100col_TOT_VB_PERM</f>
        <v>113662.3434418</v>
      </c>
      <c r="H4" s="219">
        <f>SUM(E4:G4)</f>
        <v>758731.32344179996</v>
      </c>
      <c r="I4" s="219">
        <f>[0]!SCAA000100col_1_27TH_PP</f>
        <v>0</v>
      </c>
      <c r="J4" s="218">
        <f>[0]!SCAA000100col_HEALTH_PERM_CHG</f>
        <v>9037.5</v>
      </c>
      <c r="K4" s="218">
        <f>[0]!SCAA000100col_TOT_VB_PERM_CHG</f>
        <v>-4160.2048500000055</v>
      </c>
      <c r="L4" s="218">
        <f>SUM(J4:K4)</f>
        <v>4877.2951499999945</v>
      </c>
    </row>
    <row r="5" spans="1:12" x14ac:dyDescent="0.25">
      <c r="A5" s="460" t="s">
        <v>28</v>
      </c>
      <c r="B5" s="483"/>
      <c r="C5" s="217">
        <v>2</v>
      </c>
      <c r="D5" s="288"/>
      <c r="E5" s="218">
        <f>[0]!SCAA000100col_Group_Salary</f>
        <v>0</v>
      </c>
      <c r="F5" s="218">
        <v>0</v>
      </c>
      <c r="G5" s="218">
        <f>[0]!SCAA000100col_Group_Ben</f>
        <v>0</v>
      </c>
      <c r="H5" s="219">
        <f>SUM(E5:G5)</f>
        <v>0</v>
      </c>
      <c r="I5" s="268"/>
      <c r="J5" s="218"/>
      <c r="K5" s="218"/>
      <c r="L5" s="218"/>
    </row>
    <row r="6" spans="1:12" x14ac:dyDescent="0.25">
      <c r="A6" s="460" t="s">
        <v>29</v>
      </c>
      <c r="B6" s="461"/>
      <c r="C6" s="217">
        <v>3</v>
      </c>
      <c r="D6" s="288">
        <f>[0]!SCAA000100col_TOTAL_ELECT_PCN_FTI</f>
        <v>1</v>
      </c>
      <c r="E6" s="218">
        <f>[0]!SCAA000100col_FTI_SALARY_ELECT</f>
        <v>117556.7</v>
      </c>
      <c r="F6" s="218">
        <f>[0]!SCAA000100col_HEALTH_ELECT</f>
        <v>12500</v>
      </c>
      <c r="G6" s="218">
        <f>[0]!SCAA000100col_TOT_VB_ELECT</f>
        <v>24088.543397000001</v>
      </c>
      <c r="H6" s="219">
        <f>SUM(E6:G6)</f>
        <v>154145.24339700001</v>
      </c>
      <c r="I6" s="268"/>
      <c r="J6" s="218">
        <f>[0]!SCAA000100col_HEALTH_ELECT_CHG</f>
        <v>1250</v>
      </c>
      <c r="K6" s="218">
        <f>[0]!SCAA000100col_TOT_VB_ELECT_CHG</f>
        <v>-881.67525000000114</v>
      </c>
      <c r="L6" s="219">
        <f>SUM(J6:K6)</f>
        <v>368.32474999999886</v>
      </c>
    </row>
    <row r="7" spans="1:12" x14ac:dyDescent="0.25">
      <c r="A7" s="460" t="s">
        <v>30</v>
      </c>
      <c r="B7" s="483"/>
      <c r="C7" s="217"/>
      <c r="D7" s="220">
        <f>SUM(D4:D6)</f>
        <v>7.7800000000000011</v>
      </c>
      <c r="E7" s="221">
        <f>SUM(E4:E6)</f>
        <v>672250.67999999993</v>
      </c>
      <c r="F7" s="221">
        <f>SUM(F4:F6)</f>
        <v>102875</v>
      </c>
      <c r="G7" s="221">
        <f>SUM(G4:G6)</f>
        <v>137750.88683879998</v>
      </c>
      <c r="H7" s="219">
        <f>SUM(E7:G7)</f>
        <v>912876.56683879998</v>
      </c>
      <c r="I7" s="268"/>
      <c r="J7" s="219">
        <f>SUM(J4:J6)</f>
        <v>10287.5</v>
      </c>
      <c r="K7" s="219">
        <f>SUM(K4:K6)</f>
        <v>-5041.8801000000067</v>
      </c>
      <c r="L7" s="219">
        <f>SUM(L4:L6)</f>
        <v>5245.6198999999933</v>
      </c>
    </row>
    <row r="8" spans="1:12" x14ac:dyDescent="0.25">
      <c r="A8" s="365"/>
      <c r="B8" s="371"/>
      <c r="C8" s="217"/>
      <c r="D8" s="220"/>
      <c r="E8" s="219"/>
      <c r="F8" s="219"/>
      <c r="G8" s="219"/>
      <c r="H8" s="219"/>
      <c r="I8" s="268"/>
      <c r="J8" s="219"/>
      <c r="K8" s="222"/>
      <c r="L8" s="222"/>
    </row>
    <row r="9" spans="1:12" x14ac:dyDescent="0.25">
      <c r="A9" s="157" t="str">
        <f>"FY "&amp;'SCAA|0001-00'!FiscalYear-1</f>
        <v>FY 2023</v>
      </c>
      <c r="B9" s="158" t="s">
        <v>31</v>
      </c>
      <c r="C9" s="354">
        <v>1318100</v>
      </c>
      <c r="D9" s="55">
        <v>11.3</v>
      </c>
      <c r="E9" s="223">
        <f>IF('SCAA|0001-00'!OrigApprop=0,0,(E7/H7)*'SCAA|0001-00'!OrigApprop)</f>
        <v>970660.93434346037</v>
      </c>
      <c r="F9" s="223">
        <f>IF('SCAA|0001-00'!OrigApprop=0,0,(F7/H7)*'SCAA|0001-00'!OrigApprop)</f>
        <v>148540.93360022112</v>
      </c>
      <c r="G9" s="223">
        <f>IF(E9=0,0,(G7/H7)*'SCAA|0001-00'!OrigApprop)</f>
        <v>198898.13205631846</v>
      </c>
      <c r="H9" s="223">
        <f>SUM(E9:G9)</f>
        <v>1318100</v>
      </c>
      <c r="I9" s="268"/>
      <c r="J9" s="224"/>
      <c r="K9" s="224"/>
      <c r="L9" s="224"/>
    </row>
    <row r="10" spans="1:12" x14ac:dyDescent="0.25">
      <c r="A10" s="470" t="s">
        <v>32</v>
      </c>
      <c r="B10" s="471"/>
      <c r="C10" s="160" t="s">
        <v>33</v>
      </c>
      <c r="D10" s="161">
        <f>D9-D7</f>
        <v>3.5199999999999996</v>
      </c>
      <c r="E10" s="162">
        <f>E9-E7</f>
        <v>298410.25434346043</v>
      </c>
      <c r="F10" s="162">
        <f>F9-F7</f>
        <v>45665.93360022112</v>
      </c>
      <c r="G10" s="162">
        <f>G9-G7</f>
        <v>61147.245217518474</v>
      </c>
      <c r="H10" s="162">
        <f>H9-H7</f>
        <v>405223.43316120002</v>
      </c>
      <c r="I10" s="269"/>
      <c r="J10" s="56" t="str">
        <f>IF('SCAA|0001-00'!OrigApprop=0,"No Original Appropriation amount in DU 3.00 for this fund","Calculated "&amp;IF('SCAA|0001-00'!AdjustedTotal&gt;0,"overfunding ","underfunding ")&amp;"is "&amp;TEXT('SCAA|0001-00'!AdjustedTotal/'SCAA|0001-00'!AppropTotal,"#.0%;(#.0% );0% ;")&amp;" of Original Appropriation")</f>
        <v>Calculated overfunding is 30.7% of Original Appropriation</v>
      </c>
      <c r="K10" s="163"/>
      <c r="L10" s="164"/>
    </row>
    <row r="12" spans="1:12" x14ac:dyDescent="0.25">
      <c r="A12" s="394" t="s">
        <v>768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</row>
    <row r="13" spans="1:12" ht="39" x14ac:dyDescent="0.25">
      <c r="A13" s="489" t="s">
        <v>22</v>
      </c>
      <c r="B13" s="490"/>
      <c r="C13" s="370" t="s">
        <v>23</v>
      </c>
      <c r="D13" s="49" t="s">
        <v>24</v>
      </c>
      <c r="E13" s="50" t="str">
        <f>"FY "&amp;'SCBA|0001-00'!FiscalYear-1&amp;" SALARY"</f>
        <v>FY 2023 SALARY</v>
      </c>
      <c r="F13" s="50" t="str">
        <f>"FY "&amp;'SCBA|0001-00'!FiscalYear-1&amp;" HEALTH BENEFITS"</f>
        <v>FY 2023 HEALTH BENEFITS</v>
      </c>
      <c r="G13" s="50" t="str">
        <f>"FY "&amp;'SCBA|0001-00'!FiscalYear-1&amp;" VAR BENEFITS"</f>
        <v>FY 2023 VAR BENEFITS</v>
      </c>
      <c r="H13" s="50" t="str">
        <f>"FY "&amp;'SCBA|0001-00'!FiscalYear-1&amp;" TOTAL"</f>
        <v>FY 2023 TOTAL</v>
      </c>
      <c r="I13" s="50" t="str">
        <f>"FY "&amp;'SCBA|0001-00'!FiscalYear&amp;" SALARY CHANGE"</f>
        <v>FY 2024 SALARY CHANGE</v>
      </c>
      <c r="J13" s="50" t="str">
        <f>"FY "&amp;'SCBA|0001-00'!FiscalYear&amp;" CHG HEALTH BENEFITS"</f>
        <v>FY 2024 CHG HEALTH BENEFITS</v>
      </c>
      <c r="K13" s="50" t="str">
        <f>"FY "&amp;'SCBA|0001-00'!FiscalYear&amp;" CHG VAR BENEFITS"</f>
        <v>FY 2024 CHG VAR BENEFITS</v>
      </c>
      <c r="L13" s="50" t="s">
        <v>25</v>
      </c>
    </row>
    <row r="14" spans="1:12" x14ac:dyDescent="0.25">
      <c r="A14" s="481" t="s">
        <v>26</v>
      </c>
      <c r="B14" s="482"/>
      <c r="C14" s="141"/>
      <c r="D14" s="142"/>
      <c r="E14" s="143"/>
      <c r="F14" s="143"/>
      <c r="G14" s="143"/>
      <c r="H14" s="144"/>
      <c r="I14" s="144"/>
      <c r="J14" s="145"/>
      <c r="K14" s="146"/>
      <c r="L14" s="144"/>
    </row>
    <row r="15" spans="1:12" x14ac:dyDescent="0.25">
      <c r="A15" s="460" t="s">
        <v>27</v>
      </c>
      <c r="B15" s="483"/>
      <c r="C15" s="217">
        <v>1</v>
      </c>
      <c r="D15" s="288">
        <f>[0]!SCBA000100col_INC_FTI</f>
        <v>19.600000000000001</v>
      </c>
      <c r="E15" s="218">
        <f>[0]!SCBA000100col_FTI_SALARY_PERM</f>
        <v>1406692.7599999998</v>
      </c>
      <c r="F15" s="218">
        <f>[0]!SCBA000100col_HEALTH_PERM</f>
        <v>245000</v>
      </c>
      <c r="G15" s="218">
        <f>[0]!SCBA000100col_TOT_VB_PERM</f>
        <v>288245.4134516</v>
      </c>
      <c r="H15" s="219">
        <f>SUM(E15:G15)</f>
        <v>1939938.1734515997</v>
      </c>
      <c r="I15" s="219">
        <f>[0]!SCBA000100col_1_27TH_PP</f>
        <v>0</v>
      </c>
      <c r="J15" s="218">
        <f>[0]!SCBA000100col_HEALTH_PERM_CHG</f>
        <v>24500</v>
      </c>
      <c r="K15" s="218">
        <f>[0]!SCBA000100col_TOT_VB_PERM_CHG</f>
        <v>-10550.195700000015</v>
      </c>
      <c r="L15" s="218">
        <f>SUM(J15:K15)</f>
        <v>13949.804299999985</v>
      </c>
    </row>
    <row r="16" spans="1:12" x14ac:dyDescent="0.25">
      <c r="A16" s="460" t="s">
        <v>28</v>
      </c>
      <c r="B16" s="483"/>
      <c r="C16" s="217">
        <v>2</v>
      </c>
      <c r="D16" s="288"/>
      <c r="E16" s="218">
        <f>[0]!SCBA000100col_Group_Salary</f>
        <v>0</v>
      </c>
      <c r="F16" s="218">
        <v>0</v>
      </c>
      <c r="G16" s="218">
        <f>[0]!SCBA000100col_Group_Ben</f>
        <v>0</v>
      </c>
      <c r="H16" s="219">
        <f>SUM(E16:G16)</f>
        <v>0</v>
      </c>
      <c r="I16" s="268"/>
      <c r="J16" s="218"/>
      <c r="K16" s="218"/>
      <c r="L16" s="218"/>
    </row>
    <row r="17" spans="1:12" x14ac:dyDescent="0.25">
      <c r="A17" s="460" t="s">
        <v>29</v>
      </c>
      <c r="B17" s="461"/>
      <c r="C17" s="217">
        <v>3</v>
      </c>
      <c r="D17" s="288">
        <f>[0]!SCBA000100col_TOTAL_ELECT_PCN_FTI</f>
        <v>0</v>
      </c>
      <c r="E17" s="218">
        <f>[0]!SCBA000100col_FTI_SALARY_ELECT</f>
        <v>0</v>
      </c>
      <c r="F17" s="218">
        <f>[0]!SCBA000100col_HEALTH_ELECT</f>
        <v>0</v>
      </c>
      <c r="G17" s="218">
        <f>[0]!SCBA000100col_TOT_VB_ELECT</f>
        <v>0</v>
      </c>
      <c r="H17" s="219">
        <f>SUM(E17:G17)</f>
        <v>0</v>
      </c>
      <c r="I17" s="268"/>
      <c r="J17" s="218">
        <f>[0]!SCBA000100col_HEALTH_ELECT_CHG</f>
        <v>0</v>
      </c>
      <c r="K17" s="218">
        <f>[0]!SCBA000100col_TOT_VB_ELECT_CHG</f>
        <v>0</v>
      </c>
      <c r="L17" s="219">
        <f>SUM(J17:K17)</f>
        <v>0</v>
      </c>
    </row>
    <row r="18" spans="1:12" x14ac:dyDescent="0.25">
      <c r="A18" s="460" t="s">
        <v>30</v>
      </c>
      <c r="B18" s="483"/>
      <c r="C18" s="217"/>
      <c r="D18" s="220">
        <f>SUM(D15:D17)</f>
        <v>19.600000000000001</v>
      </c>
      <c r="E18" s="221">
        <f>SUM(E15:E17)</f>
        <v>1406692.7599999998</v>
      </c>
      <c r="F18" s="221">
        <f>SUM(F15:F17)</f>
        <v>245000</v>
      </c>
      <c r="G18" s="221">
        <f>SUM(G15:G17)</f>
        <v>288245.4134516</v>
      </c>
      <c r="H18" s="219">
        <f>SUM(E18:G18)</f>
        <v>1939938.1734515997</v>
      </c>
      <c r="I18" s="268"/>
      <c r="J18" s="219">
        <f>SUM(J15:J17)</f>
        <v>24500</v>
      </c>
      <c r="K18" s="219">
        <f>SUM(K15:K17)</f>
        <v>-10550.195700000015</v>
      </c>
      <c r="L18" s="219">
        <f>SUM(L15:L17)</f>
        <v>13949.804299999985</v>
      </c>
    </row>
    <row r="19" spans="1:12" x14ac:dyDescent="0.25">
      <c r="A19" s="365"/>
      <c r="B19" s="371"/>
      <c r="C19" s="217"/>
      <c r="D19" s="220"/>
      <c r="E19" s="219"/>
      <c r="F19" s="219"/>
      <c r="G19" s="219"/>
      <c r="H19" s="219"/>
      <c r="I19" s="268"/>
      <c r="J19" s="219"/>
      <c r="K19" s="222"/>
      <c r="L19" s="222"/>
    </row>
    <row r="20" spans="1:12" x14ac:dyDescent="0.25">
      <c r="A20" s="157" t="str">
        <f>"FY "&amp;'SCBA|0001-00'!FiscalYear-1</f>
        <v>FY 2023</v>
      </c>
      <c r="B20" s="158" t="s">
        <v>31</v>
      </c>
      <c r="C20" s="354">
        <v>2012100</v>
      </c>
      <c r="D20" s="55">
        <v>23.7</v>
      </c>
      <c r="E20" s="223">
        <f>IF('SCBA|0001-00'!OrigApprop=0,0,(E18/H18)*'SCBA|0001-00'!OrigApprop)</f>
        <v>1459018.9219072124</v>
      </c>
      <c r="F20" s="223">
        <f>IF('SCBA|0001-00'!OrigApprop=0,0,(F18/H18)*'SCBA|0001-00'!OrigApprop)</f>
        <v>254113.51080478093</v>
      </c>
      <c r="G20" s="223">
        <f>IF(E20=0,0,(G18/H18)*'SCBA|0001-00'!OrigApprop)</f>
        <v>298967.56728800695</v>
      </c>
      <c r="H20" s="223">
        <f>SUM(E20:G20)</f>
        <v>2012100.0000000002</v>
      </c>
      <c r="I20" s="268"/>
      <c r="J20" s="224"/>
      <c r="K20" s="224"/>
      <c r="L20" s="224"/>
    </row>
    <row r="21" spans="1:12" x14ac:dyDescent="0.25">
      <c r="A21" s="470" t="s">
        <v>32</v>
      </c>
      <c r="B21" s="471"/>
      <c r="C21" s="160" t="s">
        <v>33</v>
      </c>
      <c r="D21" s="161">
        <f>D20-D18</f>
        <v>4.0999999999999979</v>
      </c>
      <c r="E21" s="162">
        <f>E20-E18</f>
        <v>52326.161907212576</v>
      </c>
      <c r="F21" s="162">
        <f>F20-F18</f>
        <v>9113.5108047809335</v>
      </c>
      <c r="G21" s="162">
        <f>G20-G18</f>
        <v>10722.153836406942</v>
      </c>
      <c r="H21" s="162">
        <f>H20-H18</f>
        <v>72161.826548400568</v>
      </c>
      <c r="I21" s="269"/>
      <c r="J21" s="56" t="str">
        <f>IF('SCBA|0001-00'!OrigApprop=0,"No Original Appropriation amount in DU 3.00 for this fund","Calculated "&amp;IF('SCBA|0001-00'!AdjustedTotal&gt;0,"overfunding ","underfunding ")&amp;"is "&amp;TEXT('SCBA|0001-00'!AdjustedTotal/'SCBA|0001-00'!AppropTotal,"#.0%;(#.0% );0% ;")&amp;" of Original Appropriation")</f>
        <v>Calculated overfunding is 3.6% of Original Appropriation</v>
      </c>
      <c r="K21" s="163"/>
      <c r="L21" s="164"/>
    </row>
    <row r="23" spans="1:12" x14ac:dyDescent="0.25">
      <c r="A23" s="394" t="s">
        <v>774</v>
      </c>
      <c r="B23" s="394"/>
      <c r="C23" s="394"/>
      <c r="D23" s="394"/>
      <c r="E23" s="394"/>
      <c r="F23" s="394"/>
      <c r="G23" s="394"/>
      <c r="H23" s="394"/>
      <c r="I23" s="394"/>
      <c r="J23" s="394"/>
      <c r="K23" s="394"/>
      <c r="L23" s="394"/>
    </row>
    <row r="24" spans="1:12" ht="39" x14ac:dyDescent="0.25">
      <c r="A24" s="489" t="s">
        <v>22</v>
      </c>
      <c r="B24" s="490"/>
      <c r="C24" s="370" t="s">
        <v>23</v>
      </c>
      <c r="D24" s="49" t="s">
        <v>24</v>
      </c>
      <c r="E24" s="50" t="str">
        <f>"FY "&amp;'SCBA|0126-00'!FiscalYear-1&amp;" SALARY"</f>
        <v>FY 2023 SALARY</v>
      </c>
      <c r="F24" s="50" t="str">
        <f>"FY "&amp;'SCBA|0126-00'!FiscalYear-1&amp;" HEALTH BENEFITS"</f>
        <v>FY 2023 HEALTH BENEFITS</v>
      </c>
      <c r="G24" s="50" t="str">
        <f>"FY "&amp;'SCBA|0126-00'!FiscalYear-1&amp;" VAR BENEFITS"</f>
        <v>FY 2023 VAR BENEFITS</v>
      </c>
      <c r="H24" s="50" t="str">
        <f>"FY "&amp;'SCBA|0126-00'!FiscalYear-1&amp;" TOTAL"</f>
        <v>FY 2023 TOTAL</v>
      </c>
      <c r="I24" s="50" t="str">
        <f>"FY "&amp;'SCBA|0126-00'!FiscalYear&amp;" SALARY CHANGE"</f>
        <v>FY 2024 SALARY CHANGE</v>
      </c>
      <c r="J24" s="50" t="str">
        <f>"FY "&amp;'SCBA|0126-00'!FiscalYear&amp;" CHG HEALTH BENEFITS"</f>
        <v>FY 2024 CHG HEALTH BENEFITS</v>
      </c>
      <c r="K24" s="50" t="str">
        <f>"FY "&amp;'SCBA|0126-00'!FiscalYear&amp;" CHG VAR BENEFITS"</f>
        <v>FY 2024 CHG VAR BENEFITS</v>
      </c>
      <c r="L24" s="50" t="s">
        <v>25</v>
      </c>
    </row>
    <row r="25" spans="1:12" x14ac:dyDescent="0.25">
      <c r="A25" s="481" t="s">
        <v>26</v>
      </c>
      <c r="B25" s="482"/>
      <c r="C25" s="141"/>
      <c r="D25" s="142"/>
      <c r="E25" s="143"/>
      <c r="F25" s="143"/>
      <c r="G25" s="143"/>
      <c r="H25" s="144"/>
      <c r="I25" s="144"/>
      <c r="J25" s="145"/>
      <c r="K25" s="146"/>
      <c r="L25" s="144"/>
    </row>
    <row r="26" spans="1:12" x14ac:dyDescent="0.25">
      <c r="A26" s="460" t="s">
        <v>27</v>
      </c>
      <c r="B26" s="483"/>
      <c r="C26" s="217">
        <v>1</v>
      </c>
      <c r="D26" s="288">
        <f>[0]!SCBA012600col_INC_FTI</f>
        <v>0</v>
      </c>
      <c r="E26" s="218">
        <f>[0]!SCBA012600col_FTI_SALARY_PERM</f>
        <v>0</v>
      </c>
      <c r="F26" s="218">
        <f>[0]!SCBA012600col_HEALTH_PERM</f>
        <v>0</v>
      </c>
      <c r="G26" s="218">
        <f>[0]!SCBA012600col_TOT_VB_PERM</f>
        <v>0</v>
      </c>
      <c r="H26" s="219">
        <f>SUM(E26:G26)</f>
        <v>0</v>
      </c>
      <c r="I26" s="219">
        <f>[0]!SCBA012600col_1_27TH_PP</f>
        <v>0</v>
      </c>
      <c r="J26" s="218">
        <f>[0]!SCBA012600col_HEALTH_PERM_CHG</f>
        <v>0</v>
      </c>
      <c r="K26" s="218">
        <f>[0]!SCBA012600col_TOT_VB_PERM_CHG</f>
        <v>0</v>
      </c>
      <c r="L26" s="218">
        <f>SUM(J26:K26)</f>
        <v>0</v>
      </c>
    </row>
    <row r="27" spans="1:12" x14ac:dyDescent="0.25">
      <c r="A27" s="460" t="s">
        <v>28</v>
      </c>
      <c r="B27" s="483"/>
      <c r="C27" s="217">
        <v>2</v>
      </c>
      <c r="D27" s="288"/>
      <c r="E27" s="218">
        <f>[0]!SCBA012600col_Group_Salary</f>
        <v>0</v>
      </c>
      <c r="F27" s="218">
        <v>0</v>
      </c>
      <c r="G27" s="218">
        <f>[0]!SCBA012600col_Group_Ben</f>
        <v>0</v>
      </c>
      <c r="H27" s="219">
        <f>SUM(E27:G27)</f>
        <v>0</v>
      </c>
      <c r="I27" s="268"/>
      <c r="J27" s="218"/>
      <c r="K27" s="218"/>
      <c r="L27" s="218"/>
    </row>
    <row r="28" spans="1:12" x14ac:dyDescent="0.25">
      <c r="A28" s="460" t="s">
        <v>29</v>
      </c>
      <c r="B28" s="461"/>
      <c r="C28" s="217">
        <v>3</v>
      </c>
      <c r="D28" s="288">
        <f>[0]!SCBA012600col_TOTAL_ELECT_PCN_FTI</f>
        <v>0</v>
      </c>
      <c r="E28" s="218">
        <f>[0]!SCBA012600col_FTI_SALARY_ELECT</f>
        <v>0</v>
      </c>
      <c r="F28" s="218">
        <f>[0]!SCBA012600col_HEALTH_ELECT</f>
        <v>0</v>
      </c>
      <c r="G28" s="218">
        <f>[0]!SCBA012600col_TOT_VB_ELECT</f>
        <v>0</v>
      </c>
      <c r="H28" s="219">
        <f>SUM(E28:G28)</f>
        <v>0</v>
      </c>
      <c r="I28" s="268"/>
      <c r="J28" s="218">
        <f>[0]!SCBA012600col_HEALTH_ELECT_CHG</f>
        <v>0</v>
      </c>
      <c r="K28" s="218">
        <f>[0]!SCBA012600col_TOT_VB_ELECT_CHG</f>
        <v>0</v>
      </c>
      <c r="L28" s="219">
        <f>SUM(J28:K28)</f>
        <v>0</v>
      </c>
    </row>
    <row r="29" spans="1:12" x14ac:dyDescent="0.25">
      <c r="A29" s="460" t="s">
        <v>30</v>
      </c>
      <c r="B29" s="483"/>
      <c r="C29" s="217"/>
      <c r="D29" s="220">
        <f>SUM(D26:D28)</f>
        <v>0</v>
      </c>
      <c r="E29" s="221">
        <f>SUM(E26:E28)</f>
        <v>0</v>
      </c>
      <c r="F29" s="221">
        <f>SUM(F26:F28)</f>
        <v>0</v>
      </c>
      <c r="G29" s="221">
        <f>SUM(G26:G28)</f>
        <v>0</v>
      </c>
      <c r="H29" s="219">
        <f>SUM(E29:G29)</f>
        <v>0</v>
      </c>
      <c r="I29" s="268"/>
      <c r="J29" s="219">
        <f>SUM(J26:J28)</f>
        <v>0</v>
      </c>
      <c r="K29" s="219">
        <f>SUM(K26:K28)</f>
        <v>0</v>
      </c>
      <c r="L29" s="219">
        <f>SUM(L26:L28)</f>
        <v>0</v>
      </c>
    </row>
    <row r="30" spans="1:12" x14ac:dyDescent="0.25">
      <c r="A30" s="365"/>
      <c r="B30" s="371"/>
      <c r="C30" s="217"/>
      <c r="D30" s="220"/>
      <c r="E30" s="219"/>
      <c r="F30" s="219"/>
      <c r="G30" s="219"/>
      <c r="H30" s="219"/>
      <c r="I30" s="268"/>
      <c r="J30" s="219"/>
      <c r="K30" s="222"/>
      <c r="L30" s="222"/>
    </row>
    <row r="31" spans="1:12" x14ac:dyDescent="0.25">
      <c r="A31" s="157" t="str">
        <f>"FY "&amp;'SCBA|0126-00'!FiscalYear-1</f>
        <v>FY 2023</v>
      </c>
      <c r="B31" s="158" t="s">
        <v>31</v>
      </c>
      <c r="C31" s="354">
        <v>0</v>
      </c>
      <c r="D31" s="55">
        <v>9</v>
      </c>
      <c r="E31" s="223">
        <f>IF('SCBA|0126-00'!OrigApprop=0,0,(E29/H29)*'SCBA|0126-00'!OrigApprop)</f>
        <v>0</v>
      </c>
      <c r="F31" s="223">
        <f>IF('SCBA|0126-00'!OrigApprop=0,0,(F29/H29)*'SCBA|0126-00'!OrigApprop)</f>
        <v>0</v>
      </c>
      <c r="G31" s="223">
        <f>IF(E31=0,0,(G29/H29)*'SCBA|0126-00'!OrigApprop)</f>
        <v>0</v>
      </c>
      <c r="H31" s="223">
        <f>SUM(E31:G31)</f>
        <v>0</v>
      </c>
      <c r="I31" s="268"/>
      <c r="J31" s="224"/>
      <c r="K31" s="224"/>
      <c r="L31" s="224"/>
    </row>
    <row r="32" spans="1:12" x14ac:dyDescent="0.25">
      <c r="A32" s="470" t="s">
        <v>32</v>
      </c>
      <c r="B32" s="471"/>
      <c r="C32" s="160" t="s">
        <v>33</v>
      </c>
      <c r="D32" s="161">
        <f>D31-D29</f>
        <v>9</v>
      </c>
      <c r="E32" s="162">
        <f>E31-E29</f>
        <v>0</v>
      </c>
      <c r="F32" s="162">
        <f>F31-F29</f>
        <v>0</v>
      </c>
      <c r="G32" s="162">
        <f>G31-G29</f>
        <v>0</v>
      </c>
      <c r="H32" s="162">
        <f>H31-H29</f>
        <v>0</v>
      </c>
      <c r="I32" s="269"/>
      <c r="J32" s="56" t="str">
        <f>IF('SCBA|0126-00'!OrigApprop=0,"No Original Appropriation amount in DU 3.00 for this fund","Calculated "&amp;IF('SCBA|0126-00'!AdjustedTotal&gt;0,"overfunding ","underfunding ")&amp;"is "&amp;TEXT('SCBA|0126-00'!AdjustedTotal/'SCBA|0126-00'!AppropTotal,"#.0%;(#.0% );0% ;")&amp;" of Original Appropriation")</f>
        <v>No Original Appropriation amount in DU 3.00 for this fund</v>
      </c>
      <c r="K32" s="163"/>
      <c r="L32" s="164"/>
    </row>
    <row r="34" spans="1:12" x14ac:dyDescent="0.25">
      <c r="A34" s="394" t="s">
        <v>780</v>
      </c>
      <c r="B34" s="394"/>
      <c r="C34" s="394"/>
      <c r="D34" s="394"/>
      <c r="E34" s="394"/>
      <c r="F34" s="394"/>
      <c r="G34" s="394"/>
      <c r="H34" s="394"/>
      <c r="I34" s="394"/>
      <c r="J34" s="394"/>
      <c r="K34" s="394"/>
      <c r="L34" s="394"/>
    </row>
    <row r="35" spans="1:12" ht="39" x14ac:dyDescent="0.25">
      <c r="A35" s="489" t="s">
        <v>22</v>
      </c>
      <c r="B35" s="490"/>
      <c r="C35" s="370" t="s">
        <v>23</v>
      </c>
      <c r="D35" s="49" t="s">
        <v>24</v>
      </c>
      <c r="E35" s="50" t="str">
        <f>"FY "&amp;'SCCA|0001-00'!FiscalYear-1&amp;" SALARY"</f>
        <v>FY 2023 SALARY</v>
      </c>
      <c r="F35" s="50" t="str">
        <f>"FY "&amp;'SCCA|0001-00'!FiscalYear-1&amp;" HEALTH BENEFITS"</f>
        <v>FY 2023 HEALTH BENEFITS</v>
      </c>
      <c r="G35" s="50" t="str">
        <f>"FY "&amp;'SCCA|0001-00'!FiscalYear-1&amp;" VAR BENEFITS"</f>
        <v>FY 2023 VAR BENEFITS</v>
      </c>
      <c r="H35" s="50" t="str">
        <f>"FY "&amp;'SCCA|0001-00'!FiscalYear-1&amp;" TOTAL"</f>
        <v>FY 2023 TOTAL</v>
      </c>
      <c r="I35" s="50" t="str">
        <f>"FY "&amp;'SCCA|0001-00'!FiscalYear&amp;" SALARY CHANGE"</f>
        <v>FY 2024 SALARY CHANGE</v>
      </c>
      <c r="J35" s="50" t="str">
        <f>"FY "&amp;'SCCA|0001-00'!FiscalYear&amp;" CHG HEALTH BENEFITS"</f>
        <v>FY 2024 CHG HEALTH BENEFITS</v>
      </c>
      <c r="K35" s="50" t="str">
        <f>"FY "&amp;'SCCA|0001-00'!FiscalYear&amp;" CHG VAR BENEFITS"</f>
        <v>FY 2024 CHG VAR BENEFITS</v>
      </c>
      <c r="L35" s="50" t="s">
        <v>25</v>
      </c>
    </row>
    <row r="36" spans="1:12" x14ac:dyDescent="0.25">
      <c r="A36" s="481" t="s">
        <v>26</v>
      </c>
      <c r="B36" s="482"/>
      <c r="C36" s="141"/>
      <c r="D36" s="142"/>
      <c r="E36" s="143"/>
      <c r="F36" s="143"/>
      <c r="G36" s="143"/>
      <c r="H36" s="144"/>
      <c r="I36" s="144"/>
      <c r="J36" s="145"/>
      <c r="K36" s="146"/>
      <c r="L36" s="144"/>
    </row>
    <row r="37" spans="1:12" x14ac:dyDescent="0.25">
      <c r="A37" s="460" t="s">
        <v>27</v>
      </c>
      <c r="B37" s="483"/>
      <c r="C37" s="217">
        <v>1</v>
      </c>
      <c r="D37" s="288">
        <f>[0]!SCCA000100col_INC_FTI</f>
        <v>16.600000000000001</v>
      </c>
      <c r="E37" s="218">
        <f>[0]!SCCA000100col_FTI_SALARY_PERM</f>
        <v>1130697.56</v>
      </c>
      <c r="F37" s="218">
        <f>[0]!SCCA000100col_HEALTH_PERM</f>
        <v>207500</v>
      </c>
      <c r="G37" s="218">
        <f>[0]!SCCA000100col_TOT_VB_PERM</f>
        <v>231691.23701959997</v>
      </c>
      <c r="H37" s="219">
        <f>SUM(E37:G37)</f>
        <v>1569888.7970195999</v>
      </c>
      <c r="I37" s="219">
        <f>[0]!SCCA000100col_1_27TH_PP</f>
        <v>0</v>
      </c>
      <c r="J37" s="218">
        <f>[0]!SCCA000100col_HEALTH_PERM_CHG</f>
        <v>20750</v>
      </c>
      <c r="K37" s="218">
        <f>[0]!SCCA000100col_TOT_VB_PERM_CHG</f>
        <v>-8480.2317000000094</v>
      </c>
      <c r="L37" s="218">
        <f>SUM(J37:K37)</f>
        <v>12269.768299999991</v>
      </c>
    </row>
    <row r="38" spans="1:12" x14ac:dyDescent="0.25">
      <c r="A38" s="460" t="s">
        <v>28</v>
      </c>
      <c r="B38" s="483"/>
      <c r="C38" s="217">
        <v>2</v>
      </c>
      <c r="D38" s="288"/>
      <c r="E38" s="218">
        <f>[0]!SCCA000100col_Group_Salary</f>
        <v>0</v>
      </c>
      <c r="F38" s="218">
        <v>0</v>
      </c>
      <c r="G38" s="218">
        <f>[0]!SCCA000100col_Group_Ben</f>
        <v>0</v>
      </c>
      <c r="H38" s="219">
        <f>SUM(E38:G38)</f>
        <v>0</v>
      </c>
      <c r="I38" s="268"/>
      <c r="J38" s="218"/>
      <c r="K38" s="218"/>
      <c r="L38" s="218"/>
    </row>
    <row r="39" spans="1:12" x14ac:dyDescent="0.25">
      <c r="A39" s="460" t="s">
        <v>29</v>
      </c>
      <c r="B39" s="461"/>
      <c r="C39" s="217">
        <v>3</v>
      </c>
      <c r="D39" s="288">
        <f>[0]!SCCA000100col_TOTAL_ELECT_PCN_FTI</f>
        <v>0</v>
      </c>
      <c r="E39" s="218">
        <f>[0]!SCCA000100col_FTI_SALARY_ELECT</f>
        <v>0</v>
      </c>
      <c r="F39" s="218">
        <f>[0]!SCCA000100col_HEALTH_ELECT</f>
        <v>0</v>
      </c>
      <c r="G39" s="218">
        <f>[0]!SCCA000100col_TOT_VB_ELECT</f>
        <v>0</v>
      </c>
      <c r="H39" s="219">
        <f>SUM(E39:G39)</f>
        <v>0</v>
      </c>
      <c r="I39" s="268"/>
      <c r="J39" s="218">
        <f>[0]!SCCA000100col_HEALTH_ELECT_CHG</f>
        <v>0</v>
      </c>
      <c r="K39" s="218">
        <f>[0]!SCCA000100col_TOT_VB_ELECT_CHG</f>
        <v>0</v>
      </c>
      <c r="L39" s="219">
        <f>SUM(J39:K39)</f>
        <v>0</v>
      </c>
    </row>
    <row r="40" spans="1:12" x14ac:dyDescent="0.25">
      <c r="A40" s="460" t="s">
        <v>30</v>
      </c>
      <c r="B40" s="483"/>
      <c r="C40" s="217"/>
      <c r="D40" s="220">
        <f>SUM(D37:D39)</f>
        <v>16.600000000000001</v>
      </c>
      <c r="E40" s="221">
        <f>SUM(E37:E39)</f>
        <v>1130697.56</v>
      </c>
      <c r="F40" s="221">
        <f>SUM(F37:F39)</f>
        <v>207500</v>
      </c>
      <c r="G40" s="221">
        <f>SUM(G37:G39)</f>
        <v>231691.23701959997</v>
      </c>
      <c r="H40" s="219">
        <f>SUM(E40:G40)</f>
        <v>1569888.7970195999</v>
      </c>
      <c r="I40" s="268"/>
      <c r="J40" s="219">
        <f>SUM(J37:J39)</f>
        <v>20750</v>
      </c>
      <c r="K40" s="219">
        <f>SUM(K37:K39)</f>
        <v>-8480.2317000000094</v>
      </c>
      <c r="L40" s="219">
        <f>SUM(L37:L39)</f>
        <v>12269.768299999991</v>
      </c>
    </row>
    <row r="41" spans="1:12" x14ac:dyDescent="0.25">
      <c r="A41" s="365"/>
      <c r="B41" s="371"/>
      <c r="C41" s="217"/>
      <c r="D41" s="220"/>
      <c r="E41" s="219"/>
      <c r="F41" s="219"/>
      <c r="G41" s="219"/>
      <c r="H41" s="219"/>
      <c r="I41" s="268"/>
      <c r="J41" s="219"/>
      <c r="K41" s="222"/>
      <c r="L41" s="222"/>
    </row>
    <row r="42" spans="1:12" x14ac:dyDescent="0.25">
      <c r="A42" s="157" t="str">
        <f>"FY "&amp;'SCCA|0001-00'!FiscalYear-1</f>
        <v>FY 2023</v>
      </c>
      <c r="B42" s="158" t="s">
        <v>31</v>
      </c>
      <c r="C42" s="354">
        <v>1696500</v>
      </c>
      <c r="D42" s="55">
        <v>17.7</v>
      </c>
      <c r="E42" s="223">
        <f>IF('SCCA|0001-00'!OrigApprop=0,0,(E40/H40)*'SCCA|0001-00'!OrigApprop)</f>
        <v>1221888.0816155358</v>
      </c>
      <c r="F42" s="223">
        <f>IF('SCCA|0001-00'!OrigApprop=0,0,(F40/H40)*'SCCA|0001-00'!OrigApprop)</f>
        <v>224234.831580625</v>
      </c>
      <c r="G42" s="223">
        <f>IF(E42=0,0,(G40/H40)*'SCCA|0001-00'!OrigApprop)</f>
        <v>250377.08680383937</v>
      </c>
      <c r="H42" s="223">
        <f>SUM(E42:G42)</f>
        <v>1696500</v>
      </c>
      <c r="I42" s="268"/>
      <c r="J42" s="224"/>
      <c r="K42" s="224"/>
      <c r="L42" s="224"/>
    </row>
    <row r="43" spans="1:12" x14ac:dyDescent="0.25">
      <c r="A43" s="470" t="s">
        <v>32</v>
      </c>
      <c r="B43" s="471"/>
      <c r="C43" s="160" t="s">
        <v>33</v>
      </c>
      <c r="D43" s="161">
        <f>D42-D40</f>
        <v>1.0999999999999979</v>
      </c>
      <c r="E43" s="162">
        <f>E42-E40</f>
        <v>91190.521615535719</v>
      </c>
      <c r="F43" s="162">
        <f>F42-F40</f>
        <v>16734.831580625003</v>
      </c>
      <c r="G43" s="162">
        <f>G42-G40</f>
        <v>18685.849784239399</v>
      </c>
      <c r="H43" s="162">
        <f>H42-H40</f>
        <v>126611.20298040006</v>
      </c>
      <c r="I43" s="269"/>
      <c r="J43" s="56" t="str">
        <f>IF('SCCA|0001-00'!OrigApprop=0,"No Original Appropriation amount in DU 3.00 for this fund","Calculated "&amp;IF('SCCA|0001-00'!AdjustedTotal&gt;0,"overfunding ","underfunding ")&amp;"is "&amp;TEXT('SCCA|0001-00'!AdjustedTotal/'SCCA|0001-00'!AppropTotal,"#.0%;(#.0% );0% ;")&amp;" of Original Appropriation")</f>
        <v>Calculated overfunding is 7.5% of Original Appropriation</v>
      </c>
      <c r="K43" s="163"/>
      <c r="L43" s="164"/>
    </row>
    <row r="45" spans="1:12" x14ac:dyDescent="0.25">
      <c r="A45" s="394" t="s">
        <v>787</v>
      </c>
      <c r="B45" s="394"/>
      <c r="C45" s="394"/>
      <c r="D45" s="394"/>
      <c r="E45" s="394"/>
      <c r="F45" s="394"/>
      <c r="G45" s="394"/>
      <c r="H45" s="394"/>
      <c r="I45" s="394"/>
      <c r="J45" s="394"/>
      <c r="K45" s="394"/>
      <c r="L45" s="394"/>
    </row>
    <row r="46" spans="1:12" ht="39" x14ac:dyDescent="0.25">
      <c r="A46" s="489" t="s">
        <v>22</v>
      </c>
      <c r="B46" s="490"/>
      <c r="C46" s="370" t="s">
        <v>23</v>
      </c>
      <c r="D46" s="49" t="s">
        <v>24</v>
      </c>
      <c r="E46" s="50" t="str">
        <f>"FY "&amp;'SCDA|0480-00'!FiscalYear-1&amp;" SALARY"</f>
        <v>FY 2023 SALARY</v>
      </c>
      <c r="F46" s="50" t="str">
        <f>"FY "&amp;'SCDA|0480-00'!FiscalYear-1&amp;" HEALTH BENEFITS"</f>
        <v>FY 2023 HEALTH BENEFITS</v>
      </c>
      <c r="G46" s="50" t="str">
        <f>"FY "&amp;'SCDA|0480-00'!FiscalYear-1&amp;" VAR BENEFITS"</f>
        <v>FY 2023 VAR BENEFITS</v>
      </c>
      <c r="H46" s="50" t="str">
        <f>"FY "&amp;'SCDA|0480-00'!FiscalYear-1&amp;" TOTAL"</f>
        <v>FY 2023 TOTAL</v>
      </c>
      <c r="I46" s="50" t="str">
        <f>"FY "&amp;'SCDA|0480-00'!FiscalYear&amp;" SALARY CHANGE"</f>
        <v>FY 2024 SALARY CHANGE</v>
      </c>
      <c r="J46" s="50" t="str">
        <f>"FY "&amp;'SCDA|0480-00'!FiscalYear&amp;" CHG HEALTH BENEFITS"</f>
        <v>FY 2024 CHG HEALTH BENEFITS</v>
      </c>
      <c r="K46" s="50" t="str">
        <f>"FY "&amp;'SCDA|0480-00'!FiscalYear&amp;" CHG VAR BENEFITS"</f>
        <v>FY 2024 CHG VAR BENEFITS</v>
      </c>
      <c r="L46" s="50" t="s">
        <v>25</v>
      </c>
    </row>
    <row r="47" spans="1:12" x14ac:dyDescent="0.25">
      <c r="A47" s="481" t="s">
        <v>26</v>
      </c>
      <c r="B47" s="482"/>
      <c r="C47" s="141"/>
      <c r="D47" s="142"/>
      <c r="E47" s="143"/>
      <c r="F47" s="143"/>
      <c r="G47" s="143"/>
      <c r="H47" s="144"/>
      <c r="I47" s="144"/>
      <c r="J47" s="145"/>
      <c r="K47" s="146"/>
      <c r="L47" s="144"/>
    </row>
    <row r="48" spans="1:12" x14ac:dyDescent="0.25">
      <c r="A48" s="460" t="s">
        <v>27</v>
      </c>
      <c r="B48" s="483"/>
      <c r="C48" s="217">
        <v>1</v>
      </c>
      <c r="D48" s="288">
        <f>[0]!SCDA048000col_INC_FTI</f>
        <v>47.419999999999995</v>
      </c>
      <c r="E48" s="218">
        <f>[0]!SCDA048000col_FTI_SALARY_PERM</f>
        <v>3826100.91</v>
      </c>
      <c r="F48" s="218">
        <f>[0]!SCDA048000col_HEALTH_PERM</f>
        <v>597750</v>
      </c>
      <c r="G48" s="218">
        <f>[0]!SCDA048000col_TOT_VB_PERM</f>
        <v>784006.3374680999</v>
      </c>
      <c r="H48" s="219">
        <f>SUM(E48:G48)</f>
        <v>5207857.2474680999</v>
      </c>
      <c r="I48" s="219">
        <f>[0]!SCDA048000col_1_27TH_PP</f>
        <v>0</v>
      </c>
      <c r="J48" s="218">
        <f>[0]!SCDA048000col_HEALTH_PERM_CHG</f>
        <v>59775</v>
      </c>
      <c r="K48" s="218">
        <f>[0]!SCDA048000col_TOT_VB_PERM_CHG</f>
        <v>-28695.756825000037</v>
      </c>
      <c r="L48" s="218">
        <f>SUM(J48:K48)</f>
        <v>31079.243174999963</v>
      </c>
    </row>
    <row r="49" spans="1:12" x14ac:dyDescent="0.25">
      <c r="A49" s="460" t="s">
        <v>28</v>
      </c>
      <c r="B49" s="483"/>
      <c r="C49" s="217">
        <v>2</v>
      </c>
      <c r="D49" s="288"/>
      <c r="E49" s="218">
        <f>[0]!SCDA048000col_Group_Salary</f>
        <v>0</v>
      </c>
      <c r="F49" s="218">
        <v>0</v>
      </c>
      <c r="G49" s="218">
        <f>[0]!SCDA048000col_Group_Ben</f>
        <v>0</v>
      </c>
      <c r="H49" s="219">
        <f>SUM(E49:G49)</f>
        <v>0</v>
      </c>
      <c r="I49" s="268"/>
      <c r="J49" s="218"/>
      <c r="K49" s="218"/>
      <c r="L49" s="218"/>
    </row>
    <row r="50" spans="1:12" x14ac:dyDescent="0.25">
      <c r="A50" s="460" t="s">
        <v>29</v>
      </c>
      <c r="B50" s="461"/>
      <c r="C50" s="217">
        <v>3</v>
      </c>
      <c r="D50" s="288">
        <f>[0]!SCDA048000col_TOTAL_ELECT_PCN_FTI</f>
        <v>0</v>
      </c>
      <c r="E50" s="218">
        <f>[0]!SCDA048000col_FTI_SALARY_ELECT</f>
        <v>0</v>
      </c>
      <c r="F50" s="218">
        <f>[0]!SCDA048000col_HEALTH_ELECT</f>
        <v>0</v>
      </c>
      <c r="G50" s="218">
        <f>[0]!SCDA048000col_TOT_VB_ELECT</f>
        <v>0</v>
      </c>
      <c r="H50" s="219">
        <f>SUM(E50:G50)</f>
        <v>0</v>
      </c>
      <c r="I50" s="268"/>
      <c r="J50" s="218">
        <f>[0]!SCDA048000col_HEALTH_ELECT_CHG</f>
        <v>0</v>
      </c>
      <c r="K50" s="218">
        <f>[0]!SCDA048000col_TOT_VB_ELECT_CHG</f>
        <v>0</v>
      </c>
      <c r="L50" s="219">
        <f>SUM(J50:K50)</f>
        <v>0</v>
      </c>
    </row>
    <row r="51" spans="1:12" x14ac:dyDescent="0.25">
      <c r="A51" s="460" t="s">
        <v>30</v>
      </c>
      <c r="B51" s="483"/>
      <c r="C51" s="217"/>
      <c r="D51" s="220">
        <f>SUM(D48:D50)</f>
        <v>47.419999999999995</v>
      </c>
      <c r="E51" s="221">
        <f>SUM(E48:E50)</f>
        <v>3826100.91</v>
      </c>
      <c r="F51" s="221">
        <f>SUM(F48:F50)</f>
        <v>597750</v>
      </c>
      <c r="G51" s="221">
        <f>SUM(G48:G50)</f>
        <v>784006.3374680999</v>
      </c>
      <c r="H51" s="219">
        <f>SUM(E51:G51)</f>
        <v>5207857.2474680999</v>
      </c>
      <c r="I51" s="268"/>
      <c r="J51" s="219">
        <f>SUM(J48:J50)</f>
        <v>59775</v>
      </c>
      <c r="K51" s="219">
        <f>SUM(K48:K50)</f>
        <v>-28695.756825000037</v>
      </c>
      <c r="L51" s="219">
        <f>SUM(L48:L50)</f>
        <v>31079.243174999963</v>
      </c>
    </row>
    <row r="52" spans="1:12" x14ac:dyDescent="0.25">
      <c r="A52" s="365"/>
      <c r="B52" s="371"/>
      <c r="C52" s="217"/>
      <c r="D52" s="220"/>
      <c r="E52" s="219"/>
      <c r="F52" s="219"/>
      <c r="G52" s="219"/>
      <c r="H52" s="219"/>
      <c r="I52" s="268"/>
      <c r="J52" s="219"/>
      <c r="K52" s="222"/>
      <c r="L52" s="222"/>
    </row>
    <row r="53" spans="1:12" x14ac:dyDescent="0.25">
      <c r="A53" s="157" t="str">
        <f>"FY "&amp;'SCDA|0480-00'!FiscalYear-1</f>
        <v>FY 2023</v>
      </c>
      <c r="B53" s="158" t="s">
        <v>31</v>
      </c>
      <c r="C53" s="354">
        <v>5638400</v>
      </c>
      <c r="D53" s="55">
        <v>52.3</v>
      </c>
      <c r="E53" s="223">
        <f>IF('SCDA|0480-00'!OrigApprop=0,0,(E51/H51)*'SCDA|0480-00'!OrigApprop)</f>
        <v>4142411.4267786765</v>
      </c>
      <c r="F53" s="223">
        <f>IF('SCDA|0480-00'!OrigApprop=0,0,(F51/H51)*'SCDA|0480-00'!OrigApprop)</f>
        <v>647167.04776010558</v>
      </c>
      <c r="G53" s="223">
        <f>IF(E53=0,0,(G51/H51)*'SCDA|0480-00'!OrigApprop)</f>
        <v>848821.52546121844</v>
      </c>
      <c r="H53" s="223">
        <f>SUM(E53:G53)</f>
        <v>5638400</v>
      </c>
      <c r="I53" s="268"/>
      <c r="J53" s="224"/>
      <c r="K53" s="224"/>
      <c r="L53" s="224"/>
    </row>
    <row r="54" spans="1:12" x14ac:dyDescent="0.25">
      <c r="A54" s="470" t="s">
        <v>32</v>
      </c>
      <c r="B54" s="471"/>
      <c r="C54" s="160" t="s">
        <v>33</v>
      </c>
      <c r="D54" s="161">
        <f>D53-D51</f>
        <v>4.8800000000000026</v>
      </c>
      <c r="E54" s="162">
        <f>E53-E51</f>
        <v>316310.5167786763</v>
      </c>
      <c r="F54" s="162">
        <f>F53-F51</f>
        <v>49417.047760105575</v>
      </c>
      <c r="G54" s="162">
        <f>G53-G51</f>
        <v>64815.187993118539</v>
      </c>
      <c r="H54" s="162">
        <f>H53-H51</f>
        <v>430542.75253190007</v>
      </c>
      <c r="I54" s="269"/>
      <c r="J54" s="56" t="str">
        <f>IF('SCDA|0480-00'!OrigApprop=0,"No Original Appropriation amount in DU 3.00 for this fund","Calculated "&amp;IF('SCDA|0480-00'!AdjustedTotal&gt;0,"overfunding ","underfunding ")&amp;"is "&amp;TEXT('SCDA|0480-00'!AdjustedTotal/'SCDA|0480-00'!AppropTotal,"#.0%;(#.0% );0% ;")&amp;" of Original Appropriation")</f>
        <v>Calculated overfunding is 7.6% of Original Appropriation</v>
      </c>
      <c r="K54" s="163"/>
      <c r="L54" s="164"/>
    </row>
  </sheetData>
  <mergeCells count="35">
    <mergeCell ref="A7:B7"/>
    <mergeCell ref="A2:B2"/>
    <mergeCell ref="A3:B3"/>
    <mergeCell ref="A4:B4"/>
    <mergeCell ref="A5:B5"/>
    <mergeCell ref="A6:B6"/>
    <mergeCell ref="A27:B27"/>
    <mergeCell ref="A10:B10"/>
    <mergeCell ref="A13:B13"/>
    <mergeCell ref="A14:B14"/>
    <mergeCell ref="A15:B15"/>
    <mergeCell ref="A16:B16"/>
    <mergeCell ref="A17:B17"/>
    <mergeCell ref="A18:B18"/>
    <mergeCell ref="A21:B21"/>
    <mergeCell ref="A24:B24"/>
    <mergeCell ref="A25:B25"/>
    <mergeCell ref="A26:B26"/>
    <mergeCell ref="A47:B47"/>
    <mergeCell ref="A28:B28"/>
    <mergeCell ref="A29:B29"/>
    <mergeCell ref="A32:B32"/>
    <mergeCell ref="A35:B35"/>
    <mergeCell ref="A36:B36"/>
    <mergeCell ref="A37:B37"/>
    <mergeCell ref="A38:B38"/>
    <mergeCell ref="A39:B39"/>
    <mergeCell ref="A40:B40"/>
    <mergeCell ref="A43:B43"/>
    <mergeCell ref="A46:B46"/>
    <mergeCell ref="A48:B48"/>
    <mergeCell ref="A49:B49"/>
    <mergeCell ref="A50:B50"/>
    <mergeCell ref="A51:B51"/>
    <mergeCell ref="A54:B54"/>
  </mergeCells>
  <conditionalFormatting sqref="J10">
    <cfRule type="expression" dxfId="4" priority="5">
      <formula>$J$16&lt;0</formula>
    </cfRule>
  </conditionalFormatting>
  <conditionalFormatting sqref="J21">
    <cfRule type="expression" dxfId="3" priority="4">
      <formula>$J$16&lt;0</formula>
    </cfRule>
  </conditionalFormatting>
  <conditionalFormatting sqref="J32">
    <cfRule type="expression" dxfId="2" priority="3">
      <formula>$J$16&lt;0</formula>
    </cfRule>
  </conditionalFormatting>
  <conditionalFormatting sqref="J43">
    <cfRule type="expression" dxfId="1" priority="2">
      <formula>$J$16&lt;0</formula>
    </cfRule>
  </conditionalFormatting>
  <conditionalFormatting sqref="J54">
    <cfRule type="expression" dxfId="0" priority="1">
      <formula>$J$16&lt;0</formula>
    </cfRule>
  </conditionalFormatting>
  <pageMargins left="0.7" right="0.7" top="0.75" bottom="0.75" header="0.3" footer="0.3"/>
  <pageSetup scale="54" orientation="landscape" r:id="rId1"/>
  <headerFooter>
    <oddHeader>&amp;L&amp;"Arial"&amp;14 State Controller&amp;R&amp;"Arial"&amp;10 Agency 140</oddHeader>
    <oddFooter>&amp;L&amp;"Arial"&amp;10 B6:Summary by Program, by Fund&amp;R&amp;"Arial"&amp;10 FY 2023 Request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2:M23"/>
  <sheetViews>
    <sheetView workbookViewId="0">
      <selection activeCell="E8" sqref="E8:M23"/>
    </sheetView>
  </sheetViews>
  <sheetFormatPr defaultRowHeight="15" x14ac:dyDescent="0.25"/>
  <cols>
    <col min="1" max="1" width="2.7109375" customWidth="1"/>
    <col min="2" max="2" width="10.140625" bestFit="1" customWidth="1"/>
    <col min="3" max="3" width="7.7109375" bestFit="1" customWidth="1"/>
    <col min="4" max="4" width="5.7109375" customWidth="1"/>
    <col min="5" max="5" width="7" bestFit="1" customWidth="1"/>
    <col min="6" max="6" width="13.5703125" bestFit="1" customWidth="1"/>
    <col min="7" max="7" width="14.5703125" bestFit="1" customWidth="1"/>
    <col min="8" max="8" width="13.5703125" bestFit="1" customWidth="1"/>
    <col min="9" max="9" width="16" bestFit="1" customWidth="1"/>
    <col min="10" max="10" width="17.7109375" bestFit="1" customWidth="1"/>
    <col min="11" max="11" width="13.5703125" bestFit="1" customWidth="1"/>
    <col min="12" max="12" width="16" bestFit="1" customWidth="1"/>
    <col min="13" max="13" width="17.7109375" bestFit="1" customWidth="1"/>
  </cols>
  <sheetData>
    <row r="2" spans="1:13" ht="21" x14ac:dyDescent="0.35">
      <c r="A2" s="251" t="s">
        <v>95</v>
      </c>
      <c r="B2" s="251"/>
      <c r="C2" s="251"/>
    </row>
    <row r="4" spans="1:13" ht="21" x14ac:dyDescent="0.35">
      <c r="A4" s="252"/>
      <c r="B4" s="252"/>
      <c r="C4" s="252"/>
    </row>
    <row r="5" spans="1:13" ht="15.75" customHeight="1" x14ac:dyDescent="0.25">
      <c r="E5" s="255" t="s">
        <v>81</v>
      </c>
      <c r="F5" s="491" t="s">
        <v>791</v>
      </c>
      <c r="G5" s="491"/>
      <c r="H5" s="492" t="s">
        <v>789</v>
      </c>
      <c r="I5" s="491" t="s">
        <v>792</v>
      </c>
      <c r="J5" s="491"/>
      <c r="K5" s="492" t="s">
        <v>790</v>
      </c>
      <c r="L5" s="491" t="s">
        <v>793</v>
      </c>
      <c r="M5" s="491"/>
    </row>
    <row r="6" spans="1:13" ht="15.75" x14ac:dyDescent="0.25">
      <c r="E6" s="249"/>
      <c r="F6" s="253" t="s">
        <v>92</v>
      </c>
      <c r="G6" s="254" t="s">
        <v>94</v>
      </c>
      <c r="H6" s="493"/>
      <c r="I6" s="253" t="s">
        <v>96</v>
      </c>
      <c r="J6" s="254" t="s">
        <v>93</v>
      </c>
      <c r="K6" s="493"/>
      <c r="L6" s="278" t="s">
        <v>96</v>
      </c>
      <c r="M6" s="254" t="s">
        <v>93</v>
      </c>
    </row>
    <row r="7" spans="1:13" x14ac:dyDescent="0.25">
      <c r="A7" s="391" t="s">
        <v>794</v>
      </c>
      <c r="D7" s="250"/>
    </row>
    <row r="8" spans="1:13" x14ac:dyDescent="0.25">
      <c r="C8" t="s">
        <v>762</v>
      </c>
      <c r="D8" s="250"/>
      <c r="E8" s="401">
        <f>Data!AS223</f>
        <v>43.98</v>
      </c>
      <c r="F8" s="401">
        <f>Data!AT223</f>
        <v>3209925.4800000004</v>
      </c>
      <c r="G8" s="401">
        <f>Data!AU223</f>
        <v>1140419.0599999998</v>
      </c>
      <c r="H8" s="401">
        <f>Data!AV223</f>
        <v>3209641</v>
      </c>
      <c r="I8" s="401">
        <f>Data!AW223</f>
        <v>555375</v>
      </c>
      <c r="J8" s="401">
        <f>Data!AX223</f>
        <v>657687.53731000004</v>
      </c>
      <c r="K8" s="401">
        <f>Data!AY223</f>
        <v>3209641</v>
      </c>
      <c r="L8" s="401">
        <f>Data!AZ223</f>
        <v>610912.5</v>
      </c>
      <c r="M8" s="401">
        <f>Data!BA223</f>
        <v>633615.22981000005</v>
      </c>
    </row>
    <row r="9" spans="1:13" x14ac:dyDescent="0.25">
      <c r="B9" t="s">
        <v>795</v>
      </c>
      <c r="D9" s="250"/>
      <c r="E9" s="402">
        <f>Data!AS224</f>
        <v>43.98</v>
      </c>
      <c r="F9" s="402">
        <f>Data!AT224</f>
        <v>3209925.4800000004</v>
      </c>
      <c r="G9" s="402">
        <f>Data!AU224</f>
        <v>1140419.0599999998</v>
      </c>
      <c r="H9" s="402">
        <f>Data!AV224</f>
        <v>3209641</v>
      </c>
      <c r="I9" s="402">
        <f>Data!AW224</f>
        <v>555375</v>
      </c>
      <c r="J9" s="402">
        <f>Data!AX224</f>
        <v>657687.53731000004</v>
      </c>
      <c r="K9" s="402">
        <f>Data!AY224</f>
        <v>3209641</v>
      </c>
      <c r="L9" s="402">
        <f>Data!AZ224</f>
        <v>610912.5</v>
      </c>
      <c r="M9" s="402">
        <f>Data!BA224</f>
        <v>633615.22981000005</v>
      </c>
    </row>
    <row r="10" spans="1:13" x14ac:dyDescent="0.25">
      <c r="C10" t="s">
        <v>772</v>
      </c>
      <c r="D10" s="250"/>
      <c r="E10" s="401">
        <f>Data!AS225</f>
        <v>4.95</v>
      </c>
      <c r="F10" s="401">
        <f>Data!AT225</f>
        <v>564802.54999999981</v>
      </c>
      <c r="G10" s="401">
        <f>Data!AU225</f>
        <v>194767.37</v>
      </c>
      <c r="H10" s="401">
        <f>Data!AV225</f>
        <v>421556.72</v>
      </c>
      <c r="I10" s="401">
        <f>Data!AW225</f>
        <v>61875</v>
      </c>
      <c r="J10" s="401">
        <f>Data!AX225</f>
        <v>86381.187495199993</v>
      </c>
      <c r="K10" s="401">
        <f>Data!AY225</f>
        <v>421556.72</v>
      </c>
      <c r="L10" s="401">
        <f>Data!AZ225</f>
        <v>68062.5</v>
      </c>
      <c r="M10" s="401">
        <f>Data!BA225</f>
        <v>83219.512095200014</v>
      </c>
    </row>
    <row r="11" spans="1:13" x14ac:dyDescent="0.25">
      <c r="B11" t="s">
        <v>796</v>
      </c>
      <c r="D11" s="250"/>
      <c r="E11" s="402">
        <f>Data!AS226</f>
        <v>4.95</v>
      </c>
      <c r="F11" s="402">
        <f>Data!AT226</f>
        <v>564802.54999999981</v>
      </c>
      <c r="G11" s="402">
        <f>Data!AU226</f>
        <v>194767.37</v>
      </c>
      <c r="H11" s="402">
        <f>Data!AV226</f>
        <v>421556.72</v>
      </c>
      <c r="I11" s="402">
        <f>Data!AW226</f>
        <v>61875</v>
      </c>
      <c r="J11" s="402">
        <f>Data!AX226</f>
        <v>86381.187495199993</v>
      </c>
      <c r="K11" s="402">
        <f>Data!AY226</f>
        <v>421556.72</v>
      </c>
      <c r="L11" s="402">
        <f>Data!AZ226</f>
        <v>68062.5</v>
      </c>
      <c r="M11" s="402">
        <f>Data!BA226</f>
        <v>83219.512095200014</v>
      </c>
    </row>
    <row r="12" spans="1:13" x14ac:dyDescent="0.25">
      <c r="C12" t="s">
        <v>785</v>
      </c>
      <c r="D12" s="250"/>
      <c r="E12" s="401">
        <f>Data!AS227</f>
        <v>47.419999999999995</v>
      </c>
      <c r="F12" s="401">
        <f>Data!AT227</f>
        <v>3877766.7199999993</v>
      </c>
      <c r="G12" s="401">
        <f>Data!AU227</f>
        <v>1355878.1400000001</v>
      </c>
      <c r="H12" s="401">
        <f>Data!AV227</f>
        <v>3826100.91</v>
      </c>
      <c r="I12" s="401">
        <f>Data!AW227</f>
        <v>597750</v>
      </c>
      <c r="J12" s="401">
        <f>Data!AX227</f>
        <v>784006.3374680999</v>
      </c>
      <c r="K12" s="401">
        <f>Data!AY227</f>
        <v>3826100.91</v>
      </c>
      <c r="L12" s="401">
        <f>Data!AZ227</f>
        <v>657525</v>
      </c>
      <c r="M12" s="401">
        <f>Data!BA227</f>
        <v>755310.5806431002</v>
      </c>
    </row>
    <row r="13" spans="1:13" x14ac:dyDescent="0.25">
      <c r="B13" t="s">
        <v>797</v>
      </c>
      <c r="D13" s="250"/>
      <c r="E13" s="402">
        <f>Data!AS228</f>
        <v>47.419999999999995</v>
      </c>
      <c r="F13" s="402">
        <f>Data!AT228</f>
        <v>3877766.7199999993</v>
      </c>
      <c r="G13" s="402">
        <f>Data!AU228</f>
        <v>1355878.1400000001</v>
      </c>
      <c r="H13" s="402">
        <f>Data!AV228</f>
        <v>3826100.91</v>
      </c>
      <c r="I13" s="402">
        <f>Data!AW228</f>
        <v>597750</v>
      </c>
      <c r="J13" s="402">
        <f>Data!AX228</f>
        <v>784006.3374680999</v>
      </c>
      <c r="K13" s="402">
        <f>Data!AY228</f>
        <v>3826100.91</v>
      </c>
      <c r="L13" s="402">
        <f>Data!AZ228</f>
        <v>657525</v>
      </c>
      <c r="M13" s="402">
        <f>Data!BA228</f>
        <v>755310.5806431002</v>
      </c>
    </row>
    <row r="14" spans="1:13" x14ac:dyDescent="0.25">
      <c r="E14" s="401">
        <f>Data!AS229</f>
        <v>0</v>
      </c>
      <c r="F14" s="401">
        <f>Data!AT229</f>
        <v>0</v>
      </c>
      <c r="G14" s="401">
        <f>Data!AU229</f>
        <v>0</v>
      </c>
      <c r="H14" s="401">
        <f>Data!AV229</f>
        <v>0</v>
      </c>
      <c r="I14" s="401">
        <f>Data!AW229</f>
        <v>0</v>
      </c>
      <c r="J14" s="401">
        <f>Data!AX229</f>
        <v>0</v>
      </c>
      <c r="K14" s="401">
        <f>Data!AY229</f>
        <v>0</v>
      </c>
      <c r="L14" s="401">
        <f>Data!AZ229</f>
        <v>0</v>
      </c>
      <c r="M14" s="401">
        <f>Data!BA229</f>
        <v>0</v>
      </c>
    </row>
    <row r="15" spans="1:13" x14ac:dyDescent="0.25">
      <c r="A15" s="395" t="s">
        <v>798</v>
      </c>
      <c r="E15" s="403">
        <f>Data!AS230</f>
        <v>96.35</v>
      </c>
      <c r="F15" s="403">
        <f>Data!AT230</f>
        <v>7652494.75</v>
      </c>
      <c r="G15" s="403">
        <f>Data!AU230</f>
        <v>2691064.57</v>
      </c>
      <c r="H15" s="403">
        <f>Data!AV230</f>
        <v>7457298.6299999999</v>
      </c>
      <c r="I15" s="403">
        <f>Data!AW230</f>
        <v>1215000</v>
      </c>
      <c r="J15" s="403">
        <f>Data!AX230</f>
        <v>1528075.0622732998</v>
      </c>
      <c r="K15" s="403">
        <f>Data!AY230</f>
        <v>7457298.6299999999</v>
      </c>
      <c r="L15" s="403">
        <f>Data!AZ230</f>
        <v>1336500</v>
      </c>
      <c r="M15" s="403">
        <f>Data!BA230</f>
        <v>1472145.3225483003</v>
      </c>
    </row>
    <row r="16" spans="1:13" x14ac:dyDescent="0.25">
      <c r="E16" s="401">
        <f>Data!AS231</f>
        <v>0</v>
      </c>
      <c r="F16" s="401">
        <f>Data!AT231</f>
        <v>0</v>
      </c>
      <c r="G16" s="401">
        <f>Data!AU231</f>
        <v>0</v>
      </c>
      <c r="H16" s="401">
        <f>Data!AV231</f>
        <v>0</v>
      </c>
      <c r="I16" s="401">
        <f>Data!AW231</f>
        <v>0</v>
      </c>
      <c r="J16" s="401">
        <f>Data!AX231</f>
        <v>0</v>
      </c>
      <c r="K16" s="401">
        <f>Data!AY231</f>
        <v>0</v>
      </c>
      <c r="L16" s="401">
        <f>Data!AZ231</f>
        <v>0</v>
      </c>
      <c r="M16" s="401">
        <f>Data!BA231</f>
        <v>0</v>
      </c>
    </row>
    <row r="17" spans="1:13" x14ac:dyDescent="0.25">
      <c r="A17" s="391" t="s">
        <v>799</v>
      </c>
      <c r="E17" s="401">
        <f>Data!AS232</f>
        <v>0</v>
      </c>
      <c r="F17" s="401">
        <f>Data!AT232</f>
        <v>0</v>
      </c>
      <c r="G17" s="401">
        <f>Data!AU232</f>
        <v>0</v>
      </c>
      <c r="H17" s="401">
        <f>Data!AV232</f>
        <v>0</v>
      </c>
      <c r="I17" s="401">
        <f>Data!AW232</f>
        <v>0</v>
      </c>
      <c r="J17" s="401">
        <f>Data!AX232</f>
        <v>0</v>
      </c>
      <c r="K17" s="401">
        <f>Data!AY232</f>
        <v>0</v>
      </c>
      <c r="L17" s="401">
        <f>Data!AZ232</f>
        <v>0</v>
      </c>
      <c r="M17" s="401">
        <f>Data!BA232</f>
        <v>0</v>
      </c>
    </row>
    <row r="18" spans="1:13" x14ac:dyDescent="0.25">
      <c r="C18" t="s">
        <v>772</v>
      </c>
      <c r="E18" s="401">
        <f>Data!AS233</f>
        <v>0</v>
      </c>
      <c r="F18" s="401">
        <f>Data!AT233</f>
        <v>1352966.46</v>
      </c>
      <c r="G18" s="401">
        <f>Data!AU233</f>
        <v>463457.76</v>
      </c>
      <c r="H18" s="401">
        <f>Data!AV233</f>
        <v>1352966.46</v>
      </c>
      <c r="I18" s="401">
        <f>Data!AW233</f>
        <v>0</v>
      </c>
      <c r="J18" s="401">
        <f>Data!AX233</f>
        <v>463457.76</v>
      </c>
      <c r="K18" s="401">
        <f>Data!AY233</f>
        <v>1352966.46</v>
      </c>
      <c r="L18" s="401">
        <f>Data!AZ233</f>
        <v>0</v>
      </c>
      <c r="M18" s="401">
        <f>Data!BA233</f>
        <v>463457.76</v>
      </c>
    </row>
    <row r="19" spans="1:13" x14ac:dyDescent="0.25">
      <c r="B19" t="s">
        <v>796</v>
      </c>
      <c r="E19" s="402">
        <f>Data!AS234</f>
        <v>0</v>
      </c>
      <c r="F19" s="402">
        <f>Data!AT234</f>
        <v>1352966.46</v>
      </c>
      <c r="G19" s="402">
        <f>Data!AU234</f>
        <v>463457.76</v>
      </c>
      <c r="H19" s="402">
        <f>Data!AV234</f>
        <v>1352966.46</v>
      </c>
      <c r="I19" s="402">
        <f>Data!AW234</f>
        <v>0</v>
      </c>
      <c r="J19" s="402">
        <f>Data!AX234</f>
        <v>463457.76</v>
      </c>
      <c r="K19" s="402">
        <f>Data!AY234</f>
        <v>1352966.46</v>
      </c>
      <c r="L19" s="402">
        <f>Data!AZ234</f>
        <v>0</v>
      </c>
      <c r="M19" s="402">
        <f>Data!BA234</f>
        <v>463457.76</v>
      </c>
    </row>
    <row r="20" spans="1:13" x14ac:dyDescent="0.25">
      <c r="E20" s="401">
        <f>Data!AS235</f>
        <v>0</v>
      </c>
      <c r="F20" s="401">
        <f>Data!AT235</f>
        <v>0</v>
      </c>
      <c r="G20" s="401">
        <f>Data!AU235</f>
        <v>0</v>
      </c>
      <c r="H20" s="401">
        <f>Data!AV235</f>
        <v>0</v>
      </c>
      <c r="I20" s="401">
        <f>Data!AW235</f>
        <v>0</v>
      </c>
      <c r="J20" s="401">
        <f>Data!AX235</f>
        <v>0</v>
      </c>
      <c r="K20" s="401">
        <f>Data!AY235</f>
        <v>0</v>
      </c>
      <c r="L20" s="401">
        <f>Data!AZ235</f>
        <v>0</v>
      </c>
      <c r="M20" s="401">
        <f>Data!BA235</f>
        <v>0</v>
      </c>
    </row>
    <row r="21" spans="1:13" x14ac:dyDescent="0.25">
      <c r="A21" s="395" t="s">
        <v>800</v>
      </c>
      <c r="E21" s="403">
        <f>Data!AS236</f>
        <v>0</v>
      </c>
      <c r="F21" s="403">
        <f>Data!AT236</f>
        <v>1352966.46</v>
      </c>
      <c r="G21" s="403">
        <f>Data!AU236</f>
        <v>463457.76</v>
      </c>
      <c r="H21" s="403">
        <f>Data!AV236</f>
        <v>1352966.46</v>
      </c>
      <c r="I21" s="403">
        <f>Data!AW236</f>
        <v>0</v>
      </c>
      <c r="J21" s="403">
        <f>Data!AX236</f>
        <v>463457.76</v>
      </c>
      <c r="K21" s="403">
        <f>Data!AY236</f>
        <v>1352966.46</v>
      </c>
      <c r="L21" s="403">
        <f>Data!AZ236</f>
        <v>0</v>
      </c>
      <c r="M21" s="403">
        <f>Data!BA236</f>
        <v>463457.76</v>
      </c>
    </row>
    <row r="22" spans="1:13" x14ac:dyDescent="0.25">
      <c r="E22" s="401">
        <f>Data!AS237</f>
        <v>0</v>
      </c>
      <c r="F22" s="401">
        <f>Data!AT237</f>
        <v>0</v>
      </c>
      <c r="G22" s="401">
        <f>Data!AU237</f>
        <v>0</v>
      </c>
      <c r="H22" s="401">
        <f>Data!AV237</f>
        <v>0</v>
      </c>
      <c r="I22" s="401">
        <f>Data!AW237</f>
        <v>0</v>
      </c>
      <c r="J22" s="401">
        <f>Data!AX237</f>
        <v>0</v>
      </c>
      <c r="K22" s="401">
        <f>Data!AY237</f>
        <v>0</v>
      </c>
      <c r="L22" s="401">
        <f>Data!AZ237</f>
        <v>0</v>
      </c>
      <c r="M22" s="401">
        <f>Data!BA237</f>
        <v>0</v>
      </c>
    </row>
    <row r="23" spans="1:13" x14ac:dyDescent="0.25">
      <c r="A23" s="396" t="s">
        <v>801</v>
      </c>
      <c r="E23" s="399">
        <f>Data!AS238</f>
        <v>96.35</v>
      </c>
      <c r="F23" s="400">
        <f>Data!AT238</f>
        <v>9005461.2100000009</v>
      </c>
      <c r="G23" s="400">
        <f>Data!AU238</f>
        <v>3154522.33</v>
      </c>
      <c r="H23" s="400">
        <f>Data!AV238</f>
        <v>8810265.0899999999</v>
      </c>
      <c r="I23" s="400">
        <f>Data!AW238</f>
        <v>1215000</v>
      </c>
      <c r="J23" s="400">
        <f>Data!AX238</f>
        <v>1991532.8222732998</v>
      </c>
      <c r="K23" s="400">
        <f>Data!AY238</f>
        <v>8810265.0899999999</v>
      </c>
      <c r="L23" s="400">
        <f>Data!AZ238</f>
        <v>1336500</v>
      </c>
      <c r="M23" s="400">
        <f>Data!BA238</f>
        <v>1935603.0825483003</v>
      </c>
    </row>
  </sheetData>
  <mergeCells count="5">
    <mergeCell ref="F5:G5"/>
    <mergeCell ref="I5:J5"/>
    <mergeCell ref="L5:M5"/>
    <mergeCell ref="H5:H6"/>
    <mergeCell ref="K5:K6"/>
  </mergeCells>
  <pageMargins left="0.7" right="0.7" top="0.75" bottom="0.75" header="0.3" footer="0.3"/>
  <pageSetup scale="79" orientation="landscape" horizontalDpi="1200" verticalDpi="1200" r:id="rId1"/>
  <headerFooter>
    <oddHeader>&amp;L&amp;"Arial"&amp;14 State Controller&amp;R&amp;"Arial"&amp;10 Agency 140</oddHeader>
    <oddFooter>&amp;L&amp;"Arial"&amp;10 B6:Summary by Fund&amp;R&amp;"Arial"&amp;10 FY 2023 Request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864</vt:i4>
      </vt:variant>
    </vt:vector>
  </HeadingPairs>
  <TitlesOfParts>
    <vt:vector size="874" baseType="lpstr">
      <vt:lpstr>SCAA|0001-00</vt:lpstr>
      <vt:lpstr>SCBA|0001-00</vt:lpstr>
      <vt:lpstr>SCBA|0126-00</vt:lpstr>
      <vt:lpstr>SCCA|0001-00</vt:lpstr>
      <vt:lpstr>SCDA|0480-00</vt:lpstr>
      <vt:lpstr>Data</vt:lpstr>
      <vt:lpstr>Benefits</vt:lpstr>
      <vt:lpstr>B6</vt:lpstr>
      <vt:lpstr>Summary</vt:lpstr>
      <vt:lpstr>FundSummary</vt:lpstr>
      <vt:lpstr>'SCAA|0001-00'!AdjGroupHlth</vt:lpstr>
      <vt:lpstr>'SCBA|0001-00'!AdjGroupHlth</vt:lpstr>
      <vt:lpstr>'SCBA|0126-00'!AdjGroupHlth</vt:lpstr>
      <vt:lpstr>'SCCA|0001-00'!AdjGroupHlth</vt:lpstr>
      <vt:lpstr>'SCDA|0480-00'!AdjGroupHlth</vt:lpstr>
      <vt:lpstr>AdjGroupHlth</vt:lpstr>
      <vt:lpstr>'SCAA|0001-00'!AdjGroupSalary</vt:lpstr>
      <vt:lpstr>'SCBA|0001-00'!AdjGroupSalary</vt:lpstr>
      <vt:lpstr>'SCBA|0126-00'!AdjGroupSalary</vt:lpstr>
      <vt:lpstr>'SCCA|0001-00'!AdjGroupSalary</vt:lpstr>
      <vt:lpstr>'SCDA|0480-00'!AdjGroupSalary</vt:lpstr>
      <vt:lpstr>AdjGroupSalary</vt:lpstr>
      <vt:lpstr>'SCAA|0001-00'!AdjGroupVB</vt:lpstr>
      <vt:lpstr>'SCBA|0001-00'!AdjGroupVB</vt:lpstr>
      <vt:lpstr>'SCBA|0126-00'!AdjGroupVB</vt:lpstr>
      <vt:lpstr>'SCCA|0001-00'!AdjGroupVB</vt:lpstr>
      <vt:lpstr>'SCDA|0480-00'!AdjGroupVB</vt:lpstr>
      <vt:lpstr>AdjGroupVB</vt:lpstr>
      <vt:lpstr>'SCAA|0001-00'!AdjGroupVBBY</vt:lpstr>
      <vt:lpstr>'SCBA|0001-00'!AdjGroupVBBY</vt:lpstr>
      <vt:lpstr>'SCBA|0126-00'!AdjGroupVBBY</vt:lpstr>
      <vt:lpstr>'SCCA|0001-00'!AdjGroupVBBY</vt:lpstr>
      <vt:lpstr>'SCDA|0480-00'!AdjGroupVBBY</vt:lpstr>
      <vt:lpstr>AdjGroupVBBY</vt:lpstr>
      <vt:lpstr>'SCAA|0001-00'!AdjPermHlth</vt:lpstr>
      <vt:lpstr>'SCBA|0001-00'!AdjPermHlth</vt:lpstr>
      <vt:lpstr>'SCBA|0126-00'!AdjPermHlth</vt:lpstr>
      <vt:lpstr>'SCCA|0001-00'!AdjPermHlth</vt:lpstr>
      <vt:lpstr>'SCDA|0480-00'!AdjPermHlth</vt:lpstr>
      <vt:lpstr>AdjPermHlth</vt:lpstr>
      <vt:lpstr>'SCAA|0001-00'!AdjPermHlthBY</vt:lpstr>
      <vt:lpstr>'SCBA|0001-00'!AdjPermHlthBY</vt:lpstr>
      <vt:lpstr>'SCBA|0126-00'!AdjPermHlthBY</vt:lpstr>
      <vt:lpstr>'SCCA|0001-00'!AdjPermHlthBY</vt:lpstr>
      <vt:lpstr>'SCDA|0480-00'!AdjPermHlthBY</vt:lpstr>
      <vt:lpstr>AdjPermHlthBY</vt:lpstr>
      <vt:lpstr>'SCAA|0001-00'!AdjPermSalary</vt:lpstr>
      <vt:lpstr>'SCBA|0001-00'!AdjPermSalary</vt:lpstr>
      <vt:lpstr>'SCBA|0126-00'!AdjPermSalary</vt:lpstr>
      <vt:lpstr>'SCCA|0001-00'!AdjPermSalary</vt:lpstr>
      <vt:lpstr>'SCDA|0480-00'!AdjPermSalary</vt:lpstr>
      <vt:lpstr>AdjPermSalary</vt:lpstr>
      <vt:lpstr>'SCAA|0001-00'!AdjPermVB</vt:lpstr>
      <vt:lpstr>'SCBA|0001-00'!AdjPermVB</vt:lpstr>
      <vt:lpstr>'SCBA|0126-00'!AdjPermVB</vt:lpstr>
      <vt:lpstr>'SCCA|0001-00'!AdjPermVB</vt:lpstr>
      <vt:lpstr>'SCDA|0480-00'!AdjPermVB</vt:lpstr>
      <vt:lpstr>AdjPermVB</vt:lpstr>
      <vt:lpstr>'SCAA|0001-00'!AdjPermVBBY</vt:lpstr>
      <vt:lpstr>'SCBA|0001-00'!AdjPermVBBY</vt:lpstr>
      <vt:lpstr>'SCBA|0126-00'!AdjPermVBBY</vt:lpstr>
      <vt:lpstr>'SCCA|0001-00'!AdjPermVBBY</vt:lpstr>
      <vt:lpstr>'SCDA|0480-00'!AdjPermVBBY</vt:lpstr>
      <vt:lpstr>AdjPermVBBY</vt:lpstr>
      <vt:lpstr>'SCAA|0001-00'!AdjustedTotal</vt:lpstr>
      <vt:lpstr>'SCBA|0001-00'!AdjustedTotal</vt:lpstr>
      <vt:lpstr>'SCBA|0126-00'!AdjustedTotal</vt:lpstr>
      <vt:lpstr>'SCCA|0001-00'!AdjustedTotal</vt:lpstr>
      <vt:lpstr>'SCDA|0480-00'!AdjustedTotal</vt:lpstr>
      <vt:lpstr>AdjustedTotal</vt:lpstr>
      <vt:lpstr>'SCAA|0001-00'!AgencyNum</vt:lpstr>
      <vt:lpstr>'SCBA|0001-00'!AgencyNum</vt:lpstr>
      <vt:lpstr>'SCBA|0126-00'!AgencyNum</vt:lpstr>
      <vt:lpstr>'SCCA|0001-00'!AgencyNum</vt:lpstr>
      <vt:lpstr>'SCDA|0480-00'!AgencyNum</vt:lpstr>
      <vt:lpstr>AgencyNum</vt:lpstr>
      <vt:lpstr>'SCAA|0001-00'!AppropFTP</vt:lpstr>
      <vt:lpstr>'SCBA|0001-00'!AppropFTP</vt:lpstr>
      <vt:lpstr>'SCBA|0126-00'!AppropFTP</vt:lpstr>
      <vt:lpstr>'SCCA|0001-00'!AppropFTP</vt:lpstr>
      <vt:lpstr>'SCDA|0480-00'!AppropFTP</vt:lpstr>
      <vt:lpstr>AppropFTP</vt:lpstr>
      <vt:lpstr>'SCAA|0001-00'!AppropTotal</vt:lpstr>
      <vt:lpstr>'SCBA|0001-00'!AppropTotal</vt:lpstr>
      <vt:lpstr>'SCBA|0126-00'!AppropTotal</vt:lpstr>
      <vt:lpstr>'SCCA|0001-00'!AppropTotal</vt:lpstr>
      <vt:lpstr>'SCDA|0480-00'!AppropTotal</vt:lpstr>
      <vt:lpstr>AppropTotal</vt:lpstr>
      <vt:lpstr>'SCAA|0001-00'!AtZHealth</vt:lpstr>
      <vt:lpstr>'SCBA|0001-00'!AtZHealth</vt:lpstr>
      <vt:lpstr>'SCBA|0126-00'!AtZHealth</vt:lpstr>
      <vt:lpstr>'SCCA|0001-00'!AtZHealth</vt:lpstr>
      <vt:lpstr>'SCDA|0480-00'!AtZHealth</vt:lpstr>
      <vt:lpstr>AtZHealth</vt:lpstr>
      <vt:lpstr>'SCAA|0001-00'!AtZSalary</vt:lpstr>
      <vt:lpstr>'SCBA|0001-00'!AtZSalary</vt:lpstr>
      <vt:lpstr>'SCBA|0126-00'!AtZSalary</vt:lpstr>
      <vt:lpstr>'SCCA|0001-00'!AtZSalary</vt:lpstr>
      <vt:lpstr>'SCDA|0480-00'!AtZSalary</vt:lpstr>
      <vt:lpstr>AtZSalary</vt:lpstr>
      <vt:lpstr>'SCAA|0001-00'!AtZTotal</vt:lpstr>
      <vt:lpstr>'SCBA|0001-00'!AtZTotal</vt:lpstr>
      <vt:lpstr>'SCBA|0126-00'!AtZTotal</vt:lpstr>
      <vt:lpstr>'SCCA|0001-00'!AtZTotal</vt:lpstr>
      <vt:lpstr>'SCDA|0480-00'!AtZTotal</vt:lpstr>
      <vt:lpstr>AtZTotal</vt:lpstr>
      <vt:lpstr>'SCAA|0001-00'!AtZVarBen</vt:lpstr>
      <vt:lpstr>'SCBA|0001-00'!AtZVarBen</vt:lpstr>
      <vt:lpstr>'SCBA|0126-00'!AtZVarBen</vt:lpstr>
      <vt:lpstr>'SCCA|0001-00'!AtZVarBen</vt:lpstr>
      <vt:lpstr>'SCDA|0480-00'!AtZVarBen</vt:lpstr>
      <vt:lpstr>AtZVarBen</vt:lpstr>
      <vt:lpstr>'SCAA|0001-00'!BudgetUnit</vt:lpstr>
      <vt:lpstr>'SCBA|0001-00'!BudgetUnit</vt:lpstr>
      <vt:lpstr>'SCBA|0126-00'!BudgetUnit</vt:lpstr>
      <vt:lpstr>'SCCA|0001-00'!BudgetUnit</vt:lpstr>
      <vt:lpstr>'SCDA|0480-00'!BudgetUnit</vt:lpstr>
      <vt:lpstr>BudgetUnit</vt:lpstr>
      <vt:lpstr>BudgetYear</vt:lpstr>
      <vt:lpstr>CECGroup</vt:lpstr>
      <vt:lpstr>'SCAA|0001-00'!CECOrigElectSalary</vt:lpstr>
      <vt:lpstr>'SCBA|0001-00'!CECOrigElectSalary</vt:lpstr>
      <vt:lpstr>'SCBA|0126-00'!CECOrigElectSalary</vt:lpstr>
      <vt:lpstr>'SCCA|0001-00'!CECOrigElectSalary</vt:lpstr>
      <vt:lpstr>'SCDA|0480-00'!CECOrigElectSalary</vt:lpstr>
      <vt:lpstr>CECOrigElectSalary</vt:lpstr>
      <vt:lpstr>'SCAA|0001-00'!CECOrigElectVB</vt:lpstr>
      <vt:lpstr>'SCBA|0001-00'!CECOrigElectVB</vt:lpstr>
      <vt:lpstr>'SCBA|0126-00'!CECOrigElectVB</vt:lpstr>
      <vt:lpstr>'SCCA|0001-00'!CECOrigElectVB</vt:lpstr>
      <vt:lpstr>'SCDA|0480-00'!CECOrigElectVB</vt:lpstr>
      <vt:lpstr>CECOrigElectVB</vt:lpstr>
      <vt:lpstr>'SCAA|0001-00'!CECOrigGroupSalary</vt:lpstr>
      <vt:lpstr>'SCBA|0001-00'!CECOrigGroupSalary</vt:lpstr>
      <vt:lpstr>'SCBA|0126-00'!CECOrigGroupSalary</vt:lpstr>
      <vt:lpstr>'SCCA|0001-00'!CECOrigGroupSalary</vt:lpstr>
      <vt:lpstr>'SCDA|0480-00'!CECOrigGroupSalary</vt:lpstr>
      <vt:lpstr>CECOrigGroupSalary</vt:lpstr>
      <vt:lpstr>'SCAA|0001-00'!CECOrigGroupVB</vt:lpstr>
      <vt:lpstr>'SCBA|0001-00'!CECOrigGroupVB</vt:lpstr>
      <vt:lpstr>'SCBA|0126-00'!CECOrigGroupVB</vt:lpstr>
      <vt:lpstr>'SCCA|0001-00'!CECOrigGroupVB</vt:lpstr>
      <vt:lpstr>'SCDA|0480-00'!CECOrigGroupVB</vt:lpstr>
      <vt:lpstr>CECOrigGroupVB</vt:lpstr>
      <vt:lpstr>'SCAA|0001-00'!CECOrigPermSalary</vt:lpstr>
      <vt:lpstr>'SCBA|0001-00'!CECOrigPermSalary</vt:lpstr>
      <vt:lpstr>'SCBA|0126-00'!CECOrigPermSalary</vt:lpstr>
      <vt:lpstr>'SCCA|0001-00'!CECOrigPermSalary</vt:lpstr>
      <vt:lpstr>'SCDA|0480-00'!CECOrigPermSalary</vt:lpstr>
      <vt:lpstr>CECOrigPermSalary</vt:lpstr>
      <vt:lpstr>'SCAA|0001-00'!CECOrigPermVB</vt:lpstr>
      <vt:lpstr>'SCBA|0001-00'!CECOrigPermVB</vt:lpstr>
      <vt:lpstr>'SCBA|0126-00'!CECOrigPermVB</vt:lpstr>
      <vt:lpstr>'SCCA|0001-00'!CECOrigPermVB</vt:lpstr>
      <vt:lpstr>'SCDA|0480-00'!CECOrigPermVB</vt:lpstr>
      <vt:lpstr>CECOrigPermVB</vt:lpstr>
      <vt:lpstr>CECPerm</vt:lpstr>
      <vt:lpstr>'SCAA|0001-00'!CECpermCalc</vt:lpstr>
      <vt:lpstr>'SCBA|0001-00'!CECpermCalc</vt:lpstr>
      <vt:lpstr>'SCBA|0126-00'!CECpermCalc</vt:lpstr>
      <vt:lpstr>'SCCA|0001-00'!CECpermCalc</vt:lpstr>
      <vt:lpstr>'SCDA|0480-00'!CECpermCalc</vt:lpstr>
      <vt:lpstr>CECpermCalc</vt:lpstr>
      <vt:lpstr>'SCAA|0001-00'!Department</vt:lpstr>
      <vt:lpstr>'SCBA|0001-00'!Department</vt:lpstr>
      <vt:lpstr>'SCBA|0126-00'!Department</vt:lpstr>
      <vt:lpstr>'SCCA|0001-00'!Department</vt:lpstr>
      <vt:lpstr>'SCDA|0480-00'!Department</vt:lpstr>
      <vt:lpstr>Department</vt:lpstr>
      <vt:lpstr>DHR</vt:lpstr>
      <vt:lpstr>DHRBY</vt:lpstr>
      <vt:lpstr>DHRCHG</vt:lpstr>
      <vt:lpstr>'SCAA|0001-00'!Division</vt:lpstr>
      <vt:lpstr>'SCBA|0001-00'!Division</vt:lpstr>
      <vt:lpstr>'SCBA|0126-00'!Division</vt:lpstr>
      <vt:lpstr>'SCCA|0001-00'!Division</vt:lpstr>
      <vt:lpstr>'SCDA|0480-00'!Division</vt:lpstr>
      <vt:lpstr>Division</vt:lpstr>
      <vt:lpstr>'SCAA|0001-00'!DUCECElect</vt:lpstr>
      <vt:lpstr>'SCBA|0001-00'!DUCECElect</vt:lpstr>
      <vt:lpstr>'SCBA|0126-00'!DUCECElect</vt:lpstr>
      <vt:lpstr>'SCCA|0001-00'!DUCECElect</vt:lpstr>
      <vt:lpstr>'SCDA|0480-00'!DUCECElect</vt:lpstr>
      <vt:lpstr>DUCECElect</vt:lpstr>
      <vt:lpstr>'SCAA|0001-00'!DUCECGroup</vt:lpstr>
      <vt:lpstr>'SCBA|0001-00'!DUCECGroup</vt:lpstr>
      <vt:lpstr>'SCBA|0126-00'!DUCECGroup</vt:lpstr>
      <vt:lpstr>'SCCA|0001-00'!DUCECGroup</vt:lpstr>
      <vt:lpstr>'SCDA|0480-00'!DUCECGroup</vt:lpstr>
      <vt:lpstr>DUCECGroup</vt:lpstr>
      <vt:lpstr>'SCAA|0001-00'!DUCECPerm</vt:lpstr>
      <vt:lpstr>'SCBA|0001-00'!DUCECPerm</vt:lpstr>
      <vt:lpstr>'SCBA|0126-00'!DUCECPerm</vt:lpstr>
      <vt:lpstr>'SCCA|0001-00'!DUCECPerm</vt:lpstr>
      <vt:lpstr>'SCDA|0480-00'!DUCECPerm</vt:lpstr>
      <vt:lpstr>DUCECPerm</vt:lpstr>
      <vt:lpstr>'SCAA|0001-00'!DUEleven</vt:lpstr>
      <vt:lpstr>'SCBA|0001-00'!DUEleven</vt:lpstr>
      <vt:lpstr>'SCBA|0126-00'!DUEleven</vt:lpstr>
      <vt:lpstr>'SCCA|0001-00'!DUEleven</vt:lpstr>
      <vt:lpstr>'SCDA|0480-00'!DUEleven</vt:lpstr>
      <vt:lpstr>DUEleven</vt:lpstr>
      <vt:lpstr>'SCAA|0001-00'!DUHealthBen</vt:lpstr>
      <vt:lpstr>'SCBA|0001-00'!DUHealthBen</vt:lpstr>
      <vt:lpstr>'SCBA|0126-00'!DUHealthBen</vt:lpstr>
      <vt:lpstr>'SCCA|0001-00'!DUHealthBen</vt:lpstr>
      <vt:lpstr>'SCDA|0480-00'!DUHealthBen</vt:lpstr>
      <vt:lpstr>DUHealthBen</vt:lpstr>
      <vt:lpstr>'SCAA|0001-00'!DUNine</vt:lpstr>
      <vt:lpstr>'SCBA|0001-00'!DUNine</vt:lpstr>
      <vt:lpstr>'SCBA|0126-00'!DUNine</vt:lpstr>
      <vt:lpstr>'SCCA|0001-00'!DUNine</vt:lpstr>
      <vt:lpstr>'SCDA|0480-00'!DUNine</vt:lpstr>
      <vt:lpstr>DUNine</vt:lpstr>
      <vt:lpstr>'SCAA|0001-00'!DUThirteen</vt:lpstr>
      <vt:lpstr>'SCBA|0001-00'!DUThirteen</vt:lpstr>
      <vt:lpstr>'SCBA|0126-00'!DUThirteen</vt:lpstr>
      <vt:lpstr>'SCCA|0001-00'!DUThirteen</vt:lpstr>
      <vt:lpstr>'SCDA|0480-00'!DUThirteen</vt:lpstr>
      <vt:lpstr>DUThirteen</vt:lpstr>
      <vt:lpstr>'SCAA|0001-00'!DUVariableBen</vt:lpstr>
      <vt:lpstr>'SCBA|0001-00'!DUVariableBen</vt:lpstr>
      <vt:lpstr>'SCBA|0126-00'!DUVariableBen</vt:lpstr>
      <vt:lpstr>'SCCA|0001-00'!DUVariableBen</vt:lpstr>
      <vt:lpstr>'SCDA|0480-00'!DUVariableBen</vt:lpstr>
      <vt:lpstr>DUVariableBen</vt:lpstr>
      <vt:lpstr>'SCAA|0001-00'!Elect_chg_health</vt:lpstr>
      <vt:lpstr>'SCBA|0001-00'!Elect_chg_health</vt:lpstr>
      <vt:lpstr>'SCBA|0126-00'!Elect_chg_health</vt:lpstr>
      <vt:lpstr>'SCCA|0001-00'!Elect_chg_health</vt:lpstr>
      <vt:lpstr>'SCDA|0480-00'!Elect_chg_health</vt:lpstr>
      <vt:lpstr>Elect_chg_health</vt:lpstr>
      <vt:lpstr>'SCAA|0001-00'!Elect_chg_Var</vt:lpstr>
      <vt:lpstr>'SCBA|0001-00'!Elect_chg_Var</vt:lpstr>
      <vt:lpstr>'SCBA|0126-00'!Elect_chg_Var</vt:lpstr>
      <vt:lpstr>'SCCA|0001-00'!Elect_chg_Var</vt:lpstr>
      <vt:lpstr>'SCDA|0480-00'!Elect_chg_Var</vt:lpstr>
      <vt:lpstr>Elect_chg_Var</vt:lpstr>
      <vt:lpstr>'SCAA|0001-00'!elect_FTP</vt:lpstr>
      <vt:lpstr>'SCBA|0001-00'!elect_FTP</vt:lpstr>
      <vt:lpstr>'SCBA|0126-00'!elect_FTP</vt:lpstr>
      <vt:lpstr>'SCCA|0001-00'!elect_FTP</vt:lpstr>
      <vt:lpstr>'SCDA|0480-00'!elect_FTP</vt:lpstr>
      <vt:lpstr>elect_FTP</vt:lpstr>
      <vt:lpstr>'SCAA|0001-00'!Elect_health</vt:lpstr>
      <vt:lpstr>'SCBA|0001-00'!Elect_health</vt:lpstr>
      <vt:lpstr>'SCBA|0126-00'!Elect_health</vt:lpstr>
      <vt:lpstr>'SCCA|0001-00'!Elect_health</vt:lpstr>
      <vt:lpstr>'SCDA|0480-00'!Elect_health</vt:lpstr>
      <vt:lpstr>Elect_health</vt:lpstr>
      <vt:lpstr>'SCAA|0001-00'!Elect_name</vt:lpstr>
      <vt:lpstr>'SCBA|0001-00'!Elect_name</vt:lpstr>
      <vt:lpstr>'SCBA|0126-00'!Elect_name</vt:lpstr>
      <vt:lpstr>'SCCA|0001-00'!Elect_name</vt:lpstr>
      <vt:lpstr>'SCDA|0480-00'!Elect_name</vt:lpstr>
      <vt:lpstr>Elect_name</vt:lpstr>
      <vt:lpstr>'SCAA|0001-00'!Elect_salary</vt:lpstr>
      <vt:lpstr>'SCBA|0001-00'!Elect_salary</vt:lpstr>
      <vt:lpstr>'SCBA|0126-00'!Elect_salary</vt:lpstr>
      <vt:lpstr>'SCCA|0001-00'!Elect_salary</vt:lpstr>
      <vt:lpstr>'SCDA|0480-00'!Elect_salary</vt:lpstr>
      <vt:lpstr>Elect_salary</vt:lpstr>
      <vt:lpstr>'SCAA|0001-00'!Elect_Var</vt:lpstr>
      <vt:lpstr>'SCBA|0001-00'!Elect_Var</vt:lpstr>
      <vt:lpstr>'SCBA|0126-00'!Elect_Var</vt:lpstr>
      <vt:lpstr>'SCCA|0001-00'!Elect_Var</vt:lpstr>
      <vt:lpstr>'SCDA|0480-00'!Elect_Var</vt:lpstr>
      <vt:lpstr>Elect_Var</vt:lpstr>
      <vt:lpstr>'SCAA|0001-00'!Elect_VarBen</vt:lpstr>
      <vt:lpstr>'SCBA|0001-00'!Elect_VarBen</vt:lpstr>
      <vt:lpstr>'SCBA|0126-00'!Elect_VarBen</vt:lpstr>
      <vt:lpstr>'SCCA|0001-00'!Elect_VarBen</vt:lpstr>
      <vt:lpstr>'SCDA|0480-00'!Elect_VarBen</vt:lpstr>
      <vt:lpstr>Elect_VarBen</vt:lpstr>
      <vt:lpstr>ElectVB</vt:lpstr>
      <vt:lpstr>ElectVBBY</vt:lpstr>
      <vt:lpstr>ElectVBCHG</vt:lpstr>
      <vt:lpstr>FillRate_Avg</vt:lpstr>
      <vt:lpstr>'SCAA|0001-00'!FiscalYear</vt:lpstr>
      <vt:lpstr>'SCBA|0001-00'!FiscalYear</vt:lpstr>
      <vt:lpstr>'SCBA|0126-00'!FiscalYear</vt:lpstr>
      <vt:lpstr>'SCCA|0001-00'!FiscalYear</vt:lpstr>
      <vt:lpstr>'SCDA|0480-00'!FiscalYear</vt:lpstr>
      <vt:lpstr>FiscalYear</vt:lpstr>
      <vt:lpstr>'SCAA|0001-00'!FundName</vt:lpstr>
      <vt:lpstr>'SCBA|0001-00'!FundName</vt:lpstr>
      <vt:lpstr>'SCBA|0126-00'!FundName</vt:lpstr>
      <vt:lpstr>'SCCA|0001-00'!FundName</vt:lpstr>
      <vt:lpstr>'SCDA|0480-00'!FundName</vt:lpstr>
      <vt:lpstr>FundName</vt:lpstr>
      <vt:lpstr>'SCAA|0001-00'!FundNum</vt:lpstr>
      <vt:lpstr>'SCBA|0001-00'!FundNum</vt:lpstr>
      <vt:lpstr>'SCBA|0126-00'!FundNum</vt:lpstr>
      <vt:lpstr>'SCCA|0001-00'!FundNum</vt:lpstr>
      <vt:lpstr>'SCDA|0480-00'!FundNum</vt:lpstr>
      <vt:lpstr>FundNum</vt:lpstr>
      <vt:lpstr>'SCAA|0001-00'!FundNumber</vt:lpstr>
      <vt:lpstr>'SCBA|0001-00'!FundNumber</vt:lpstr>
      <vt:lpstr>'SCBA|0126-00'!FundNumber</vt:lpstr>
      <vt:lpstr>'SCCA|0001-00'!FundNumber</vt:lpstr>
      <vt:lpstr>'SCDA|0480-00'!FundNumber</vt:lpstr>
      <vt:lpstr>FundNumber</vt:lpstr>
      <vt:lpstr>FundSummaryEst</vt:lpstr>
      <vt:lpstr>FundSummaryLastColumn</vt:lpstr>
      <vt:lpstr>FundSummaryPermActual</vt:lpstr>
      <vt:lpstr>FundSummaryPermBY</vt:lpstr>
      <vt:lpstr>FundSummaryPermCY</vt:lpstr>
      <vt:lpstr>FundSummaryProj</vt:lpstr>
      <vt:lpstr>FundSummaryStartData</vt:lpstr>
      <vt:lpstr>'SCAA|0001-00'!Group_name</vt:lpstr>
      <vt:lpstr>'SCBA|0001-00'!Group_name</vt:lpstr>
      <vt:lpstr>'SCBA|0126-00'!Group_name</vt:lpstr>
      <vt:lpstr>'SCCA|0001-00'!Group_name</vt:lpstr>
      <vt:lpstr>'SCDA|0480-00'!Group_name</vt:lpstr>
      <vt:lpstr>Group_name</vt:lpstr>
      <vt:lpstr>'SCAA|0001-00'!GroupFxdBen</vt:lpstr>
      <vt:lpstr>'SCBA|0001-00'!GroupFxdBen</vt:lpstr>
      <vt:lpstr>'SCBA|0126-00'!GroupFxdBen</vt:lpstr>
      <vt:lpstr>'SCCA|0001-00'!GroupFxdBen</vt:lpstr>
      <vt:lpstr>'SCDA|0480-00'!GroupFxdBen</vt:lpstr>
      <vt:lpstr>GroupFxdBen</vt:lpstr>
      <vt:lpstr>'SCAA|0001-00'!GroupSalary</vt:lpstr>
      <vt:lpstr>'SCBA|0001-00'!GroupSalary</vt:lpstr>
      <vt:lpstr>'SCBA|0126-00'!GroupSalary</vt:lpstr>
      <vt:lpstr>'SCCA|0001-00'!GroupSalary</vt:lpstr>
      <vt:lpstr>'SCDA|0480-00'!GroupSalary</vt:lpstr>
      <vt:lpstr>GroupSalary</vt:lpstr>
      <vt:lpstr>'SCAA|0001-00'!GroupVarBen</vt:lpstr>
      <vt:lpstr>'SCBA|0001-00'!GroupVarBen</vt:lpstr>
      <vt:lpstr>'SCBA|0126-00'!GroupVarBen</vt:lpstr>
      <vt:lpstr>'SCCA|0001-00'!GroupVarBen</vt:lpstr>
      <vt:lpstr>'SCDA|0480-00'!GroupVarBen</vt:lpstr>
      <vt:lpstr>GroupVarBen</vt:lpstr>
      <vt:lpstr>GroupVB</vt:lpstr>
      <vt:lpstr>GroupVBBY</vt:lpstr>
      <vt:lpstr>GroupVBCHG</vt:lpstr>
      <vt:lpstr>Health</vt:lpstr>
      <vt:lpstr>HealthBY</vt:lpstr>
      <vt:lpstr>HealthCHG</vt:lpstr>
      <vt:lpstr>Life</vt:lpstr>
      <vt:lpstr>LifeBY</vt:lpstr>
      <vt:lpstr>LifeCHG</vt:lpstr>
      <vt:lpstr>'SCAA|0001-00'!LUMAFund</vt:lpstr>
      <vt:lpstr>'SCBA|0001-00'!LUMAFund</vt:lpstr>
      <vt:lpstr>'SCBA|0126-00'!LUMAFund</vt:lpstr>
      <vt:lpstr>'SCCA|0001-00'!LUMAFund</vt:lpstr>
      <vt:lpstr>'SCDA|0480-00'!LUMAFund</vt:lpstr>
      <vt:lpstr>LUMAFund</vt:lpstr>
      <vt:lpstr>MAXSSDI</vt:lpstr>
      <vt:lpstr>MAXSSDIBY</vt:lpstr>
      <vt:lpstr>'SCAA|0001-00'!NEW_AdjGroup</vt:lpstr>
      <vt:lpstr>'SCBA|0001-00'!NEW_AdjGroup</vt:lpstr>
      <vt:lpstr>'SCBA|0126-00'!NEW_AdjGroup</vt:lpstr>
      <vt:lpstr>'SCCA|0001-00'!NEW_AdjGroup</vt:lpstr>
      <vt:lpstr>'SCDA|0480-00'!NEW_AdjGroup</vt:lpstr>
      <vt:lpstr>NEW_AdjGroup</vt:lpstr>
      <vt:lpstr>'SCAA|0001-00'!NEW_AdjGroupSalary</vt:lpstr>
      <vt:lpstr>'SCBA|0001-00'!NEW_AdjGroupSalary</vt:lpstr>
      <vt:lpstr>'SCBA|0126-00'!NEW_AdjGroupSalary</vt:lpstr>
      <vt:lpstr>'SCCA|0001-00'!NEW_AdjGroupSalary</vt:lpstr>
      <vt:lpstr>'SCDA|0480-00'!NEW_AdjGroupSalary</vt:lpstr>
      <vt:lpstr>NEW_AdjGroupSalary</vt:lpstr>
      <vt:lpstr>'SCAA|0001-00'!NEW_AdjGroupVB</vt:lpstr>
      <vt:lpstr>'SCBA|0001-00'!NEW_AdjGroupVB</vt:lpstr>
      <vt:lpstr>'SCBA|0126-00'!NEW_AdjGroupVB</vt:lpstr>
      <vt:lpstr>'SCCA|0001-00'!NEW_AdjGroupVB</vt:lpstr>
      <vt:lpstr>'SCDA|0480-00'!NEW_AdjGroupVB</vt:lpstr>
      <vt:lpstr>NEW_AdjGroupVB</vt:lpstr>
      <vt:lpstr>'SCAA|0001-00'!NEW_AdjONLYGroup</vt:lpstr>
      <vt:lpstr>'SCBA|0001-00'!NEW_AdjONLYGroup</vt:lpstr>
      <vt:lpstr>'SCBA|0126-00'!NEW_AdjONLYGroup</vt:lpstr>
      <vt:lpstr>'SCCA|0001-00'!NEW_AdjONLYGroup</vt:lpstr>
      <vt:lpstr>'SCDA|0480-00'!NEW_AdjONLYGroup</vt:lpstr>
      <vt:lpstr>NEW_AdjONLYGroup</vt:lpstr>
      <vt:lpstr>'SCAA|0001-00'!NEW_AdjONLYGroupSalary</vt:lpstr>
      <vt:lpstr>'SCBA|0001-00'!NEW_AdjONLYGroupSalary</vt:lpstr>
      <vt:lpstr>'SCBA|0126-00'!NEW_AdjONLYGroupSalary</vt:lpstr>
      <vt:lpstr>'SCCA|0001-00'!NEW_AdjONLYGroupSalary</vt:lpstr>
      <vt:lpstr>'SCDA|0480-00'!NEW_AdjONLYGroupSalary</vt:lpstr>
      <vt:lpstr>NEW_AdjONLYGroupSalary</vt:lpstr>
      <vt:lpstr>'SCAA|0001-00'!NEW_AdjONLYGroupVB</vt:lpstr>
      <vt:lpstr>'SCBA|0001-00'!NEW_AdjONLYGroupVB</vt:lpstr>
      <vt:lpstr>'SCBA|0126-00'!NEW_AdjONLYGroupVB</vt:lpstr>
      <vt:lpstr>'SCCA|0001-00'!NEW_AdjONLYGroupVB</vt:lpstr>
      <vt:lpstr>'SCDA|0480-00'!NEW_AdjONLYGroupVB</vt:lpstr>
      <vt:lpstr>NEW_AdjONLYGroupVB</vt:lpstr>
      <vt:lpstr>'SCAA|0001-00'!NEW_AdjONLYPerm</vt:lpstr>
      <vt:lpstr>'SCBA|0001-00'!NEW_AdjONLYPerm</vt:lpstr>
      <vt:lpstr>'SCBA|0126-00'!NEW_AdjONLYPerm</vt:lpstr>
      <vt:lpstr>'SCCA|0001-00'!NEW_AdjONLYPerm</vt:lpstr>
      <vt:lpstr>'SCDA|0480-00'!NEW_AdjONLYPerm</vt:lpstr>
      <vt:lpstr>NEW_AdjONLYPerm</vt:lpstr>
      <vt:lpstr>'SCAA|0001-00'!NEW_AdjONLYPermSalary</vt:lpstr>
      <vt:lpstr>'SCBA|0001-00'!NEW_AdjONLYPermSalary</vt:lpstr>
      <vt:lpstr>'SCBA|0126-00'!NEW_AdjONLYPermSalary</vt:lpstr>
      <vt:lpstr>'SCCA|0001-00'!NEW_AdjONLYPermSalary</vt:lpstr>
      <vt:lpstr>'SCDA|0480-00'!NEW_AdjONLYPermSalary</vt:lpstr>
      <vt:lpstr>NEW_AdjONLYPermSalary</vt:lpstr>
      <vt:lpstr>'SCAA|0001-00'!NEW_AdjONLYPermVB</vt:lpstr>
      <vt:lpstr>'SCBA|0001-00'!NEW_AdjONLYPermVB</vt:lpstr>
      <vt:lpstr>'SCBA|0126-00'!NEW_AdjONLYPermVB</vt:lpstr>
      <vt:lpstr>'SCCA|0001-00'!NEW_AdjONLYPermVB</vt:lpstr>
      <vt:lpstr>'SCDA|0480-00'!NEW_AdjONLYPermVB</vt:lpstr>
      <vt:lpstr>NEW_AdjONLYPermVB</vt:lpstr>
      <vt:lpstr>'SCAA|0001-00'!NEW_AdjPerm</vt:lpstr>
      <vt:lpstr>'SCBA|0001-00'!NEW_AdjPerm</vt:lpstr>
      <vt:lpstr>'SCBA|0126-00'!NEW_AdjPerm</vt:lpstr>
      <vt:lpstr>'SCCA|0001-00'!NEW_AdjPerm</vt:lpstr>
      <vt:lpstr>'SCDA|0480-00'!NEW_AdjPerm</vt:lpstr>
      <vt:lpstr>NEW_AdjPerm</vt:lpstr>
      <vt:lpstr>'SCAA|0001-00'!NEW_AdjPermSalary</vt:lpstr>
      <vt:lpstr>'SCBA|0001-00'!NEW_AdjPermSalary</vt:lpstr>
      <vt:lpstr>'SCBA|0126-00'!NEW_AdjPermSalary</vt:lpstr>
      <vt:lpstr>'SCCA|0001-00'!NEW_AdjPermSalary</vt:lpstr>
      <vt:lpstr>'SCDA|0480-00'!NEW_AdjPermSalary</vt:lpstr>
      <vt:lpstr>NEW_AdjPermSalary</vt:lpstr>
      <vt:lpstr>'SCAA|0001-00'!NEW_AdjPermVB</vt:lpstr>
      <vt:lpstr>'SCBA|0001-00'!NEW_AdjPermVB</vt:lpstr>
      <vt:lpstr>'SCBA|0126-00'!NEW_AdjPermVB</vt:lpstr>
      <vt:lpstr>'SCCA|0001-00'!NEW_AdjPermVB</vt:lpstr>
      <vt:lpstr>'SCDA|0480-00'!NEW_AdjPermVB</vt:lpstr>
      <vt:lpstr>NEW_AdjPermVB</vt:lpstr>
      <vt:lpstr>'SCAA|0001-00'!NEW_GroupFilled</vt:lpstr>
      <vt:lpstr>'SCBA|0001-00'!NEW_GroupFilled</vt:lpstr>
      <vt:lpstr>'SCBA|0126-00'!NEW_GroupFilled</vt:lpstr>
      <vt:lpstr>'SCCA|0001-00'!NEW_GroupFilled</vt:lpstr>
      <vt:lpstr>'SCDA|0480-00'!NEW_GroupFilled</vt:lpstr>
      <vt:lpstr>NEW_GroupFilled</vt:lpstr>
      <vt:lpstr>'SCAA|0001-00'!NEW_GroupSalaryFilled</vt:lpstr>
      <vt:lpstr>'SCBA|0001-00'!NEW_GroupSalaryFilled</vt:lpstr>
      <vt:lpstr>'SCBA|0126-00'!NEW_GroupSalaryFilled</vt:lpstr>
      <vt:lpstr>'SCCA|0001-00'!NEW_GroupSalaryFilled</vt:lpstr>
      <vt:lpstr>'SCDA|0480-00'!NEW_GroupSalaryFilled</vt:lpstr>
      <vt:lpstr>NEW_GroupSalaryFilled</vt:lpstr>
      <vt:lpstr>'SCAA|0001-00'!NEW_GroupVBFilled</vt:lpstr>
      <vt:lpstr>'SCBA|0001-00'!NEW_GroupVBFilled</vt:lpstr>
      <vt:lpstr>'SCBA|0126-00'!NEW_GroupVBFilled</vt:lpstr>
      <vt:lpstr>'SCCA|0001-00'!NEW_GroupVBFilled</vt:lpstr>
      <vt:lpstr>'SCDA|0480-00'!NEW_GroupVBFilled</vt:lpstr>
      <vt:lpstr>NEW_GroupVBFilled</vt:lpstr>
      <vt:lpstr>'SCAA|0001-00'!NEW_PermFilled</vt:lpstr>
      <vt:lpstr>'SCBA|0001-00'!NEW_PermFilled</vt:lpstr>
      <vt:lpstr>'SCBA|0126-00'!NEW_PermFilled</vt:lpstr>
      <vt:lpstr>'SCCA|0001-00'!NEW_PermFilled</vt:lpstr>
      <vt:lpstr>'SCDA|0480-00'!NEW_PermFilled</vt:lpstr>
      <vt:lpstr>NEW_PermFilled</vt:lpstr>
      <vt:lpstr>'SCAA|0001-00'!NEW_PermSalaryFilled</vt:lpstr>
      <vt:lpstr>'SCBA|0001-00'!NEW_PermSalaryFilled</vt:lpstr>
      <vt:lpstr>'SCBA|0126-00'!NEW_PermSalaryFilled</vt:lpstr>
      <vt:lpstr>'SCCA|0001-00'!NEW_PermSalaryFilled</vt:lpstr>
      <vt:lpstr>'SCDA|0480-00'!NEW_PermSalaryFilled</vt:lpstr>
      <vt:lpstr>NEW_PermSalaryFilled</vt:lpstr>
      <vt:lpstr>'SCAA|0001-00'!NEW_PermVBFilled</vt:lpstr>
      <vt:lpstr>'SCBA|0001-00'!NEW_PermVBFilled</vt:lpstr>
      <vt:lpstr>'SCBA|0126-00'!NEW_PermVBFilled</vt:lpstr>
      <vt:lpstr>'SCCA|0001-00'!NEW_PermVBFilled</vt:lpstr>
      <vt:lpstr>'SCDA|0480-00'!NEW_PermVBFilled</vt:lpstr>
      <vt:lpstr>NEW_PermVBFilled</vt:lpstr>
      <vt:lpstr>'SCAA|0001-00'!OneTimePC_Total</vt:lpstr>
      <vt:lpstr>'SCBA|0001-00'!OneTimePC_Total</vt:lpstr>
      <vt:lpstr>'SCBA|0126-00'!OneTimePC_Total</vt:lpstr>
      <vt:lpstr>'SCCA|0001-00'!OneTimePC_Total</vt:lpstr>
      <vt:lpstr>'SCDA|0480-00'!OneTimePC_Total</vt:lpstr>
      <vt:lpstr>OneTimePC_Total</vt:lpstr>
      <vt:lpstr>'SCAA|0001-00'!OrigApprop</vt:lpstr>
      <vt:lpstr>'SCBA|0001-00'!OrigApprop</vt:lpstr>
      <vt:lpstr>'SCBA|0126-00'!OrigApprop</vt:lpstr>
      <vt:lpstr>'SCCA|0001-00'!OrigApprop</vt:lpstr>
      <vt:lpstr>'SCDA|0480-00'!OrigApprop</vt:lpstr>
      <vt:lpstr>OrigApprop</vt:lpstr>
      <vt:lpstr>'SCAA|0001-00'!perm_name</vt:lpstr>
      <vt:lpstr>'SCBA|0001-00'!perm_name</vt:lpstr>
      <vt:lpstr>'SCBA|0126-00'!perm_name</vt:lpstr>
      <vt:lpstr>'SCCA|0001-00'!perm_name</vt:lpstr>
      <vt:lpstr>'SCDA|0480-00'!perm_name</vt:lpstr>
      <vt:lpstr>perm_name</vt:lpstr>
      <vt:lpstr>'SCAA|0001-00'!PermFTP</vt:lpstr>
      <vt:lpstr>'SCBA|0001-00'!PermFTP</vt:lpstr>
      <vt:lpstr>'SCBA|0126-00'!PermFTP</vt:lpstr>
      <vt:lpstr>'SCCA|0001-00'!PermFTP</vt:lpstr>
      <vt:lpstr>'SCDA|0480-00'!PermFTP</vt:lpstr>
      <vt:lpstr>PermFTP</vt:lpstr>
      <vt:lpstr>'SCAA|0001-00'!PermFxdBen</vt:lpstr>
      <vt:lpstr>'SCBA|0001-00'!PermFxdBen</vt:lpstr>
      <vt:lpstr>'SCBA|0126-00'!PermFxdBen</vt:lpstr>
      <vt:lpstr>'SCCA|0001-00'!PermFxdBen</vt:lpstr>
      <vt:lpstr>'SCDA|0480-00'!PermFxdBen</vt:lpstr>
      <vt:lpstr>PermFxdBen</vt:lpstr>
      <vt:lpstr>'SCAA|0001-00'!PermFxdBenChg</vt:lpstr>
      <vt:lpstr>'SCBA|0001-00'!PermFxdBenChg</vt:lpstr>
      <vt:lpstr>'SCBA|0126-00'!PermFxdBenChg</vt:lpstr>
      <vt:lpstr>'SCCA|0001-00'!PermFxdBenChg</vt:lpstr>
      <vt:lpstr>'SCDA|0480-00'!PermFxdBenChg</vt:lpstr>
      <vt:lpstr>PermFxdBenChg</vt:lpstr>
      <vt:lpstr>'SCAA|0001-00'!PermFxdChg</vt:lpstr>
      <vt:lpstr>'SCBA|0001-00'!PermFxdChg</vt:lpstr>
      <vt:lpstr>'SCBA|0126-00'!PermFxdChg</vt:lpstr>
      <vt:lpstr>'SCCA|0001-00'!PermFxdChg</vt:lpstr>
      <vt:lpstr>'SCDA|0480-00'!PermFxdChg</vt:lpstr>
      <vt:lpstr>PermFxdChg</vt:lpstr>
      <vt:lpstr>'SCAA|0001-00'!PermSalary</vt:lpstr>
      <vt:lpstr>'SCBA|0001-00'!PermSalary</vt:lpstr>
      <vt:lpstr>'SCBA|0126-00'!PermSalary</vt:lpstr>
      <vt:lpstr>'SCCA|0001-00'!PermSalary</vt:lpstr>
      <vt:lpstr>'SCDA|0480-00'!PermSalary</vt:lpstr>
      <vt:lpstr>PermSalary</vt:lpstr>
      <vt:lpstr>'SCAA|0001-00'!PermVarBen</vt:lpstr>
      <vt:lpstr>'SCBA|0001-00'!PermVarBen</vt:lpstr>
      <vt:lpstr>'SCBA|0126-00'!PermVarBen</vt:lpstr>
      <vt:lpstr>'SCCA|0001-00'!PermVarBen</vt:lpstr>
      <vt:lpstr>'SCDA|0480-00'!PermVarBen</vt:lpstr>
      <vt:lpstr>PermVarBen</vt:lpstr>
      <vt:lpstr>'SCAA|0001-00'!PermVarBenChg</vt:lpstr>
      <vt:lpstr>'SCBA|0001-00'!PermVarBenChg</vt:lpstr>
      <vt:lpstr>'SCBA|0126-00'!PermVarBenChg</vt:lpstr>
      <vt:lpstr>'SCCA|0001-00'!PermVarBenChg</vt:lpstr>
      <vt:lpstr>'SCDA|0480-00'!PermVarBenChg</vt:lpstr>
      <vt:lpstr>PermVarBenChg</vt:lpstr>
      <vt:lpstr>PermVB</vt:lpstr>
      <vt:lpstr>PermVBBY</vt:lpstr>
      <vt:lpstr>PermVBCHG</vt:lpstr>
      <vt:lpstr>'B6'!Print_Area</vt:lpstr>
      <vt:lpstr>Benefits!Print_Area</vt:lpstr>
      <vt:lpstr>'SCAA|0001-00'!Print_Area</vt:lpstr>
      <vt:lpstr>'SCBA|0001-00'!Print_Area</vt:lpstr>
      <vt:lpstr>'SCBA|0126-00'!Print_Area</vt:lpstr>
      <vt:lpstr>'SCCA|0001-00'!Print_Area</vt:lpstr>
      <vt:lpstr>'SCDA|0480-00'!Print_Area</vt:lpstr>
      <vt:lpstr>'SCAA|0001-00'!Prog_Unadjusted_Total</vt:lpstr>
      <vt:lpstr>'SCBA|0001-00'!Prog_Unadjusted_Total</vt:lpstr>
      <vt:lpstr>'SCBA|0126-00'!Prog_Unadjusted_Total</vt:lpstr>
      <vt:lpstr>'SCCA|0001-00'!Prog_Unadjusted_Total</vt:lpstr>
      <vt:lpstr>'SCDA|0480-00'!Prog_Unadjusted_Total</vt:lpstr>
      <vt:lpstr>Prog_Unadjusted_Total</vt:lpstr>
      <vt:lpstr>'SCAA|0001-00'!Program</vt:lpstr>
      <vt:lpstr>'SCBA|0001-00'!Program</vt:lpstr>
      <vt:lpstr>'SCBA|0126-00'!Program</vt:lpstr>
      <vt:lpstr>'SCCA|0001-00'!Program</vt:lpstr>
      <vt:lpstr>'SCDA|0480-00'!Program</vt:lpstr>
      <vt:lpstr>Program</vt:lpstr>
      <vt:lpstr>PTHealth</vt:lpstr>
      <vt:lpstr>PTHealthBY</vt:lpstr>
      <vt:lpstr>PTHealthChg</vt:lpstr>
      <vt:lpstr>Retire1</vt:lpstr>
      <vt:lpstr>Retire1BY</vt:lpstr>
      <vt:lpstr>Retire1CHG</vt:lpstr>
      <vt:lpstr>Retire2</vt:lpstr>
      <vt:lpstr>Retire2BY</vt:lpstr>
      <vt:lpstr>Retire2CHG</vt:lpstr>
      <vt:lpstr>Retire4</vt:lpstr>
      <vt:lpstr>Retire4BY</vt:lpstr>
      <vt:lpstr>Retire4CHG</vt:lpstr>
      <vt:lpstr>Retire5</vt:lpstr>
      <vt:lpstr>Retire5BY</vt:lpstr>
      <vt:lpstr>Retire5CHG</vt:lpstr>
      <vt:lpstr>Retire6</vt:lpstr>
      <vt:lpstr>Retire6BY</vt:lpstr>
      <vt:lpstr>Retire6CHG</vt:lpstr>
      <vt:lpstr>Retire7</vt:lpstr>
      <vt:lpstr>Retire7BY</vt:lpstr>
      <vt:lpstr>Retire7CHG</vt:lpstr>
      <vt:lpstr>Retire8</vt:lpstr>
      <vt:lpstr>Retire8BY</vt:lpstr>
      <vt:lpstr>Retire8CHG</vt:lpstr>
      <vt:lpstr>Retirement_Rates</vt:lpstr>
      <vt:lpstr>'SCAA|0001-00'!RoundedAppropSalary</vt:lpstr>
      <vt:lpstr>'SCBA|0001-00'!RoundedAppropSalary</vt:lpstr>
      <vt:lpstr>'SCBA|0126-00'!RoundedAppropSalary</vt:lpstr>
      <vt:lpstr>'SCCA|0001-00'!RoundedAppropSalary</vt:lpstr>
      <vt:lpstr>'SCDA|0480-00'!RoundedAppropSalary</vt:lpstr>
      <vt:lpstr>RoundedAppropSalary</vt:lpstr>
      <vt:lpstr>'SCAA|0001-00'!SalaryChg</vt:lpstr>
      <vt:lpstr>'SCBA|0001-00'!SalaryChg</vt:lpstr>
      <vt:lpstr>'SCBA|0126-00'!SalaryChg</vt:lpstr>
      <vt:lpstr>'SCCA|0001-00'!SalaryChg</vt:lpstr>
      <vt:lpstr>'SCDA|0480-00'!SalaryChg</vt:lpstr>
      <vt:lpstr>SalaryChg</vt:lpstr>
      <vt:lpstr>SCAA000100col_1_27TH_PP</vt:lpstr>
      <vt:lpstr>SCAA000100col_DHR</vt:lpstr>
      <vt:lpstr>SCAA000100col_DHR_BY</vt:lpstr>
      <vt:lpstr>SCAA000100col_DHR_CHG</vt:lpstr>
      <vt:lpstr>SCAA000100col_FTI_SALARY_ELECT</vt:lpstr>
      <vt:lpstr>SCAA000100col_FTI_SALARY_PERM</vt:lpstr>
      <vt:lpstr>SCAA000100col_FTI_SALARY_SSDI</vt:lpstr>
      <vt:lpstr>SCAA000100col_Group_Ben</vt:lpstr>
      <vt:lpstr>SCAA000100col_Group_Salary</vt:lpstr>
      <vt:lpstr>SCAA000100col_HEALTH_ELECT</vt:lpstr>
      <vt:lpstr>SCAA000100col_HEALTH_ELECT_BY</vt:lpstr>
      <vt:lpstr>SCAA000100col_HEALTH_ELECT_CHG</vt:lpstr>
      <vt:lpstr>SCAA000100col_HEALTH_PERM</vt:lpstr>
      <vt:lpstr>SCAA000100col_HEALTH_PERM_BY</vt:lpstr>
      <vt:lpstr>SCAA000100col_HEALTH_PERM_CHG</vt:lpstr>
      <vt:lpstr>SCAA000100col_INC_FTI</vt:lpstr>
      <vt:lpstr>SCAA000100col_LIFE_INS</vt:lpstr>
      <vt:lpstr>SCAA000100col_LIFE_INS_BY</vt:lpstr>
      <vt:lpstr>SCAA000100col_LIFE_INS_CHG</vt:lpstr>
      <vt:lpstr>SCAA000100col_RETIREMENT</vt:lpstr>
      <vt:lpstr>SCAA000100col_RETIREMENT_BY</vt:lpstr>
      <vt:lpstr>SCAA000100col_RETIREMENT_CHG</vt:lpstr>
      <vt:lpstr>SCAA000100col_ROWS_PER_PCN</vt:lpstr>
      <vt:lpstr>SCAA000100col_SICK</vt:lpstr>
      <vt:lpstr>SCAA000100col_SICK_BY</vt:lpstr>
      <vt:lpstr>SCAA000100col_SICK_CHG</vt:lpstr>
      <vt:lpstr>SCAA000100col_SSDI</vt:lpstr>
      <vt:lpstr>SCAA000100col_SSDI_BY</vt:lpstr>
      <vt:lpstr>SCAA000100col_SSDI_CHG</vt:lpstr>
      <vt:lpstr>SCAA000100col_SSHI</vt:lpstr>
      <vt:lpstr>SCAA000100col_SSHI_BY</vt:lpstr>
      <vt:lpstr>SCAA000100col_SSHI_CHGv</vt:lpstr>
      <vt:lpstr>SCAA000100col_TOT_VB_ELECT</vt:lpstr>
      <vt:lpstr>SCAA000100col_TOT_VB_ELECT_BY</vt:lpstr>
      <vt:lpstr>SCAA000100col_TOT_VB_ELECT_CHG</vt:lpstr>
      <vt:lpstr>SCAA000100col_TOT_VB_PERM</vt:lpstr>
      <vt:lpstr>SCAA000100col_TOT_VB_PERM_BY</vt:lpstr>
      <vt:lpstr>SCAA000100col_TOT_VB_PERM_CHG</vt:lpstr>
      <vt:lpstr>SCAA000100col_TOTAL_ELECT_PCN_FTI</vt:lpstr>
      <vt:lpstr>SCAA000100col_TOTAL_ELECT_PCN_FTI_ALT</vt:lpstr>
      <vt:lpstr>SCAA000100col_TOTAL_PERM_PCN_FTI</vt:lpstr>
      <vt:lpstr>SCAA000100col_UNEMP_INS</vt:lpstr>
      <vt:lpstr>SCAA000100col_UNEMP_INS_BY</vt:lpstr>
      <vt:lpstr>SCAA000100col_UNEMP_INS_CHG</vt:lpstr>
      <vt:lpstr>SCAA000100col_WORKERS_COMP</vt:lpstr>
      <vt:lpstr>SCAA000100col_WORKERS_COMP_BY</vt:lpstr>
      <vt:lpstr>SCAA000100col_WORKERS_COMP_CHG</vt:lpstr>
      <vt:lpstr>SCBA000100col_1_27TH_PP</vt:lpstr>
      <vt:lpstr>SCBA000100col_DHR</vt:lpstr>
      <vt:lpstr>SCBA000100col_DHR_BY</vt:lpstr>
      <vt:lpstr>SCBA000100col_DHR_CHG</vt:lpstr>
      <vt:lpstr>SCBA000100col_FTI_SALARY_ELECT</vt:lpstr>
      <vt:lpstr>SCBA000100col_FTI_SALARY_PERM</vt:lpstr>
      <vt:lpstr>SCBA000100col_FTI_SALARY_SSDI</vt:lpstr>
      <vt:lpstr>SCBA000100col_Group_Ben</vt:lpstr>
      <vt:lpstr>SCBA000100col_Group_Salary</vt:lpstr>
      <vt:lpstr>SCBA000100col_HEALTH_ELECT</vt:lpstr>
      <vt:lpstr>SCBA000100col_HEALTH_ELECT_BY</vt:lpstr>
      <vt:lpstr>SCBA000100col_HEALTH_ELECT_CHG</vt:lpstr>
      <vt:lpstr>SCBA000100col_HEALTH_PERM</vt:lpstr>
      <vt:lpstr>SCBA000100col_HEALTH_PERM_BY</vt:lpstr>
      <vt:lpstr>SCBA000100col_HEALTH_PERM_CHG</vt:lpstr>
      <vt:lpstr>SCBA000100col_INC_FTI</vt:lpstr>
      <vt:lpstr>SCBA000100col_LIFE_INS</vt:lpstr>
      <vt:lpstr>SCBA000100col_LIFE_INS_BY</vt:lpstr>
      <vt:lpstr>SCBA000100col_LIFE_INS_CHG</vt:lpstr>
      <vt:lpstr>SCBA000100col_RETIREMENT</vt:lpstr>
      <vt:lpstr>SCBA000100col_RETIREMENT_BY</vt:lpstr>
      <vt:lpstr>SCBA000100col_RETIREMENT_CHG</vt:lpstr>
      <vt:lpstr>SCBA000100col_ROWS_PER_PCN</vt:lpstr>
      <vt:lpstr>SCBA000100col_SICK</vt:lpstr>
      <vt:lpstr>SCBA000100col_SICK_BY</vt:lpstr>
      <vt:lpstr>SCBA000100col_SICK_CHG</vt:lpstr>
      <vt:lpstr>SCBA000100col_SSDI</vt:lpstr>
      <vt:lpstr>SCBA000100col_SSDI_BY</vt:lpstr>
      <vt:lpstr>SCBA000100col_SSDI_CHG</vt:lpstr>
      <vt:lpstr>SCBA000100col_SSHI</vt:lpstr>
      <vt:lpstr>SCBA000100col_SSHI_BY</vt:lpstr>
      <vt:lpstr>SCBA000100col_SSHI_CHGv</vt:lpstr>
      <vt:lpstr>SCBA000100col_TOT_VB_ELECT</vt:lpstr>
      <vt:lpstr>SCBA000100col_TOT_VB_ELECT_BY</vt:lpstr>
      <vt:lpstr>SCBA000100col_TOT_VB_ELECT_CHG</vt:lpstr>
      <vt:lpstr>SCBA000100col_TOT_VB_PERM</vt:lpstr>
      <vt:lpstr>SCBA000100col_TOT_VB_PERM_BY</vt:lpstr>
      <vt:lpstr>SCBA000100col_TOT_VB_PERM_CHG</vt:lpstr>
      <vt:lpstr>SCBA000100col_TOTAL_ELECT_PCN_FTI</vt:lpstr>
      <vt:lpstr>SCBA000100col_TOTAL_ELECT_PCN_FTI_ALT</vt:lpstr>
      <vt:lpstr>SCBA000100col_TOTAL_PERM_PCN_FTI</vt:lpstr>
      <vt:lpstr>SCBA000100col_UNEMP_INS</vt:lpstr>
      <vt:lpstr>SCBA000100col_UNEMP_INS_BY</vt:lpstr>
      <vt:lpstr>SCBA000100col_UNEMP_INS_CHG</vt:lpstr>
      <vt:lpstr>SCBA000100col_WORKERS_COMP</vt:lpstr>
      <vt:lpstr>SCBA000100col_WORKERS_COMP_BY</vt:lpstr>
      <vt:lpstr>SCBA000100col_WORKERS_COMP_CHG</vt:lpstr>
      <vt:lpstr>SCBA012600col_1_27TH_PP</vt:lpstr>
      <vt:lpstr>SCBA012600col_DHR</vt:lpstr>
      <vt:lpstr>SCBA012600col_DHR_BY</vt:lpstr>
      <vt:lpstr>SCBA012600col_DHR_CHG</vt:lpstr>
      <vt:lpstr>SCBA012600col_FTI_SALARY_ELECT</vt:lpstr>
      <vt:lpstr>SCBA012600col_FTI_SALARY_PERM</vt:lpstr>
      <vt:lpstr>SCBA012600col_FTI_SALARY_SSDI</vt:lpstr>
      <vt:lpstr>SCBA012600col_Group_Ben</vt:lpstr>
      <vt:lpstr>SCBA012600col_Group_Salary</vt:lpstr>
      <vt:lpstr>SCBA012600col_HEALTH_ELECT</vt:lpstr>
      <vt:lpstr>SCBA012600col_HEALTH_ELECT_BY</vt:lpstr>
      <vt:lpstr>SCBA012600col_HEALTH_ELECT_CHG</vt:lpstr>
      <vt:lpstr>SCBA012600col_HEALTH_PERM</vt:lpstr>
      <vt:lpstr>SCBA012600col_HEALTH_PERM_BY</vt:lpstr>
      <vt:lpstr>SCBA012600col_HEALTH_PERM_CHG</vt:lpstr>
      <vt:lpstr>SCBA012600col_INC_FTI</vt:lpstr>
      <vt:lpstr>SCBA012600col_LIFE_INS</vt:lpstr>
      <vt:lpstr>SCBA012600col_LIFE_INS_BY</vt:lpstr>
      <vt:lpstr>SCBA012600col_LIFE_INS_CHG</vt:lpstr>
      <vt:lpstr>SCBA012600col_RETIREMENT</vt:lpstr>
      <vt:lpstr>SCBA012600col_RETIREMENT_BY</vt:lpstr>
      <vt:lpstr>SCBA012600col_RETIREMENT_CHG</vt:lpstr>
      <vt:lpstr>SCBA012600col_ROWS_PER_PCN</vt:lpstr>
      <vt:lpstr>SCBA012600col_SICK</vt:lpstr>
      <vt:lpstr>SCBA012600col_SICK_BY</vt:lpstr>
      <vt:lpstr>SCBA012600col_SICK_CHG</vt:lpstr>
      <vt:lpstr>SCBA012600col_SSDI</vt:lpstr>
      <vt:lpstr>SCBA012600col_SSDI_BY</vt:lpstr>
      <vt:lpstr>SCBA012600col_SSDI_CHG</vt:lpstr>
      <vt:lpstr>SCBA012600col_SSHI</vt:lpstr>
      <vt:lpstr>SCBA012600col_SSHI_BY</vt:lpstr>
      <vt:lpstr>SCBA012600col_SSHI_CHGv</vt:lpstr>
      <vt:lpstr>SCBA012600col_TOT_VB_ELECT</vt:lpstr>
      <vt:lpstr>SCBA012600col_TOT_VB_ELECT_BY</vt:lpstr>
      <vt:lpstr>SCBA012600col_TOT_VB_ELECT_CHG</vt:lpstr>
      <vt:lpstr>SCBA012600col_TOT_VB_PERM</vt:lpstr>
      <vt:lpstr>SCBA012600col_TOT_VB_PERM_BY</vt:lpstr>
      <vt:lpstr>SCBA012600col_TOT_VB_PERM_CHG</vt:lpstr>
      <vt:lpstr>SCBA012600col_TOTAL_ELECT_PCN_FTI</vt:lpstr>
      <vt:lpstr>SCBA012600col_TOTAL_ELECT_PCN_FTI_ALT</vt:lpstr>
      <vt:lpstr>SCBA012600col_TOTAL_PERM_PCN_FTI</vt:lpstr>
      <vt:lpstr>SCBA012600col_UNEMP_INS</vt:lpstr>
      <vt:lpstr>SCBA012600col_UNEMP_INS_BY</vt:lpstr>
      <vt:lpstr>SCBA012600col_UNEMP_INS_CHG</vt:lpstr>
      <vt:lpstr>SCBA012600col_WORKERS_COMP</vt:lpstr>
      <vt:lpstr>SCBA012600col_WORKERS_COMP_BY</vt:lpstr>
      <vt:lpstr>SCBA012600col_WORKERS_COMP_CHG</vt:lpstr>
      <vt:lpstr>SCBI012600col_1_27TH_PP</vt:lpstr>
      <vt:lpstr>SCBI012600col_DHR</vt:lpstr>
      <vt:lpstr>SCBI012600col_DHR_BY</vt:lpstr>
      <vt:lpstr>SCBI012600col_DHR_CHG</vt:lpstr>
      <vt:lpstr>SCBI012600col_FTI_SALARY_ELECT</vt:lpstr>
      <vt:lpstr>SCBI012600col_FTI_SALARY_PERM</vt:lpstr>
      <vt:lpstr>SCBI012600col_FTI_SALARY_SSDI</vt:lpstr>
      <vt:lpstr>SCBI012600col_Group_Ben</vt:lpstr>
      <vt:lpstr>SCBI012600col_Group_Salary</vt:lpstr>
      <vt:lpstr>SCBI012600col_HEALTH_ELECT</vt:lpstr>
      <vt:lpstr>SCBI012600col_HEALTH_ELECT_BY</vt:lpstr>
      <vt:lpstr>SCBI012600col_HEALTH_ELECT_CHG</vt:lpstr>
      <vt:lpstr>SCBI012600col_HEALTH_PERM</vt:lpstr>
      <vt:lpstr>SCBI012600col_HEALTH_PERM_BY</vt:lpstr>
      <vt:lpstr>SCBI012600col_HEALTH_PERM_CHG</vt:lpstr>
      <vt:lpstr>SCBI012600col_INC_FTI</vt:lpstr>
      <vt:lpstr>SCBI012600col_LIFE_INS</vt:lpstr>
      <vt:lpstr>SCBI012600col_LIFE_INS_BY</vt:lpstr>
      <vt:lpstr>SCBI012600col_LIFE_INS_CHG</vt:lpstr>
      <vt:lpstr>SCBI012600col_RETIREMENT</vt:lpstr>
      <vt:lpstr>SCBI012600col_RETIREMENT_BY</vt:lpstr>
      <vt:lpstr>SCBI012600col_RETIREMENT_CHG</vt:lpstr>
      <vt:lpstr>SCBI012600col_ROWS_PER_PCN</vt:lpstr>
      <vt:lpstr>SCBI012600col_SICK</vt:lpstr>
      <vt:lpstr>SCBI012600col_SICK_BY</vt:lpstr>
      <vt:lpstr>SCBI012600col_SICK_CHG</vt:lpstr>
      <vt:lpstr>SCBI012600col_SSDI</vt:lpstr>
      <vt:lpstr>SCBI012600col_SSDI_BY</vt:lpstr>
      <vt:lpstr>SCBI012600col_SSDI_CHG</vt:lpstr>
      <vt:lpstr>SCBI012600col_SSHI</vt:lpstr>
      <vt:lpstr>SCBI012600col_SSHI_BY</vt:lpstr>
      <vt:lpstr>SCBI012600col_SSHI_CHGv</vt:lpstr>
      <vt:lpstr>SCBI012600col_TOT_VB_ELECT</vt:lpstr>
      <vt:lpstr>SCBI012600col_TOT_VB_ELECT_BY</vt:lpstr>
      <vt:lpstr>SCBI012600col_TOT_VB_ELECT_CHG</vt:lpstr>
      <vt:lpstr>SCBI012600col_TOT_VB_PERM</vt:lpstr>
      <vt:lpstr>SCBI012600col_TOT_VB_PERM_BY</vt:lpstr>
      <vt:lpstr>SCBI012600col_TOT_VB_PERM_CHG</vt:lpstr>
      <vt:lpstr>SCBI012600col_TOTAL_ELECT_PCN_FTI</vt:lpstr>
      <vt:lpstr>SCBI012600col_TOTAL_ELECT_PCN_FTI_ALT</vt:lpstr>
      <vt:lpstr>SCBI012600col_TOTAL_PERM_PCN_FTI</vt:lpstr>
      <vt:lpstr>SCBI012600col_UNEMP_INS</vt:lpstr>
      <vt:lpstr>SCBI012600col_UNEMP_INS_BY</vt:lpstr>
      <vt:lpstr>SCBI012600col_UNEMP_INS_CHG</vt:lpstr>
      <vt:lpstr>SCBI012600col_WORKERS_COMP</vt:lpstr>
      <vt:lpstr>SCBI012600col_WORKERS_COMP_BY</vt:lpstr>
      <vt:lpstr>SCBI012600col_WORKERS_COMP_CHG</vt:lpstr>
      <vt:lpstr>SCCA000100col_1_27TH_PP</vt:lpstr>
      <vt:lpstr>SCCA000100col_DHR</vt:lpstr>
      <vt:lpstr>SCCA000100col_DHR_BY</vt:lpstr>
      <vt:lpstr>SCCA000100col_DHR_CHG</vt:lpstr>
      <vt:lpstr>SCCA000100col_FTI_SALARY_ELECT</vt:lpstr>
      <vt:lpstr>SCCA000100col_FTI_SALARY_PERM</vt:lpstr>
      <vt:lpstr>SCCA000100col_FTI_SALARY_SSDI</vt:lpstr>
      <vt:lpstr>SCCA000100col_Group_Ben</vt:lpstr>
      <vt:lpstr>SCCA000100col_Group_Salary</vt:lpstr>
      <vt:lpstr>SCCA000100col_HEALTH_ELECT</vt:lpstr>
      <vt:lpstr>SCCA000100col_HEALTH_ELECT_BY</vt:lpstr>
      <vt:lpstr>SCCA000100col_HEALTH_ELECT_CHG</vt:lpstr>
      <vt:lpstr>SCCA000100col_HEALTH_PERM</vt:lpstr>
      <vt:lpstr>SCCA000100col_HEALTH_PERM_BY</vt:lpstr>
      <vt:lpstr>SCCA000100col_HEALTH_PERM_CHG</vt:lpstr>
      <vt:lpstr>SCCA000100col_INC_FTI</vt:lpstr>
      <vt:lpstr>SCCA000100col_LIFE_INS</vt:lpstr>
      <vt:lpstr>SCCA000100col_LIFE_INS_BY</vt:lpstr>
      <vt:lpstr>SCCA000100col_LIFE_INS_CHG</vt:lpstr>
      <vt:lpstr>SCCA000100col_RETIREMENT</vt:lpstr>
      <vt:lpstr>SCCA000100col_RETIREMENT_BY</vt:lpstr>
      <vt:lpstr>SCCA000100col_RETIREMENT_CHG</vt:lpstr>
      <vt:lpstr>SCCA000100col_ROWS_PER_PCN</vt:lpstr>
      <vt:lpstr>SCCA000100col_SICK</vt:lpstr>
      <vt:lpstr>SCCA000100col_SICK_BY</vt:lpstr>
      <vt:lpstr>SCCA000100col_SICK_CHG</vt:lpstr>
      <vt:lpstr>SCCA000100col_SSDI</vt:lpstr>
      <vt:lpstr>SCCA000100col_SSDI_BY</vt:lpstr>
      <vt:lpstr>SCCA000100col_SSDI_CHG</vt:lpstr>
      <vt:lpstr>SCCA000100col_SSHI</vt:lpstr>
      <vt:lpstr>SCCA000100col_SSHI_BY</vt:lpstr>
      <vt:lpstr>SCCA000100col_SSHI_CHGv</vt:lpstr>
      <vt:lpstr>SCCA000100col_TOT_VB_ELECT</vt:lpstr>
      <vt:lpstr>SCCA000100col_TOT_VB_ELECT_BY</vt:lpstr>
      <vt:lpstr>SCCA000100col_TOT_VB_ELECT_CHG</vt:lpstr>
      <vt:lpstr>SCCA000100col_TOT_VB_PERM</vt:lpstr>
      <vt:lpstr>SCCA000100col_TOT_VB_PERM_BY</vt:lpstr>
      <vt:lpstr>SCCA000100col_TOT_VB_PERM_CHG</vt:lpstr>
      <vt:lpstr>SCCA000100col_TOTAL_ELECT_PCN_FTI</vt:lpstr>
      <vt:lpstr>SCCA000100col_TOTAL_ELECT_PCN_FTI_ALT</vt:lpstr>
      <vt:lpstr>SCCA000100col_TOTAL_PERM_PCN_FTI</vt:lpstr>
      <vt:lpstr>SCCA000100col_UNEMP_INS</vt:lpstr>
      <vt:lpstr>SCCA000100col_UNEMP_INS_BY</vt:lpstr>
      <vt:lpstr>SCCA000100col_UNEMP_INS_CHG</vt:lpstr>
      <vt:lpstr>SCCA000100col_WORKERS_COMP</vt:lpstr>
      <vt:lpstr>SCCA000100col_WORKERS_COMP_BY</vt:lpstr>
      <vt:lpstr>SCCA000100col_WORKERS_COMP_CHG</vt:lpstr>
      <vt:lpstr>SCDA048000col_1_27TH_PP</vt:lpstr>
      <vt:lpstr>SCDA048000col_DHR</vt:lpstr>
      <vt:lpstr>SCDA048000col_DHR_BY</vt:lpstr>
      <vt:lpstr>SCDA048000col_DHR_CHG</vt:lpstr>
      <vt:lpstr>SCDA048000col_FTI_SALARY_ELECT</vt:lpstr>
      <vt:lpstr>SCDA048000col_FTI_SALARY_PERM</vt:lpstr>
      <vt:lpstr>SCDA048000col_FTI_SALARY_SSDI</vt:lpstr>
      <vt:lpstr>SCDA048000col_Group_Ben</vt:lpstr>
      <vt:lpstr>SCDA048000col_Group_Salary</vt:lpstr>
      <vt:lpstr>SCDA048000col_HEALTH_ELECT</vt:lpstr>
      <vt:lpstr>SCDA048000col_HEALTH_ELECT_BY</vt:lpstr>
      <vt:lpstr>SCDA048000col_HEALTH_ELECT_CHG</vt:lpstr>
      <vt:lpstr>SCDA048000col_HEALTH_PERM</vt:lpstr>
      <vt:lpstr>SCDA048000col_HEALTH_PERM_BY</vt:lpstr>
      <vt:lpstr>SCDA048000col_HEALTH_PERM_CHG</vt:lpstr>
      <vt:lpstr>SCDA048000col_INC_FTI</vt:lpstr>
      <vt:lpstr>SCDA048000col_LIFE_INS</vt:lpstr>
      <vt:lpstr>SCDA048000col_LIFE_INS_BY</vt:lpstr>
      <vt:lpstr>SCDA048000col_LIFE_INS_CHG</vt:lpstr>
      <vt:lpstr>SCDA048000col_RETIREMENT</vt:lpstr>
      <vt:lpstr>SCDA048000col_RETIREMENT_BY</vt:lpstr>
      <vt:lpstr>SCDA048000col_RETIREMENT_CHG</vt:lpstr>
      <vt:lpstr>SCDA048000col_ROWS_PER_PCN</vt:lpstr>
      <vt:lpstr>SCDA048000col_SICK</vt:lpstr>
      <vt:lpstr>SCDA048000col_SICK_BY</vt:lpstr>
      <vt:lpstr>SCDA048000col_SICK_CHG</vt:lpstr>
      <vt:lpstr>SCDA048000col_SSDI</vt:lpstr>
      <vt:lpstr>SCDA048000col_SSDI_BY</vt:lpstr>
      <vt:lpstr>SCDA048000col_SSDI_CHG</vt:lpstr>
      <vt:lpstr>SCDA048000col_SSHI</vt:lpstr>
      <vt:lpstr>SCDA048000col_SSHI_BY</vt:lpstr>
      <vt:lpstr>SCDA048000col_SSHI_CHGv</vt:lpstr>
      <vt:lpstr>SCDA048000col_TOT_VB_ELECT</vt:lpstr>
      <vt:lpstr>SCDA048000col_TOT_VB_ELECT_BY</vt:lpstr>
      <vt:lpstr>SCDA048000col_TOT_VB_ELECT_CHG</vt:lpstr>
      <vt:lpstr>SCDA048000col_TOT_VB_PERM</vt:lpstr>
      <vt:lpstr>SCDA048000col_TOT_VB_PERM_BY</vt:lpstr>
      <vt:lpstr>SCDA048000col_TOT_VB_PERM_CHG</vt:lpstr>
      <vt:lpstr>SCDA048000col_TOTAL_ELECT_PCN_FTI</vt:lpstr>
      <vt:lpstr>SCDA048000col_TOTAL_ELECT_PCN_FTI_ALT</vt:lpstr>
      <vt:lpstr>SCDA048000col_TOTAL_PERM_PCN_FTI</vt:lpstr>
      <vt:lpstr>SCDA048000col_UNEMP_INS</vt:lpstr>
      <vt:lpstr>SCDA048000col_UNEMP_INS_BY</vt:lpstr>
      <vt:lpstr>SCDA048000col_UNEMP_INS_CHG</vt:lpstr>
      <vt:lpstr>SCDA048000col_WORKERS_COMP</vt:lpstr>
      <vt:lpstr>SCDA048000col_WORKERS_COMP_BY</vt:lpstr>
      <vt:lpstr>SCDA048000col_WORKERS_COMP_CHG</vt:lpstr>
      <vt:lpstr>Sick</vt:lpstr>
      <vt:lpstr>SickBY</vt:lpstr>
      <vt:lpstr>SickCHG</vt:lpstr>
      <vt:lpstr>SSDI</vt:lpstr>
      <vt:lpstr>SSDIBY</vt:lpstr>
      <vt:lpstr>SSDICHG</vt:lpstr>
      <vt:lpstr>SSHI</vt:lpstr>
      <vt:lpstr>SSHIBY</vt:lpstr>
      <vt:lpstr>SSHICHG</vt:lpstr>
      <vt:lpstr>UI</vt:lpstr>
      <vt:lpstr>UIBY</vt:lpstr>
      <vt:lpstr>UICHG</vt:lpstr>
      <vt:lpstr>WC</vt:lpstr>
      <vt:lpstr>WCBY</vt:lpstr>
      <vt:lpstr>WCCHG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Agency 150 B6</dc:title>
  <dc:subject>B6</dc:subject>
  <dc:creator>Shane Winslow</dc:creator>
  <cp:lastModifiedBy>Frances Lippitt</cp:lastModifiedBy>
  <cp:lastPrinted>2019-06-21T15:46:35Z</cp:lastPrinted>
  <dcterms:created xsi:type="dcterms:W3CDTF">2013-05-01T19:55:41Z</dcterms:created>
  <dcterms:modified xsi:type="dcterms:W3CDTF">2022-07-28T16:27:33Z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980daa53-e238-4358-81e3-d1b7452f1532</vt:lpwstr>
  </property>
</Properties>
</file>