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ojects\Budget Development\Agency B6 Folder_FY24\"/>
    </mc:Choice>
  </mc:AlternateContent>
  <xr:revisionPtr revIDLastSave="0" documentId="13_ncr:1_{D55A8136-2BF2-4E47-93DC-355245D7DA7C}" xr6:coauthVersionLast="47" xr6:coauthVersionMax="47" xr10:uidLastSave="{00000000-0000-0000-0000-000000000000}"/>
  <bookViews>
    <workbookView xWindow="32340" yWindow="1200" windowWidth="21600" windowHeight="11385" xr2:uid="{00000000-000D-0000-FFFF-FFFF00000000}"/>
  </bookViews>
  <sheets>
    <sheet name="EDBD|0001-00" sheetId="13" r:id="rId1"/>
    <sheet name="EDBC|0125-00" sheetId="12" r:id="rId2"/>
    <sheet name="EDBD|0325-00" sheetId="14" r:id="rId3"/>
    <sheet name="EDBE|0001-00" sheetId="15" r:id="rId4"/>
    <sheet name="EDBG|0125-00" sheetId="20" r:id="rId5"/>
    <sheet name="EDBG|0319-00" sheetId="21" r:id="rId6"/>
    <sheet name="EDBE|0325-00" sheetId="16" r:id="rId7"/>
    <sheet name="EDBE|0349-00" sheetId="19" r:id="rId8"/>
    <sheet name="EDBG|0481-10" sheetId="23" r:id="rId9"/>
    <sheet name="EDBG|0481-54" sheetId="24" r:id="rId10"/>
    <sheet name="EDBE|0344-00" sheetId="17" r:id="rId11"/>
    <sheet name="EDBG|0345-00" sheetId="22" r:id="rId12"/>
    <sheet name="EDBE|0348-00" sheetId="18" r:id="rId13"/>
    <sheet name="Data" sheetId="5" r:id="rId14"/>
    <sheet name="Benefits" sheetId="7" r:id="rId15"/>
    <sheet name="B6" sheetId="9" r:id="rId16"/>
    <sheet name="Summary" sheetId="10" r:id="rId17"/>
    <sheet name="FundSummary" sheetId="11" r:id="rId18"/>
  </sheets>
  <definedNames>
    <definedName name="AdjGroupHlth" localSheetId="1">'EDBC|0125-00'!$H$39</definedName>
    <definedName name="AdjGroupHlth" localSheetId="0">'EDBD|0001-00'!$H$39</definedName>
    <definedName name="AdjGroupHlth" localSheetId="2">'EDBD|0325-00'!$H$39</definedName>
    <definedName name="AdjGroupHlth" localSheetId="3">'EDBE|0001-00'!$H$39</definedName>
    <definedName name="AdjGroupHlth" localSheetId="6">'EDBE|0325-00'!$H$39</definedName>
    <definedName name="AdjGroupHlth" localSheetId="10">'EDBE|0344-00'!$H$39</definedName>
    <definedName name="AdjGroupHlth" localSheetId="12">'EDBE|0348-00'!$H$39</definedName>
    <definedName name="AdjGroupHlth" localSheetId="7">'EDBE|0349-00'!$H$39</definedName>
    <definedName name="AdjGroupHlth" localSheetId="4">'EDBG|0125-00'!$H$39</definedName>
    <definedName name="AdjGroupHlth" localSheetId="5">'EDBG|0319-00'!$H$39</definedName>
    <definedName name="AdjGroupHlth" localSheetId="11">'EDBG|0345-00'!$H$39</definedName>
    <definedName name="AdjGroupHlth" localSheetId="8">'EDBG|0481-10'!$H$39</definedName>
    <definedName name="AdjGroupHlth" localSheetId="9">'EDBG|0481-54'!$H$39</definedName>
    <definedName name="AdjGroupHlth">'B6'!$H$39</definedName>
    <definedName name="AdjGroupSalary" localSheetId="1">'EDBC|0125-00'!$G$39</definedName>
    <definedName name="AdjGroupSalary" localSheetId="0">'EDBD|0001-00'!$G$39</definedName>
    <definedName name="AdjGroupSalary" localSheetId="2">'EDBD|0325-00'!$G$39</definedName>
    <definedName name="AdjGroupSalary" localSheetId="3">'EDBE|0001-00'!$G$39</definedName>
    <definedName name="AdjGroupSalary" localSheetId="6">'EDBE|0325-00'!$G$39</definedName>
    <definedName name="AdjGroupSalary" localSheetId="10">'EDBE|0344-00'!$G$39</definedName>
    <definedName name="AdjGroupSalary" localSheetId="12">'EDBE|0348-00'!$G$39</definedName>
    <definedName name="AdjGroupSalary" localSheetId="7">'EDBE|0349-00'!$G$39</definedName>
    <definedName name="AdjGroupSalary" localSheetId="4">'EDBG|0125-00'!$G$39</definedName>
    <definedName name="AdjGroupSalary" localSheetId="5">'EDBG|0319-00'!$G$39</definedName>
    <definedName name="AdjGroupSalary" localSheetId="11">'EDBG|0345-00'!$G$39</definedName>
    <definedName name="AdjGroupSalary" localSheetId="8">'EDBG|0481-10'!$G$39</definedName>
    <definedName name="AdjGroupSalary" localSheetId="9">'EDBG|0481-54'!$G$39</definedName>
    <definedName name="AdjGroupSalary">'B6'!$G$39</definedName>
    <definedName name="AdjGroupVB" localSheetId="1">'EDBC|0125-00'!$I$39</definedName>
    <definedName name="AdjGroupVB" localSheetId="0">'EDBD|0001-00'!$I$39</definedName>
    <definedName name="AdjGroupVB" localSheetId="2">'EDBD|0325-00'!$I$39</definedName>
    <definedName name="AdjGroupVB" localSheetId="3">'EDBE|0001-00'!$I$39</definedName>
    <definedName name="AdjGroupVB" localSheetId="6">'EDBE|0325-00'!$I$39</definedName>
    <definedName name="AdjGroupVB" localSheetId="10">'EDBE|0344-00'!$I$39</definedName>
    <definedName name="AdjGroupVB" localSheetId="12">'EDBE|0348-00'!$I$39</definedName>
    <definedName name="AdjGroupVB" localSheetId="7">'EDBE|0349-00'!$I$39</definedName>
    <definedName name="AdjGroupVB" localSheetId="4">'EDBG|0125-00'!$I$39</definedName>
    <definedName name="AdjGroupVB" localSheetId="5">'EDBG|0319-00'!$I$39</definedName>
    <definedName name="AdjGroupVB" localSheetId="11">'EDBG|0345-00'!$I$39</definedName>
    <definedName name="AdjGroupVB" localSheetId="8">'EDBG|0481-10'!$I$39</definedName>
    <definedName name="AdjGroupVB" localSheetId="9">'EDBG|0481-54'!$I$39</definedName>
    <definedName name="AdjGroupVB">'B6'!$I$39</definedName>
    <definedName name="AdjGroupVBBY" localSheetId="1">'EDBC|0125-00'!$M$39</definedName>
    <definedName name="AdjGroupVBBY" localSheetId="0">'EDBD|0001-00'!$M$39</definedName>
    <definedName name="AdjGroupVBBY" localSheetId="2">'EDBD|0325-00'!$M$39</definedName>
    <definedName name="AdjGroupVBBY" localSheetId="3">'EDBE|0001-00'!$M$39</definedName>
    <definedName name="AdjGroupVBBY" localSheetId="6">'EDBE|0325-00'!$M$39</definedName>
    <definedName name="AdjGroupVBBY" localSheetId="10">'EDBE|0344-00'!$M$39</definedName>
    <definedName name="AdjGroupVBBY" localSheetId="12">'EDBE|0348-00'!$M$39</definedName>
    <definedName name="AdjGroupVBBY" localSheetId="7">'EDBE|0349-00'!$M$39</definedName>
    <definedName name="AdjGroupVBBY" localSheetId="4">'EDBG|0125-00'!$M$39</definedName>
    <definedName name="AdjGroupVBBY" localSheetId="5">'EDBG|0319-00'!$M$39</definedName>
    <definedName name="AdjGroupVBBY" localSheetId="11">'EDBG|0345-00'!$M$39</definedName>
    <definedName name="AdjGroupVBBY" localSheetId="8">'EDBG|0481-10'!$M$39</definedName>
    <definedName name="AdjGroupVBBY" localSheetId="9">'EDBG|0481-54'!$M$39</definedName>
    <definedName name="AdjGroupVBBY">'B6'!$M$39</definedName>
    <definedName name="AdjPermHlth" localSheetId="1">'EDBC|0125-00'!$H$38</definedName>
    <definedName name="AdjPermHlth" localSheetId="0">'EDBD|0001-00'!$H$38</definedName>
    <definedName name="AdjPermHlth" localSheetId="2">'EDBD|0325-00'!$H$38</definedName>
    <definedName name="AdjPermHlth" localSheetId="3">'EDBE|0001-00'!$H$38</definedName>
    <definedName name="AdjPermHlth" localSheetId="6">'EDBE|0325-00'!$H$38</definedName>
    <definedName name="AdjPermHlth" localSheetId="10">'EDBE|0344-00'!$H$38</definedName>
    <definedName name="AdjPermHlth" localSheetId="12">'EDBE|0348-00'!$H$38</definedName>
    <definedName name="AdjPermHlth" localSheetId="7">'EDBE|0349-00'!$H$38</definedName>
    <definedName name="AdjPermHlth" localSheetId="4">'EDBG|0125-00'!$H$38</definedName>
    <definedName name="AdjPermHlth" localSheetId="5">'EDBG|0319-00'!$H$38</definedName>
    <definedName name="AdjPermHlth" localSheetId="11">'EDBG|0345-00'!$H$38</definedName>
    <definedName name="AdjPermHlth" localSheetId="8">'EDBG|0481-10'!$H$38</definedName>
    <definedName name="AdjPermHlth" localSheetId="9">'EDBG|0481-54'!$H$38</definedName>
    <definedName name="AdjPermHlth">'B6'!$H$38</definedName>
    <definedName name="AdjPermHlthBY" localSheetId="1">'EDBC|0125-00'!$L$38</definedName>
    <definedName name="AdjPermHlthBY" localSheetId="0">'EDBD|0001-00'!$L$38</definedName>
    <definedName name="AdjPermHlthBY" localSheetId="2">'EDBD|0325-00'!$L$38</definedName>
    <definedName name="AdjPermHlthBY" localSheetId="3">'EDBE|0001-00'!$L$38</definedName>
    <definedName name="AdjPermHlthBY" localSheetId="6">'EDBE|0325-00'!$L$38</definedName>
    <definedName name="AdjPermHlthBY" localSheetId="10">'EDBE|0344-00'!$L$38</definedName>
    <definedName name="AdjPermHlthBY" localSheetId="12">'EDBE|0348-00'!$L$38</definedName>
    <definedName name="AdjPermHlthBY" localSheetId="7">'EDBE|0349-00'!$L$38</definedName>
    <definedName name="AdjPermHlthBY" localSheetId="4">'EDBG|0125-00'!$L$38</definedName>
    <definedName name="AdjPermHlthBY" localSheetId="5">'EDBG|0319-00'!$L$38</definedName>
    <definedName name="AdjPermHlthBY" localSheetId="11">'EDBG|0345-00'!$L$38</definedName>
    <definedName name="AdjPermHlthBY" localSheetId="8">'EDBG|0481-10'!$L$38</definedName>
    <definedName name="AdjPermHlthBY" localSheetId="9">'EDBG|0481-54'!$L$38</definedName>
    <definedName name="AdjPermHlthBY">'B6'!$L$38</definedName>
    <definedName name="AdjPermSalary" localSheetId="1">'EDBC|0125-00'!$G$38</definedName>
    <definedName name="AdjPermSalary" localSheetId="0">'EDBD|0001-00'!$G$38</definedName>
    <definedName name="AdjPermSalary" localSheetId="2">'EDBD|0325-00'!$G$38</definedName>
    <definedName name="AdjPermSalary" localSheetId="3">'EDBE|0001-00'!$G$38</definedName>
    <definedName name="AdjPermSalary" localSheetId="6">'EDBE|0325-00'!$G$38</definedName>
    <definedName name="AdjPermSalary" localSheetId="10">'EDBE|0344-00'!$G$38</definedName>
    <definedName name="AdjPermSalary" localSheetId="12">'EDBE|0348-00'!$G$38</definedName>
    <definedName name="AdjPermSalary" localSheetId="7">'EDBE|0349-00'!$G$38</definedName>
    <definedName name="AdjPermSalary" localSheetId="4">'EDBG|0125-00'!$G$38</definedName>
    <definedName name="AdjPermSalary" localSheetId="5">'EDBG|0319-00'!$G$38</definedName>
    <definedName name="AdjPermSalary" localSheetId="11">'EDBG|0345-00'!$G$38</definedName>
    <definedName name="AdjPermSalary" localSheetId="8">'EDBG|0481-10'!$G$38</definedName>
    <definedName name="AdjPermSalary" localSheetId="9">'EDBG|0481-54'!$G$38</definedName>
    <definedName name="AdjPermSalary">'B6'!$G$38</definedName>
    <definedName name="AdjPermVB" localSheetId="1">'EDBC|0125-00'!$I$38</definedName>
    <definedName name="AdjPermVB" localSheetId="0">'EDBD|0001-00'!$I$38</definedName>
    <definedName name="AdjPermVB" localSheetId="2">'EDBD|0325-00'!$I$38</definedName>
    <definedName name="AdjPermVB" localSheetId="3">'EDBE|0001-00'!$I$38</definedName>
    <definedName name="AdjPermVB" localSheetId="6">'EDBE|0325-00'!$I$38</definedName>
    <definedName name="AdjPermVB" localSheetId="10">'EDBE|0344-00'!$I$38</definedName>
    <definedName name="AdjPermVB" localSheetId="12">'EDBE|0348-00'!$I$38</definedName>
    <definedName name="AdjPermVB" localSheetId="7">'EDBE|0349-00'!$I$38</definedName>
    <definedName name="AdjPermVB" localSheetId="4">'EDBG|0125-00'!$I$38</definedName>
    <definedName name="AdjPermVB" localSheetId="5">'EDBG|0319-00'!$I$38</definedName>
    <definedName name="AdjPermVB" localSheetId="11">'EDBG|0345-00'!$I$38</definedName>
    <definedName name="AdjPermVB" localSheetId="8">'EDBG|0481-10'!$I$38</definedName>
    <definedName name="AdjPermVB" localSheetId="9">'EDBG|0481-54'!$I$38</definedName>
    <definedName name="AdjPermVB">'B6'!$I$38</definedName>
    <definedName name="AdjPermVBBY" localSheetId="1">'EDBC|0125-00'!$M$38</definedName>
    <definedName name="AdjPermVBBY" localSheetId="0">'EDBD|0001-00'!$M$38</definedName>
    <definedName name="AdjPermVBBY" localSheetId="2">'EDBD|0325-00'!$M$38</definedName>
    <definedName name="AdjPermVBBY" localSheetId="3">'EDBE|0001-00'!$M$38</definedName>
    <definedName name="AdjPermVBBY" localSheetId="6">'EDBE|0325-00'!$M$38</definedName>
    <definedName name="AdjPermVBBY" localSheetId="10">'EDBE|0344-00'!$M$38</definedName>
    <definedName name="AdjPermVBBY" localSheetId="12">'EDBE|0348-00'!$M$38</definedName>
    <definedName name="AdjPermVBBY" localSheetId="7">'EDBE|0349-00'!$M$38</definedName>
    <definedName name="AdjPermVBBY" localSheetId="4">'EDBG|0125-00'!$M$38</definedName>
    <definedName name="AdjPermVBBY" localSheetId="5">'EDBG|0319-00'!$M$38</definedName>
    <definedName name="AdjPermVBBY" localSheetId="11">'EDBG|0345-00'!$M$38</definedName>
    <definedName name="AdjPermVBBY" localSheetId="8">'EDBG|0481-10'!$M$38</definedName>
    <definedName name="AdjPermVBBY" localSheetId="9">'EDBG|0481-54'!$M$38</definedName>
    <definedName name="AdjPermVBBY">'B6'!$M$38</definedName>
    <definedName name="AdjustedTotal" localSheetId="1">'EDBC|0125-00'!$J$16</definedName>
    <definedName name="AdjustedTotal" localSheetId="0">'EDBD|0001-00'!$J$16</definedName>
    <definedName name="AdjustedTotal" localSheetId="2">'EDBD|0325-00'!$J$16</definedName>
    <definedName name="AdjustedTotal" localSheetId="3">'EDBE|0001-00'!$J$16</definedName>
    <definedName name="AdjustedTotal" localSheetId="6">'EDBE|0325-00'!$J$16</definedName>
    <definedName name="AdjustedTotal" localSheetId="10">'EDBE|0344-00'!$J$16</definedName>
    <definedName name="AdjustedTotal" localSheetId="12">'EDBE|0348-00'!$J$16</definedName>
    <definedName name="AdjustedTotal" localSheetId="7">'EDBE|0349-00'!$J$16</definedName>
    <definedName name="AdjustedTotal" localSheetId="4">'EDBG|0125-00'!$J$16</definedName>
    <definedName name="AdjustedTotal" localSheetId="5">'EDBG|0319-00'!$J$16</definedName>
    <definedName name="AdjustedTotal" localSheetId="11">'EDBG|0345-00'!$J$16</definedName>
    <definedName name="AdjustedTotal" localSheetId="8">'EDBG|0481-10'!$J$16</definedName>
    <definedName name="AdjustedTotal" localSheetId="9">'EDBG|0481-54'!$J$16</definedName>
    <definedName name="AdjustedTotal">'B6'!$J$16</definedName>
    <definedName name="AgencyNum" localSheetId="1">'EDBC|0125-00'!$M$1</definedName>
    <definedName name="AgencyNum" localSheetId="0">'EDBD|0001-00'!$M$1</definedName>
    <definedName name="AgencyNum" localSheetId="2">'EDBD|0325-00'!$M$1</definedName>
    <definedName name="AgencyNum" localSheetId="3">'EDBE|0001-00'!$M$1</definedName>
    <definedName name="AgencyNum" localSheetId="6">'EDBE|0325-00'!$M$1</definedName>
    <definedName name="AgencyNum" localSheetId="10">'EDBE|0344-00'!$M$1</definedName>
    <definedName name="AgencyNum" localSheetId="12">'EDBE|0348-00'!$M$1</definedName>
    <definedName name="AgencyNum" localSheetId="7">'EDBE|0349-00'!$M$1</definedName>
    <definedName name="AgencyNum" localSheetId="4">'EDBG|0125-00'!$M$1</definedName>
    <definedName name="AgencyNum" localSheetId="5">'EDBG|0319-00'!$M$1</definedName>
    <definedName name="AgencyNum" localSheetId="11">'EDBG|0345-00'!$M$1</definedName>
    <definedName name="AgencyNum" localSheetId="8">'EDBG|0481-10'!$M$1</definedName>
    <definedName name="AgencyNum" localSheetId="9">'EDBG|0481-54'!$M$1</definedName>
    <definedName name="AgencyNum">'B6'!$M$1</definedName>
    <definedName name="AppropFTP" localSheetId="1">'EDBC|0125-00'!$F$15</definedName>
    <definedName name="AppropFTP" localSheetId="0">'EDBD|0001-00'!$F$15</definedName>
    <definedName name="AppropFTP" localSheetId="2">'EDBD|0325-00'!$F$15</definedName>
    <definedName name="AppropFTP" localSheetId="3">'EDBE|0001-00'!$F$15</definedName>
    <definedName name="AppropFTP" localSheetId="6">'EDBE|0325-00'!$F$15</definedName>
    <definedName name="AppropFTP" localSheetId="10">'EDBE|0344-00'!$F$15</definedName>
    <definedName name="AppropFTP" localSheetId="12">'EDBE|0348-00'!$F$15</definedName>
    <definedName name="AppropFTP" localSheetId="7">'EDBE|0349-00'!$F$15</definedName>
    <definedName name="AppropFTP" localSheetId="4">'EDBG|0125-00'!$F$15</definedName>
    <definedName name="AppropFTP" localSheetId="5">'EDBG|0319-00'!$F$15</definedName>
    <definedName name="AppropFTP" localSheetId="11">'EDBG|0345-00'!$F$15</definedName>
    <definedName name="AppropFTP" localSheetId="8">'EDBG|0481-10'!$F$15</definedName>
    <definedName name="AppropFTP" localSheetId="9">'EDBG|0481-54'!$F$15</definedName>
    <definedName name="AppropFTP">'B6'!$F$15</definedName>
    <definedName name="AppropTotal" localSheetId="1">'EDBC|0125-00'!$J$15</definedName>
    <definedName name="AppropTotal" localSheetId="0">'EDBD|0001-00'!$J$15</definedName>
    <definedName name="AppropTotal" localSheetId="2">'EDBD|0325-00'!$J$15</definedName>
    <definedName name="AppropTotal" localSheetId="3">'EDBE|0001-00'!$J$15</definedName>
    <definedName name="AppropTotal" localSheetId="6">'EDBE|0325-00'!$J$15</definedName>
    <definedName name="AppropTotal" localSheetId="10">'EDBE|0344-00'!$J$15</definedName>
    <definedName name="AppropTotal" localSheetId="12">'EDBE|0348-00'!$J$15</definedName>
    <definedName name="AppropTotal" localSheetId="7">'EDBE|0349-00'!$J$15</definedName>
    <definedName name="AppropTotal" localSheetId="4">'EDBG|0125-00'!$J$15</definedName>
    <definedName name="AppropTotal" localSheetId="5">'EDBG|0319-00'!$J$15</definedName>
    <definedName name="AppropTotal" localSheetId="11">'EDBG|0345-00'!$J$15</definedName>
    <definedName name="AppropTotal" localSheetId="8">'EDBG|0481-10'!$J$15</definedName>
    <definedName name="AppropTotal" localSheetId="9">'EDBG|0481-54'!$J$15</definedName>
    <definedName name="AppropTotal">'B6'!$J$15</definedName>
    <definedName name="AtZHealth" localSheetId="1">'EDBC|0125-00'!$H$45</definedName>
    <definedName name="AtZHealth" localSheetId="0">'EDBD|0001-00'!$H$45</definedName>
    <definedName name="AtZHealth" localSheetId="2">'EDBD|0325-00'!$H$45</definedName>
    <definedName name="AtZHealth" localSheetId="3">'EDBE|0001-00'!$H$45</definedName>
    <definedName name="AtZHealth" localSheetId="6">'EDBE|0325-00'!$H$45</definedName>
    <definedName name="AtZHealth" localSheetId="10">'EDBE|0344-00'!$H$45</definedName>
    <definedName name="AtZHealth" localSheetId="12">'EDBE|0348-00'!$H$45</definedName>
    <definedName name="AtZHealth" localSheetId="7">'EDBE|0349-00'!$H$45</definedName>
    <definedName name="AtZHealth" localSheetId="4">'EDBG|0125-00'!$H$45</definedName>
    <definedName name="AtZHealth" localSheetId="5">'EDBG|0319-00'!$H$45</definedName>
    <definedName name="AtZHealth" localSheetId="11">'EDBG|0345-00'!$H$45</definedName>
    <definedName name="AtZHealth" localSheetId="8">'EDBG|0481-10'!$H$45</definedName>
    <definedName name="AtZHealth" localSheetId="9">'EDBG|0481-54'!$H$45</definedName>
    <definedName name="AtZHealth">'B6'!$H$45</definedName>
    <definedName name="AtZSalary" localSheetId="1">'EDBC|0125-00'!$G$45</definedName>
    <definedName name="AtZSalary" localSheetId="0">'EDBD|0001-00'!$G$45</definedName>
    <definedName name="AtZSalary" localSheetId="2">'EDBD|0325-00'!$G$45</definedName>
    <definedName name="AtZSalary" localSheetId="3">'EDBE|0001-00'!$G$45</definedName>
    <definedName name="AtZSalary" localSheetId="6">'EDBE|0325-00'!$G$45</definedName>
    <definedName name="AtZSalary" localSheetId="10">'EDBE|0344-00'!$G$45</definedName>
    <definedName name="AtZSalary" localSheetId="12">'EDBE|0348-00'!$G$45</definedName>
    <definedName name="AtZSalary" localSheetId="7">'EDBE|0349-00'!$G$45</definedName>
    <definedName name="AtZSalary" localSheetId="4">'EDBG|0125-00'!$G$45</definedName>
    <definedName name="AtZSalary" localSheetId="5">'EDBG|0319-00'!$G$45</definedName>
    <definedName name="AtZSalary" localSheetId="11">'EDBG|0345-00'!$G$45</definedName>
    <definedName name="AtZSalary" localSheetId="8">'EDBG|0481-10'!$G$45</definedName>
    <definedName name="AtZSalary" localSheetId="9">'EDBG|0481-54'!$G$45</definedName>
    <definedName name="AtZSalary">'B6'!$G$45</definedName>
    <definedName name="AtZTotal" localSheetId="1">'EDBC|0125-00'!$J$45</definedName>
    <definedName name="AtZTotal" localSheetId="0">'EDBD|0001-00'!$J$45</definedName>
    <definedName name="AtZTotal" localSheetId="2">'EDBD|0325-00'!$J$45</definedName>
    <definedName name="AtZTotal" localSheetId="3">'EDBE|0001-00'!$J$45</definedName>
    <definedName name="AtZTotal" localSheetId="6">'EDBE|0325-00'!$J$45</definedName>
    <definedName name="AtZTotal" localSheetId="10">'EDBE|0344-00'!$J$45</definedName>
    <definedName name="AtZTotal" localSheetId="12">'EDBE|0348-00'!$J$45</definedName>
    <definedName name="AtZTotal" localSheetId="7">'EDBE|0349-00'!$J$45</definedName>
    <definedName name="AtZTotal" localSheetId="4">'EDBG|0125-00'!$J$45</definedName>
    <definedName name="AtZTotal" localSheetId="5">'EDBG|0319-00'!$J$45</definedName>
    <definedName name="AtZTotal" localSheetId="11">'EDBG|0345-00'!$J$45</definedName>
    <definedName name="AtZTotal" localSheetId="8">'EDBG|0481-10'!$J$45</definedName>
    <definedName name="AtZTotal" localSheetId="9">'EDBG|0481-54'!$J$45</definedName>
    <definedName name="AtZTotal">'B6'!$J$45</definedName>
    <definedName name="AtZVarBen" localSheetId="1">'EDBC|0125-00'!$I$45</definedName>
    <definedName name="AtZVarBen" localSheetId="0">'EDBD|0001-00'!$I$45</definedName>
    <definedName name="AtZVarBen" localSheetId="2">'EDBD|0325-00'!$I$45</definedName>
    <definedName name="AtZVarBen" localSheetId="3">'EDBE|0001-00'!$I$45</definedName>
    <definedName name="AtZVarBen" localSheetId="6">'EDBE|0325-00'!$I$45</definedName>
    <definedName name="AtZVarBen" localSheetId="10">'EDBE|0344-00'!$I$45</definedName>
    <definedName name="AtZVarBen" localSheetId="12">'EDBE|0348-00'!$I$45</definedName>
    <definedName name="AtZVarBen" localSheetId="7">'EDBE|0349-00'!$I$45</definedName>
    <definedName name="AtZVarBen" localSheetId="4">'EDBG|0125-00'!$I$45</definedName>
    <definedName name="AtZVarBen" localSheetId="5">'EDBG|0319-00'!$I$45</definedName>
    <definedName name="AtZVarBen" localSheetId="11">'EDBG|0345-00'!$I$45</definedName>
    <definedName name="AtZVarBen" localSheetId="8">'EDBG|0481-10'!$I$45</definedName>
    <definedName name="AtZVarBen" localSheetId="9">'EDBG|0481-54'!$I$45</definedName>
    <definedName name="AtZVarBen">'B6'!$I$45</definedName>
    <definedName name="BudgetUnit" localSheetId="1">'EDBC|0125-00'!$M$3</definedName>
    <definedName name="BudgetUnit" localSheetId="0">'EDBD|0001-00'!$M$3</definedName>
    <definedName name="BudgetUnit" localSheetId="2">'EDBD|0325-00'!$M$3</definedName>
    <definedName name="BudgetUnit" localSheetId="3">'EDBE|0001-00'!$M$3</definedName>
    <definedName name="BudgetUnit" localSheetId="6">'EDBE|0325-00'!$M$3</definedName>
    <definedName name="BudgetUnit" localSheetId="10">'EDBE|0344-00'!$M$3</definedName>
    <definedName name="BudgetUnit" localSheetId="12">'EDBE|0348-00'!$M$3</definedName>
    <definedName name="BudgetUnit" localSheetId="7">'EDBE|0349-00'!$M$3</definedName>
    <definedName name="BudgetUnit" localSheetId="4">'EDBG|0125-00'!$M$3</definedName>
    <definedName name="BudgetUnit" localSheetId="5">'EDBG|0319-00'!$M$3</definedName>
    <definedName name="BudgetUnit" localSheetId="11">'EDBG|0345-00'!$M$3</definedName>
    <definedName name="BudgetUnit" localSheetId="8">'EDBG|0481-10'!$M$3</definedName>
    <definedName name="BudgetUnit" localSheetId="9">'EDBG|0481-54'!$M$3</definedName>
    <definedName name="BudgetUnit">'B6'!$M$3</definedName>
    <definedName name="BudgetYear">Benefits!$D$4</definedName>
    <definedName name="CECGroup">Benefits!$C$39</definedName>
    <definedName name="CECOrigElectSalary" localSheetId="1">'EDBC|0125-00'!$G$74</definedName>
    <definedName name="CECOrigElectSalary" localSheetId="0">'EDBD|0001-00'!$G$74</definedName>
    <definedName name="CECOrigElectSalary" localSheetId="2">'EDBD|0325-00'!$G$74</definedName>
    <definedName name="CECOrigElectSalary" localSheetId="3">'EDBE|0001-00'!$G$74</definedName>
    <definedName name="CECOrigElectSalary" localSheetId="6">'EDBE|0325-00'!$G$74</definedName>
    <definedName name="CECOrigElectSalary" localSheetId="10">'EDBE|0344-00'!$G$74</definedName>
    <definedName name="CECOrigElectSalary" localSheetId="12">'EDBE|0348-00'!$G$74</definedName>
    <definedName name="CECOrigElectSalary" localSheetId="7">'EDBE|0349-00'!$G$74</definedName>
    <definedName name="CECOrigElectSalary" localSheetId="4">'EDBG|0125-00'!$G$74</definedName>
    <definedName name="CECOrigElectSalary" localSheetId="5">'EDBG|0319-00'!$G$74</definedName>
    <definedName name="CECOrigElectSalary" localSheetId="11">'EDBG|0345-00'!$G$74</definedName>
    <definedName name="CECOrigElectSalary" localSheetId="8">'EDBG|0481-10'!$G$74</definedName>
    <definedName name="CECOrigElectSalary" localSheetId="9">'EDBG|0481-54'!$G$74</definedName>
    <definedName name="CECOrigElectSalary">'B6'!$G$74</definedName>
    <definedName name="CECOrigElectVB" localSheetId="1">'EDBC|0125-00'!$I$74</definedName>
    <definedName name="CECOrigElectVB" localSheetId="0">'EDBD|0001-00'!$I$74</definedName>
    <definedName name="CECOrigElectVB" localSheetId="2">'EDBD|0325-00'!$I$74</definedName>
    <definedName name="CECOrigElectVB" localSheetId="3">'EDBE|0001-00'!$I$74</definedName>
    <definedName name="CECOrigElectVB" localSheetId="6">'EDBE|0325-00'!$I$74</definedName>
    <definedName name="CECOrigElectVB" localSheetId="10">'EDBE|0344-00'!$I$74</definedName>
    <definedName name="CECOrigElectVB" localSheetId="12">'EDBE|0348-00'!$I$74</definedName>
    <definedName name="CECOrigElectVB" localSheetId="7">'EDBE|0349-00'!$I$74</definedName>
    <definedName name="CECOrigElectVB" localSheetId="4">'EDBG|0125-00'!$I$74</definedName>
    <definedName name="CECOrigElectVB" localSheetId="5">'EDBG|0319-00'!$I$74</definedName>
    <definedName name="CECOrigElectVB" localSheetId="11">'EDBG|0345-00'!$I$74</definedName>
    <definedName name="CECOrigElectVB" localSheetId="8">'EDBG|0481-10'!$I$74</definedName>
    <definedName name="CECOrigElectVB" localSheetId="9">'EDBG|0481-54'!$I$74</definedName>
    <definedName name="CECOrigElectVB">'B6'!$I$74</definedName>
    <definedName name="CECOrigGroupSalary" localSheetId="1">'EDBC|0125-00'!$G$73</definedName>
    <definedName name="CECOrigGroupSalary" localSheetId="0">'EDBD|0001-00'!$G$73</definedName>
    <definedName name="CECOrigGroupSalary" localSheetId="2">'EDBD|0325-00'!$G$73</definedName>
    <definedName name="CECOrigGroupSalary" localSheetId="3">'EDBE|0001-00'!$G$73</definedName>
    <definedName name="CECOrigGroupSalary" localSheetId="6">'EDBE|0325-00'!$G$73</definedName>
    <definedName name="CECOrigGroupSalary" localSheetId="10">'EDBE|0344-00'!$G$73</definedName>
    <definedName name="CECOrigGroupSalary" localSheetId="12">'EDBE|0348-00'!$G$73</definedName>
    <definedName name="CECOrigGroupSalary" localSheetId="7">'EDBE|0349-00'!$G$73</definedName>
    <definedName name="CECOrigGroupSalary" localSheetId="4">'EDBG|0125-00'!$G$73</definedName>
    <definedName name="CECOrigGroupSalary" localSheetId="5">'EDBG|0319-00'!$G$73</definedName>
    <definedName name="CECOrigGroupSalary" localSheetId="11">'EDBG|0345-00'!$G$73</definedName>
    <definedName name="CECOrigGroupSalary" localSheetId="8">'EDBG|0481-10'!$G$73</definedName>
    <definedName name="CECOrigGroupSalary" localSheetId="9">'EDBG|0481-54'!$G$73</definedName>
    <definedName name="CECOrigGroupSalary">'B6'!$G$73</definedName>
    <definedName name="CECOrigGroupVB" localSheetId="1">'EDBC|0125-00'!$I$73</definedName>
    <definedName name="CECOrigGroupVB" localSheetId="0">'EDBD|0001-00'!$I$73</definedName>
    <definedName name="CECOrigGroupVB" localSheetId="2">'EDBD|0325-00'!$I$73</definedName>
    <definedName name="CECOrigGroupVB" localSheetId="3">'EDBE|0001-00'!$I$73</definedName>
    <definedName name="CECOrigGroupVB" localSheetId="6">'EDBE|0325-00'!$I$73</definedName>
    <definedName name="CECOrigGroupVB" localSheetId="10">'EDBE|0344-00'!$I$73</definedName>
    <definedName name="CECOrigGroupVB" localSheetId="12">'EDBE|0348-00'!$I$73</definedName>
    <definedName name="CECOrigGroupVB" localSheetId="7">'EDBE|0349-00'!$I$73</definedName>
    <definedName name="CECOrigGroupVB" localSheetId="4">'EDBG|0125-00'!$I$73</definedName>
    <definedName name="CECOrigGroupVB" localSheetId="5">'EDBG|0319-00'!$I$73</definedName>
    <definedName name="CECOrigGroupVB" localSheetId="11">'EDBG|0345-00'!$I$73</definedName>
    <definedName name="CECOrigGroupVB" localSheetId="8">'EDBG|0481-10'!$I$73</definedName>
    <definedName name="CECOrigGroupVB" localSheetId="9">'EDBG|0481-54'!$I$73</definedName>
    <definedName name="CECOrigGroupVB">'B6'!$I$73</definedName>
    <definedName name="CECOrigPermSalary" localSheetId="1">'EDBC|0125-00'!$G$72</definedName>
    <definedName name="CECOrigPermSalary" localSheetId="0">'EDBD|0001-00'!$G$72</definedName>
    <definedName name="CECOrigPermSalary" localSheetId="2">'EDBD|0325-00'!$G$72</definedName>
    <definedName name="CECOrigPermSalary" localSheetId="3">'EDBE|0001-00'!$G$72</definedName>
    <definedName name="CECOrigPermSalary" localSheetId="6">'EDBE|0325-00'!$G$72</definedName>
    <definedName name="CECOrigPermSalary" localSheetId="10">'EDBE|0344-00'!$G$72</definedName>
    <definedName name="CECOrigPermSalary" localSheetId="12">'EDBE|0348-00'!$G$72</definedName>
    <definedName name="CECOrigPermSalary" localSheetId="7">'EDBE|0349-00'!$G$72</definedName>
    <definedName name="CECOrigPermSalary" localSheetId="4">'EDBG|0125-00'!$G$72</definedName>
    <definedName name="CECOrigPermSalary" localSheetId="5">'EDBG|0319-00'!$G$72</definedName>
    <definedName name="CECOrigPermSalary" localSheetId="11">'EDBG|0345-00'!$G$72</definedName>
    <definedName name="CECOrigPermSalary" localSheetId="8">'EDBG|0481-10'!$G$72</definedName>
    <definedName name="CECOrigPermSalary" localSheetId="9">'EDBG|0481-54'!$G$72</definedName>
    <definedName name="CECOrigPermSalary">'B6'!$G$72</definedName>
    <definedName name="CECOrigPermVB" localSheetId="1">'EDBC|0125-00'!$I$72</definedName>
    <definedName name="CECOrigPermVB" localSheetId="0">'EDBD|0001-00'!$I$72</definedName>
    <definedName name="CECOrigPermVB" localSheetId="2">'EDBD|0325-00'!$I$72</definedName>
    <definedName name="CECOrigPermVB" localSheetId="3">'EDBE|0001-00'!$I$72</definedName>
    <definedName name="CECOrigPermVB" localSheetId="6">'EDBE|0325-00'!$I$72</definedName>
    <definedName name="CECOrigPermVB" localSheetId="10">'EDBE|0344-00'!$I$72</definedName>
    <definedName name="CECOrigPermVB" localSheetId="12">'EDBE|0348-00'!$I$72</definedName>
    <definedName name="CECOrigPermVB" localSheetId="7">'EDBE|0349-00'!$I$72</definedName>
    <definedName name="CECOrigPermVB" localSheetId="4">'EDBG|0125-00'!$I$72</definedName>
    <definedName name="CECOrigPermVB" localSheetId="5">'EDBG|0319-00'!$I$72</definedName>
    <definedName name="CECOrigPermVB" localSheetId="11">'EDBG|0345-00'!$I$72</definedName>
    <definedName name="CECOrigPermVB" localSheetId="8">'EDBG|0481-10'!$I$72</definedName>
    <definedName name="CECOrigPermVB" localSheetId="9">'EDBG|0481-54'!$I$72</definedName>
    <definedName name="CECOrigPermVB">'B6'!$I$72</definedName>
    <definedName name="CECPerm">Benefits!$C$38</definedName>
    <definedName name="CECpermCalc" localSheetId="1">'EDBC|0125-00'!$E$72</definedName>
    <definedName name="CECpermCalc" localSheetId="0">'EDBD|0001-00'!$E$72</definedName>
    <definedName name="CECpermCalc" localSheetId="2">'EDBD|0325-00'!$E$72</definedName>
    <definedName name="CECpermCalc" localSheetId="3">'EDBE|0001-00'!$E$72</definedName>
    <definedName name="CECpermCalc" localSheetId="6">'EDBE|0325-00'!$E$72</definedName>
    <definedName name="CECpermCalc" localSheetId="10">'EDBE|0344-00'!$E$72</definedName>
    <definedName name="CECpermCalc" localSheetId="12">'EDBE|0348-00'!$E$72</definedName>
    <definedName name="CECpermCalc" localSheetId="7">'EDBE|0349-00'!$E$72</definedName>
    <definedName name="CECpermCalc" localSheetId="4">'EDBG|0125-00'!$E$72</definedName>
    <definedName name="CECpermCalc" localSheetId="5">'EDBG|0319-00'!$E$72</definedName>
    <definedName name="CECpermCalc" localSheetId="11">'EDBG|0345-00'!$E$72</definedName>
    <definedName name="CECpermCalc" localSheetId="8">'EDBG|0481-10'!$E$72</definedName>
    <definedName name="CECpermCalc" localSheetId="9">'EDBG|0481-54'!$E$72</definedName>
    <definedName name="CECpermCalc">'B6'!$E$72</definedName>
    <definedName name="Department" localSheetId="1">'EDBC|0125-00'!$D$1</definedName>
    <definedName name="Department" localSheetId="0">'EDBD|0001-00'!$D$1</definedName>
    <definedName name="Department" localSheetId="2">'EDBD|0325-00'!$D$1</definedName>
    <definedName name="Department" localSheetId="3">'EDBE|0001-00'!$D$1</definedName>
    <definedName name="Department" localSheetId="6">'EDBE|0325-00'!$D$1</definedName>
    <definedName name="Department" localSheetId="10">'EDBE|0344-00'!$D$1</definedName>
    <definedName name="Department" localSheetId="12">'EDBE|0348-00'!$D$1</definedName>
    <definedName name="Department" localSheetId="7">'EDBE|0349-00'!$D$1</definedName>
    <definedName name="Department" localSheetId="4">'EDBG|0125-00'!$D$1</definedName>
    <definedName name="Department" localSheetId="5">'EDBG|0319-00'!$D$1</definedName>
    <definedName name="Department" localSheetId="11">'EDBG|0345-00'!$D$1</definedName>
    <definedName name="Department" localSheetId="8">'EDBG|0481-10'!$D$1</definedName>
    <definedName name="Department" localSheetId="9">'EDBG|0481-54'!$D$1</definedName>
    <definedName name="Department">'B6'!$D$1</definedName>
    <definedName name="DHR">Benefits!$C$11</definedName>
    <definedName name="DHRBY">Benefits!$D$11</definedName>
    <definedName name="DHRCHG">Benefits!$E$11</definedName>
    <definedName name="Division" localSheetId="1">'EDBC|0125-00'!$D$2</definedName>
    <definedName name="Division" localSheetId="0">'EDBD|0001-00'!$D$2</definedName>
    <definedName name="Division" localSheetId="2">'EDBD|0325-00'!$D$2</definedName>
    <definedName name="Division" localSheetId="3">'EDBE|0001-00'!$D$2</definedName>
    <definedName name="Division" localSheetId="6">'EDBE|0325-00'!$D$2</definedName>
    <definedName name="Division" localSheetId="10">'EDBE|0344-00'!$D$2</definedName>
    <definedName name="Division" localSheetId="12">'EDBE|0348-00'!$D$2</definedName>
    <definedName name="Division" localSheetId="7">'EDBE|0349-00'!$D$2</definedName>
    <definedName name="Division" localSheetId="4">'EDBG|0125-00'!$D$2</definedName>
    <definedName name="Division" localSheetId="5">'EDBG|0319-00'!$D$2</definedName>
    <definedName name="Division" localSheetId="11">'EDBG|0345-00'!$D$2</definedName>
    <definedName name="Division" localSheetId="8">'EDBG|0481-10'!$D$2</definedName>
    <definedName name="Division" localSheetId="9">'EDBG|0481-54'!$D$2</definedName>
    <definedName name="Division">'B6'!$D$2</definedName>
    <definedName name="DUCECElect" localSheetId="1">'EDBC|0125-00'!$J$74</definedName>
    <definedName name="DUCECElect" localSheetId="0">'EDBD|0001-00'!$J$74</definedName>
    <definedName name="DUCECElect" localSheetId="2">'EDBD|0325-00'!$J$74</definedName>
    <definedName name="DUCECElect" localSheetId="3">'EDBE|0001-00'!$J$74</definedName>
    <definedName name="DUCECElect" localSheetId="6">'EDBE|0325-00'!$J$74</definedName>
    <definedName name="DUCECElect" localSheetId="10">'EDBE|0344-00'!$J$74</definedName>
    <definedName name="DUCECElect" localSheetId="12">'EDBE|0348-00'!$J$74</definedName>
    <definedName name="DUCECElect" localSheetId="7">'EDBE|0349-00'!$J$74</definedName>
    <definedName name="DUCECElect" localSheetId="4">'EDBG|0125-00'!$J$74</definedName>
    <definedName name="DUCECElect" localSheetId="5">'EDBG|0319-00'!$J$74</definedName>
    <definedName name="DUCECElect" localSheetId="11">'EDBG|0345-00'!$J$74</definedName>
    <definedName name="DUCECElect" localSheetId="8">'EDBG|0481-10'!$J$74</definedName>
    <definedName name="DUCECElect" localSheetId="9">'EDBG|0481-54'!$J$74</definedName>
    <definedName name="DUCECElect">'B6'!$J$74</definedName>
    <definedName name="DUCECGroup" localSheetId="1">'EDBC|0125-00'!$J$73</definedName>
    <definedName name="DUCECGroup" localSheetId="0">'EDBD|0001-00'!$J$73</definedName>
    <definedName name="DUCECGroup" localSheetId="2">'EDBD|0325-00'!$J$73</definedName>
    <definedName name="DUCECGroup" localSheetId="3">'EDBE|0001-00'!$J$73</definedName>
    <definedName name="DUCECGroup" localSheetId="6">'EDBE|0325-00'!$J$73</definedName>
    <definedName name="DUCECGroup" localSheetId="10">'EDBE|0344-00'!$J$73</definedName>
    <definedName name="DUCECGroup" localSheetId="12">'EDBE|0348-00'!$J$73</definedName>
    <definedName name="DUCECGroup" localSheetId="7">'EDBE|0349-00'!$J$73</definedName>
    <definedName name="DUCECGroup" localSheetId="4">'EDBG|0125-00'!$J$73</definedName>
    <definedName name="DUCECGroup" localSheetId="5">'EDBG|0319-00'!$J$73</definedName>
    <definedName name="DUCECGroup" localSheetId="11">'EDBG|0345-00'!$J$73</definedName>
    <definedName name="DUCECGroup" localSheetId="8">'EDBG|0481-10'!$J$73</definedName>
    <definedName name="DUCECGroup" localSheetId="9">'EDBG|0481-54'!$J$73</definedName>
    <definedName name="DUCECGroup">'B6'!$J$73</definedName>
    <definedName name="DUCECPerm" localSheetId="1">'EDBC|0125-00'!$J$72</definedName>
    <definedName name="DUCECPerm" localSheetId="0">'EDBD|0001-00'!$J$72</definedName>
    <definedName name="DUCECPerm" localSheetId="2">'EDBD|0325-00'!$J$72</definedName>
    <definedName name="DUCECPerm" localSheetId="3">'EDBE|0001-00'!$J$72</definedName>
    <definedName name="DUCECPerm" localSheetId="6">'EDBE|0325-00'!$J$72</definedName>
    <definedName name="DUCECPerm" localSheetId="10">'EDBE|0344-00'!$J$72</definedName>
    <definedName name="DUCECPerm" localSheetId="12">'EDBE|0348-00'!$J$72</definedName>
    <definedName name="DUCECPerm" localSheetId="7">'EDBE|0349-00'!$J$72</definedName>
    <definedName name="DUCECPerm" localSheetId="4">'EDBG|0125-00'!$J$72</definedName>
    <definedName name="DUCECPerm" localSheetId="5">'EDBG|0319-00'!$J$72</definedName>
    <definedName name="DUCECPerm" localSheetId="11">'EDBG|0345-00'!$J$72</definedName>
    <definedName name="DUCECPerm" localSheetId="8">'EDBG|0481-10'!$J$72</definedName>
    <definedName name="DUCECPerm" localSheetId="9">'EDBG|0481-54'!$J$72</definedName>
    <definedName name="DUCECPerm">'B6'!$J$72</definedName>
    <definedName name="DUEleven" localSheetId="1">'EDBC|0125-00'!$J$75</definedName>
    <definedName name="DUEleven" localSheetId="0">'EDBD|0001-00'!$J$75</definedName>
    <definedName name="DUEleven" localSheetId="2">'EDBD|0325-00'!$J$75</definedName>
    <definedName name="DUEleven" localSheetId="3">'EDBE|0001-00'!$J$75</definedName>
    <definedName name="DUEleven" localSheetId="6">'EDBE|0325-00'!$J$75</definedName>
    <definedName name="DUEleven" localSheetId="10">'EDBE|0344-00'!$J$75</definedName>
    <definedName name="DUEleven" localSheetId="12">'EDBE|0348-00'!$J$75</definedName>
    <definedName name="DUEleven" localSheetId="7">'EDBE|0349-00'!$J$75</definedName>
    <definedName name="DUEleven" localSheetId="4">'EDBG|0125-00'!$J$75</definedName>
    <definedName name="DUEleven" localSheetId="5">'EDBG|0319-00'!$J$75</definedName>
    <definedName name="DUEleven" localSheetId="11">'EDBG|0345-00'!$J$75</definedName>
    <definedName name="DUEleven" localSheetId="8">'EDBG|0481-10'!$J$75</definedName>
    <definedName name="DUEleven" localSheetId="9">'EDBG|0481-54'!$J$75</definedName>
    <definedName name="DUEleven">'B6'!$J$75</definedName>
    <definedName name="DUHealthBen" localSheetId="1">'EDBC|0125-00'!$J$68</definedName>
    <definedName name="DUHealthBen" localSheetId="0">'EDBD|0001-00'!$J$68</definedName>
    <definedName name="DUHealthBen" localSheetId="2">'EDBD|0325-00'!$J$68</definedName>
    <definedName name="DUHealthBen" localSheetId="3">'EDBE|0001-00'!$J$68</definedName>
    <definedName name="DUHealthBen" localSheetId="6">'EDBE|0325-00'!$J$68</definedName>
    <definedName name="DUHealthBen" localSheetId="10">'EDBE|0344-00'!$J$68</definedName>
    <definedName name="DUHealthBen" localSheetId="12">'EDBE|0348-00'!$J$68</definedName>
    <definedName name="DUHealthBen" localSheetId="7">'EDBE|0349-00'!$J$68</definedName>
    <definedName name="DUHealthBen" localSheetId="4">'EDBG|0125-00'!$J$68</definedName>
    <definedName name="DUHealthBen" localSheetId="5">'EDBG|0319-00'!$J$68</definedName>
    <definedName name="DUHealthBen" localSheetId="11">'EDBG|0345-00'!$J$68</definedName>
    <definedName name="DUHealthBen" localSheetId="8">'EDBG|0481-10'!$J$68</definedName>
    <definedName name="DUHealthBen" localSheetId="9">'EDBG|0481-54'!$J$68</definedName>
    <definedName name="DUHealthBen">'B6'!$J$68</definedName>
    <definedName name="DUNine" localSheetId="1">'EDBC|0125-00'!$J$67</definedName>
    <definedName name="DUNine" localSheetId="0">'EDBD|0001-00'!$J$67</definedName>
    <definedName name="DUNine" localSheetId="2">'EDBD|0325-00'!$J$67</definedName>
    <definedName name="DUNine" localSheetId="3">'EDBE|0001-00'!$J$67</definedName>
    <definedName name="DUNine" localSheetId="6">'EDBE|0325-00'!$J$67</definedName>
    <definedName name="DUNine" localSheetId="10">'EDBE|0344-00'!$J$67</definedName>
    <definedName name="DUNine" localSheetId="12">'EDBE|0348-00'!$J$67</definedName>
    <definedName name="DUNine" localSheetId="7">'EDBE|0349-00'!$J$67</definedName>
    <definedName name="DUNine" localSheetId="4">'EDBG|0125-00'!$J$67</definedName>
    <definedName name="DUNine" localSheetId="5">'EDBG|0319-00'!$J$67</definedName>
    <definedName name="DUNine" localSheetId="11">'EDBG|0345-00'!$J$67</definedName>
    <definedName name="DUNine" localSheetId="8">'EDBG|0481-10'!$J$67</definedName>
    <definedName name="DUNine" localSheetId="9">'EDBG|0481-54'!$J$67</definedName>
    <definedName name="DUNine">'B6'!$J$67</definedName>
    <definedName name="DUThirteen" localSheetId="1">'EDBC|0125-00'!$J$80</definedName>
    <definedName name="DUThirteen" localSheetId="0">'EDBD|0001-00'!$J$80</definedName>
    <definedName name="DUThirteen" localSheetId="2">'EDBD|0325-00'!$J$80</definedName>
    <definedName name="DUThirteen" localSheetId="3">'EDBE|0001-00'!$J$80</definedName>
    <definedName name="DUThirteen" localSheetId="6">'EDBE|0325-00'!$J$80</definedName>
    <definedName name="DUThirteen" localSheetId="10">'EDBE|0344-00'!$J$80</definedName>
    <definedName name="DUThirteen" localSheetId="12">'EDBE|0348-00'!$J$80</definedName>
    <definedName name="DUThirteen" localSheetId="7">'EDBE|0349-00'!$J$80</definedName>
    <definedName name="DUThirteen" localSheetId="4">'EDBG|0125-00'!$J$80</definedName>
    <definedName name="DUThirteen" localSheetId="5">'EDBG|0319-00'!$J$80</definedName>
    <definedName name="DUThirteen" localSheetId="11">'EDBG|0345-00'!$J$80</definedName>
    <definedName name="DUThirteen" localSheetId="8">'EDBG|0481-10'!$J$80</definedName>
    <definedName name="DUThirteen" localSheetId="9">'EDBG|0481-54'!$J$80</definedName>
    <definedName name="DUThirteen">'B6'!$J$80</definedName>
    <definedName name="DUVariableBen" localSheetId="1">'EDBC|0125-00'!$J$69</definedName>
    <definedName name="DUVariableBen" localSheetId="0">'EDBD|0001-00'!$J$69</definedName>
    <definedName name="DUVariableBen" localSheetId="2">'EDBD|0325-00'!$J$69</definedName>
    <definedName name="DUVariableBen" localSheetId="3">'EDBE|0001-00'!$J$69</definedName>
    <definedName name="DUVariableBen" localSheetId="6">'EDBE|0325-00'!$J$69</definedName>
    <definedName name="DUVariableBen" localSheetId="10">'EDBE|0344-00'!$J$69</definedName>
    <definedName name="DUVariableBen" localSheetId="12">'EDBE|0348-00'!$J$69</definedName>
    <definedName name="DUVariableBen" localSheetId="7">'EDBE|0349-00'!$J$69</definedName>
    <definedName name="DUVariableBen" localSheetId="4">'EDBG|0125-00'!$J$69</definedName>
    <definedName name="DUVariableBen" localSheetId="5">'EDBG|0319-00'!$J$69</definedName>
    <definedName name="DUVariableBen" localSheetId="11">'EDBG|0345-00'!$J$69</definedName>
    <definedName name="DUVariableBen" localSheetId="8">'EDBG|0481-10'!$J$69</definedName>
    <definedName name="DUVariableBen" localSheetId="9">'EDBG|0481-54'!$J$69</definedName>
    <definedName name="DUVariableBen">'B6'!$J$69</definedName>
    <definedName name="EDBC012500col_1_27TH_PP">Data!$BA$262</definedName>
    <definedName name="EDBC012500col_DHR">Data!$BI$262</definedName>
    <definedName name="EDBC012500col_DHR_BY">Data!$BU$262</definedName>
    <definedName name="EDBC012500col_DHR_CHG">Data!$CG$262</definedName>
    <definedName name="EDBC012500col_FTI_SALARY_ELECT">Data!$AZ$262</definedName>
    <definedName name="EDBC012500col_FTI_SALARY_PERM">Data!$AY$262</definedName>
    <definedName name="EDBC012500col_FTI_SALARY_SSDI">Data!$AX$262</definedName>
    <definedName name="EDBC012500col_Group_Ben">Data!$CM$262</definedName>
    <definedName name="EDBC012500col_Group_Salary">Data!$CL$262</definedName>
    <definedName name="EDBC012500col_HEALTH_ELECT">Data!$BC$262</definedName>
    <definedName name="EDBC012500col_HEALTH_ELECT_BY">Data!$BO$262</definedName>
    <definedName name="EDBC012500col_HEALTH_ELECT_CHG">Data!$CA$262</definedName>
    <definedName name="EDBC012500col_HEALTH_PERM">Data!$BB$262</definedName>
    <definedName name="EDBC012500col_HEALTH_PERM_BY">Data!$BN$262</definedName>
    <definedName name="EDBC012500col_HEALTH_PERM_CHG">Data!$BZ$262</definedName>
    <definedName name="EDBC012500col_INC_FTI">Data!$AS$262</definedName>
    <definedName name="EDBC012500col_LIFE_INS">Data!$BG$262</definedName>
    <definedName name="EDBC012500col_LIFE_INS_BY">Data!$BS$262</definedName>
    <definedName name="EDBC012500col_LIFE_INS_CHG">Data!$CE$262</definedName>
    <definedName name="EDBC012500col_RETIREMENT">Data!$BF$262</definedName>
    <definedName name="EDBC012500col_RETIREMENT_BY">Data!$BR$262</definedName>
    <definedName name="EDBC012500col_RETIREMENT_CHG">Data!$CD$262</definedName>
    <definedName name="EDBC012500col_ROWS_PER_PCN">Data!$AW$262</definedName>
    <definedName name="EDBC012500col_SICK">Data!$BK$262</definedName>
    <definedName name="EDBC012500col_SICK_BY">Data!$BW$262</definedName>
    <definedName name="EDBC012500col_SICK_CHG">Data!$CI$262</definedName>
    <definedName name="EDBC012500col_SSDI">Data!$BD$262</definedName>
    <definedName name="EDBC012500col_SSDI_BY">Data!$BP$262</definedName>
    <definedName name="EDBC012500col_SSDI_CHG">Data!$CB$262</definedName>
    <definedName name="EDBC012500col_SSHI">Data!$BE$262</definedName>
    <definedName name="EDBC012500col_SSHI_BY">Data!$BQ$262</definedName>
    <definedName name="EDBC012500col_SSHI_CHGv">Data!$CC$262</definedName>
    <definedName name="EDBC012500col_TOT_VB_ELECT">Data!$BM$262</definedName>
    <definedName name="EDBC012500col_TOT_VB_ELECT_BY">Data!$BY$262</definedName>
    <definedName name="EDBC012500col_TOT_VB_ELECT_CHG">Data!$CK$262</definedName>
    <definedName name="EDBC012500col_TOT_VB_PERM">Data!$BL$262</definedName>
    <definedName name="EDBC012500col_TOT_VB_PERM_BY">Data!$BX$262</definedName>
    <definedName name="EDBC012500col_TOT_VB_PERM_CHG">Data!$CJ$262</definedName>
    <definedName name="EDBC012500col_TOTAL_ELECT_PCN_FTI">Data!$AT$262</definedName>
    <definedName name="EDBC012500col_TOTAL_ELECT_PCN_FTI_ALT">Data!$AV$262</definedName>
    <definedName name="EDBC012500col_TOTAL_PERM_PCN_FTI">Data!$AU$262</definedName>
    <definedName name="EDBC012500col_UNEMP_INS">Data!$BH$262</definedName>
    <definedName name="EDBC012500col_UNEMP_INS_BY">Data!$BT$262</definedName>
    <definedName name="EDBC012500col_UNEMP_INS_CHG">Data!$CF$262</definedName>
    <definedName name="EDBC012500col_WORKERS_COMP">Data!$BJ$262</definedName>
    <definedName name="EDBC012500col_WORKERS_COMP_BY">Data!$BV$262</definedName>
    <definedName name="EDBC012500col_WORKERS_COMP_CHG">Data!$CH$262</definedName>
    <definedName name="EDBD000100col_1_27TH_PP">Data!$BA$264</definedName>
    <definedName name="EDBD000100col_DHR">Data!$BI$264</definedName>
    <definedName name="EDBD000100col_DHR_BY">Data!$BU$264</definedName>
    <definedName name="EDBD000100col_DHR_CHG">Data!$CG$264</definedName>
    <definedName name="EDBD000100col_FTI_SALARY_ELECT">Data!$AZ$264</definedName>
    <definedName name="EDBD000100col_FTI_SALARY_PERM">Data!$AY$264</definedName>
    <definedName name="EDBD000100col_FTI_SALARY_SSDI">Data!$AX$264</definedName>
    <definedName name="EDBD000100col_Group_Ben">Data!$CM$264</definedName>
    <definedName name="EDBD000100col_Group_Salary">Data!$CL$264</definedName>
    <definedName name="EDBD000100col_HEALTH_ELECT">Data!$BC$264</definedName>
    <definedName name="EDBD000100col_HEALTH_ELECT_BY">Data!$BO$264</definedName>
    <definedName name="EDBD000100col_HEALTH_ELECT_CHG">Data!$CA$264</definedName>
    <definedName name="EDBD000100col_HEALTH_PERM">Data!$BB$264</definedName>
    <definedName name="EDBD000100col_HEALTH_PERM_BY">Data!$BN$264</definedName>
    <definedName name="EDBD000100col_HEALTH_PERM_CHG">Data!$BZ$264</definedName>
    <definedName name="EDBD000100col_INC_FTI">Data!$AS$264</definedName>
    <definedName name="EDBD000100col_LIFE_INS">Data!$BG$264</definedName>
    <definedName name="EDBD000100col_LIFE_INS_BY">Data!$BS$264</definedName>
    <definedName name="EDBD000100col_LIFE_INS_CHG">Data!$CE$264</definedName>
    <definedName name="EDBD000100col_RETIREMENT">Data!$BF$264</definedName>
    <definedName name="EDBD000100col_RETIREMENT_BY">Data!$BR$264</definedName>
    <definedName name="EDBD000100col_RETIREMENT_CHG">Data!$CD$264</definedName>
    <definedName name="EDBD000100col_ROWS_PER_PCN">Data!$AW$264</definedName>
    <definedName name="EDBD000100col_SICK">Data!$BK$264</definedName>
    <definedName name="EDBD000100col_SICK_BY">Data!$BW$264</definedName>
    <definedName name="EDBD000100col_SICK_CHG">Data!$CI$264</definedName>
    <definedName name="EDBD000100col_SSDI">Data!$BD$264</definedName>
    <definedName name="EDBD000100col_SSDI_BY">Data!$BP$264</definedName>
    <definedName name="EDBD000100col_SSDI_CHG">Data!$CB$264</definedName>
    <definedName name="EDBD000100col_SSHI">Data!$BE$264</definedName>
    <definedName name="EDBD000100col_SSHI_BY">Data!$BQ$264</definedName>
    <definedName name="EDBD000100col_SSHI_CHGv">Data!$CC$264</definedName>
    <definedName name="EDBD000100col_TOT_VB_ELECT">Data!$BM$264</definedName>
    <definedName name="EDBD000100col_TOT_VB_ELECT_BY">Data!$BY$264</definedName>
    <definedName name="EDBD000100col_TOT_VB_ELECT_CHG">Data!$CK$264</definedName>
    <definedName name="EDBD000100col_TOT_VB_PERM">Data!$BL$264</definedName>
    <definedName name="EDBD000100col_TOT_VB_PERM_BY">Data!$BX$264</definedName>
    <definedName name="EDBD000100col_TOT_VB_PERM_CHG">Data!$CJ$264</definedName>
    <definedName name="EDBD000100col_TOTAL_ELECT_PCN_FTI">Data!$AT$264</definedName>
    <definedName name="EDBD000100col_TOTAL_ELECT_PCN_FTI_ALT">Data!$AV$264</definedName>
    <definedName name="EDBD000100col_TOTAL_PERM_PCN_FTI">Data!$AU$264</definedName>
    <definedName name="EDBD000100col_UNEMP_INS">Data!$BH$264</definedName>
    <definedName name="EDBD000100col_UNEMP_INS_BY">Data!$BT$264</definedName>
    <definedName name="EDBD000100col_UNEMP_INS_CHG">Data!$CF$264</definedName>
    <definedName name="EDBD000100col_WORKERS_COMP">Data!$BJ$264</definedName>
    <definedName name="EDBD000100col_WORKERS_COMP_BY">Data!$BV$264</definedName>
    <definedName name="EDBD000100col_WORKERS_COMP_CHG">Data!$CH$264</definedName>
    <definedName name="EDBD032500col_1_27TH_PP">Data!$BA$268</definedName>
    <definedName name="EDBD032500col_DHR">Data!$BI$268</definedName>
    <definedName name="EDBD032500col_DHR_BY">Data!$BU$268</definedName>
    <definedName name="EDBD032500col_DHR_CHG">Data!$CG$268</definedName>
    <definedName name="EDBD032500col_FTI_SALARY_ELECT">Data!$AZ$268</definedName>
    <definedName name="EDBD032500col_FTI_SALARY_PERM">Data!$AY$268</definedName>
    <definedName name="EDBD032500col_FTI_SALARY_SSDI">Data!$AX$268</definedName>
    <definedName name="EDBD032500col_Group_Ben">Data!$CM$268</definedName>
    <definedName name="EDBD032500col_Group_Salary">Data!$CL$268</definedName>
    <definedName name="EDBD032500col_HEALTH_ELECT">Data!$BC$268</definedName>
    <definedName name="EDBD032500col_HEALTH_ELECT_BY">Data!$BO$268</definedName>
    <definedName name="EDBD032500col_HEALTH_ELECT_CHG">Data!$CA$268</definedName>
    <definedName name="EDBD032500col_HEALTH_PERM">Data!$BB$268</definedName>
    <definedName name="EDBD032500col_HEALTH_PERM_BY">Data!$BN$268</definedName>
    <definedName name="EDBD032500col_HEALTH_PERM_CHG">Data!$BZ$268</definedName>
    <definedName name="EDBD032500col_INC_FTI">Data!$AS$268</definedName>
    <definedName name="EDBD032500col_LIFE_INS">Data!$BG$268</definedName>
    <definedName name="EDBD032500col_LIFE_INS_BY">Data!$BS$268</definedName>
    <definedName name="EDBD032500col_LIFE_INS_CHG">Data!$CE$268</definedName>
    <definedName name="EDBD032500col_RETIREMENT">Data!$BF$268</definedName>
    <definedName name="EDBD032500col_RETIREMENT_BY">Data!$BR$268</definedName>
    <definedName name="EDBD032500col_RETIREMENT_CHG">Data!$CD$268</definedName>
    <definedName name="EDBD032500col_ROWS_PER_PCN">Data!$AW$268</definedName>
    <definedName name="EDBD032500col_SICK">Data!$BK$268</definedName>
    <definedName name="EDBD032500col_SICK_BY">Data!$BW$268</definedName>
    <definedName name="EDBD032500col_SICK_CHG">Data!$CI$268</definedName>
    <definedName name="EDBD032500col_SSDI">Data!$BD$268</definedName>
    <definedName name="EDBD032500col_SSDI_BY">Data!$BP$268</definedName>
    <definedName name="EDBD032500col_SSDI_CHG">Data!$CB$268</definedName>
    <definedName name="EDBD032500col_SSHI">Data!$BE$268</definedName>
    <definedName name="EDBD032500col_SSHI_BY">Data!$BQ$268</definedName>
    <definedName name="EDBD032500col_SSHI_CHGv">Data!$CC$268</definedName>
    <definedName name="EDBD032500col_TOT_VB_ELECT">Data!$BM$268</definedName>
    <definedName name="EDBD032500col_TOT_VB_ELECT_BY">Data!$BY$268</definedName>
    <definedName name="EDBD032500col_TOT_VB_ELECT_CHG">Data!$CK$268</definedName>
    <definedName name="EDBD032500col_TOT_VB_PERM">Data!$BL$268</definedName>
    <definedName name="EDBD032500col_TOT_VB_PERM_BY">Data!$BX$268</definedName>
    <definedName name="EDBD032500col_TOT_VB_PERM_CHG">Data!$CJ$268</definedName>
    <definedName name="EDBD032500col_TOTAL_ELECT_PCN_FTI">Data!$AT$268</definedName>
    <definedName name="EDBD032500col_TOTAL_ELECT_PCN_FTI_ALT">Data!$AV$268</definedName>
    <definedName name="EDBD032500col_TOTAL_PERM_PCN_FTI">Data!$AU$268</definedName>
    <definedName name="EDBD032500col_UNEMP_INS">Data!$BH$268</definedName>
    <definedName name="EDBD032500col_UNEMP_INS_BY">Data!$BT$268</definedName>
    <definedName name="EDBD032500col_UNEMP_INS_CHG">Data!$CF$268</definedName>
    <definedName name="EDBD032500col_WORKERS_COMP">Data!$BJ$268</definedName>
    <definedName name="EDBD032500col_WORKERS_COMP_BY">Data!$BV$268</definedName>
    <definedName name="EDBD032500col_WORKERS_COMP_CHG">Data!$CH$268</definedName>
    <definedName name="EDBE000100col_1_27TH_PP">Data!$BA$270</definedName>
    <definedName name="EDBE000100col_DHR">Data!$BI$270</definedName>
    <definedName name="EDBE000100col_DHR_BY">Data!$BU$270</definedName>
    <definedName name="EDBE000100col_DHR_CHG">Data!$CG$270</definedName>
    <definedName name="EDBE000100col_FTI_SALARY_ELECT">Data!$AZ$270</definedName>
    <definedName name="EDBE000100col_FTI_SALARY_PERM">Data!$AY$270</definedName>
    <definedName name="EDBE000100col_FTI_SALARY_SSDI">Data!$AX$270</definedName>
    <definedName name="EDBE000100col_Group_Ben">Data!$CM$270</definedName>
    <definedName name="EDBE000100col_Group_Salary">Data!$CL$270</definedName>
    <definedName name="EDBE000100col_HEALTH_ELECT">Data!$BC$270</definedName>
    <definedName name="EDBE000100col_HEALTH_ELECT_BY">Data!$BO$270</definedName>
    <definedName name="EDBE000100col_HEALTH_ELECT_CHG">Data!$CA$270</definedName>
    <definedName name="EDBE000100col_HEALTH_PERM">Data!$BB$270</definedName>
    <definedName name="EDBE000100col_HEALTH_PERM_BY">Data!$BN$270</definedName>
    <definedName name="EDBE000100col_HEALTH_PERM_CHG">Data!$BZ$270</definedName>
    <definedName name="EDBE000100col_INC_FTI">Data!$AS$270</definedName>
    <definedName name="EDBE000100col_LIFE_INS">Data!$BG$270</definedName>
    <definedName name="EDBE000100col_LIFE_INS_BY">Data!$BS$270</definedName>
    <definedName name="EDBE000100col_LIFE_INS_CHG">Data!$CE$270</definedName>
    <definedName name="EDBE000100col_RETIREMENT">Data!$BF$270</definedName>
    <definedName name="EDBE000100col_RETIREMENT_BY">Data!$BR$270</definedName>
    <definedName name="EDBE000100col_RETIREMENT_CHG">Data!$CD$270</definedName>
    <definedName name="EDBE000100col_ROWS_PER_PCN">Data!$AW$270</definedName>
    <definedName name="EDBE000100col_SICK">Data!$BK$270</definedName>
    <definedName name="EDBE000100col_SICK_BY">Data!$BW$270</definedName>
    <definedName name="EDBE000100col_SICK_CHG">Data!$CI$270</definedName>
    <definedName name="EDBE000100col_SSDI">Data!$BD$270</definedName>
    <definedName name="EDBE000100col_SSDI_BY">Data!$BP$270</definedName>
    <definedName name="EDBE000100col_SSDI_CHG">Data!$CB$270</definedName>
    <definedName name="EDBE000100col_SSHI">Data!$BE$270</definedName>
    <definedName name="EDBE000100col_SSHI_BY">Data!$BQ$270</definedName>
    <definedName name="EDBE000100col_SSHI_CHGv">Data!$CC$270</definedName>
    <definedName name="EDBE000100col_TOT_VB_ELECT">Data!$BM$270</definedName>
    <definedName name="EDBE000100col_TOT_VB_ELECT_BY">Data!$BY$270</definedName>
    <definedName name="EDBE000100col_TOT_VB_ELECT_CHG">Data!$CK$270</definedName>
    <definedName name="EDBE000100col_TOT_VB_PERM">Data!$BL$270</definedName>
    <definedName name="EDBE000100col_TOT_VB_PERM_BY">Data!$BX$270</definedName>
    <definedName name="EDBE000100col_TOT_VB_PERM_CHG">Data!$CJ$270</definedName>
    <definedName name="EDBE000100col_TOTAL_ELECT_PCN_FTI">Data!$AT$270</definedName>
    <definedName name="EDBE000100col_TOTAL_ELECT_PCN_FTI_ALT">Data!$AV$270</definedName>
    <definedName name="EDBE000100col_TOTAL_PERM_PCN_FTI">Data!$AU$270</definedName>
    <definedName name="EDBE000100col_UNEMP_INS">Data!$BH$270</definedName>
    <definedName name="EDBE000100col_UNEMP_INS_BY">Data!$BT$270</definedName>
    <definedName name="EDBE000100col_UNEMP_INS_CHG">Data!$CF$270</definedName>
    <definedName name="EDBE000100col_WORKERS_COMP">Data!$BJ$270</definedName>
    <definedName name="EDBE000100col_WORKERS_COMP_BY">Data!$BV$270</definedName>
    <definedName name="EDBE000100col_WORKERS_COMP_CHG">Data!$CH$270</definedName>
    <definedName name="EDBE032500col_1_27TH_PP">Data!$BA$276</definedName>
    <definedName name="EDBE032500col_DHR">Data!$BI$276</definedName>
    <definedName name="EDBE032500col_DHR_BY">Data!$BU$276</definedName>
    <definedName name="EDBE032500col_DHR_CHG">Data!$CG$276</definedName>
    <definedName name="EDBE032500col_FTI_SALARY_ELECT">Data!$AZ$276</definedName>
    <definedName name="EDBE032500col_FTI_SALARY_PERM">Data!$AY$276</definedName>
    <definedName name="EDBE032500col_FTI_SALARY_SSDI">Data!$AX$276</definedName>
    <definedName name="EDBE032500col_Group_Ben">Data!$CM$276</definedName>
    <definedName name="EDBE032500col_Group_Salary">Data!$CL$276</definedName>
    <definedName name="EDBE032500col_HEALTH_ELECT">Data!$BC$276</definedName>
    <definedName name="EDBE032500col_HEALTH_ELECT_BY">Data!$BO$276</definedName>
    <definedName name="EDBE032500col_HEALTH_ELECT_CHG">Data!$CA$276</definedName>
    <definedName name="EDBE032500col_HEALTH_PERM">Data!$BB$276</definedName>
    <definedName name="EDBE032500col_HEALTH_PERM_BY">Data!$BN$276</definedName>
    <definedName name="EDBE032500col_HEALTH_PERM_CHG">Data!$BZ$276</definedName>
    <definedName name="EDBE032500col_INC_FTI">Data!$AS$276</definedName>
    <definedName name="EDBE032500col_LIFE_INS">Data!$BG$276</definedName>
    <definedName name="EDBE032500col_LIFE_INS_BY">Data!$BS$276</definedName>
    <definedName name="EDBE032500col_LIFE_INS_CHG">Data!$CE$276</definedName>
    <definedName name="EDBE032500col_RETIREMENT">Data!$BF$276</definedName>
    <definedName name="EDBE032500col_RETIREMENT_BY">Data!$BR$276</definedName>
    <definedName name="EDBE032500col_RETIREMENT_CHG">Data!$CD$276</definedName>
    <definedName name="EDBE032500col_ROWS_PER_PCN">Data!$AW$276</definedName>
    <definedName name="EDBE032500col_SICK">Data!$BK$276</definedName>
    <definedName name="EDBE032500col_SICK_BY">Data!$BW$276</definedName>
    <definedName name="EDBE032500col_SICK_CHG">Data!$CI$276</definedName>
    <definedName name="EDBE032500col_SSDI">Data!$BD$276</definedName>
    <definedName name="EDBE032500col_SSDI_BY">Data!$BP$276</definedName>
    <definedName name="EDBE032500col_SSDI_CHG">Data!$CB$276</definedName>
    <definedName name="EDBE032500col_SSHI">Data!$BE$276</definedName>
    <definedName name="EDBE032500col_SSHI_BY">Data!$BQ$276</definedName>
    <definedName name="EDBE032500col_SSHI_CHGv">Data!$CC$276</definedName>
    <definedName name="EDBE032500col_TOT_VB_ELECT">Data!$BM$276</definedName>
    <definedName name="EDBE032500col_TOT_VB_ELECT_BY">Data!$BY$276</definedName>
    <definedName name="EDBE032500col_TOT_VB_ELECT_CHG">Data!$CK$276</definedName>
    <definedName name="EDBE032500col_TOT_VB_PERM">Data!$BL$276</definedName>
    <definedName name="EDBE032500col_TOT_VB_PERM_BY">Data!$BX$276</definedName>
    <definedName name="EDBE032500col_TOT_VB_PERM_CHG">Data!$CJ$276</definedName>
    <definedName name="EDBE032500col_TOTAL_ELECT_PCN_FTI">Data!$AT$276</definedName>
    <definedName name="EDBE032500col_TOTAL_ELECT_PCN_FTI_ALT">Data!$AV$276</definedName>
    <definedName name="EDBE032500col_TOTAL_PERM_PCN_FTI">Data!$AU$276</definedName>
    <definedName name="EDBE032500col_UNEMP_INS">Data!$BH$276</definedName>
    <definedName name="EDBE032500col_UNEMP_INS_BY">Data!$BT$276</definedName>
    <definedName name="EDBE032500col_UNEMP_INS_CHG">Data!$CF$276</definedName>
    <definedName name="EDBE032500col_WORKERS_COMP">Data!$BJ$276</definedName>
    <definedName name="EDBE032500col_WORKERS_COMP_BY">Data!$BV$276</definedName>
    <definedName name="EDBE032500col_WORKERS_COMP_CHG">Data!$CH$276</definedName>
    <definedName name="EDBE034400col_1_27TH_PP">Data!$BA$278</definedName>
    <definedName name="EDBE034400col_DHR">Data!$BI$278</definedName>
    <definedName name="EDBE034400col_DHR_BY">Data!$BU$278</definedName>
    <definedName name="EDBE034400col_DHR_CHG">Data!$CG$278</definedName>
    <definedName name="EDBE034400col_FTI_SALARY_ELECT">Data!$AZ$278</definedName>
    <definedName name="EDBE034400col_FTI_SALARY_PERM">Data!$AY$278</definedName>
    <definedName name="EDBE034400col_FTI_SALARY_SSDI">Data!$AX$278</definedName>
    <definedName name="EDBE034400col_Group_Ben">Data!$CM$278</definedName>
    <definedName name="EDBE034400col_Group_Salary">Data!$CL$278</definedName>
    <definedName name="EDBE034400col_HEALTH_ELECT">Data!$BC$278</definedName>
    <definedName name="EDBE034400col_HEALTH_ELECT_BY">Data!$BO$278</definedName>
    <definedName name="EDBE034400col_HEALTH_ELECT_CHG">Data!$CA$278</definedName>
    <definedName name="EDBE034400col_HEALTH_PERM">Data!$BB$278</definedName>
    <definedName name="EDBE034400col_HEALTH_PERM_BY">Data!$BN$278</definedName>
    <definedName name="EDBE034400col_HEALTH_PERM_CHG">Data!$BZ$278</definedName>
    <definedName name="EDBE034400col_INC_FTI">Data!$AS$278</definedName>
    <definedName name="EDBE034400col_LIFE_INS">Data!$BG$278</definedName>
    <definedName name="EDBE034400col_LIFE_INS_BY">Data!$BS$278</definedName>
    <definedName name="EDBE034400col_LIFE_INS_CHG">Data!$CE$278</definedName>
    <definedName name="EDBE034400col_RETIREMENT">Data!$BF$278</definedName>
    <definedName name="EDBE034400col_RETIREMENT_BY">Data!$BR$278</definedName>
    <definedName name="EDBE034400col_RETIREMENT_CHG">Data!$CD$278</definedName>
    <definedName name="EDBE034400col_ROWS_PER_PCN">Data!$AW$278</definedName>
    <definedName name="EDBE034400col_SICK">Data!$BK$278</definedName>
    <definedName name="EDBE034400col_SICK_BY">Data!$BW$278</definedName>
    <definedName name="EDBE034400col_SICK_CHG">Data!$CI$278</definedName>
    <definedName name="EDBE034400col_SSDI">Data!$BD$278</definedName>
    <definedName name="EDBE034400col_SSDI_BY">Data!$BP$278</definedName>
    <definedName name="EDBE034400col_SSDI_CHG">Data!$CB$278</definedName>
    <definedName name="EDBE034400col_SSHI">Data!$BE$278</definedName>
    <definedName name="EDBE034400col_SSHI_BY">Data!$BQ$278</definedName>
    <definedName name="EDBE034400col_SSHI_CHGv">Data!$CC$278</definedName>
    <definedName name="EDBE034400col_TOT_VB_ELECT">Data!$BM$278</definedName>
    <definedName name="EDBE034400col_TOT_VB_ELECT_BY">Data!$BY$278</definedName>
    <definedName name="EDBE034400col_TOT_VB_ELECT_CHG">Data!$CK$278</definedName>
    <definedName name="EDBE034400col_TOT_VB_PERM">Data!$BL$278</definedName>
    <definedName name="EDBE034400col_TOT_VB_PERM_BY">Data!$BX$278</definedName>
    <definedName name="EDBE034400col_TOT_VB_PERM_CHG">Data!$CJ$278</definedName>
    <definedName name="EDBE034400col_TOTAL_ELECT_PCN_FTI">Data!$AT$278</definedName>
    <definedName name="EDBE034400col_TOTAL_ELECT_PCN_FTI_ALT">Data!$AV$278</definedName>
    <definedName name="EDBE034400col_TOTAL_PERM_PCN_FTI">Data!$AU$278</definedName>
    <definedName name="EDBE034400col_UNEMP_INS">Data!$BH$278</definedName>
    <definedName name="EDBE034400col_UNEMP_INS_BY">Data!$BT$278</definedName>
    <definedName name="EDBE034400col_UNEMP_INS_CHG">Data!$CF$278</definedName>
    <definedName name="EDBE034400col_WORKERS_COMP">Data!$BJ$278</definedName>
    <definedName name="EDBE034400col_WORKERS_COMP_BY">Data!$BV$278</definedName>
    <definedName name="EDBE034400col_WORKERS_COMP_CHG">Data!$CH$278</definedName>
    <definedName name="EDBE034800col_1_27TH_PP">Data!$BA$285</definedName>
    <definedName name="EDBE034800col_DHR">Data!$BI$285</definedName>
    <definedName name="EDBE034800col_DHR_BY">Data!$BU$285</definedName>
    <definedName name="EDBE034800col_DHR_CHG">Data!$CG$285</definedName>
    <definedName name="EDBE034800col_FTI_SALARY_ELECT">Data!$AZ$285</definedName>
    <definedName name="EDBE034800col_FTI_SALARY_PERM">Data!$AY$285</definedName>
    <definedName name="EDBE034800col_FTI_SALARY_SSDI">Data!$AX$285</definedName>
    <definedName name="EDBE034800col_Group_Ben">Data!$CM$285</definedName>
    <definedName name="EDBE034800col_Group_Salary">Data!$CL$285</definedName>
    <definedName name="EDBE034800col_HEALTH_ELECT">Data!$BC$285</definedName>
    <definedName name="EDBE034800col_HEALTH_ELECT_BY">Data!$BO$285</definedName>
    <definedName name="EDBE034800col_HEALTH_ELECT_CHG">Data!$CA$285</definedName>
    <definedName name="EDBE034800col_HEALTH_PERM">Data!$BB$285</definedName>
    <definedName name="EDBE034800col_HEALTH_PERM_BY">Data!$BN$285</definedName>
    <definedName name="EDBE034800col_HEALTH_PERM_CHG">Data!$BZ$285</definedName>
    <definedName name="EDBE034800col_INC_FTI">Data!$AS$285</definedName>
    <definedName name="EDBE034800col_LIFE_INS">Data!$BG$285</definedName>
    <definedName name="EDBE034800col_LIFE_INS_BY">Data!$BS$285</definedName>
    <definedName name="EDBE034800col_LIFE_INS_CHG">Data!$CE$285</definedName>
    <definedName name="EDBE034800col_RETIREMENT">Data!$BF$285</definedName>
    <definedName name="EDBE034800col_RETIREMENT_BY">Data!$BR$285</definedName>
    <definedName name="EDBE034800col_RETIREMENT_CHG">Data!$CD$285</definedName>
    <definedName name="EDBE034800col_ROWS_PER_PCN">Data!$AW$285</definedName>
    <definedName name="EDBE034800col_SICK">Data!$BK$285</definedName>
    <definedName name="EDBE034800col_SICK_BY">Data!$BW$285</definedName>
    <definedName name="EDBE034800col_SICK_CHG">Data!$CI$285</definedName>
    <definedName name="EDBE034800col_SSDI">Data!$BD$285</definedName>
    <definedName name="EDBE034800col_SSDI_BY">Data!$BP$285</definedName>
    <definedName name="EDBE034800col_SSDI_CHG">Data!$CB$285</definedName>
    <definedName name="EDBE034800col_SSHI">Data!$BE$285</definedName>
    <definedName name="EDBE034800col_SSHI_BY">Data!$BQ$285</definedName>
    <definedName name="EDBE034800col_SSHI_CHGv">Data!$CC$285</definedName>
    <definedName name="EDBE034800col_TOT_VB_ELECT">Data!$BM$285</definedName>
    <definedName name="EDBE034800col_TOT_VB_ELECT_BY">Data!$BY$285</definedName>
    <definedName name="EDBE034800col_TOT_VB_ELECT_CHG">Data!$CK$285</definedName>
    <definedName name="EDBE034800col_TOT_VB_PERM">Data!$BL$285</definedName>
    <definedName name="EDBE034800col_TOT_VB_PERM_BY">Data!$BX$285</definedName>
    <definedName name="EDBE034800col_TOT_VB_PERM_CHG">Data!$CJ$285</definedName>
    <definedName name="EDBE034800col_TOTAL_ELECT_PCN_FTI">Data!$AT$285</definedName>
    <definedName name="EDBE034800col_TOTAL_ELECT_PCN_FTI_ALT">Data!$AV$285</definedName>
    <definedName name="EDBE034800col_TOTAL_PERM_PCN_FTI">Data!$AU$285</definedName>
    <definedName name="EDBE034800col_UNEMP_INS">Data!$BH$285</definedName>
    <definedName name="EDBE034800col_UNEMP_INS_BY">Data!$BT$285</definedName>
    <definedName name="EDBE034800col_UNEMP_INS_CHG">Data!$CF$285</definedName>
    <definedName name="EDBE034800col_WORKERS_COMP">Data!$BJ$285</definedName>
    <definedName name="EDBE034800col_WORKERS_COMP_BY">Data!$BV$285</definedName>
    <definedName name="EDBE034800col_WORKERS_COMP_CHG">Data!$CH$285</definedName>
    <definedName name="EDBE034900col_1_27TH_PP">Data!$BA$287</definedName>
    <definedName name="EDBE034900col_DHR">Data!$BI$287</definedName>
    <definedName name="EDBE034900col_DHR_BY">Data!$BU$287</definedName>
    <definedName name="EDBE034900col_DHR_CHG">Data!$CG$287</definedName>
    <definedName name="EDBE034900col_FTI_SALARY_ELECT">Data!$AZ$287</definedName>
    <definedName name="EDBE034900col_FTI_SALARY_PERM">Data!$AY$287</definedName>
    <definedName name="EDBE034900col_FTI_SALARY_SSDI">Data!$AX$287</definedName>
    <definedName name="EDBE034900col_Group_Ben">Data!$CM$287</definedName>
    <definedName name="EDBE034900col_Group_Salary">Data!$CL$287</definedName>
    <definedName name="EDBE034900col_HEALTH_ELECT">Data!$BC$287</definedName>
    <definedName name="EDBE034900col_HEALTH_ELECT_BY">Data!$BO$287</definedName>
    <definedName name="EDBE034900col_HEALTH_ELECT_CHG">Data!$CA$287</definedName>
    <definedName name="EDBE034900col_HEALTH_PERM">Data!$BB$287</definedName>
    <definedName name="EDBE034900col_HEALTH_PERM_BY">Data!$BN$287</definedName>
    <definedName name="EDBE034900col_HEALTH_PERM_CHG">Data!$BZ$287</definedName>
    <definedName name="EDBE034900col_INC_FTI">Data!$AS$287</definedName>
    <definedName name="EDBE034900col_LIFE_INS">Data!$BG$287</definedName>
    <definedName name="EDBE034900col_LIFE_INS_BY">Data!$BS$287</definedName>
    <definedName name="EDBE034900col_LIFE_INS_CHG">Data!$CE$287</definedName>
    <definedName name="EDBE034900col_RETIREMENT">Data!$BF$287</definedName>
    <definedName name="EDBE034900col_RETIREMENT_BY">Data!$BR$287</definedName>
    <definedName name="EDBE034900col_RETIREMENT_CHG">Data!$CD$287</definedName>
    <definedName name="EDBE034900col_ROWS_PER_PCN">Data!$AW$287</definedName>
    <definedName name="EDBE034900col_SICK">Data!$BK$287</definedName>
    <definedName name="EDBE034900col_SICK_BY">Data!$BW$287</definedName>
    <definedName name="EDBE034900col_SICK_CHG">Data!$CI$287</definedName>
    <definedName name="EDBE034900col_SSDI">Data!$BD$287</definedName>
    <definedName name="EDBE034900col_SSDI_BY">Data!$BP$287</definedName>
    <definedName name="EDBE034900col_SSDI_CHG">Data!$CB$287</definedName>
    <definedName name="EDBE034900col_SSHI">Data!$BE$287</definedName>
    <definedName name="EDBE034900col_SSHI_BY">Data!$BQ$287</definedName>
    <definedName name="EDBE034900col_SSHI_CHGv">Data!$CC$287</definedName>
    <definedName name="EDBE034900col_TOT_VB_ELECT">Data!$BM$287</definedName>
    <definedName name="EDBE034900col_TOT_VB_ELECT_BY">Data!$BY$287</definedName>
    <definedName name="EDBE034900col_TOT_VB_ELECT_CHG">Data!$CK$287</definedName>
    <definedName name="EDBE034900col_TOT_VB_PERM">Data!$BL$287</definedName>
    <definedName name="EDBE034900col_TOT_VB_PERM_BY">Data!$BX$287</definedName>
    <definedName name="EDBE034900col_TOT_VB_PERM_CHG">Data!$CJ$287</definedName>
    <definedName name="EDBE034900col_TOTAL_ELECT_PCN_FTI">Data!$AT$287</definedName>
    <definedName name="EDBE034900col_TOTAL_ELECT_PCN_FTI_ALT">Data!$AV$287</definedName>
    <definedName name="EDBE034900col_TOTAL_PERM_PCN_FTI">Data!$AU$287</definedName>
    <definedName name="EDBE034900col_UNEMP_INS">Data!$BH$287</definedName>
    <definedName name="EDBE034900col_UNEMP_INS_BY">Data!$BT$287</definedName>
    <definedName name="EDBE034900col_UNEMP_INS_CHG">Data!$CF$287</definedName>
    <definedName name="EDBE034900col_WORKERS_COMP">Data!$BJ$287</definedName>
    <definedName name="EDBE034900col_WORKERS_COMP_BY">Data!$BV$287</definedName>
    <definedName name="EDBE034900col_WORKERS_COMP_CHG">Data!$CH$287</definedName>
    <definedName name="EDBG012500col_1_27TH_PP">Data!$BA$289</definedName>
    <definedName name="EDBG012500col_DHR">Data!$BI$289</definedName>
    <definedName name="EDBG012500col_DHR_BY">Data!$BU$289</definedName>
    <definedName name="EDBG012500col_DHR_CHG">Data!$CG$289</definedName>
    <definedName name="EDBG012500col_FTI_SALARY_ELECT">Data!$AZ$289</definedName>
    <definedName name="EDBG012500col_FTI_SALARY_PERM">Data!$AY$289</definedName>
    <definedName name="EDBG012500col_FTI_SALARY_SSDI">Data!$AX$289</definedName>
    <definedName name="EDBG012500col_Group_Ben">Data!$CM$289</definedName>
    <definedName name="EDBG012500col_Group_Salary">Data!$CL$289</definedName>
    <definedName name="EDBG012500col_HEALTH_ELECT">Data!$BC$289</definedName>
    <definedName name="EDBG012500col_HEALTH_ELECT_BY">Data!$BO$289</definedName>
    <definedName name="EDBG012500col_HEALTH_ELECT_CHG">Data!$CA$289</definedName>
    <definedName name="EDBG012500col_HEALTH_PERM">Data!$BB$289</definedName>
    <definedName name="EDBG012500col_HEALTH_PERM_BY">Data!$BN$289</definedName>
    <definedName name="EDBG012500col_HEALTH_PERM_CHG">Data!$BZ$289</definedName>
    <definedName name="EDBG012500col_INC_FTI">Data!$AS$289</definedName>
    <definedName name="EDBG012500col_LIFE_INS">Data!$BG$289</definedName>
    <definedName name="EDBG012500col_LIFE_INS_BY">Data!$BS$289</definedName>
    <definedName name="EDBG012500col_LIFE_INS_CHG">Data!$CE$289</definedName>
    <definedName name="EDBG012500col_RETIREMENT">Data!$BF$289</definedName>
    <definedName name="EDBG012500col_RETIREMENT_BY">Data!$BR$289</definedName>
    <definedName name="EDBG012500col_RETIREMENT_CHG">Data!$CD$289</definedName>
    <definedName name="EDBG012500col_ROWS_PER_PCN">Data!$AW$289</definedName>
    <definedName name="EDBG012500col_SICK">Data!$BK$289</definedName>
    <definedName name="EDBG012500col_SICK_BY">Data!$BW$289</definedName>
    <definedName name="EDBG012500col_SICK_CHG">Data!$CI$289</definedName>
    <definedName name="EDBG012500col_SSDI">Data!$BD$289</definedName>
    <definedName name="EDBG012500col_SSDI_BY">Data!$BP$289</definedName>
    <definedName name="EDBG012500col_SSDI_CHG">Data!$CB$289</definedName>
    <definedName name="EDBG012500col_SSHI">Data!$BE$289</definedName>
    <definedName name="EDBG012500col_SSHI_BY">Data!$BQ$289</definedName>
    <definedName name="EDBG012500col_SSHI_CHGv">Data!$CC$289</definedName>
    <definedName name="EDBG012500col_TOT_VB_ELECT">Data!$BM$289</definedName>
    <definedName name="EDBG012500col_TOT_VB_ELECT_BY">Data!$BY$289</definedName>
    <definedName name="EDBG012500col_TOT_VB_ELECT_CHG">Data!$CK$289</definedName>
    <definedName name="EDBG012500col_TOT_VB_PERM">Data!$BL$289</definedName>
    <definedName name="EDBG012500col_TOT_VB_PERM_BY">Data!$BX$289</definedName>
    <definedName name="EDBG012500col_TOT_VB_PERM_CHG">Data!$CJ$289</definedName>
    <definedName name="EDBG012500col_TOTAL_ELECT_PCN_FTI">Data!$AT$289</definedName>
    <definedName name="EDBG012500col_TOTAL_ELECT_PCN_FTI_ALT">Data!$AV$289</definedName>
    <definedName name="EDBG012500col_TOTAL_PERM_PCN_FTI">Data!$AU$289</definedName>
    <definedName name="EDBG012500col_UNEMP_INS">Data!$BH$289</definedName>
    <definedName name="EDBG012500col_UNEMP_INS_BY">Data!$BT$289</definedName>
    <definedName name="EDBG012500col_UNEMP_INS_CHG">Data!$CF$289</definedName>
    <definedName name="EDBG012500col_WORKERS_COMP">Data!$BJ$289</definedName>
    <definedName name="EDBG012500col_WORKERS_COMP_BY">Data!$BV$289</definedName>
    <definedName name="EDBG012500col_WORKERS_COMP_CHG">Data!$CH$289</definedName>
    <definedName name="EDBG031900col_1_27TH_PP">Data!$BA$291</definedName>
    <definedName name="EDBG031900col_DHR">Data!$BI$291</definedName>
    <definedName name="EDBG031900col_DHR_BY">Data!$BU$291</definedName>
    <definedName name="EDBG031900col_DHR_CHG">Data!$CG$291</definedName>
    <definedName name="EDBG031900col_FTI_SALARY_ELECT">Data!$AZ$291</definedName>
    <definedName name="EDBG031900col_FTI_SALARY_PERM">Data!$AY$291</definedName>
    <definedName name="EDBG031900col_FTI_SALARY_SSDI">Data!$AX$291</definedName>
    <definedName name="EDBG031900col_Group_Ben">Data!$CM$291</definedName>
    <definedName name="EDBG031900col_Group_Salary">Data!$CL$291</definedName>
    <definedName name="EDBG031900col_HEALTH_ELECT">Data!$BC$291</definedName>
    <definedName name="EDBG031900col_HEALTH_ELECT_BY">Data!$BO$291</definedName>
    <definedName name="EDBG031900col_HEALTH_ELECT_CHG">Data!$CA$291</definedName>
    <definedName name="EDBG031900col_HEALTH_PERM">Data!$BB$291</definedName>
    <definedName name="EDBG031900col_HEALTH_PERM_BY">Data!$BN$291</definedName>
    <definedName name="EDBG031900col_HEALTH_PERM_CHG">Data!$BZ$291</definedName>
    <definedName name="EDBG031900col_INC_FTI">Data!$AS$291</definedName>
    <definedName name="EDBG031900col_LIFE_INS">Data!$BG$291</definedName>
    <definedName name="EDBG031900col_LIFE_INS_BY">Data!$BS$291</definedName>
    <definedName name="EDBG031900col_LIFE_INS_CHG">Data!$CE$291</definedName>
    <definedName name="EDBG031900col_RETIREMENT">Data!$BF$291</definedName>
    <definedName name="EDBG031900col_RETIREMENT_BY">Data!$BR$291</definedName>
    <definedName name="EDBG031900col_RETIREMENT_CHG">Data!$CD$291</definedName>
    <definedName name="EDBG031900col_ROWS_PER_PCN">Data!$AW$291</definedName>
    <definedName name="EDBG031900col_SICK">Data!$BK$291</definedName>
    <definedName name="EDBG031900col_SICK_BY">Data!$BW$291</definedName>
    <definedName name="EDBG031900col_SICK_CHG">Data!$CI$291</definedName>
    <definedName name="EDBG031900col_SSDI">Data!$BD$291</definedName>
    <definedName name="EDBG031900col_SSDI_BY">Data!$BP$291</definedName>
    <definedName name="EDBG031900col_SSDI_CHG">Data!$CB$291</definedName>
    <definedName name="EDBG031900col_SSHI">Data!$BE$291</definedName>
    <definedName name="EDBG031900col_SSHI_BY">Data!$BQ$291</definedName>
    <definedName name="EDBG031900col_SSHI_CHGv">Data!$CC$291</definedName>
    <definedName name="EDBG031900col_TOT_VB_ELECT">Data!$BM$291</definedName>
    <definedName name="EDBG031900col_TOT_VB_ELECT_BY">Data!$BY$291</definedName>
    <definedName name="EDBG031900col_TOT_VB_ELECT_CHG">Data!$CK$291</definedName>
    <definedName name="EDBG031900col_TOT_VB_PERM">Data!$BL$291</definedName>
    <definedName name="EDBG031900col_TOT_VB_PERM_BY">Data!$BX$291</definedName>
    <definedName name="EDBG031900col_TOT_VB_PERM_CHG">Data!$CJ$291</definedName>
    <definedName name="EDBG031900col_TOTAL_ELECT_PCN_FTI">Data!$AT$291</definedName>
    <definedName name="EDBG031900col_TOTAL_ELECT_PCN_FTI_ALT">Data!$AV$291</definedName>
    <definedName name="EDBG031900col_TOTAL_PERM_PCN_FTI">Data!$AU$291</definedName>
    <definedName name="EDBG031900col_UNEMP_INS">Data!$BH$291</definedName>
    <definedName name="EDBG031900col_UNEMP_INS_BY">Data!$BT$291</definedName>
    <definedName name="EDBG031900col_UNEMP_INS_CHG">Data!$CF$291</definedName>
    <definedName name="EDBG031900col_WORKERS_COMP">Data!$BJ$291</definedName>
    <definedName name="EDBG031900col_WORKERS_COMP_BY">Data!$BV$291</definedName>
    <definedName name="EDBG031900col_WORKERS_COMP_CHG">Data!$CH$291</definedName>
    <definedName name="EDBG034500col_1_27TH_PP">Data!$BA$293</definedName>
    <definedName name="EDBG034500col_DHR">Data!$BI$293</definedName>
    <definedName name="EDBG034500col_DHR_BY">Data!$BU$293</definedName>
    <definedName name="EDBG034500col_DHR_CHG">Data!$CG$293</definedName>
    <definedName name="EDBG034500col_FTI_SALARY_ELECT">Data!$AZ$293</definedName>
    <definedName name="EDBG034500col_FTI_SALARY_PERM">Data!$AY$293</definedName>
    <definedName name="EDBG034500col_FTI_SALARY_SSDI">Data!$AX$293</definedName>
    <definedName name="EDBG034500col_Group_Ben">Data!$CM$293</definedName>
    <definedName name="EDBG034500col_Group_Salary">Data!$CL$293</definedName>
    <definedName name="EDBG034500col_HEALTH_ELECT">Data!$BC$293</definedName>
    <definedName name="EDBG034500col_HEALTH_ELECT_BY">Data!$BO$293</definedName>
    <definedName name="EDBG034500col_HEALTH_ELECT_CHG">Data!$CA$293</definedName>
    <definedName name="EDBG034500col_HEALTH_PERM">Data!$BB$293</definedName>
    <definedName name="EDBG034500col_HEALTH_PERM_BY">Data!$BN$293</definedName>
    <definedName name="EDBG034500col_HEALTH_PERM_CHG">Data!$BZ$293</definedName>
    <definedName name="EDBG034500col_INC_FTI">Data!$AS$293</definedName>
    <definedName name="EDBG034500col_LIFE_INS">Data!$BG$293</definedName>
    <definedName name="EDBG034500col_LIFE_INS_BY">Data!$BS$293</definedName>
    <definedName name="EDBG034500col_LIFE_INS_CHG">Data!$CE$293</definedName>
    <definedName name="EDBG034500col_RETIREMENT">Data!$BF$293</definedName>
    <definedName name="EDBG034500col_RETIREMENT_BY">Data!$BR$293</definedName>
    <definedName name="EDBG034500col_RETIREMENT_CHG">Data!$CD$293</definedName>
    <definedName name="EDBG034500col_ROWS_PER_PCN">Data!$AW$293</definedName>
    <definedName name="EDBG034500col_SICK">Data!$BK$293</definedName>
    <definedName name="EDBG034500col_SICK_BY">Data!$BW$293</definedName>
    <definedName name="EDBG034500col_SICK_CHG">Data!$CI$293</definedName>
    <definedName name="EDBG034500col_SSDI">Data!$BD$293</definedName>
    <definedName name="EDBG034500col_SSDI_BY">Data!$BP$293</definedName>
    <definedName name="EDBG034500col_SSDI_CHG">Data!$CB$293</definedName>
    <definedName name="EDBG034500col_SSHI">Data!$BE$293</definedName>
    <definedName name="EDBG034500col_SSHI_BY">Data!$BQ$293</definedName>
    <definedName name="EDBG034500col_SSHI_CHGv">Data!$CC$293</definedName>
    <definedName name="EDBG034500col_TOT_VB_ELECT">Data!$BM$293</definedName>
    <definedName name="EDBG034500col_TOT_VB_ELECT_BY">Data!$BY$293</definedName>
    <definedName name="EDBG034500col_TOT_VB_ELECT_CHG">Data!$CK$293</definedName>
    <definedName name="EDBG034500col_TOT_VB_PERM">Data!$BL$293</definedName>
    <definedName name="EDBG034500col_TOT_VB_PERM_BY">Data!$BX$293</definedName>
    <definedName name="EDBG034500col_TOT_VB_PERM_CHG">Data!$CJ$293</definedName>
    <definedName name="EDBG034500col_TOTAL_ELECT_PCN_FTI">Data!$AT$293</definedName>
    <definedName name="EDBG034500col_TOTAL_ELECT_PCN_FTI_ALT">Data!$AV$293</definedName>
    <definedName name="EDBG034500col_TOTAL_PERM_PCN_FTI">Data!$AU$293</definedName>
    <definedName name="EDBG034500col_UNEMP_INS">Data!$BH$293</definedName>
    <definedName name="EDBG034500col_UNEMP_INS_BY">Data!$BT$293</definedName>
    <definedName name="EDBG034500col_UNEMP_INS_CHG">Data!$CF$293</definedName>
    <definedName name="EDBG034500col_WORKERS_COMP">Data!$BJ$293</definedName>
    <definedName name="EDBG034500col_WORKERS_COMP_BY">Data!$BV$293</definedName>
    <definedName name="EDBG034500col_WORKERS_COMP_CHG">Data!$CH$293</definedName>
    <definedName name="EDBG048101col_1_27TH_PP">Data!$BA$295</definedName>
    <definedName name="EDBG048101col_DHR">Data!$BI$295</definedName>
    <definedName name="EDBG048101col_DHR_BY">Data!$BU$295</definedName>
    <definedName name="EDBG048101col_DHR_CHG">Data!$CG$295</definedName>
    <definedName name="EDBG048101col_FTI_SALARY_ELECT">Data!$AZ$295</definedName>
    <definedName name="EDBG048101col_FTI_SALARY_PERM">Data!$AY$295</definedName>
    <definedName name="EDBG048101col_FTI_SALARY_SSDI">Data!$AX$295</definedName>
    <definedName name="EDBG048101col_Group_Ben">Data!$CM$295</definedName>
    <definedName name="EDBG048101col_Group_Salary">Data!$CL$295</definedName>
    <definedName name="EDBG048101col_HEALTH_ELECT">Data!$BC$295</definedName>
    <definedName name="EDBG048101col_HEALTH_ELECT_BY">Data!$BO$295</definedName>
    <definedName name="EDBG048101col_HEALTH_ELECT_CHG">Data!$CA$295</definedName>
    <definedName name="EDBG048101col_HEALTH_PERM">Data!$BB$295</definedName>
    <definedName name="EDBG048101col_HEALTH_PERM_BY">Data!$BN$295</definedName>
    <definedName name="EDBG048101col_HEALTH_PERM_CHG">Data!$BZ$295</definedName>
    <definedName name="EDBG048101col_INC_FTI">Data!$AS$295</definedName>
    <definedName name="EDBG048101col_LIFE_INS">Data!$BG$295</definedName>
    <definedName name="EDBG048101col_LIFE_INS_BY">Data!$BS$295</definedName>
    <definedName name="EDBG048101col_LIFE_INS_CHG">Data!$CE$295</definedName>
    <definedName name="EDBG048101col_RETIREMENT">Data!$BF$295</definedName>
    <definedName name="EDBG048101col_RETIREMENT_BY">Data!$BR$295</definedName>
    <definedName name="EDBG048101col_RETIREMENT_CHG">Data!$CD$295</definedName>
    <definedName name="EDBG048101col_ROWS_PER_PCN">Data!$AW$295</definedName>
    <definedName name="EDBG048101col_SICK">Data!$BK$295</definedName>
    <definedName name="EDBG048101col_SICK_BY">Data!$BW$295</definedName>
    <definedName name="EDBG048101col_SICK_CHG">Data!$CI$295</definedName>
    <definedName name="EDBG048101col_SSDI">Data!$BD$295</definedName>
    <definedName name="EDBG048101col_SSDI_BY">Data!$BP$295</definedName>
    <definedName name="EDBG048101col_SSDI_CHG">Data!$CB$295</definedName>
    <definedName name="EDBG048101col_SSHI">Data!$BE$295</definedName>
    <definedName name="EDBG048101col_SSHI_BY">Data!$BQ$295</definedName>
    <definedName name="EDBG048101col_SSHI_CHGv">Data!$CC$295</definedName>
    <definedName name="EDBG048101col_TOT_VB_ELECT">Data!$BM$295</definedName>
    <definedName name="EDBG048101col_TOT_VB_ELECT_BY">Data!$BY$295</definedName>
    <definedName name="EDBG048101col_TOT_VB_ELECT_CHG">Data!$CK$295</definedName>
    <definedName name="EDBG048101col_TOT_VB_PERM">Data!$BL$295</definedName>
    <definedName name="EDBG048101col_TOT_VB_PERM_BY">Data!$BX$295</definedName>
    <definedName name="EDBG048101col_TOT_VB_PERM_CHG">Data!$CJ$295</definedName>
    <definedName name="EDBG048101col_TOTAL_ELECT_PCN_FTI">Data!$AT$295</definedName>
    <definedName name="EDBG048101col_TOTAL_ELECT_PCN_FTI_ALT">Data!$AV$295</definedName>
    <definedName name="EDBG048101col_TOTAL_PERM_PCN_FTI">Data!$AU$295</definedName>
    <definedName name="EDBG048101col_UNEMP_INS">Data!$BH$295</definedName>
    <definedName name="EDBG048101col_UNEMP_INS_BY">Data!$BT$295</definedName>
    <definedName name="EDBG048101col_UNEMP_INS_CHG">Data!$CF$295</definedName>
    <definedName name="EDBG048101col_WORKERS_COMP">Data!$BJ$295</definedName>
    <definedName name="EDBG048101col_WORKERS_COMP_BY">Data!$BV$295</definedName>
    <definedName name="EDBG048101col_WORKERS_COMP_CHG">Data!$CH$295</definedName>
    <definedName name="EDBG048110col_1_27TH_PP">Data!$BA$297</definedName>
    <definedName name="EDBG048110col_DHR">Data!$BI$297</definedName>
    <definedName name="EDBG048110col_DHR_BY">Data!$BU$297</definedName>
    <definedName name="EDBG048110col_DHR_CHG">Data!$CG$297</definedName>
    <definedName name="EDBG048110col_FTI_SALARY_ELECT">Data!$AZ$297</definedName>
    <definedName name="EDBG048110col_FTI_SALARY_PERM">Data!$AY$297</definedName>
    <definedName name="EDBG048110col_FTI_SALARY_SSDI">Data!$AX$297</definedName>
    <definedName name="EDBG048110col_Group_Ben">Data!$CM$297</definedName>
    <definedName name="EDBG048110col_Group_Salary">Data!$CL$297</definedName>
    <definedName name="EDBG048110col_HEALTH_ELECT">Data!$BC$297</definedName>
    <definedName name="EDBG048110col_HEALTH_ELECT_BY">Data!$BO$297</definedName>
    <definedName name="EDBG048110col_HEALTH_ELECT_CHG">Data!$CA$297</definedName>
    <definedName name="EDBG048110col_HEALTH_PERM">Data!$BB$297</definedName>
    <definedName name="EDBG048110col_HEALTH_PERM_BY">Data!$BN$297</definedName>
    <definedName name="EDBG048110col_HEALTH_PERM_CHG">Data!$BZ$297</definedName>
    <definedName name="EDBG048110col_INC_FTI">Data!$AS$297</definedName>
    <definedName name="EDBG048110col_LIFE_INS">Data!$BG$297</definedName>
    <definedName name="EDBG048110col_LIFE_INS_BY">Data!$BS$297</definedName>
    <definedName name="EDBG048110col_LIFE_INS_CHG">Data!$CE$297</definedName>
    <definedName name="EDBG048110col_RETIREMENT">Data!$BF$297</definedName>
    <definedName name="EDBG048110col_RETIREMENT_BY">Data!$BR$297</definedName>
    <definedName name="EDBG048110col_RETIREMENT_CHG">Data!$CD$297</definedName>
    <definedName name="EDBG048110col_ROWS_PER_PCN">Data!$AW$297</definedName>
    <definedName name="EDBG048110col_SICK">Data!$BK$297</definedName>
    <definedName name="EDBG048110col_SICK_BY">Data!$BW$297</definedName>
    <definedName name="EDBG048110col_SICK_CHG">Data!$CI$297</definedName>
    <definedName name="EDBG048110col_SSDI">Data!$BD$297</definedName>
    <definedName name="EDBG048110col_SSDI_BY">Data!$BP$297</definedName>
    <definedName name="EDBG048110col_SSDI_CHG">Data!$CB$297</definedName>
    <definedName name="EDBG048110col_SSHI">Data!$BE$297</definedName>
    <definedName name="EDBG048110col_SSHI_BY">Data!$BQ$297</definedName>
    <definedName name="EDBG048110col_SSHI_CHGv">Data!$CC$297</definedName>
    <definedName name="EDBG048110col_TOT_VB_ELECT">Data!$BM$297</definedName>
    <definedName name="EDBG048110col_TOT_VB_ELECT_BY">Data!$BY$297</definedName>
    <definedName name="EDBG048110col_TOT_VB_ELECT_CHG">Data!$CK$297</definedName>
    <definedName name="EDBG048110col_TOT_VB_PERM">Data!$BL$297</definedName>
    <definedName name="EDBG048110col_TOT_VB_PERM_BY">Data!$BX$297</definedName>
    <definedName name="EDBG048110col_TOT_VB_PERM_CHG">Data!$CJ$297</definedName>
    <definedName name="EDBG048110col_TOTAL_ELECT_PCN_FTI">Data!$AT$297</definedName>
    <definedName name="EDBG048110col_TOTAL_ELECT_PCN_FTI_ALT">Data!$AV$297</definedName>
    <definedName name="EDBG048110col_TOTAL_PERM_PCN_FTI">Data!$AU$297</definedName>
    <definedName name="EDBG048110col_UNEMP_INS">Data!$BH$297</definedName>
    <definedName name="EDBG048110col_UNEMP_INS_BY">Data!$BT$297</definedName>
    <definedName name="EDBG048110col_UNEMP_INS_CHG">Data!$CF$297</definedName>
    <definedName name="EDBG048110col_WORKERS_COMP">Data!$BJ$297</definedName>
    <definedName name="EDBG048110col_WORKERS_COMP_BY">Data!$BV$297</definedName>
    <definedName name="EDBG048110col_WORKERS_COMP_CHG">Data!$CH$297</definedName>
    <definedName name="EDBG048154col_1_27TH_PP">Data!$BA$299</definedName>
    <definedName name="EDBG048154col_DHR">Data!$BI$299</definedName>
    <definedName name="EDBG048154col_DHR_BY">Data!$BU$299</definedName>
    <definedName name="EDBG048154col_DHR_CHG">Data!$CG$299</definedName>
    <definedName name="EDBG048154col_FTI_SALARY_ELECT">Data!$AZ$299</definedName>
    <definedName name="EDBG048154col_FTI_SALARY_PERM">Data!$AY$299</definedName>
    <definedName name="EDBG048154col_FTI_SALARY_SSDI">Data!$AX$299</definedName>
    <definedName name="EDBG048154col_Group_Ben">Data!$CM$299</definedName>
    <definedName name="EDBG048154col_Group_Salary">Data!$CL$299</definedName>
    <definedName name="EDBG048154col_HEALTH_ELECT">Data!$BC$299</definedName>
    <definedName name="EDBG048154col_HEALTH_ELECT_BY">Data!$BO$299</definedName>
    <definedName name="EDBG048154col_HEALTH_ELECT_CHG">Data!$CA$299</definedName>
    <definedName name="EDBG048154col_HEALTH_PERM">Data!$BB$299</definedName>
    <definedName name="EDBG048154col_HEALTH_PERM_BY">Data!$BN$299</definedName>
    <definedName name="EDBG048154col_HEALTH_PERM_CHG">Data!$BZ$299</definedName>
    <definedName name="EDBG048154col_INC_FTI">Data!$AS$299</definedName>
    <definedName name="EDBG048154col_LIFE_INS">Data!$BG$299</definedName>
    <definedName name="EDBG048154col_LIFE_INS_BY">Data!$BS$299</definedName>
    <definedName name="EDBG048154col_LIFE_INS_CHG">Data!$CE$299</definedName>
    <definedName name="EDBG048154col_RETIREMENT">Data!$BF$299</definedName>
    <definedName name="EDBG048154col_RETIREMENT_BY">Data!$BR$299</definedName>
    <definedName name="EDBG048154col_RETIREMENT_CHG">Data!$CD$299</definedName>
    <definedName name="EDBG048154col_ROWS_PER_PCN">Data!$AW$299</definedName>
    <definedName name="EDBG048154col_SICK">Data!$BK$299</definedName>
    <definedName name="EDBG048154col_SICK_BY">Data!$BW$299</definedName>
    <definedName name="EDBG048154col_SICK_CHG">Data!$CI$299</definedName>
    <definedName name="EDBG048154col_SSDI">Data!$BD$299</definedName>
    <definedName name="EDBG048154col_SSDI_BY">Data!$BP$299</definedName>
    <definedName name="EDBG048154col_SSDI_CHG">Data!$CB$299</definedName>
    <definedName name="EDBG048154col_SSHI">Data!$BE$299</definedName>
    <definedName name="EDBG048154col_SSHI_BY">Data!$BQ$299</definedName>
    <definedName name="EDBG048154col_SSHI_CHGv">Data!$CC$299</definedName>
    <definedName name="EDBG048154col_TOT_VB_ELECT">Data!$BM$299</definedName>
    <definedName name="EDBG048154col_TOT_VB_ELECT_BY">Data!$BY$299</definedName>
    <definedName name="EDBG048154col_TOT_VB_ELECT_CHG">Data!$CK$299</definedName>
    <definedName name="EDBG048154col_TOT_VB_PERM">Data!$BL$299</definedName>
    <definedName name="EDBG048154col_TOT_VB_PERM_BY">Data!$BX$299</definedName>
    <definedName name="EDBG048154col_TOT_VB_PERM_CHG">Data!$CJ$299</definedName>
    <definedName name="EDBG048154col_TOTAL_ELECT_PCN_FTI">Data!$AT$299</definedName>
    <definedName name="EDBG048154col_TOTAL_ELECT_PCN_FTI_ALT">Data!$AV$299</definedName>
    <definedName name="EDBG048154col_TOTAL_PERM_PCN_FTI">Data!$AU$299</definedName>
    <definedName name="EDBG048154col_UNEMP_INS">Data!$BH$299</definedName>
    <definedName name="EDBG048154col_UNEMP_INS_BY">Data!$BT$299</definedName>
    <definedName name="EDBG048154col_UNEMP_INS_CHG">Data!$CF$299</definedName>
    <definedName name="EDBG048154col_WORKERS_COMP">Data!$BJ$299</definedName>
    <definedName name="EDBG048154col_WORKERS_COMP_BY">Data!$BV$299</definedName>
    <definedName name="EDBG048154col_WORKERS_COMP_CHG">Data!$CH$299</definedName>
    <definedName name="Elect_chg_health" localSheetId="1">'EDBC|0125-00'!$L$12</definedName>
    <definedName name="Elect_chg_health" localSheetId="0">'EDBD|0001-00'!$L$12</definedName>
    <definedName name="Elect_chg_health" localSheetId="2">'EDBD|0325-00'!$L$12</definedName>
    <definedName name="Elect_chg_health" localSheetId="3">'EDBE|0001-00'!$L$12</definedName>
    <definedName name="Elect_chg_health" localSheetId="6">'EDBE|0325-00'!$L$12</definedName>
    <definedName name="Elect_chg_health" localSheetId="10">'EDBE|0344-00'!$L$12</definedName>
    <definedName name="Elect_chg_health" localSheetId="12">'EDBE|0348-00'!$L$12</definedName>
    <definedName name="Elect_chg_health" localSheetId="7">'EDBE|0349-00'!$L$12</definedName>
    <definedName name="Elect_chg_health" localSheetId="4">'EDBG|0125-00'!$L$12</definedName>
    <definedName name="Elect_chg_health" localSheetId="5">'EDBG|0319-00'!$L$12</definedName>
    <definedName name="Elect_chg_health" localSheetId="11">'EDBG|0345-00'!$L$12</definedName>
    <definedName name="Elect_chg_health" localSheetId="8">'EDBG|0481-10'!$L$12</definedName>
    <definedName name="Elect_chg_health" localSheetId="9">'EDBG|0481-54'!$L$12</definedName>
    <definedName name="Elect_chg_health">'B6'!$L$12</definedName>
    <definedName name="Elect_chg_Var" localSheetId="1">'EDBC|0125-00'!$M$12</definedName>
    <definedName name="Elect_chg_Var" localSheetId="0">'EDBD|0001-00'!$M$12</definedName>
    <definedName name="Elect_chg_Var" localSheetId="2">'EDBD|0325-00'!$M$12</definedName>
    <definedName name="Elect_chg_Var" localSheetId="3">'EDBE|0001-00'!$M$12</definedName>
    <definedName name="Elect_chg_Var" localSheetId="6">'EDBE|0325-00'!$M$12</definedName>
    <definedName name="Elect_chg_Var" localSheetId="10">'EDBE|0344-00'!$M$12</definedName>
    <definedName name="Elect_chg_Var" localSheetId="12">'EDBE|0348-00'!$M$12</definedName>
    <definedName name="Elect_chg_Var" localSheetId="7">'EDBE|0349-00'!$M$12</definedName>
    <definedName name="Elect_chg_Var" localSheetId="4">'EDBG|0125-00'!$M$12</definedName>
    <definedName name="Elect_chg_Var" localSheetId="5">'EDBG|0319-00'!$M$12</definedName>
    <definedName name="Elect_chg_Var" localSheetId="11">'EDBG|0345-00'!$M$12</definedName>
    <definedName name="Elect_chg_Var" localSheetId="8">'EDBG|0481-10'!$M$12</definedName>
    <definedName name="Elect_chg_Var" localSheetId="9">'EDBG|0481-54'!$M$12</definedName>
    <definedName name="Elect_chg_Var">'B6'!$M$12</definedName>
    <definedName name="elect_FTP" localSheetId="1">'EDBC|0125-00'!$F$12</definedName>
    <definedName name="elect_FTP" localSheetId="0">'EDBD|0001-00'!$F$12</definedName>
    <definedName name="elect_FTP" localSheetId="2">'EDBD|0325-00'!$F$12</definedName>
    <definedName name="elect_FTP" localSheetId="3">'EDBE|0001-00'!$F$12</definedName>
    <definedName name="elect_FTP" localSheetId="6">'EDBE|0325-00'!$F$12</definedName>
    <definedName name="elect_FTP" localSheetId="10">'EDBE|0344-00'!$F$12</definedName>
    <definedName name="elect_FTP" localSheetId="12">'EDBE|0348-00'!$F$12</definedName>
    <definedName name="elect_FTP" localSheetId="7">'EDBE|0349-00'!$F$12</definedName>
    <definedName name="elect_FTP" localSheetId="4">'EDBG|0125-00'!$F$12</definedName>
    <definedName name="elect_FTP" localSheetId="5">'EDBG|0319-00'!$F$12</definedName>
    <definedName name="elect_FTP" localSheetId="11">'EDBG|0345-00'!$F$12</definedName>
    <definedName name="elect_FTP" localSheetId="8">'EDBG|0481-10'!$F$12</definedName>
    <definedName name="elect_FTP" localSheetId="9">'EDBG|0481-54'!$F$12</definedName>
    <definedName name="elect_FTP">'B6'!$F$12</definedName>
    <definedName name="Elect_health" localSheetId="1">'EDBC|0125-00'!$H$12</definedName>
    <definedName name="Elect_health" localSheetId="0">'EDBD|0001-00'!$H$12</definedName>
    <definedName name="Elect_health" localSheetId="2">'EDBD|0325-00'!$H$12</definedName>
    <definedName name="Elect_health" localSheetId="3">'EDBE|0001-00'!$H$12</definedName>
    <definedName name="Elect_health" localSheetId="6">'EDBE|0325-00'!$H$12</definedName>
    <definedName name="Elect_health" localSheetId="10">'EDBE|0344-00'!$H$12</definedName>
    <definedName name="Elect_health" localSheetId="12">'EDBE|0348-00'!$H$12</definedName>
    <definedName name="Elect_health" localSheetId="7">'EDBE|0349-00'!$H$12</definedName>
    <definedName name="Elect_health" localSheetId="4">'EDBG|0125-00'!$H$12</definedName>
    <definedName name="Elect_health" localSheetId="5">'EDBG|0319-00'!$H$12</definedName>
    <definedName name="Elect_health" localSheetId="11">'EDBG|0345-00'!$H$12</definedName>
    <definedName name="Elect_health" localSheetId="8">'EDBG|0481-10'!$H$12</definedName>
    <definedName name="Elect_health" localSheetId="9">'EDBG|0481-54'!$H$12</definedName>
    <definedName name="Elect_health">'B6'!$H$12</definedName>
    <definedName name="Elect_name" localSheetId="1">'EDBC|0125-00'!$C$12</definedName>
    <definedName name="Elect_name" localSheetId="0">'EDBD|0001-00'!$C$12</definedName>
    <definedName name="Elect_name" localSheetId="2">'EDBD|0325-00'!$C$12</definedName>
    <definedName name="Elect_name" localSheetId="3">'EDBE|0001-00'!$C$12</definedName>
    <definedName name="Elect_name" localSheetId="6">'EDBE|0325-00'!$C$12</definedName>
    <definedName name="Elect_name" localSheetId="10">'EDBE|0344-00'!$C$12</definedName>
    <definedName name="Elect_name" localSheetId="12">'EDBE|0348-00'!$C$12</definedName>
    <definedName name="Elect_name" localSheetId="7">'EDBE|0349-00'!$C$12</definedName>
    <definedName name="Elect_name" localSheetId="4">'EDBG|0125-00'!$C$12</definedName>
    <definedName name="Elect_name" localSheetId="5">'EDBG|0319-00'!$C$12</definedName>
    <definedName name="Elect_name" localSheetId="11">'EDBG|0345-00'!$C$12</definedName>
    <definedName name="Elect_name" localSheetId="8">'EDBG|0481-10'!$C$12</definedName>
    <definedName name="Elect_name" localSheetId="9">'EDBG|0481-54'!$C$12</definedName>
    <definedName name="Elect_name">'B6'!$C$12</definedName>
    <definedName name="Elect_salary" localSheetId="1">'EDBC|0125-00'!$G$12</definedName>
    <definedName name="Elect_salary" localSheetId="0">'EDBD|0001-00'!$G$12</definedName>
    <definedName name="Elect_salary" localSheetId="2">'EDBD|0325-00'!$G$12</definedName>
    <definedName name="Elect_salary" localSheetId="3">'EDBE|0001-00'!$G$12</definedName>
    <definedName name="Elect_salary" localSheetId="6">'EDBE|0325-00'!$G$12</definedName>
    <definedName name="Elect_salary" localSheetId="10">'EDBE|0344-00'!$G$12</definedName>
    <definedName name="Elect_salary" localSheetId="12">'EDBE|0348-00'!$G$12</definedName>
    <definedName name="Elect_salary" localSheetId="7">'EDBE|0349-00'!$G$12</definedName>
    <definedName name="Elect_salary" localSheetId="4">'EDBG|0125-00'!$G$12</definedName>
    <definedName name="Elect_salary" localSheetId="5">'EDBG|0319-00'!$G$12</definedName>
    <definedName name="Elect_salary" localSheetId="11">'EDBG|0345-00'!$G$12</definedName>
    <definedName name="Elect_salary" localSheetId="8">'EDBG|0481-10'!$G$12</definedName>
    <definedName name="Elect_salary" localSheetId="9">'EDBG|0481-54'!$G$12</definedName>
    <definedName name="Elect_salary">'B6'!$G$12</definedName>
    <definedName name="Elect_Var" localSheetId="1">'EDBC|0125-00'!$I$12</definedName>
    <definedName name="Elect_Var" localSheetId="0">'EDBD|0001-00'!$I$12</definedName>
    <definedName name="Elect_Var" localSheetId="2">'EDBD|0325-00'!$I$12</definedName>
    <definedName name="Elect_Var" localSheetId="3">'EDBE|0001-00'!$I$12</definedName>
    <definedName name="Elect_Var" localSheetId="6">'EDBE|0325-00'!$I$12</definedName>
    <definedName name="Elect_Var" localSheetId="10">'EDBE|0344-00'!$I$12</definedName>
    <definedName name="Elect_Var" localSheetId="12">'EDBE|0348-00'!$I$12</definedName>
    <definedName name="Elect_Var" localSheetId="7">'EDBE|0349-00'!$I$12</definedName>
    <definedName name="Elect_Var" localSheetId="4">'EDBG|0125-00'!$I$12</definedName>
    <definedName name="Elect_Var" localSheetId="5">'EDBG|0319-00'!$I$12</definedName>
    <definedName name="Elect_Var" localSheetId="11">'EDBG|0345-00'!$I$12</definedName>
    <definedName name="Elect_Var" localSheetId="8">'EDBG|0481-10'!$I$12</definedName>
    <definedName name="Elect_Var" localSheetId="9">'EDBG|0481-54'!$I$12</definedName>
    <definedName name="Elect_Var">'B6'!$I$12</definedName>
    <definedName name="Elect_VarBen" localSheetId="1">'EDBC|0125-00'!$I$12</definedName>
    <definedName name="Elect_VarBen" localSheetId="0">'EDBD|0001-00'!$I$12</definedName>
    <definedName name="Elect_VarBen" localSheetId="2">'EDBD|0325-00'!$I$12</definedName>
    <definedName name="Elect_VarBen" localSheetId="3">'EDBE|0001-00'!$I$12</definedName>
    <definedName name="Elect_VarBen" localSheetId="6">'EDBE|0325-00'!$I$12</definedName>
    <definedName name="Elect_VarBen" localSheetId="10">'EDBE|0344-00'!$I$12</definedName>
    <definedName name="Elect_VarBen" localSheetId="12">'EDBE|0348-00'!$I$12</definedName>
    <definedName name="Elect_VarBen" localSheetId="7">'EDBE|0349-00'!$I$12</definedName>
    <definedName name="Elect_VarBen" localSheetId="4">'EDBG|0125-00'!$I$12</definedName>
    <definedName name="Elect_VarBen" localSheetId="5">'EDBG|0319-00'!$I$12</definedName>
    <definedName name="Elect_VarBen" localSheetId="11">'EDBG|0345-00'!$I$12</definedName>
    <definedName name="Elect_VarBen" localSheetId="8">'EDBG|0481-10'!$I$12</definedName>
    <definedName name="Elect_VarBen" localSheetId="9">'EDBG|0481-54'!$I$12</definedName>
    <definedName name="Elect_VarBen">'B6'!$I$12</definedName>
    <definedName name="ElectVB">Benefits!$C$14</definedName>
    <definedName name="ElectVBBY">Benefits!$D$14</definedName>
    <definedName name="ElectVBCHG">Benefits!$E$14</definedName>
    <definedName name="FillRate_Avg">Benefits!$C$40</definedName>
    <definedName name="FillRateAvg_B6" localSheetId="1">'EDBC|0125-00'!#REF!</definedName>
    <definedName name="FillRateAvg_B6" localSheetId="0">'EDBD|0001-00'!#REF!</definedName>
    <definedName name="FillRateAvg_B6" localSheetId="2">'EDBD|0325-00'!#REF!</definedName>
    <definedName name="FillRateAvg_B6" localSheetId="3">'EDBE|0001-00'!#REF!</definedName>
    <definedName name="FillRateAvg_B6" localSheetId="6">'EDBE|0325-00'!#REF!</definedName>
    <definedName name="FillRateAvg_B6" localSheetId="10">'EDBE|0344-00'!#REF!</definedName>
    <definedName name="FillRateAvg_B6" localSheetId="12">'EDBE|0348-00'!#REF!</definedName>
    <definedName name="FillRateAvg_B6" localSheetId="7">'EDBE|0349-00'!#REF!</definedName>
    <definedName name="FillRateAvg_B6" localSheetId="4">'EDBG|0125-00'!#REF!</definedName>
    <definedName name="FillRateAvg_B6" localSheetId="5">'EDBG|0319-00'!#REF!</definedName>
    <definedName name="FillRateAvg_B6" localSheetId="11">'EDBG|0345-00'!#REF!</definedName>
    <definedName name="FillRateAvg_B6" localSheetId="8">'EDBG|0481-10'!#REF!</definedName>
    <definedName name="FillRateAvg_B6" localSheetId="9">'EDBG|0481-54'!#REF!</definedName>
    <definedName name="FillRateAvg_B6">'B6'!#REF!</definedName>
    <definedName name="FiscalYear" localSheetId="1">'EDBC|0125-00'!$M$4</definedName>
    <definedName name="FiscalYear" localSheetId="0">'EDBD|0001-00'!$M$4</definedName>
    <definedName name="FiscalYear" localSheetId="2">'EDBD|0325-00'!$M$4</definedName>
    <definedName name="FiscalYear" localSheetId="3">'EDBE|0001-00'!$M$4</definedName>
    <definedName name="FiscalYear" localSheetId="6">'EDBE|0325-00'!$M$4</definedName>
    <definedName name="FiscalYear" localSheetId="10">'EDBE|0344-00'!$M$4</definedName>
    <definedName name="FiscalYear" localSheetId="12">'EDBE|0348-00'!$M$4</definedName>
    <definedName name="FiscalYear" localSheetId="7">'EDBE|0349-00'!$M$4</definedName>
    <definedName name="FiscalYear" localSheetId="4">'EDBG|0125-00'!$M$4</definedName>
    <definedName name="FiscalYear" localSheetId="5">'EDBG|0319-00'!$M$4</definedName>
    <definedName name="FiscalYear" localSheetId="11">'EDBG|0345-00'!$M$4</definedName>
    <definedName name="FiscalYear" localSheetId="8">'EDBG|0481-10'!$M$4</definedName>
    <definedName name="FiscalYear" localSheetId="9">'EDBG|0481-54'!$M$4</definedName>
    <definedName name="FiscalYear">'B6'!$M$4</definedName>
    <definedName name="FundName" localSheetId="1">'EDBC|0125-00'!$I$5</definedName>
    <definedName name="FundName" localSheetId="0">'EDBD|0001-00'!$I$5</definedName>
    <definedName name="FundName" localSheetId="2">'EDBD|0325-00'!$I$5</definedName>
    <definedName name="FundName" localSheetId="3">'EDBE|0001-00'!$I$5</definedName>
    <definedName name="FundName" localSheetId="6">'EDBE|0325-00'!$I$5</definedName>
    <definedName name="FundName" localSheetId="10">'EDBE|0344-00'!$I$5</definedName>
    <definedName name="FundName" localSheetId="12">'EDBE|0348-00'!$I$5</definedName>
    <definedName name="FundName" localSheetId="7">'EDBE|0349-00'!$I$5</definedName>
    <definedName name="FundName" localSheetId="4">'EDBG|0125-00'!$I$5</definedName>
    <definedName name="FundName" localSheetId="5">'EDBG|0319-00'!$I$5</definedName>
    <definedName name="FundName" localSheetId="11">'EDBG|0345-00'!$I$5</definedName>
    <definedName name="FundName" localSheetId="8">'EDBG|0481-10'!$I$5</definedName>
    <definedName name="FundName" localSheetId="9">'EDBG|0481-54'!$I$5</definedName>
    <definedName name="FundName">'B6'!$I$5</definedName>
    <definedName name="FundNum" localSheetId="1">'EDBC|0125-00'!$N$5</definedName>
    <definedName name="FundNum" localSheetId="0">'EDBD|0001-00'!$N$5</definedName>
    <definedName name="FundNum" localSheetId="2">'EDBD|0325-00'!$N$5</definedName>
    <definedName name="FundNum" localSheetId="3">'EDBE|0001-00'!$N$5</definedName>
    <definedName name="FundNum" localSheetId="6">'EDBE|0325-00'!$N$5</definedName>
    <definedName name="FundNum" localSheetId="10">'EDBE|0344-00'!$N$5</definedName>
    <definedName name="FundNum" localSheetId="12">'EDBE|0348-00'!$N$5</definedName>
    <definedName name="FundNum" localSheetId="7">'EDBE|0349-00'!$N$5</definedName>
    <definedName name="FundNum" localSheetId="4">'EDBG|0125-00'!$N$5</definedName>
    <definedName name="FundNum" localSheetId="5">'EDBG|0319-00'!$N$5</definedName>
    <definedName name="FundNum" localSheetId="11">'EDBG|0345-00'!$N$5</definedName>
    <definedName name="FundNum" localSheetId="8">'EDBG|0481-10'!$N$5</definedName>
    <definedName name="FundNum" localSheetId="9">'EDBG|0481-54'!$N$5</definedName>
    <definedName name="FundNum">'B6'!$N$5</definedName>
    <definedName name="FundNumber" localSheetId="1">'EDBC|0125-00'!$N$5</definedName>
    <definedName name="FundNumber" localSheetId="0">'EDBD|0001-00'!$N$5</definedName>
    <definedName name="FundNumber" localSheetId="2">'EDBD|0325-00'!$N$5</definedName>
    <definedName name="FundNumber" localSheetId="3">'EDBE|0001-00'!$N$5</definedName>
    <definedName name="FundNumber" localSheetId="6">'EDBE|0325-00'!$N$5</definedName>
    <definedName name="FundNumber" localSheetId="10">'EDBE|0344-00'!$N$5</definedName>
    <definedName name="FundNumber" localSheetId="12">'EDBE|0348-00'!$N$5</definedName>
    <definedName name="FundNumber" localSheetId="7">'EDBE|0349-00'!$N$5</definedName>
    <definedName name="FundNumber" localSheetId="4">'EDBG|0125-00'!$N$5</definedName>
    <definedName name="FundNumber" localSheetId="5">'EDBG|0319-00'!$N$5</definedName>
    <definedName name="FundNumber" localSheetId="11">'EDBG|0345-00'!$N$5</definedName>
    <definedName name="FundNumber" localSheetId="8">'EDBG|0481-10'!$N$5</definedName>
    <definedName name="FundNumber" localSheetId="9">'EDBG|0481-54'!$N$5</definedName>
    <definedName name="FundNumber">'B6'!$N$5</definedName>
    <definedName name="FundSummaryEst">FundSummary!$H$5</definedName>
    <definedName name="FundSummaryLastColumn">FundSummary!$M$6</definedName>
    <definedName name="FundSummaryPermActual">FundSummary!$F$5</definedName>
    <definedName name="FundSummaryPermBY">FundSummary!$L$5</definedName>
    <definedName name="FundSummaryPermCY">FundSummary!$I$5</definedName>
    <definedName name="FundSummaryProj">FundSummary!$K$5</definedName>
    <definedName name="FundSummaryStartData">FundSummary!$E$8</definedName>
    <definedName name="Group_name" localSheetId="1">'EDBC|0125-00'!$C$11</definedName>
    <definedName name="Group_name" localSheetId="0">'EDBD|0001-00'!$C$11</definedName>
    <definedName name="Group_name" localSheetId="2">'EDBD|0325-00'!$C$11</definedName>
    <definedName name="Group_name" localSheetId="3">'EDBE|0001-00'!$C$11</definedName>
    <definedName name="Group_name" localSheetId="6">'EDBE|0325-00'!$C$11</definedName>
    <definedName name="Group_name" localSheetId="10">'EDBE|0344-00'!$C$11</definedName>
    <definedName name="Group_name" localSheetId="12">'EDBE|0348-00'!$C$11</definedName>
    <definedName name="Group_name" localSheetId="7">'EDBE|0349-00'!$C$11</definedName>
    <definedName name="Group_name" localSheetId="4">'EDBG|0125-00'!$C$11</definedName>
    <definedName name="Group_name" localSheetId="5">'EDBG|0319-00'!$C$11</definedName>
    <definedName name="Group_name" localSheetId="11">'EDBG|0345-00'!$C$11</definedName>
    <definedName name="Group_name" localSheetId="8">'EDBG|0481-10'!$C$11</definedName>
    <definedName name="Group_name" localSheetId="9">'EDBG|0481-54'!$C$11</definedName>
    <definedName name="Group_name">'B6'!$C$11</definedName>
    <definedName name="GroupFxdBen" localSheetId="1">'EDBC|0125-00'!$H$11</definedName>
    <definedName name="GroupFxdBen" localSheetId="0">'EDBD|0001-00'!$H$11</definedName>
    <definedName name="GroupFxdBen" localSheetId="2">'EDBD|0325-00'!$H$11</definedName>
    <definedName name="GroupFxdBen" localSheetId="3">'EDBE|0001-00'!$H$11</definedName>
    <definedName name="GroupFxdBen" localSheetId="6">'EDBE|0325-00'!$H$11</definedName>
    <definedName name="GroupFxdBen" localSheetId="10">'EDBE|0344-00'!$H$11</definedName>
    <definedName name="GroupFxdBen" localSheetId="12">'EDBE|0348-00'!$H$11</definedName>
    <definedName name="GroupFxdBen" localSheetId="7">'EDBE|0349-00'!$H$11</definedName>
    <definedName name="GroupFxdBen" localSheetId="4">'EDBG|0125-00'!$H$11</definedName>
    <definedName name="GroupFxdBen" localSheetId="5">'EDBG|0319-00'!$H$11</definedName>
    <definedName name="GroupFxdBen" localSheetId="11">'EDBG|0345-00'!$H$11</definedName>
    <definedName name="GroupFxdBen" localSheetId="8">'EDBG|0481-10'!$H$11</definedName>
    <definedName name="GroupFxdBen" localSheetId="9">'EDBG|0481-54'!$H$11</definedName>
    <definedName name="GroupFxdBen">'B6'!$H$11</definedName>
    <definedName name="GroupSalary" localSheetId="1">'EDBC|0125-00'!$G$11</definedName>
    <definedName name="GroupSalary" localSheetId="0">'EDBD|0001-00'!$G$11</definedName>
    <definedName name="GroupSalary" localSheetId="2">'EDBD|0325-00'!$G$11</definedName>
    <definedName name="GroupSalary" localSheetId="3">'EDBE|0001-00'!$G$11</definedName>
    <definedName name="GroupSalary" localSheetId="6">'EDBE|0325-00'!$G$11</definedName>
    <definedName name="GroupSalary" localSheetId="10">'EDBE|0344-00'!$G$11</definedName>
    <definedName name="GroupSalary" localSheetId="12">'EDBE|0348-00'!$G$11</definedName>
    <definedName name="GroupSalary" localSheetId="7">'EDBE|0349-00'!$G$11</definedName>
    <definedName name="GroupSalary" localSheetId="4">'EDBG|0125-00'!$G$11</definedName>
    <definedName name="GroupSalary" localSheetId="5">'EDBG|0319-00'!$G$11</definedName>
    <definedName name="GroupSalary" localSheetId="11">'EDBG|0345-00'!$G$11</definedName>
    <definedName name="GroupSalary" localSheetId="8">'EDBG|0481-10'!$G$11</definedName>
    <definedName name="GroupSalary" localSheetId="9">'EDBG|0481-54'!$G$11</definedName>
    <definedName name="GroupSalary">'B6'!$G$11</definedName>
    <definedName name="GroupVarBen" localSheetId="1">'EDBC|0125-00'!$I$11</definedName>
    <definedName name="GroupVarBen" localSheetId="0">'EDBD|0001-00'!$I$11</definedName>
    <definedName name="GroupVarBen" localSheetId="2">'EDBD|0325-00'!$I$11</definedName>
    <definedName name="GroupVarBen" localSheetId="3">'EDBE|0001-00'!$I$11</definedName>
    <definedName name="GroupVarBen" localSheetId="6">'EDBE|0325-00'!$I$11</definedName>
    <definedName name="GroupVarBen" localSheetId="10">'EDBE|0344-00'!$I$11</definedName>
    <definedName name="GroupVarBen" localSheetId="12">'EDBE|0348-00'!$I$11</definedName>
    <definedName name="GroupVarBen" localSheetId="7">'EDBE|0349-00'!$I$11</definedName>
    <definedName name="GroupVarBen" localSheetId="4">'EDBG|0125-00'!$I$11</definedName>
    <definedName name="GroupVarBen" localSheetId="5">'EDBG|0319-00'!$I$11</definedName>
    <definedName name="GroupVarBen" localSheetId="11">'EDBG|0345-00'!$I$11</definedName>
    <definedName name="GroupVarBen" localSheetId="8">'EDBG|0481-10'!$I$11</definedName>
    <definedName name="GroupVarBen" localSheetId="9">'EDBG|0481-54'!$I$11</definedName>
    <definedName name="GroupVarBen">'B6'!$I$11</definedName>
    <definedName name="GroupVB">Benefits!$C$13</definedName>
    <definedName name="GroupVBBY">Benefits!$D$13</definedName>
    <definedName name="GroupVBCHG">Benefits!$E$13</definedName>
    <definedName name="Health">Benefits!$C$15</definedName>
    <definedName name="HealthBY">Benefits!$D$15</definedName>
    <definedName name="HealthCHG">Benefits!$E$15</definedName>
    <definedName name="Life">Benefits!$C$9</definedName>
    <definedName name="LifeBY">Benefits!$D$9</definedName>
    <definedName name="LifeCHG">Benefits!$E$9</definedName>
    <definedName name="LUMAFund" localSheetId="1">'EDBC|0125-00'!$M$2</definedName>
    <definedName name="LUMAFund" localSheetId="0">'EDBD|0001-00'!$M$2</definedName>
    <definedName name="LUMAFund" localSheetId="2">'EDBD|0325-00'!$M$2</definedName>
    <definedName name="LUMAFund" localSheetId="3">'EDBE|0001-00'!$M$2</definedName>
    <definedName name="LUMAFund" localSheetId="6">'EDBE|0325-00'!$M$2</definedName>
    <definedName name="LUMAFund" localSheetId="10">'EDBE|0344-00'!$M$2</definedName>
    <definedName name="LUMAFund" localSheetId="12">'EDBE|0348-00'!$M$2</definedName>
    <definedName name="LUMAFund" localSheetId="7">'EDBE|0349-00'!$M$2</definedName>
    <definedName name="LUMAFund" localSheetId="4">'EDBG|0125-00'!$M$2</definedName>
    <definedName name="LUMAFund" localSheetId="5">'EDBG|0319-00'!$M$2</definedName>
    <definedName name="LUMAFund" localSheetId="11">'EDBG|0345-00'!$M$2</definedName>
    <definedName name="LUMAFund" localSheetId="8">'EDBG|0481-10'!$M$2</definedName>
    <definedName name="LUMAFund" localSheetId="9">'EDBG|0481-54'!$M$2</definedName>
    <definedName name="LUMAFund">'B6'!$M$2</definedName>
    <definedName name="MAXSSDI">Benefits!$F$5</definedName>
    <definedName name="MAXSSDIBY">Benefits!$G$5</definedName>
    <definedName name="NEW_AdjGroup" localSheetId="1">'EDBC|0125-00'!$AC$39</definedName>
    <definedName name="NEW_AdjGroup" localSheetId="0">'EDBD|0001-00'!$AC$39</definedName>
    <definedName name="NEW_AdjGroup" localSheetId="2">'EDBD|0325-00'!$AC$39</definedName>
    <definedName name="NEW_AdjGroup" localSheetId="3">'EDBE|0001-00'!$AC$39</definedName>
    <definedName name="NEW_AdjGroup" localSheetId="6">'EDBE|0325-00'!$AC$39</definedName>
    <definedName name="NEW_AdjGroup" localSheetId="10">'EDBE|0344-00'!$AC$39</definedName>
    <definedName name="NEW_AdjGroup" localSheetId="12">'EDBE|0348-00'!$AC$39</definedName>
    <definedName name="NEW_AdjGroup" localSheetId="7">'EDBE|0349-00'!$AC$39</definedName>
    <definedName name="NEW_AdjGroup" localSheetId="4">'EDBG|0125-00'!$AC$39</definedName>
    <definedName name="NEW_AdjGroup" localSheetId="5">'EDBG|0319-00'!$AC$39</definedName>
    <definedName name="NEW_AdjGroup" localSheetId="11">'EDBG|0345-00'!$AC$39</definedName>
    <definedName name="NEW_AdjGroup" localSheetId="8">'EDBG|0481-10'!$AC$39</definedName>
    <definedName name="NEW_AdjGroup" localSheetId="9">'EDBG|0481-54'!$AC$39</definedName>
    <definedName name="NEW_AdjGroup">'B6'!$AC$39</definedName>
    <definedName name="NEW_AdjGroupSalary" localSheetId="1">'EDBC|0125-00'!$AA$39</definedName>
    <definedName name="NEW_AdjGroupSalary" localSheetId="0">'EDBD|0001-00'!$AA$39</definedName>
    <definedName name="NEW_AdjGroupSalary" localSheetId="2">'EDBD|0325-00'!$AA$39</definedName>
    <definedName name="NEW_AdjGroupSalary" localSheetId="3">'EDBE|0001-00'!$AA$39</definedName>
    <definedName name="NEW_AdjGroupSalary" localSheetId="6">'EDBE|0325-00'!$AA$39</definedName>
    <definedName name="NEW_AdjGroupSalary" localSheetId="10">'EDBE|0344-00'!$AA$39</definedName>
    <definedName name="NEW_AdjGroupSalary" localSheetId="12">'EDBE|0348-00'!$AA$39</definedName>
    <definedName name="NEW_AdjGroupSalary" localSheetId="7">'EDBE|0349-00'!$AA$39</definedName>
    <definedName name="NEW_AdjGroupSalary" localSheetId="4">'EDBG|0125-00'!$AA$39</definedName>
    <definedName name="NEW_AdjGroupSalary" localSheetId="5">'EDBG|0319-00'!$AA$39</definedName>
    <definedName name="NEW_AdjGroupSalary" localSheetId="11">'EDBG|0345-00'!$AA$39</definedName>
    <definedName name="NEW_AdjGroupSalary" localSheetId="8">'EDBG|0481-10'!$AA$39</definedName>
    <definedName name="NEW_AdjGroupSalary" localSheetId="9">'EDBG|0481-54'!$AA$39</definedName>
    <definedName name="NEW_AdjGroupSalary">'B6'!$AA$39</definedName>
    <definedName name="NEW_AdjGroupVB" localSheetId="1">'EDBC|0125-00'!$AB$39</definedName>
    <definedName name="NEW_AdjGroupVB" localSheetId="0">'EDBD|0001-00'!$AB$39</definedName>
    <definedName name="NEW_AdjGroupVB" localSheetId="2">'EDBD|0325-00'!$AB$39</definedName>
    <definedName name="NEW_AdjGroupVB" localSheetId="3">'EDBE|0001-00'!$AB$39</definedName>
    <definedName name="NEW_AdjGroupVB" localSheetId="6">'EDBE|0325-00'!$AB$39</definedName>
    <definedName name="NEW_AdjGroupVB" localSheetId="10">'EDBE|0344-00'!$AB$39</definedName>
    <definedName name="NEW_AdjGroupVB" localSheetId="12">'EDBE|0348-00'!$AB$39</definedName>
    <definedName name="NEW_AdjGroupVB" localSheetId="7">'EDBE|0349-00'!$AB$39</definedName>
    <definedName name="NEW_AdjGroupVB" localSheetId="4">'EDBG|0125-00'!$AB$39</definedName>
    <definedName name="NEW_AdjGroupVB" localSheetId="5">'EDBG|0319-00'!$AB$39</definedName>
    <definedName name="NEW_AdjGroupVB" localSheetId="11">'EDBG|0345-00'!$AB$39</definedName>
    <definedName name="NEW_AdjGroupVB" localSheetId="8">'EDBG|0481-10'!$AB$39</definedName>
    <definedName name="NEW_AdjGroupVB" localSheetId="9">'EDBG|0481-54'!$AB$39</definedName>
    <definedName name="NEW_AdjGroupVB">'B6'!$AB$39</definedName>
    <definedName name="NEW_AdjONLYGroup" localSheetId="1">'EDBC|0125-00'!$AC$45</definedName>
    <definedName name="NEW_AdjONLYGroup" localSheetId="0">'EDBD|0001-00'!$AC$45</definedName>
    <definedName name="NEW_AdjONLYGroup" localSheetId="2">'EDBD|0325-00'!$AC$45</definedName>
    <definedName name="NEW_AdjONLYGroup" localSheetId="3">'EDBE|0001-00'!$AC$45</definedName>
    <definedName name="NEW_AdjONLYGroup" localSheetId="6">'EDBE|0325-00'!$AC$45</definedName>
    <definedName name="NEW_AdjONLYGroup" localSheetId="10">'EDBE|0344-00'!$AC$45</definedName>
    <definedName name="NEW_AdjONLYGroup" localSheetId="12">'EDBE|0348-00'!$AC$45</definedName>
    <definedName name="NEW_AdjONLYGroup" localSheetId="7">'EDBE|0349-00'!$AC$45</definedName>
    <definedName name="NEW_AdjONLYGroup" localSheetId="4">'EDBG|0125-00'!$AC$45</definedName>
    <definedName name="NEW_AdjONLYGroup" localSheetId="5">'EDBG|0319-00'!$AC$45</definedName>
    <definedName name="NEW_AdjONLYGroup" localSheetId="11">'EDBG|0345-00'!$AC$45</definedName>
    <definedName name="NEW_AdjONLYGroup" localSheetId="8">'EDBG|0481-10'!$AC$45</definedName>
    <definedName name="NEW_AdjONLYGroup" localSheetId="9">'EDBG|0481-54'!$AC$45</definedName>
    <definedName name="NEW_AdjONLYGroup">'B6'!$AC$45</definedName>
    <definedName name="NEW_AdjONLYGroupSalary" localSheetId="1">'EDBC|0125-00'!$AA$45</definedName>
    <definedName name="NEW_AdjONLYGroupSalary" localSheetId="0">'EDBD|0001-00'!$AA$45</definedName>
    <definedName name="NEW_AdjONLYGroupSalary" localSheetId="2">'EDBD|0325-00'!$AA$45</definedName>
    <definedName name="NEW_AdjONLYGroupSalary" localSheetId="3">'EDBE|0001-00'!$AA$45</definedName>
    <definedName name="NEW_AdjONLYGroupSalary" localSheetId="6">'EDBE|0325-00'!$AA$45</definedName>
    <definedName name="NEW_AdjONLYGroupSalary" localSheetId="10">'EDBE|0344-00'!$AA$45</definedName>
    <definedName name="NEW_AdjONLYGroupSalary" localSheetId="12">'EDBE|0348-00'!$AA$45</definedName>
    <definedName name="NEW_AdjONLYGroupSalary" localSheetId="7">'EDBE|0349-00'!$AA$45</definedName>
    <definedName name="NEW_AdjONLYGroupSalary" localSheetId="4">'EDBG|0125-00'!$AA$45</definedName>
    <definedName name="NEW_AdjONLYGroupSalary" localSheetId="5">'EDBG|0319-00'!$AA$45</definedName>
    <definedName name="NEW_AdjONLYGroupSalary" localSheetId="11">'EDBG|0345-00'!$AA$45</definedName>
    <definedName name="NEW_AdjONLYGroupSalary" localSheetId="8">'EDBG|0481-10'!$AA$45</definedName>
    <definedName name="NEW_AdjONLYGroupSalary" localSheetId="9">'EDBG|0481-54'!$AA$45</definedName>
    <definedName name="NEW_AdjONLYGroupSalary">'B6'!$AA$45</definedName>
    <definedName name="NEW_AdjONLYGroupVB" localSheetId="1">'EDBC|0125-00'!$AB$45</definedName>
    <definedName name="NEW_AdjONLYGroupVB" localSheetId="0">'EDBD|0001-00'!$AB$45</definedName>
    <definedName name="NEW_AdjONLYGroupVB" localSheetId="2">'EDBD|0325-00'!$AB$45</definedName>
    <definedName name="NEW_AdjONLYGroupVB" localSheetId="3">'EDBE|0001-00'!$AB$45</definedName>
    <definedName name="NEW_AdjONLYGroupVB" localSheetId="6">'EDBE|0325-00'!$AB$45</definedName>
    <definedName name="NEW_AdjONLYGroupVB" localSheetId="10">'EDBE|0344-00'!$AB$45</definedName>
    <definedName name="NEW_AdjONLYGroupVB" localSheetId="12">'EDBE|0348-00'!$AB$45</definedName>
    <definedName name="NEW_AdjONLYGroupVB" localSheetId="7">'EDBE|0349-00'!$AB$45</definedName>
    <definedName name="NEW_AdjONLYGroupVB" localSheetId="4">'EDBG|0125-00'!$AB$45</definedName>
    <definedName name="NEW_AdjONLYGroupVB" localSheetId="5">'EDBG|0319-00'!$AB$45</definedName>
    <definedName name="NEW_AdjONLYGroupVB" localSheetId="11">'EDBG|0345-00'!$AB$45</definedName>
    <definedName name="NEW_AdjONLYGroupVB" localSheetId="8">'EDBG|0481-10'!$AB$45</definedName>
    <definedName name="NEW_AdjONLYGroupVB" localSheetId="9">'EDBG|0481-54'!$AB$45</definedName>
    <definedName name="NEW_AdjONLYGroupVB">'B6'!$AB$45</definedName>
    <definedName name="NEW_AdjONLYPerm" localSheetId="1">'EDBC|0125-00'!$AC$44</definedName>
    <definedName name="NEW_AdjONLYPerm" localSheetId="0">'EDBD|0001-00'!$AC$44</definedName>
    <definedName name="NEW_AdjONLYPerm" localSheetId="2">'EDBD|0325-00'!$AC$44</definedName>
    <definedName name="NEW_AdjONLYPerm" localSheetId="3">'EDBE|0001-00'!$AC$44</definedName>
    <definedName name="NEW_AdjONLYPerm" localSheetId="6">'EDBE|0325-00'!$AC$44</definedName>
    <definedName name="NEW_AdjONLYPerm" localSheetId="10">'EDBE|0344-00'!$AC$44</definedName>
    <definedName name="NEW_AdjONLYPerm" localSheetId="12">'EDBE|0348-00'!$AC$44</definedName>
    <definedName name="NEW_AdjONLYPerm" localSheetId="7">'EDBE|0349-00'!$AC$44</definedName>
    <definedName name="NEW_AdjONLYPerm" localSheetId="4">'EDBG|0125-00'!$AC$44</definedName>
    <definedName name="NEW_AdjONLYPerm" localSheetId="5">'EDBG|0319-00'!$AC$44</definedName>
    <definedName name="NEW_AdjONLYPerm" localSheetId="11">'EDBG|0345-00'!$AC$44</definedName>
    <definedName name="NEW_AdjONLYPerm" localSheetId="8">'EDBG|0481-10'!$AC$44</definedName>
    <definedName name="NEW_AdjONLYPerm" localSheetId="9">'EDBG|0481-54'!$AC$44</definedName>
    <definedName name="NEW_AdjONLYPerm">'B6'!$AC$44</definedName>
    <definedName name="NEW_AdjONLYPermSalary" localSheetId="1">'EDBC|0125-00'!$AA$44</definedName>
    <definedName name="NEW_AdjONLYPermSalary" localSheetId="0">'EDBD|0001-00'!$AA$44</definedName>
    <definedName name="NEW_AdjONLYPermSalary" localSheetId="2">'EDBD|0325-00'!$AA$44</definedName>
    <definedName name="NEW_AdjONLYPermSalary" localSheetId="3">'EDBE|0001-00'!$AA$44</definedName>
    <definedName name="NEW_AdjONLYPermSalary" localSheetId="6">'EDBE|0325-00'!$AA$44</definedName>
    <definedName name="NEW_AdjONLYPermSalary" localSheetId="10">'EDBE|0344-00'!$AA$44</definedName>
    <definedName name="NEW_AdjONLYPermSalary" localSheetId="12">'EDBE|0348-00'!$AA$44</definedName>
    <definedName name="NEW_AdjONLYPermSalary" localSheetId="7">'EDBE|0349-00'!$AA$44</definedName>
    <definedName name="NEW_AdjONLYPermSalary" localSheetId="4">'EDBG|0125-00'!$AA$44</definedName>
    <definedName name="NEW_AdjONLYPermSalary" localSheetId="5">'EDBG|0319-00'!$AA$44</definedName>
    <definedName name="NEW_AdjONLYPermSalary" localSheetId="11">'EDBG|0345-00'!$AA$44</definedName>
    <definedName name="NEW_AdjONLYPermSalary" localSheetId="8">'EDBG|0481-10'!$AA$44</definedName>
    <definedName name="NEW_AdjONLYPermSalary" localSheetId="9">'EDBG|0481-54'!$AA$44</definedName>
    <definedName name="NEW_AdjONLYPermSalary">'B6'!$AA$44</definedName>
    <definedName name="NEW_AdjONLYPermVB" localSheetId="1">'EDBC|0125-00'!$AB$44</definedName>
    <definedName name="NEW_AdjONLYPermVB" localSheetId="0">'EDBD|0001-00'!$AB$44</definedName>
    <definedName name="NEW_AdjONLYPermVB" localSheetId="2">'EDBD|0325-00'!$AB$44</definedName>
    <definedName name="NEW_AdjONLYPermVB" localSheetId="3">'EDBE|0001-00'!$AB$44</definedName>
    <definedName name="NEW_AdjONLYPermVB" localSheetId="6">'EDBE|0325-00'!$AB$44</definedName>
    <definedName name="NEW_AdjONLYPermVB" localSheetId="10">'EDBE|0344-00'!$AB$44</definedName>
    <definedName name="NEW_AdjONLYPermVB" localSheetId="12">'EDBE|0348-00'!$AB$44</definedName>
    <definedName name="NEW_AdjONLYPermVB" localSheetId="7">'EDBE|0349-00'!$AB$44</definedName>
    <definedName name="NEW_AdjONLYPermVB" localSheetId="4">'EDBG|0125-00'!$AB$44</definedName>
    <definedName name="NEW_AdjONLYPermVB" localSheetId="5">'EDBG|0319-00'!$AB$44</definedName>
    <definedName name="NEW_AdjONLYPermVB" localSheetId="11">'EDBG|0345-00'!$AB$44</definedName>
    <definedName name="NEW_AdjONLYPermVB" localSheetId="8">'EDBG|0481-10'!$AB$44</definedName>
    <definedName name="NEW_AdjONLYPermVB" localSheetId="9">'EDBG|0481-54'!$AB$44</definedName>
    <definedName name="NEW_AdjONLYPermVB">'B6'!$AB$44</definedName>
    <definedName name="NEW_AdjPerm" localSheetId="1">'EDBC|0125-00'!$AC$38</definedName>
    <definedName name="NEW_AdjPerm" localSheetId="0">'EDBD|0001-00'!$AC$38</definedName>
    <definedName name="NEW_AdjPerm" localSheetId="2">'EDBD|0325-00'!$AC$38</definedName>
    <definedName name="NEW_AdjPerm" localSheetId="3">'EDBE|0001-00'!$AC$38</definedName>
    <definedName name="NEW_AdjPerm" localSheetId="6">'EDBE|0325-00'!$AC$38</definedName>
    <definedName name="NEW_AdjPerm" localSheetId="10">'EDBE|0344-00'!$AC$38</definedName>
    <definedName name="NEW_AdjPerm" localSheetId="12">'EDBE|0348-00'!$AC$38</definedName>
    <definedName name="NEW_AdjPerm" localSheetId="7">'EDBE|0349-00'!$AC$38</definedName>
    <definedName name="NEW_AdjPerm" localSheetId="4">'EDBG|0125-00'!$AC$38</definedName>
    <definedName name="NEW_AdjPerm" localSheetId="5">'EDBG|0319-00'!$AC$38</definedName>
    <definedName name="NEW_AdjPerm" localSheetId="11">'EDBG|0345-00'!$AC$38</definedName>
    <definedName name="NEW_AdjPerm" localSheetId="8">'EDBG|0481-10'!$AC$38</definedName>
    <definedName name="NEW_AdjPerm" localSheetId="9">'EDBG|0481-54'!$AC$38</definedName>
    <definedName name="NEW_AdjPerm">'B6'!$AC$38</definedName>
    <definedName name="NEW_AdjPermSalary" localSheetId="1">'EDBC|0125-00'!$AA$38</definedName>
    <definedName name="NEW_AdjPermSalary" localSheetId="0">'EDBD|0001-00'!$AA$38</definedName>
    <definedName name="NEW_AdjPermSalary" localSheetId="2">'EDBD|0325-00'!$AA$38</definedName>
    <definedName name="NEW_AdjPermSalary" localSheetId="3">'EDBE|0001-00'!$AA$38</definedName>
    <definedName name="NEW_AdjPermSalary" localSheetId="6">'EDBE|0325-00'!$AA$38</definedName>
    <definedName name="NEW_AdjPermSalary" localSheetId="10">'EDBE|0344-00'!$AA$38</definedName>
    <definedName name="NEW_AdjPermSalary" localSheetId="12">'EDBE|0348-00'!$AA$38</definedName>
    <definedName name="NEW_AdjPermSalary" localSheetId="7">'EDBE|0349-00'!$AA$38</definedName>
    <definedName name="NEW_AdjPermSalary" localSheetId="4">'EDBG|0125-00'!$AA$38</definedName>
    <definedName name="NEW_AdjPermSalary" localSheetId="5">'EDBG|0319-00'!$AA$38</definedName>
    <definedName name="NEW_AdjPermSalary" localSheetId="11">'EDBG|0345-00'!$AA$38</definedName>
    <definedName name="NEW_AdjPermSalary" localSheetId="8">'EDBG|0481-10'!$AA$38</definedName>
    <definedName name="NEW_AdjPermSalary" localSheetId="9">'EDBG|0481-54'!$AA$38</definedName>
    <definedName name="NEW_AdjPermSalary">'B6'!$AA$38</definedName>
    <definedName name="NEW_AdjPermVB" localSheetId="1">'EDBC|0125-00'!$AB$38</definedName>
    <definedName name="NEW_AdjPermVB" localSheetId="0">'EDBD|0001-00'!$AB$38</definedName>
    <definedName name="NEW_AdjPermVB" localSheetId="2">'EDBD|0325-00'!$AB$38</definedName>
    <definedName name="NEW_AdjPermVB" localSheetId="3">'EDBE|0001-00'!$AB$38</definedName>
    <definedName name="NEW_AdjPermVB" localSheetId="6">'EDBE|0325-00'!$AB$38</definedName>
    <definedName name="NEW_AdjPermVB" localSheetId="10">'EDBE|0344-00'!$AB$38</definedName>
    <definedName name="NEW_AdjPermVB" localSheetId="12">'EDBE|0348-00'!$AB$38</definedName>
    <definedName name="NEW_AdjPermVB" localSheetId="7">'EDBE|0349-00'!$AB$38</definedName>
    <definedName name="NEW_AdjPermVB" localSheetId="4">'EDBG|0125-00'!$AB$38</definedName>
    <definedName name="NEW_AdjPermVB" localSheetId="5">'EDBG|0319-00'!$AB$38</definedName>
    <definedName name="NEW_AdjPermVB" localSheetId="11">'EDBG|0345-00'!$AB$38</definedName>
    <definedName name="NEW_AdjPermVB" localSheetId="8">'EDBG|0481-10'!$AB$38</definedName>
    <definedName name="NEW_AdjPermVB" localSheetId="9">'EDBG|0481-54'!$AB$38</definedName>
    <definedName name="NEW_AdjPermVB">'B6'!$AB$38</definedName>
    <definedName name="NEW_GroupFilled" localSheetId="1">'EDBC|0125-00'!$AC$11</definedName>
    <definedName name="NEW_GroupFilled" localSheetId="0">'EDBD|0001-00'!$AC$11</definedName>
    <definedName name="NEW_GroupFilled" localSheetId="2">'EDBD|0325-00'!$AC$11</definedName>
    <definedName name="NEW_GroupFilled" localSheetId="3">'EDBE|0001-00'!$AC$11</definedName>
    <definedName name="NEW_GroupFilled" localSheetId="6">'EDBE|0325-00'!$AC$11</definedName>
    <definedName name="NEW_GroupFilled" localSheetId="10">'EDBE|0344-00'!$AC$11</definedName>
    <definedName name="NEW_GroupFilled" localSheetId="12">'EDBE|0348-00'!$AC$11</definedName>
    <definedName name="NEW_GroupFilled" localSheetId="7">'EDBE|0349-00'!$AC$11</definedName>
    <definedName name="NEW_GroupFilled" localSheetId="4">'EDBG|0125-00'!$AC$11</definedName>
    <definedName name="NEW_GroupFilled" localSheetId="5">'EDBG|0319-00'!$AC$11</definedName>
    <definedName name="NEW_GroupFilled" localSheetId="11">'EDBG|0345-00'!$AC$11</definedName>
    <definedName name="NEW_GroupFilled" localSheetId="8">'EDBG|0481-10'!$AC$11</definedName>
    <definedName name="NEW_GroupFilled" localSheetId="9">'EDBG|0481-54'!$AC$11</definedName>
    <definedName name="NEW_GroupFilled">'B6'!$AC$11</definedName>
    <definedName name="NEW_GroupSalaryFilled" localSheetId="1">'EDBC|0125-00'!$AA$11</definedName>
    <definedName name="NEW_GroupSalaryFilled" localSheetId="0">'EDBD|0001-00'!$AA$11</definedName>
    <definedName name="NEW_GroupSalaryFilled" localSheetId="2">'EDBD|0325-00'!$AA$11</definedName>
    <definedName name="NEW_GroupSalaryFilled" localSheetId="3">'EDBE|0001-00'!$AA$11</definedName>
    <definedName name="NEW_GroupSalaryFilled" localSheetId="6">'EDBE|0325-00'!$AA$11</definedName>
    <definedName name="NEW_GroupSalaryFilled" localSheetId="10">'EDBE|0344-00'!$AA$11</definedName>
    <definedName name="NEW_GroupSalaryFilled" localSheetId="12">'EDBE|0348-00'!$AA$11</definedName>
    <definedName name="NEW_GroupSalaryFilled" localSheetId="7">'EDBE|0349-00'!$AA$11</definedName>
    <definedName name="NEW_GroupSalaryFilled" localSheetId="4">'EDBG|0125-00'!$AA$11</definedName>
    <definedName name="NEW_GroupSalaryFilled" localSheetId="5">'EDBG|0319-00'!$AA$11</definedName>
    <definedName name="NEW_GroupSalaryFilled" localSheetId="11">'EDBG|0345-00'!$AA$11</definedName>
    <definedName name="NEW_GroupSalaryFilled" localSheetId="8">'EDBG|0481-10'!$AA$11</definedName>
    <definedName name="NEW_GroupSalaryFilled" localSheetId="9">'EDBG|0481-54'!$AA$11</definedName>
    <definedName name="NEW_GroupSalaryFilled">'B6'!$AA$11</definedName>
    <definedName name="NEW_GroupVBFilled" localSheetId="1">'EDBC|0125-00'!$AB$11</definedName>
    <definedName name="NEW_GroupVBFilled" localSheetId="0">'EDBD|0001-00'!$AB$11</definedName>
    <definedName name="NEW_GroupVBFilled" localSheetId="2">'EDBD|0325-00'!$AB$11</definedName>
    <definedName name="NEW_GroupVBFilled" localSheetId="3">'EDBE|0001-00'!$AB$11</definedName>
    <definedName name="NEW_GroupVBFilled" localSheetId="6">'EDBE|0325-00'!$AB$11</definedName>
    <definedName name="NEW_GroupVBFilled" localSheetId="10">'EDBE|0344-00'!$AB$11</definedName>
    <definedName name="NEW_GroupVBFilled" localSheetId="12">'EDBE|0348-00'!$AB$11</definedName>
    <definedName name="NEW_GroupVBFilled" localSheetId="7">'EDBE|0349-00'!$AB$11</definedName>
    <definedName name="NEW_GroupVBFilled" localSheetId="4">'EDBG|0125-00'!$AB$11</definedName>
    <definedName name="NEW_GroupVBFilled" localSheetId="5">'EDBG|0319-00'!$AB$11</definedName>
    <definedName name="NEW_GroupVBFilled" localSheetId="11">'EDBG|0345-00'!$AB$11</definedName>
    <definedName name="NEW_GroupVBFilled" localSheetId="8">'EDBG|0481-10'!$AB$11</definedName>
    <definedName name="NEW_GroupVBFilled" localSheetId="9">'EDBG|0481-54'!$AB$11</definedName>
    <definedName name="NEW_GroupVBFilled">'B6'!$AB$11</definedName>
    <definedName name="NEW_PermFilled" localSheetId="1">'EDBC|0125-00'!$AC$10</definedName>
    <definedName name="NEW_PermFilled" localSheetId="0">'EDBD|0001-00'!$AC$10</definedName>
    <definedName name="NEW_PermFilled" localSheetId="2">'EDBD|0325-00'!$AC$10</definedName>
    <definedName name="NEW_PermFilled" localSheetId="3">'EDBE|0001-00'!$AC$10</definedName>
    <definedName name="NEW_PermFilled" localSheetId="6">'EDBE|0325-00'!$AC$10</definedName>
    <definedName name="NEW_PermFilled" localSheetId="10">'EDBE|0344-00'!$AC$10</definedName>
    <definedName name="NEW_PermFilled" localSheetId="12">'EDBE|0348-00'!$AC$10</definedName>
    <definedName name="NEW_PermFilled" localSheetId="7">'EDBE|0349-00'!$AC$10</definedName>
    <definedName name="NEW_PermFilled" localSheetId="4">'EDBG|0125-00'!$AC$10</definedName>
    <definedName name="NEW_PermFilled" localSheetId="5">'EDBG|0319-00'!$AC$10</definedName>
    <definedName name="NEW_PermFilled" localSheetId="11">'EDBG|0345-00'!$AC$10</definedName>
    <definedName name="NEW_PermFilled" localSheetId="8">'EDBG|0481-10'!$AC$10</definedName>
    <definedName name="NEW_PermFilled" localSheetId="9">'EDBG|0481-54'!$AC$10</definedName>
    <definedName name="NEW_PermFilled">'B6'!$AC$10</definedName>
    <definedName name="NEW_PermSalaryFilled" localSheetId="1">'EDBC|0125-00'!$AA$10</definedName>
    <definedName name="NEW_PermSalaryFilled" localSheetId="0">'EDBD|0001-00'!$AA$10</definedName>
    <definedName name="NEW_PermSalaryFilled" localSheetId="2">'EDBD|0325-00'!$AA$10</definedName>
    <definedName name="NEW_PermSalaryFilled" localSheetId="3">'EDBE|0001-00'!$AA$10</definedName>
    <definedName name="NEW_PermSalaryFilled" localSheetId="6">'EDBE|0325-00'!$AA$10</definedName>
    <definedName name="NEW_PermSalaryFilled" localSheetId="10">'EDBE|0344-00'!$AA$10</definedName>
    <definedName name="NEW_PermSalaryFilled" localSheetId="12">'EDBE|0348-00'!$AA$10</definedName>
    <definedName name="NEW_PermSalaryFilled" localSheetId="7">'EDBE|0349-00'!$AA$10</definedName>
    <definedName name="NEW_PermSalaryFilled" localSheetId="4">'EDBG|0125-00'!$AA$10</definedName>
    <definedName name="NEW_PermSalaryFilled" localSheetId="5">'EDBG|0319-00'!$AA$10</definedName>
    <definedName name="NEW_PermSalaryFilled" localSheetId="11">'EDBG|0345-00'!$AA$10</definedName>
    <definedName name="NEW_PermSalaryFilled" localSheetId="8">'EDBG|0481-10'!$AA$10</definedName>
    <definedName name="NEW_PermSalaryFilled" localSheetId="9">'EDBG|0481-54'!$AA$10</definedName>
    <definedName name="NEW_PermSalaryFilled">'B6'!$AA$10</definedName>
    <definedName name="NEW_PermVBFilled" localSheetId="1">'EDBC|0125-00'!$AB$10</definedName>
    <definedName name="NEW_PermVBFilled" localSheetId="0">'EDBD|0001-00'!$AB$10</definedName>
    <definedName name="NEW_PermVBFilled" localSheetId="2">'EDBD|0325-00'!$AB$10</definedName>
    <definedName name="NEW_PermVBFilled" localSheetId="3">'EDBE|0001-00'!$AB$10</definedName>
    <definedName name="NEW_PermVBFilled" localSheetId="6">'EDBE|0325-00'!$AB$10</definedName>
    <definedName name="NEW_PermVBFilled" localSheetId="10">'EDBE|0344-00'!$AB$10</definedName>
    <definedName name="NEW_PermVBFilled" localSheetId="12">'EDBE|0348-00'!$AB$10</definedName>
    <definedName name="NEW_PermVBFilled" localSheetId="7">'EDBE|0349-00'!$AB$10</definedName>
    <definedName name="NEW_PermVBFilled" localSheetId="4">'EDBG|0125-00'!$AB$10</definedName>
    <definedName name="NEW_PermVBFilled" localSheetId="5">'EDBG|0319-00'!$AB$10</definedName>
    <definedName name="NEW_PermVBFilled" localSheetId="11">'EDBG|0345-00'!$AB$10</definedName>
    <definedName name="NEW_PermVBFilled" localSheetId="8">'EDBG|0481-10'!$AB$10</definedName>
    <definedName name="NEW_PermVBFilled" localSheetId="9">'EDBG|0481-54'!$AB$10</definedName>
    <definedName name="NEW_PermVBFilled">'B6'!$AB$10</definedName>
    <definedName name="OneTimePC_Total" localSheetId="1">'EDBC|0125-00'!$J$63</definedName>
    <definedName name="OneTimePC_Total" localSheetId="0">'EDBD|0001-00'!$J$63</definedName>
    <definedName name="OneTimePC_Total" localSheetId="2">'EDBD|0325-00'!$J$63</definedName>
    <definedName name="OneTimePC_Total" localSheetId="3">'EDBE|0001-00'!$J$63</definedName>
    <definedName name="OneTimePC_Total" localSheetId="6">'EDBE|0325-00'!$J$63</definedName>
    <definedName name="OneTimePC_Total" localSheetId="10">'EDBE|0344-00'!$J$63</definedName>
    <definedName name="OneTimePC_Total" localSheetId="12">'EDBE|0348-00'!$J$63</definedName>
    <definedName name="OneTimePC_Total" localSheetId="7">'EDBE|0349-00'!$J$63</definedName>
    <definedName name="OneTimePC_Total" localSheetId="4">'EDBG|0125-00'!$J$63</definedName>
    <definedName name="OneTimePC_Total" localSheetId="5">'EDBG|0319-00'!$J$63</definedName>
    <definedName name="OneTimePC_Total" localSheetId="11">'EDBG|0345-00'!$J$63</definedName>
    <definedName name="OneTimePC_Total" localSheetId="8">'EDBG|0481-10'!$J$63</definedName>
    <definedName name="OneTimePC_Total" localSheetId="9">'EDBG|0481-54'!$J$63</definedName>
    <definedName name="OneTimePC_Total">'B6'!$J$63</definedName>
    <definedName name="OrigApprop" localSheetId="1">'EDBC|0125-00'!$E$15</definedName>
    <definedName name="OrigApprop" localSheetId="0">'EDBD|0001-00'!$E$15</definedName>
    <definedName name="OrigApprop" localSheetId="2">'EDBD|0325-00'!$E$15</definedName>
    <definedName name="OrigApprop" localSheetId="3">'EDBE|0001-00'!$E$15</definedName>
    <definedName name="OrigApprop" localSheetId="6">'EDBE|0325-00'!$E$15</definedName>
    <definedName name="OrigApprop" localSheetId="10">'EDBE|0344-00'!$E$15</definedName>
    <definedName name="OrigApprop" localSheetId="12">'EDBE|0348-00'!$E$15</definedName>
    <definedName name="OrigApprop" localSheetId="7">'EDBE|0349-00'!$E$15</definedName>
    <definedName name="OrigApprop" localSheetId="4">'EDBG|0125-00'!$E$15</definedName>
    <definedName name="OrigApprop" localSheetId="5">'EDBG|0319-00'!$E$15</definedName>
    <definedName name="OrigApprop" localSheetId="11">'EDBG|0345-00'!$E$15</definedName>
    <definedName name="OrigApprop" localSheetId="8">'EDBG|0481-10'!$E$15</definedName>
    <definedName name="OrigApprop" localSheetId="9">'EDBG|0481-54'!$E$15</definedName>
    <definedName name="OrigApprop">'B6'!$E$15</definedName>
    <definedName name="perm_name" localSheetId="1">'EDBC|0125-00'!$C$10</definedName>
    <definedName name="perm_name" localSheetId="0">'EDBD|0001-00'!$C$10</definedName>
    <definedName name="perm_name" localSheetId="2">'EDBD|0325-00'!$C$10</definedName>
    <definedName name="perm_name" localSheetId="3">'EDBE|0001-00'!$C$10</definedName>
    <definedName name="perm_name" localSheetId="6">'EDBE|0325-00'!$C$10</definedName>
    <definedName name="perm_name" localSheetId="10">'EDBE|0344-00'!$C$10</definedName>
    <definedName name="perm_name" localSheetId="12">'EDBE|0348-00'!$C$10</definedName>
    <definedName name="perm_name" localSheetId="7">'EDBE|0349-00'!$C$10</definedName>
    <definedName name="perm_name" localSheetId="4">'EDBG|0125-00'!$C$10</definedName>
    <definedName name="perm_name" localSheetId="5">'EDBG|0319-00'!$C$10</definedName>
    <definedName name="perm_name" localSheetId="11">'EDBG|0345-00'!$C$10</definedName>
    <definedName name="perm_name" localSheetId="8">'EDBG|0481-10'!$C$10</definedName>
    <definedName name="perm_name" localSheetId="9">'EDBG|0481-54'!$C$10</definedName>
    <definedName name="perm_name">'B6'!$C$10</definedName>
    <definedName name="PermFTP" localSheetId="1">'EDBC|0125-00'!$F$10</definedName>
    <definedName name="PermFTP" localSheetId="0">'EDBD|0001-00'!$F$10</definedName>
    <definedName name="PermFTP" localSheetId="2">'EDBD|0325-00'!$F$10</definedName>
    <definedName name="PermFTP" localSheetId="3">'EDBE|0001-00'!$F$10</definedName>
    <definedName name="PermFTP" localSheetId="6">'EDBE|0325-00'!$F$10</definedName>
    <definedName name="PermFTP" localSheetId="10">'EDBE|0344-00'!$F$10</definedName>
    <definedName name="PermFTP" localSheetId="12">'EDBE|0348-00'!$F$10</definedName>
    <definedName name="PermFTP" localSheetId="7">'EDBE|0349-00'!$F$10</definedName>
    <definedName name="PermFTP" localSheetId="4">'EDBG|0125-00'!$F$10</definedName>
    <definedName name="PermFTP" localSheetId="5">'EDBG|0319-00'!$F$10</definedName>
    <definedName name="PermFTP" localSheetId="11">'EDBG|0345-00'!$F$10</definedName>
    <definedName name="PermFTP" localSheetId="8">'EDBG|0481-10'!$F$10</definedName>
    <definedName name="PermFTP" localSheetId="9">'EDBG|0481-54'!$F$10</definedName>
    <definedName name="PermFTP">'B6'!$F$10</definedName>
    <definedName name="PermFxdBen" localSheetId="1">'EDBC|0125-00'!$H$10</definedName>
    <definedName name="PermFxdBen" localSheetId="0">'EDBD|0001-00'!$H$10</definedName>
    <definedName name="PermFxdBen" localSheetId="2">'EDBD|0325-00'!$H$10</definedName>
    <definedName name="PermFxdBen" localSheetId="3">'EDBE|0001-00'!$H$10</definedName>
    <definedName name="PermFxdBen" localSheetId="6">'EDBE|0325-00'!$H$10</definedName>
    <definedName name="PermFxdBen" localSheetId="10">'EDBE|0344-00'!$H$10</definedName>
    <definedName name="PermFxdBen" localSheetId="12">'EDBE|0348-00'!$H$10</definedName>
    <definedName name="PermFxdBen" localSheetId="7">'EDBE|0349-00'!$H$10</definedName>
    <definedName name="PermFxdBen" localSheetId="4">'EDBG|0125-00'!$H$10</definedName>
    <definedName name="PermFxdBen" localSheetId="5">'EDBG|0319-00'!$H$10</definedName>
    <definedName name="PermFxdBen" localSheetId="11">'EDBG|0345-00'!$H$10</definedName>
    <definedName name="PermFxdBen" localSheetId="8">'EDBG|0481-10'!$H$10</definedName>
    <definedName name="PermFxdBen" localSheetId="9">'EDBG|0481-54'!$H$10</definedName>
    <definedName name="PermFxdBen">'B6'!$H$10</definedName>
    <definedName name="PermFxdBenChg" localSheetId="1">'EDBC|0125-00'!$L$10</definedName>
    <definedName name="PermFxdBenChg" localSheetId="0">'EDBD|0001-00'!$L$10</definedName>
    <definedName name="PermFxdBenChg" localSheetId="2">'EDBD|0325-00'!$L$10</definedName>
    <definedName name="PermFxdBenChg" localSheetId="3">'EDBE|0001-00'!$L$10</definedName>
    <definedName name="PermFxdBenChg" localSheetId="6">'EDBE|0325-00'!$L$10</definedName>
    <definedName name="PermFxdBenChg" localSheetId="10">'EDBE|0344-00'!$L$10</definedName>
    <definedName name="PermFxdBenChg" localSheetId="12">'EDBE|0348-00'!$L$10</definedName>
    <definedName name="PermFxdBenChg" localSheetId="7">'EDBE|0349-00'!$L$10</definedName>
    <definedName name="PermFxdBenChg" localSheetId="4">'EDBG|0125-00'!$L$10</definedName>
    <definedName name="PermFxdBenChg" localSheetId="5">'EDBG|0319-00'!$L$10</definedName>
    <definedName name="PermFxdBenChg" localSheetId="11">'EDBG|0345-00'!$L$10</definedName>
    <definedName name="PermFxdBenChg" localSheetId="8">'EDBG|0481-10'!$L$10</definedName>
    <definedName name="PermFxdBenChg" localSheetId="9">'EDBG|0481-54'!$L$10</definedName>
    <definedName name="PermFxdBenChg">'B6'!$L$10</definedName>
    <definedName name="PermFxdChg" localSheetId="1">'EDBC|0125-00'!$L$10</definedName>
    <definedName name="PermFxdChg" localSheetId="0">'EDBD|0001-00'!$L$10</definedName>
    <definedName name="PermFxdChg" localSheetId="2">'EDBD|0325-00'!$L$10</definedName>
    <definedName name="PermFxdChg" localSheetId="3">'EDBE|0001-00'!$L$10</definedName>
    <definedName name="PermFxdChg" localSheetId="6">'EDBE|0325-00'!$L$10</definedName>
    <definedName name="PermFxdChg" localSheetId="10">'EDBE|0344-00'!$L$10</definedName>
    <definedName name="PermFxdChg" localSheetId="12">'EDBE|0348-00'!$L$10</definedName>
    <definedName name="PermFxdChg" localSheetId="7">'EDBE|0349-00'!$L$10</definedName>
    <definedName name="PermFxdChg" localSheetId="4">'EDBG|0125-00'!$L$10</definedName>
    <definedName name="PermFxdChg" localSheetId="5">'EDBG|0319-00'!$L$10</definedName>
    <definedName name="PermFxdChg" localSheetId="11">'EDBG|0345-00'!$L$10</definedName>
    <definedName name="PermFxdChg" localSheetId="8">'EDBG|0481-10'!$L$10</definedName>
    <definedName name="PermFxdChg" localSheetId="9">'EDBG|0481-54'!$L$10</definedName>
    <definedName name="PermFxdChg">'B6'!$L$10</definedName>
    <definedName name="PermSalary" localSheetId="1">'EDBC|0125-00'!$G$10</definedName>
    <definedName name="PermSalary" localSheetId="0">'EDBD|0001-00'!$G$10</definedName>
    <definedName name="PermSalary" localSheetId="2">'EDBD|0325-00'!$G$10</definedName>
    <definedName name="PermSalary" localSheetId="3">'EDBE|0001-00'!$G$10</definedName>
    <definedName name="PermSalary" localSheetId="6">'EDBE|0325-00'!$G$10</definedName>
    <definedName name="PermSalary" localSheetId="10">'EDBE|0344-00'!$G$10</definedName>
    <definedName name="PermSalary" localSheetId="12">'EDBE|0348-00'!$G$10</definedName>
    <definedName name="PermSalary" localSheetId="7">'EDBE|0349-00'!$G$10</definedName>
    <definedName name="PermSalary" localSheetId="4">'EDBG|0125-00'!$G$10</definedName>
    <definedName name="PermSalary" localSheetId="5">'EDBG|0319-00'!$G$10</definedName>
    <definedName name="PermSalary" localSheetId="11">'EDBG|0345-00'!$G$10</definedName>
    <definedName name="PermSalary" localSheetId="8">'EDBG|0481-10'!$G$10</definedName>
    <definedName name="PermSalary" localSheetId="9">'EDBG|0481-54'!$G$10</definedName>
    <definedName name="PermSalary">'B6'!$G$10</definedName>
    <definedName name="PermVarBen" localSheetId="1">'EDBC|0125-00'!$I$10</definedName>
    <definedName name="PermVarBen" localSheetId="0">'EDBD|0001-00'!$I$10</definedName>
    <definedName name="PermVarBen" localSheetId="2">'EDBD|0325-00'!$I$10</definedName>
    <definedName name="PermVarBen" localSheetId="3">'EDBE|0001-00'!$I$10</definedName>
    <definedName name="PermVarBen" localSheetId="6">'EDBE|0325-00'!$I$10</definedName>
    <definedName name="PermVarBen" localSheetId="10">'EDBE|0344-00'!$I$10</definedName>
    <definedName name="PermVarBen" localSheetId="12">'EDBE|0348-00'!$I$10</definedName>
    <definedName name="PermVarBen" localSheetId="7">'EDBE|0349-00'!$I$10</definedName>
    <definedName name="PermVarBen" localSheetId="4">'EDBG|0125-00'!$I$10</definedName>
    <definedName name="PermVarBen" localSheetId="5">'EDBG|0319-00'!$I$10</definedName>
    <definedName name="PermVarBen" localSheetId="11">'EDBG|0345-00'!$I$10</definedName>
    <definedName name="PermVarBen" localSheetId="8">'EDBG|0481-10'!$I$10</definedName>
    <definedName name="PermVarBen" localSheetId="9">'EDBG|0481-54'!$I$10</definedName>
    <definedName name="PermVarBen">'B6'!$I$10</definedName>
    <definedName name="PermVarBenChg" localSheetId="1">'EDBC|0125-00'!$M$10</definedName>
    <definedName name="PermVarBenChg" localSheetId="0">'EDBD|0001-00'!$M$10</definedName>
    <definedName name="PermVarBenChg" localSheetId="2">'EDBD|0325-00'!$M$10</definedName>
    <definedName name="PermVarBenChg" localSheetId="3">'EDBE|0001-00'!$M$10</definedName>
    <definedName name="PermVarBenChg" localSheetId="6">'EDBE|0325-00'!$M$10</definedName>
    <definedName name="PermVarBenChg" localSheetId="10">'EDBE|0344-00'!$M$10</definedName>
    <definedName name="PermVarBenChg" localSheetId="12">'EDBE|0348-00'!$M$10</definedName>
    <definedName name="PermVarBenChg" localSheetId="7">'EDBE|0349-00'!$M$10</definedName>
    <definedName name="PermVarBenChg" localSheetId="4">'EDBG|0125-00'!$M$10</definedName>
    <definedName name="PermVarBenChg" localSheetId="5">'EDBG|0319-00'!$M$10</definedName>
    <definedName name="PermVarBenChg" localSheetId="11">'EDBG|0345-00'!$M$10</definedName>
    <definedName name="PermVarBenChg" localSheetId="8">'EDBG|0481-10'!$M$10</definedName>
    <definedName name="PermVarBenChg" localSheetId="9">'EDBG|0481-54'!$M$10</definedName>
    <definedName name="PermVarBenChg">'B6'!$M$10</definedName>
    <definedName name="PermVB">Benefits!$C$12</definedName>
    <definedName name="PermVBBY">Benefits!$D$12</definedName>
    <definedName name="PermVBCHG">Benefits!$E$12</definedName>
    <definedName name="_xlnm.Print_Area" localSheetId="15">'B6'!$A$1:$N$81</definedName>
    <definedName name="_xlnm.Print_Area" localSheetId="14">Benefits!$A$1:$G$36</definedName>
    <definedName name="_xlnm.Print_Area" localSheetId="1">'EDBC|0125-00'!$A$1:$N$81</definedName>
    <definedName name="_xlnm.Print_Area" localSheetId="0">'EDBD|0001-00'!$A$1:$N$81</definedName>
    <definedName name="_xlnm.Print_Area" localSheetId="2">'EDBD|0325-00'!$A$1:$N$81</definedName>
    <definedName name="_xlnm.Print_Area" localSheetId="3">'EDBE|0001-00'!$A$1:$N$81</definedName>
    <definedName name="_xlnm.Print_Area" localSheetId="6">'EDBE|0325-00'!$A$1:$N$81</definedName>
    <definedName name="_xlnm.Print_Area" localSheetId="10">'EDBE|0344-00'!$A$1:$N$81</definedName>
    <definedName name="_xlnm.Print_Area" localSheetId="12">'EDBE|0348-00'!$A$1:$N$81</definedName>
    <definedName name="_xlnm.Print_Area" localSheetId="7">'EDBE|0349-00'!$A$1:$N$81</definedName>
    <definedName name="_xlnm.Print_Area" localSheetId="4">'EDBG|0125-00'!$A$1:$N$81</definedName>
    <definedName name="_xlnm.Print_Area" localSheetId="5">'EDBG|0319-00'!$A$1:$N$81</definedName>
    <definedName name="_xlnm.Print_Area" localSheetId="11">'EDBG|0345-00'!$A$1:$N$81</definedName>
    <definedName name="_xlnm.Print_Area" localSheetId="8">'EDBG|0481-10'!$A$1:$N$81</definedName>
    <definedName name="_xlnm.Print_Area" localSheetId="9">'EDBG|0481-54'!$A$1:$N$81</definedName>
    <definedName name="Prog_Unadjusted_Total" localSheetId="1">'EDBC|0125-00'!$C$8:$N$16</definedName>
    <definedName name="Prog_Unadjusted_Total" localSheetId="0">'EDBD|0001-00'!$C$8:$N$16</definedName>
    <definedName name="Prog_Unadjusted_Total" localSheetId="2">'EDBD|0325-00'!$C$8:$N$16</definedName>
    <definedName name="Prog_Unadjusted_Total" localSheetId="3">'EDBE|0001-00'!$C$8:$N$16</definedName>
    <definedName name="Prog_Unadjusted_Total" localSheetId="6">'EDBE|0325-00'!$C$8:$N$16</definedName>
    <definedName name="Prog_Unadjusted_Total" localSheetId="10">'EDBE|0344-00'!$C$8:$N$16</definedName>
    <definedName name="Prog_Unadjusted_Total" localSheetId="12">'EDBE|0348-00'!$C$8:$N$16</definedName>
    <definedName name="Prog_Unadjusted_Total" localSheetId="7">'EDBE|0349-00'!$C$8:$N$16</definedName>
    <definedName name="Prog_Unadjusted_Total" localSheetId="4">'EDBG|0125-00'!$C$8:$N$16</definedName>
    <definedName name="Prog_Unadjusted_Total" localSheetId="5">'EDBG|0319-00'!$C$8:$N$16</definedName>
    <definedName name="Prog_Unadjusted_Total" localSheetId="11">'EDBG|0345-00'!$C$8:$N$16</definedName>
    <definedName name="Prog_Unadjusted_Total" localSheetId="8">'EDBG|0481-10'!$C$8:$N$16</definedName>
    <definedName name="Prog_Unadjusted_Total" localSheetId="9">'EDBG|0481-54'!$C$8:$N$16</definedName>
    <definedName name="Prog_Unadjusted_Total">'B6'!$C$8:$N$16</definedName>
    <definedName name="Program" localSheetId="1">'EDBC|0125-00'!$D$3</definedName>
    <definedName name="Program" localSheetId="0">'EDBD|0001-00'!$D$3</definedName>
    <definedName name="Program" localSheetId="2">'EDBD|0325-00'!$D$3</definedName>
    <definedName name="Program" localSheetId="3">'EDBE|0001-00'!$D$3</definedName>
    <definedName name="Program" localSheetId="6">'EDBE|0325-00'!$D$3</definedName>
    <definedName name="Program" localSheetId="10">'EDBE|0344-00'!$D$3</definedName>
    <definedName name="Program" localSheetId="12">'EDBE|0348-00'!$D$3</definedName>
    <definedName name="Program" localSheetId="7">'EDBE|0349-00'!$D$3</definedName>
    <definedName name="Program" localSheetId="4">'EDBG|0125-00'!$D$3</definedName>
    <definedName name="Program" localSheetId="5">'EDBG|0319-00'!$D$3</definedName>
    <definedName name="Program" localSheetId="11">'EDBG|0345-00'!$D$3</definedName>
    <definedName name="Program" localSheetId="8">'EDBG|0481-10'!$D$3</definedName>
    <definedName name="Program" localSheetId="9">'EDBG|0481-54'!$D$3</definedName>
    <definedName name="Program">'B6'!$D$3</definedName>
    <definedName name="PTHealth">Benefits!$C$16</definedName>
    <definedName name="PTHealthBY">Benefits!$D$16</definedName>
    <definedName name="PTHealthChg">Benefits!$E$16</definedName>
    <definedName name="Retire1">Benefits!$C$20</definedName>
    <definedName name="Retire1BY">Benefits!$D$20</definedName>
    <definedName name="Retire1CHG">Benefits!$E$20</definedName>
    <definedName name="Retire2">Benefits!$C$21</definedName>
    <definedName name="Retire2BY">Benefits!$D$21</definedName>
    <definedName name="Retire2CHG">Benefits!$E$21</definedName>
    <definedName name="Retire4">Benefits!$C$22</definedName>
    <definedName name="Retire4BY">Benefits!$D$22</definedName>
    <definedName name="Retire4CHG">Benefits!$E$22</definedName>
    <definedName name="Retire5">Benefits!$C$23</definedName>
    <definedName name="Retire5BY">Benefits!$D$23</definedName>
    <definedName name="Retire5CHG">Benefits!$E$23</definedName>
    <definedName name="Retire6">Benefits!$C$24</definedName>
    <definedName name="Retire6BY">Benefits!$D$24</definedName>
    <definedName name="Retire6CHG">Benefits!$E$24</definedName>
    <definedName name="Retire7">Benefits!$C$25</definedName>
    <definedName name="Retire7BY">Benefits!$D$25</definedName>
    <definedName name="Retire7CHG">Benefits!$E$25</definedName>
    <definedName name="Retire8">Benefits!$C$26</definedName>
    <definedName name="Retire8BY">Benefits!$D$26</definedName>
    <definedName name="Retire8CHG">Benefits!$E$26</definedName>
    <definedName name="Retirement_Rates">Benefits!$A$19:$E$26</definedName>
    <definedName name="RoundedAppropSalary" localSheetId="1">'EDBC|0125-00'!$G$52</definedName>
    <definedName name="RoundedAppropSalary" localSheetId="0">'EDBD|0001-00'!$G$52</definedName>
    <definedName name="RoundedAppropSalary" localSheetId="2">'EDBD|0325-00'!$G$52</definedName>
    <definedName name="RoundedAppropSalary" localSheetId="3">'EDBE|0001-00'!$G$52</definedName>
    <definedName name="RoundedAppropSalary" localSheetId="6">'EDBE|0325-00'!$G$52</definedName>
    <definedName name="RoundedAppropSalary" localSheetId="10">'EDBE|0344-00'!$G$52</definedName>
    <definedName name="RoundedAppropSalary" localSheetId="12">'EDBE|0348-00'!$G$52</definedName>
    <definedName name="RoundedAppropSalary" localSheetId="7">'EDBE|0349-00'!$G$52</definedName>
    <definedName name="RoundedAppropSalary" localSheetId="4">'EDBG|0125-00'!$G$52</definedName>
    <definedName name="RoundedAppropSalary" localSheetId="5">'EDBG|0319-00'!$G$52</definedName>
    <definedName name="RoundedAppropSalary" localSheetId="11">'EDBG|0345-00'!$G$52</definedName>
    <definedName name="RoundedAppropSalary" localSheetId="8">'EDBG|0481-10'!$G$52</definedName>
    <definedName name="RoundedAppropSalary" localSheetId="9">'EDBG|0481-54'!$G$52</definedName>
    <definedName name="RoundedAppropSalary">'B6'!$G$52</definedName>
    <definedName name="SalaryChg" localSheetId="1">'EDBC|0125-00'!$K$10</definedName>
    <definedName name="SalaryChg" localSheetId="0">'EDBD|0001-00'!$K$10</definedName>
    <definedName name="SalaryChg" localSheetId="2">'EDBD|0325-00'!$K$10</definedName>
    <definedName name="SalaryChg" localSheetId="3">'EDBE|0001-00'!$K$10</definedName>
    <definedName name="SalaryChg" localSheetId="6">'EDBE|0325-00'!$K$10</definedName>
    <definedName name="SalaryChg" localSheetId="10">'EDBE|0344-00'!$K$10</definedName>
    <definedName name="SalaryChg" localSheetId="12">'EDBE|0348-00'!$K$10</definedName>
    <definedName name="SalaryChg" localSheetId="7">'EDBE|0349-00'!$K$10</definedName>
    <definedName name="SalaryChg" localSheetId="4">'EDBG|0125-00'!$K$10</definedName>
    <definedName name="SalaryChg" localSheetId="5">'EDBG|0319-00'!$K$10</definedName>
    <definedName name="SalaryChg" localSheetId="11">'EDBG|0345-00'!$K$10</definedName>
    <definedName name="SalaryChg" localSheetId="8">'EDBG|0481-10'!$K$10</definedName>
    <definedName name="SalaryChg" localSheetId="9">'EDBG|0481-54'!$K$10</definedName>
    <definedName name="SalaryChg">'B6'!$K$10</definedName>
    <definedName name="Sick">Benefits!$C$10</definedName>
    <definedName name="SickBY">Benefits!$D$10</definedName>
    <definedName name="SickCHG">Benefits!$E$10</definedName>
    <definedName name="SSDI">Benefits!$C$5</definedName>
    <definedName name="SSDIBY">Benefits!$D$5</definedName>
    <definedName name="SSDICHG">Benefits!$E$5</definedName>
    <definedName name="SSHI">Benefits!$C$6</definedName>
    <definedName name="SSHIBY">Benefits!$D$6</definedName>
    <definedName name="SSHICHG">Benefits!$E$6</definedName>
    <definedName name="SubCECBase" localSheetId="1">'EDBC|0125-00'!#REF!</definedName>
    <definedName name="SubCECBase" localSheetId="0">'EDBD|0001-00'!#REF!</definedName>
    <definedName name="SubCECBase" localSheetId="2">'EDBD|0325-00'!#REF!</definedName>
    <definedName name="SubCECBase" localSheetId="3">'EDBE|0001-00'!#REF!</definedName>
    <definedName name="SubCECBase" localSheetId="6">'EDBE|0325-00'!#REF!</definedName>
    <definedName name="SubCECBase" localSheetId="10">'EDBE|0344-00'!#REF!</definedName>
    <definedName name="SubCECBase" localSheetId="12">'EDBE|0348-00'!#REF!</definedName>
    <definedName name="SubCECBase" localSheetId="7">'EDBE|0349-00'!#REF!</definedName>
    <definedName name="SubCECBase" localSheetId="4">'EDBG|0125-00'!#REF!</definedName>
    <definedName name="SubCECBase" localSheetId="5">'EDBG|0319-00'!#REF!</definedName>
    <definedName name="SubCECBase" localSheetId="11">'EDBG|0345-00'!#REF!</definedName>
    <definedName name="SubCECBase" localSheetId="8">'EDBG|0481-10'!#REF!</definedName>
    <definedName name="SubCECBase" localSheetId="9">'EDBG|0481-54'!#REF!</definedName>
    <definedName name="SubCECBase">'B6'!#REF!</definedName>
    <definedName name="UI">Benefits!$C$7</definedName>
    <definedName name="UIBY">Benefits!$D$7</definedName>
    <definedName name="UICHG">Benefits!$E$7</definedName>
    <definedName name="WC">Benefits!$C$8</definedName>
    <definedName name="WCBY">Benefits!$D$8</definedName>
    <definedName name="WCCHG">Benefits!$E$8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7" l="1"/>
  <c r="H16" i="7" s="1"/>
  <c r="G16" i="7"/>
  <c r="E8" i="11"/>
  <c r="F8" i="11"/>
  <c r="G8" i="11"/>
  <c r="H8" i="11"/>
  <c r="I8" i="11"/>
  <c r="K8" i="11"/>
  <c r="L8" i="11"/>
  <c r="E9" i="11"/>
  <c r="F9" i="11"/>
  <c r="G9" i="11"/>
  <c r="H9" i="11"/>
  <c r="I9" i="11"/>
  <c r="K9" i="11"/>
  <c r="L9" i="11"/>
  <c r="E10" i="11"/>
  <c r="F10" i="11"/>
  <c r="G10" i="11"/>
  <c r="H10" i="11"/>
  <c r="I10" i="11"/>
  <c r="K10" i="11"/>
  <c r="L10" i="11"/>
  <c r="E11" i="11"/>
  <c r="F11" i="11"/>
  <c r="G11" i="11"/>
  <c r="H11" i="11"/>
  <c r="I11" i="11"/>
  <c r="K11" i="11"/>
  <c r="L11" i="11"/>
  <c r="E12" i="11"/>
  <c r="F12" i="11"/>
  <c r="G12" i="11"/>
  <c r="H12" i="11"/>
  <c r="I12" i="11"/>
  <c r="K12" i="11"/>
  <c r="L12" i="11"/>
  <c r="E13" i="11"/>
  <c r="F13" i="11"/>
  <c r="G13" i="11"/>
  <c r="H13" i="11"/>
  <c r="I13" i="11"/>
  <c r="K13" i="11"/>
  <c r="L13" i="11"/>
  <c r="E14" i="11"/>
  <c r="F14" i="11"/>
  <c r="G14" i="11"/>
  <c r="H14" i="11"/>
  <c r="I14" i="11"/>
  <c r="K14" i="11"/>
  <c r="L14" i="11"/>
  <c r="E15" i="11"/>
  <c r="F15" i="11"/>
  <c r="G15" i="11"/>
  <c r="H15" i="11"/>
  <c r="I15" i="11"/>
  <c r="K15" i="11"/>
  <c r="L15" i="11"/>
  <c r="E16" i="11"/>
  <c r="F16" i="11"/>
  <c r="G16" i="11"/>
  <c r="H16" i="11"/>
  <c r="I16" i="11"/>
  <c r="K16" i="11"/>
  <c r="L16" i="11"/>
  <c r="E17" i="11"/>
  <c r="F17" i="11"/>
  <c r="G17" i="11"/>
  <c r="H17" i="11"/>
  <c r="I17" i="11"/>
  <c r="K17" i="11"/>
  <c r="L17" i="11"/>
  <c r="E18" i="11"/>
  <c r="F18" i="11"/>
  <c r="G18" i="11"/>
  <c r="H18" i="11"/>
  <c r="I18" i="11"/>
  <c r="K18" i="11"/>
  <c r="L18" i="11"/>
  <c r="E19" i="11"/>
  <c r="F19" i="11"/>
  <c r="G19" i="11"/>
  <c r="H19" i="11"/>
  <c r="I19" i="11"/>
  <c r="K19" i="11"/>
  <c r="L19" i="11"/>
  <c r="E20" i="11"/>
  <c r="F20" i="11"/>
  <c r="G20" i="11"/>
  <c r="H20" i="11"/>
  <c r="I20" i="11"/>
  <c r="K20" i="11"/>
  <c r="L20" i="11"/>
  <c r="E21" i="11"/>
  <c r="F21" i="11"/>
  <c r="G21" i="11"/>
  <c r="H21" i="11"/>
  <c r="I21" i="11"/>
  <c r="K21" i="11"/>
  <c r="L21" i="11"/>
  <c r="E22" i="11"/>
  <c r="F22" i="11"/>
  <c r="G22" i="11"/>
  <c r="H22" i="11"/>
  <c r="I22" i="11"/>
  <c r="K22" i="11"/>
  <c r="L22" i="11"/>
  <c r="E23" i="11"/>
  <c r="F23" i="11"/>
  <c r="G23" i="11"/>
  <c r="H23" i="11"/>
  <c r="I23" i="11"/>
  <c r="K23" i="11"/>
  <c r="L23" i="11"/>
  <c r="E24" i="11"/>
  <c r="F24" i="11"/>
  <c r="G24" i="11"/>
  <c r="H24" i="11"/>
  <c r="I24" i="11"/>
  <c r="K24" i="11"/>
  <c r="L24" i="11"/>
  <c r="E25" i="11"/>
  <c r="F25" i="11"/>
  <c r="G25" i="11"/>
  <c r="H25" i="11"/>
  <c r="I25" i="11"/>
  <c r="K25" i="11"/>
  <c r="L25" i="11"/>
  <c r="E26" i="11"/>
  <c r="F26" i="11"/>
  <c r="G26" i="11"/>
  <c r="H26" i="11"/>
  <c r="I26" i="11"/>
  <c r="K26" i="11"/>
  <c r="L26" i="11"/>
  <c r="E27" i="11"/>
  <c r="F27" i="11"/>
  <c r="G27" i="11"/>
  <c r="H27" i="11"/>
  <c r="I27" i="11"/>
  <c r="K27" i="11"/>
  <c r="L27" i="11"/>
  <c r="E28" i="11"/>
  <c r="F28" i="11"/>
  <c r="G28" i="11"/>
  <c r="H28" i="11"/>
  <c r="I28" i="11"/>
  <c r="K28" i="11"/>
  <c r="L28" i="11"/>
  <c r="E29" i="11"/>
  <c r="F29" i="11"/>
  <c r="G29" i="11"/>
  <c r="H29" i="11"/>
  <c r="I29" i="11"/>
  <c r="K29" i="11"/>
  <c r="L29" i="11"/>
  <c r="E30" i="11"/>
  <c r="F30" i="11"/>
  <c r="G30" i="11"/>
  <c r="H30" i="11"/>
  <c r="I30" i="11"/>
  <c r="K30" i="11"/>
  <c r="L30" i="11"/>
  <c r="E31" i="11"/>
  <c r="F31" i="11"/>
  <c r="G31" i="11"/>
  <c r="H31" i="11"/>
  <c r="I31" i="11"/>
  <c r="K31" i="11"/>
  <c r="L31" i="11"/>
  <c r="E32" i="11"/>
  <c r="F32" i="11"/>
  <c r="G32" i="11"/>
  <c r="H32" i="11"/>
  <c r="I32" i="11"/>
  <c r="K32" i="11"/>
  <c r="L32" i="11"/>
  <c r="E33" i="11"/>
  <c r="F33" i="11"/>
  <c r="G33" i="11"/>
  <c r="H33" i="11"/>
  <c r="I33" i="11"/>
  <c r="K33" i="11"/>
  <c r="L33" i="11"/>
  <c r="E34" i="11"/>
  <c r="F34" i="11"/>
  <c r="G34" i="11"/>
  <c r="H34" i="11"/>
  <c r="I34" i="11"/>
  <c r="K34" i="11"/>
  <c r="L34" i="11"/>
  <c r="E35" i="11"/>
  <c r="F35" i="11"/>
  <c r="G35" i="11"/>
  <c r="H35" i="11"/>
  <c r="I35" i="11"/>
  <c r="J35" i="11"/>
  <c r="K35" i="11"/>
  <c r="L35" i="11"/>
  <c r="M35" i="11"/>
  <c r="E36" i="11"/>
  <c r="F36" i="11"/>
  <c r="G36" i="11"/>
  <c r="H36" i="11"/>
  <c r="I36" i="11"/>
  <c r="K36" i="11"/>
  <c r="L36" i="11"/>
  <c r="E37" i="11"/>
  <c r="F37" i="11"/>
  <c r="G37" i="11"/>
  <c r="H37" i="11"/>
  <c r="I37" i="11"/>
  <c r="J37" i="11"/>
  <c r="K37" i="11"/>
  <c r="L37" i="11"/>
  <c r="M37" i="11"/>
  <c r="E38" i="11"/>
  <c r="F38" i="11"/>
  <c r="G38" i="11"/>
  <c r="H38" i="11"/>
  <c r="I38" i="11"/>
  <c r="J38" i="11"/>
  <c r="K38" i="11"/>
  <c r="L38" i="11"/>
  <c r="M38" i="11"/>
  <c r="E39" i="11"/>
  <c r="F39" i="11"/>
  <c r="G39" i="11"/>
  <c r="H39" i="11"/>
  <c r="I39" i="11"/>
  <c r="J39" i="11"/>
  <c r="K39" i="11"/>
  <c r="L39" i="11"/>
  <c r="M39" i="11"/>
  <c r="E40" i="11"/>
  <c r="F40" i="11"/>
  <c r="G40" i="11"/>
  <c r="H40" i="11"/>
  <c r="I40" i="11"/>
  <c r="J40" i="11"/>
  <c r="K40" i="11"/>
  <c r="L40" i="11"/>
  <c r="M40" i="11"/>
  <c r="E41" i="11"/>
  <c r="F41" i="11"/>
  <c r="G41" i="11"/>
  <c r="H41" i="11"/>
  <c r="I41" i="11"/>
  <c r="J41" i="11"/>
  <c r="K41" i="11"/>
  <c r="L41" i="11"/>
  <c r="M41" i="11"/>
  <c r="E42" i="11"/>
  <c r="F42" i="11"/>
  <c r="G42" i="11"/>
  <c r="H42" i="11"/>
  <c r="I42" i="11"/>
  <c r="J42" i="11"/>
  <c r="K42" i="11"/>
  <c r="L42" i="11"/>
  <c r="M42" i="11"/>
  <c r="E43" i="11"/>
  <c r="F43" i="11"/>
  <c r="G43" i="11"/>
  <c r="H43" i="11"/>
  <c r="I43" i="11"/>
  <c r="J43" i="11"/>
  <c r="K43" i="11"/>
  <c r="L43" i="11"/>
  <c r="M43" i="11"/>
  <c r="E44" i="11"/>
  <c r="F44" i="11"/>
  <c r="G44" i="11"/>
  <c r="H44" i="11"/>
  <c r="I44" i="11"/>
  <c r="K44" i="11"/>
  <c r="L44" i="11"/>
  <c r="AZ343" i="5"/>
  <c r="AY343" i="5"/>
  <c r="AW343" i="5"/>
  <c r="AV343" i="5"/>
  <c r="AU343" i="5"/>
  <c r="AT343" i="5"/>
  <c r="AS343" i="5"/>
  <c r="BA341" i="5"/>
  <c r="AZ341" i="5"/>
  <c r="AY341" i="5"/>
  <c r="AX341" i="5"/>
  <c r="AW341" i="5"/>
  <c r="AV341" i="5"/>
  <c r="AU341" i="5"/>
  <c r="AT341" i="5"/>
  <c r="AS341" i="5"/>
  <c r="AZ335" i="5"/>
  <c r="AY335" i="5"/>
  <c r="AW335" i="5"/>
  <c r="AV335" i="5"/>
  <c r="AU335" i="5"/>
  <c r="AT335" i="5"/>
  <c r="AS335" i="5"/>
  <c r="AZ339" i="5"/>
  <c r="AW339" i="5"/>
  <c r="A141" i="10"/>
  <c r="K134" i="10"/>
  <c r="J134" i="10"/>
  <c r="I134" i="10"/>
  <c r="H134" i="10"/>
  <c r="G134" i="10"/>
  <c r="F134" i="10"/>
  <c r="E134" i="10"/>
  <c r="C80" i="24"/>
  <c r="J79" i="24"/>
  <c r="J78" i="24"/>
  <c r="J77" i="24"/>
  <c r="C75" i="24"/>
  <c r="J74" i="24"/>
  <c r="I74" i="24"/>
  <c r="E73" i="24"/>
  <c r="E72" i="24"/>
  <c r="I71" i="24"/>
  <c r="J71" i="24" s="1"/>
  <c r="J70" i="24"/>
  <c r="C67" i="24"/>
  <c r="J66" i="24"/>
  <c r="I66" i="24"/>
  <c r="H66" i="24"/>
  <c r="G66" i="24"/>
  <c r="N64" i="24"/>
  <c r="J64" i="24"/>
  <c r="N63" i="24"/>
  <c r="H63" i="24"/>
  <c r="N62" i="24"/>
  <c r="J62" i="24"/>
  <c r="C60" i="24"/>
  <c r="N59" i="24"/>
  <c r="J59" i="24"/>
  <c r="N58" i="24"/>
  <c r="J58" i="24"/>
  <c r="C56" i="24"/>
  <c r="N55" i="24"/>
  <c r="J55" i="24"/>
  <c r="J54" i="24"/>
  <c r="F51" i="24"/>
  <c r="E51" i="24"/>
  <c r="C51" i="24"/>
  <c r="M50" i="24"/>
  <c r="L50" i="24"/>
  <c r="K50" i="24"/>
  <c r="J50" i="24"/>
  <c r="I50" i="24"/>
  <c r="H50" i="24"/>
  <c r="G50" i="24"/>
  <c r="C40" i="24"/>
  <c r="M39" i="24"/>
  <c r="L39" i="24"/>
  <c r="H39" i="24"/>
  <c r="F39" i="24"/>
  <c r="C39" i="24"/>
  <c r="C38" i="24"/>
  <c r="M35" i="24"/>
  <c r="N35" i="24" s="1"/>
  <c r="L35" i="24"/>
  <c r="J35" i="24"/>
  <c r="I35" i="24"/>
  <c r="H35" i="24"/>
  <c r="M34" i="24"/>
  <c r="L34" i="24"/>
  <c r="J34" i="24"/>
  <c r="I34" i="24"/>
  <c r="H34" i="24"/>
  <c r="M33" i="24"/>
  <c r="N33" i="24" s="1"/>
  <c r="L33" i="24"/>
  <c r="J33" i="24"/>
  <c r="I33" i="24"/>
  <c r="H33" i="24"/>
  <c r="M32" i="24"/>
  <c r="L32" i="24"/>
  <c r="J32" i="24"/>
  <c r="I32" i="24"/>
  <c r="H32" i="24"/>
  <c r="M30" i="24"/>
  <c r="N30" i="24" s="1"/>
  <c r="L30" i="24"/>
  <c r="J30" i="24"/>
  <c r="I30" i="24"/>
  <c r="H30" i="24"/>
  <c r="M29" i="24"/>
  <c r="L29" i="24"/>
  <c r="J29" i="24"/>
  <c r="I29" i="24"/>
  <c r="H29" i="24"/>
  <c r="M28" i="24"/>
  <c r="N28" i="24" s="1"/>
  <c r="L28" i="24"/>
  <c r="J28" i="24"/>
  <c r="I28" i="24"/>
  <c r="H28" i="24"/>
  <c r="M27" i="24"/>
  <c r="L27" i="24"/>
  <c r="J27" i="24"/>
  <c r="I27" i="24"/>
  <c r="H27" i="24"/>
  <c r="M26" i="24"/>
  <c r="N26" i="24" s="1"/>
  <c r="L26" i="24"/>
  <c r="J26" i="24"/>
  <c r="I26" i="24"/>
  <c r="H26" i="24"/>
  <c r="M25" i="24"/>
  <c r="L25" i="24"/>
  <c r="J25" i="24"/>
  <c r="I25" i="24"/>
  <c r="H25" i="24"/>
  <c r="N24" i="24"/>
  <c r="M24" i="24"/>
  <c r="L24" i="24"/>
  <c r="J24" i="24"/>
  <c r="I24" i="24"/>
  <c r="H24" i="24"/>
  <c r="M23" i="24"/>
  <c r="L23" i="24"/>
  <c r="J23" i="24"/>
  <c r="I23" i="24"/>
  <c r="H23" i="24"/>
  <c r="M22" i="24"/>
  <c r="N22" i="24" s="1"/>
  <c r="L22" i="24"/>
  <c r="J22" i="24"/>
  <c r="I22" i="24"/>
  <c r="H22" i="24"/>
  <c r="M21" i="24"/>
  <c r="L21" i="24"/>
  <c r="J21" i="24"/>
  <c r="I21" i="24"/>
  <c r="H21" i="24"/>
  <c r="M20" i="24"/>
  <c r="N20" i="24" s="1"/>
  <c r="L20" i="24"/>
  <c r="J20" i="24"/>
  <c r="I20" i="24"/>
  <c r="H20" i="24"/>
  <c r="C15" i="24"/>
  <c r="AC11" i="24"/>
  <c r="M8" i="24"/>
  <c r="L8" i="24"/>
  <c r="K8" i="24"/>
  <c r="J8" i="24"/>
  <c r="I8" i="24"/>
  <c r="H8" i="24"/>
  <c r="G8" i="24"/>
  <c r="A130" i="10"/>
  <c r="K123" i="10"/>
  <c r="J123" i="10"/>
  <c r="I123" i="10"/>
  <c r="H123" i="10"/>
  <c r="G123" i="10"/>
  <c r="F123" i="10"/>
  <c r="E123" i="10"/>
  <c r="C80" i="23"/>
  <c r="J79" i="23"/>
  <c r="J78" i="23"/>
  <c r="J77" i="23"/>
  <c r="C75" i="23"/>
  <c r="I74" i="23"/>
  <c r="J74" i="23" s="1"/>
  <c r="E73" i="23"/>
  <c r="E72" i="23"/>
  <c r="I71" i="23"/>
  <c r="J71" i="23" s="1"/>
  <c r="J70" i="23"/>
  <c r="C67" i="23"/>
  <c r="J66" i="23"/>
  <c r="I66" i="23"/>
  <c r="H66" i="23"/>
  <c r="G66" i="23"/>
  <c r="N64" i="23"/>
  <c r="J64" i="23"/>
  <c r="N63" i="23"/>
  <c r="H63" i="23"/>
  <c r="N62" i="23"/>
  <c r="J62" i="23"/>
  <c r="C60" i="23"/>
  <c r="N59" i="23"/>
  <c r="J59" i="23"/>
  <c r="N58" i="23"/>
  <c r="J58" i="23"/>
  <c r="C56" i="23"/>
  <c r="N55" i="23"/>
  <c r="J55" i="23"/>
  <c r="J54" i="23"/>
  <c r="F51" i="23"/>
  <c r="E51" i="23"/>
  <c r="C51" i="23"/>
  <c r="M50" i="23"/>
  <c r="L50" i="23"/>
  <c r="K50" i="23"/>
  <c r="J50" i="23"/>
  <c r="I50" i="23"/>
  <c r="H50" i="23"/>
  <c r="G50" i="23"/>
  <c r="C40" i="23"/>
  <c r="M39" i="23"/>
  <c r="L39" i="23"/>
  <c r="H39" i="23"/>
  <c r="F39" i="23"/>
  <c r="C39" i="23"/>
  <c r="C38" i="23"/>
  <c r="M35" i="23"/>
  <c r="N35" i="23" s="1"/>
  <c r="L35" i="23"/>
  <c r="J35" i="23"/>
  <c r="I35" i="23"/>
  <c r="H35" i="23"/>
  <c r="M34" i="23"/>
  <c r="L34" i="23"/>
  <c r="J34" i="23"/>
  <c r="I34" i="23"/>
  <c r="H34" i="23"/>
  <c r="M33" i="23"/>
  <c r="L33" i="23"/>
  <c r="J33" i="23"/>
  <c r="I33" i="23"/>
  <c r="H33" i="23"/>
  <c r="M32" i="23"/>
  <c r="L32" i="23"/>
  <c r="N32" i="23" s="1"/>
  <c r="J32" i="23"/>
  <c r="I32" i="23"/>
  <c r="H32" i="23"/>
  <c r="M30" i="23"/>
  <c r="L30" i="23"/>
  <c r="J30" i="23"/>
  <c r="I30" i="23"/>
  <c r="H30" i="23"/>
  <c r="M29" i="23"/>
  <c r="L29" i="23"/>
  <c r="J29" i="23"/>
  <c r="I29" i="23"/>
  <c r="H29" i="23"/>
  <c r="M28" i="23"/>
  <c r="N28" i="23" s="1"/>
  <c r="L28" i="23"/>
  <c r="J28" i="23"/>
  <c r="I28" i="23"/>
  <c r="H28" i="23"/>
  <c r="M27" i="23"/>
  <c r="L27" i="23"/>
  <c r="J27" i="23"/>
  <c r="I27" i="23"/>
  <c r="H27" i="23"/>
  <c r="M26" i="23"/>
  <c r="N26" i="23" s="1"/>
  <c r="L26" i="23"/>
  <c r="J26" i="23"/>
  <c r="I26" i="23"/>
  <c r="H26" i="23"/>
  <c r="M25" i="23"/>
  <c r="L25" i="23"/>
  <c r="J25" i="23"/>
  <c r="I25" i="23"/>
  <c r="H25" i="23"/>
  <c r="M24" i="23"/>
  <c r="L24" i="23"/>
  <c r="J24" i="23"/>
  <c r="I24" i="23"/>
  <c r="H24" i="23"/>
  <c r="M23" i="23"/>
  <c r="L23" i="23"/>
  <c r="J23" i="23"/>
  <c r="I23" i="23"/>
  <c r="H23" i="23"/>
  <c r="M22" i="23"/>
  <c r="L22" i="23"/>
  <c r="J22" i="23"/>
  <c r="I22" i="23"/>
  <c r="H22" i="23"/>
  <c r="M21" i="23"/>
  <c r="L21" i="23"/>
  <c r="J21" i="23"/>
  <c r="I21" i="23"/>
  <c r="H21" i="23"/>
  <c r="M20" i="23"/>
  <c r="N20" i="23" s="1"/>
  <c r="L20" i="23"/>
  <c r="J20" i="23"/>
  <c r="I20" i="23"/>
  <c r="H20" i="23"/>
  <c r="C15" i="23"/>
  <c r="AC11" i="23"/>
  <c r="M8" i="23"/>
  <c r="L8" i="23"/>
  <c r="K8" i="23"/>
  <c r="J8" i="23"/>
  <c r="I8" i="23"/>
  <c r="H8" i="23"/>
  <c r="G8" i="23"/>
  <c r="CM296" i="5"/>
  <c r="CM297" i="5" s="1"/>
  <c r="CL296" i="5"/>
  <c r="CL297" i="5" s="1"/>
  <c r="CK296" i="5"/>
  <c r="CK297" i="5" s="1"/>
  <c r="M12" i="23" s="1"/>
  <c r="CJ296" i="5"/>
  <c r="CJ297" i="5" s="1"/>
  <c r="M10" i="23" s="1"/>
  <c r="CI296" i="5"/>
  <c r="CI297" i="5" s="1"/>
  <c r="CH296" i="5"/>
  <c r="CH297" i="5" s="1"/>
  <c r="CG296" i="5"/>
  <c r="CG297" i="5" s="1"/>
  <c r="CF296" i="5"/>
  <c r="CF297" i="5" s="1"/>
  <c r="CE296" i="5"/>
  <c r="CE297" i="5" s="1"/>
  <c r="CD296" i="5"/>
  <c r="CD297" i="5" s="1"/>
  <c r="CC296" i="5"/>
  <c r="CC297" i="5" s="1"/>
  <c r="CB296" i="5"/>
  <c r="CB297" i="5" s="1"/>
  <c r="CA296" i="5"/>
  <c r="CA297" i="5" s="1"/>
  <c r="BZ296" i="5"/>
  <c r="BZ297" i="5" s="1"/>
  <c r="L10" i="23" s="1"/>
  <c r="BY296" i="5"/>
  <c r="BY297" i="5" s="1"/>
  <c r="BX296" i="5"/>
  <c r="BX297" i="5" s="1"/>
  <c r="BW296" i="5"/>
  <c r="BW297" i="5" s="1"/>
  <c r="BV296" i="5"/>
  <c r="BV297" i="5" s="1"/>
  <c r="BU296" i="5"/>
  <c r="BU297" i="5" s="1"/>
  <c r="BT296" i="5"/>
  <c r="BT297" i="5" s="1"/>
  <c r="BS296" i="5"/>
  <c r="BS297" i="5" s="1"/>
  <c r="BR296" i="5"/>
  <c r="BR297" i="5" s="1"/>
  <c r="BQ296" i="5"/>
  <c r="BQ297" i="5" s="1"/>
  <c r="BP296" i="5"/>
  <c r="BP297" i="5" s="1"/>
  <c r="BO296" i="5"/>
  <c r="BO297" i="5" s="1"/>
  <c r="BN296" i="5"/>
  <c r="BN297" i="5" s="1"/>
  <c r="BM296" i="5"/>
  <c r="BM297" i="5" s="1"/>
  <c r="G127" i="10" s="1"/>
  <c r="BL296" i="5"/>
  <c r="BL297" i="5" s="1"/>
  <c r="G125" i="10" s="1"/>
  <c r="BK296" i="5"/>
  <c r="BK297" i="5" s="1"/>
  <c r="BJ296" i="5"/>
  <c r="BJ297" i="5" s="1"/>
  <c r="BI296" i="5"/>
  <c r="BI297" i="5" s="1"/>
  <c r="BH296" i="5"/>
  <c r="BH297" i="5" s="1"/>
  <c r="BG296" i="5"/>
  <c r="BG297" i="5" s="1"/>
  <c r="BF296" i="5"/>
  <c r="BF297" i="5" s="1"/>
  <c r="BE296" i="5"/>
  <c r="BE297" i="5" s="1"/>
  <c r="BD296" i="5"/>
  <c r="BD297" i="5" s="1"/>
  <c r="BC296" i="5"/>
  <c r="BC297" i="5" s="1"/>
  <c r="BB296" i="5"/>
  <c r="BB297" i="5" s="1"/>
  <c r="H10" i="23" s="1"/>
  <c r="BA296" i="5"/>
  <c r="BA297" i="5" s="1"/>
  <c r="AZ296" i="5"/>
  <c r="AZ297" i="5" s="1"/>
  <c r="AY296" i="5"/>
  <c r="AY297" i="5" s="1"/>
  <c r="AX296" i="5"/>
  <c r="AX297" i="5" s="1"/>
  <c r="AW296" i="5"/>
  <c r="AW297" i="5" s="1"/>
  <c r="AV296" i="5"/>
  <c r="AV297" i="5" s="1"/>
  <c r="AU296" i="5"/>
  <c r="AU297" i="5" s="1"/>
  <c r="AT296" i="5"/>
  <c r="AT297" i="5" s="1"/>
  <c r="AS296" i="5"/>
  <c r="AS297" i="5" s="1"/>
  <c r="A119" i="10"/>
  <c r="K112" i="10"/>
  <c r="J112" i="10"/>
  <c r="I112" i="10"/>
  <c r="H112" i="10"/>
  <c r="G112" i="10"/>
  <c r="F112" i="10"/>
  <c r="E112" i="10"/>
  <c r="C80" i="22"/>
  <c r="J79" i="22"/>
  <c r="J78" i="22"/>
  <c r="J77" i="22"/>
  <c r="C75" i="22"/>
  <c r="I74" i="22"/>
  <c r="J74" i="22" s="1"/>
  <c r="E73" i="22"/>
  <c r="E72" i="22"/>
  <c r="I71" i="22"/>
  <c r="J71" i="22" s="1"/>
  <c r="J70" i="22"/>
  <c r="C67" i="22"/>
  <c r="J66" i="22"/>
  <c r="I66" i="22"/>
  <c r="H66" i="22"/>
  <c r="G66" i="22"/>
  <c r="N64" i="22"/>
  <c r="J64" i="22"/>
  <c r="N63" i="22"/>
  <c r="H63" i="22"/>
  <c r="N62" i="22"/>
  <c r="J62" i="22"/>
  <c r="C60" i="22"/>
  <c r="N59" i="22"/>
  <c r="J59" i="22"/>
  <c r="N58" i="22"/>
  <c r="J58" i="22"/>
  <c r="C56" i="22"/>
  <c r="N55" i="22"/>
  <c r="J55" i="22"/>
  <c r="J54" i="22"/>
  <c r="F51" i="22"/>
  <c r="E51" i="22"/>
  <c r="C51" i="22"/>
  <c r="M50" i="22"/>
  <c r="L50" i="22"/>
  <c r="K50" i="22"/>
  <c r="J50" i="22"/>
  <c r="I50" i="22"/>
  <c r="H50" i="22"/>
  <c r="G50" i="22"/>
  <c r="C40" i="22"/>
  <c r="M39" i="22"/>
  <c r="L39" i="22"/>
  <c r="H39" i="22"/>
  <c r="F39" i="22"/>
  <c r="C39" i="22"/>
  <c r="C38" i="22"/>
  <c r="M35" i="22"/>
  <c r="L35" i="22"/>
  <c r="J35" i="22"/>
  <c r="I35" i="22"/>
  <c r="H35" i="22"/>
  <c r="M34" i="22"/>
  <c r="L34" i="22"/>
  <c r="J34" i="22"/>
  <c r="I34" i="22"/>
  <c r="H34" i="22"/>
  <c r="M33" i="22"/>
  <c r="L33" i="22"/>
  <c r="J33" i="22"/>
  <c r="I33" i="22"/>
  <c r="H33" i="22"/>
  <c r="M32" i="22"/>
  <c r="L32" i="22"/>
  <c r="J32" i="22"/>
  <c r="I32" i="22"/>
  <c r="H32" i="22"/>
  <c r="M30" i="22"/>
  <c r="N30" i="22" s="1"/>
  <c r="L30" i="22"/>
  <c r="J30" i="22"/>
  <c r="I30" i="22"/>
  <c r="H30" i="22"/>
  <c r="M29" i="22"/>
  <c r="L29" i="22"/>
  <c r="J29" i="22"/>
  <c r="I29" i="22"/>
  <c r="H29" i="22"/>
  <c r="M28" i="22"/>
  <c r="L28" i="22"/>
  <c r="N28" i="22" s="1"/>
  <c r="J28" i="22"/>
  <c r="I28" i="22"/>
  <c r="H28" i="22"/>
  <c r="M27" i="22"/>
  <c r="L27" i="22"/>
  <c r="J27" i="22"/>
  <c r="I27" i="22"/>
  <c r="H27" i="22"/>
  <c r="M26" i="22"/>
  <c r="L26" i="22"/>
  <c r="J26" i="22"/>
  <c r="I26" i="22"/>
  <c r="H26" i="22"/>
  <c r="M25" i="22"/>
  <c r="L25" i="22"/>
  <c r="J25" i="22"/>
  <c r="I25" i="22"/>
  <c r="H25" i="22"/>
  <c r="M24" i="22"/>
  <c r="N24" i="22" s="1"/>
  <c r="L24" i="22"/>
  <c r="J24" i="22"/>
  <c r="I24" i="22"/>
  <c r="H24" i="22"/>
  <c r="M23" i="22"/>
  <c r="L23" i="22"/>
  <c r="J23" i="22"/>
  <c r="I23" i="22"/>
  <c r="H23" i="22"/>
  <c r="M22" i="22"/>
  <c r="L22" i="22"/>
  <c r="J22" i="22"/>
  <c r="I22" i="22"/>
  <c r="H22" i="22"/>
  <c r="M21" i="22"/>
  <c r="L21" i="22"/>
  <c r="J21" i="22"/>
  <c r="I21" i="22"/>
  <c r="H21" i="22"/>
  <c r="M20" i="22"/>
  <c r="L20" i="22"/>
  <c r="J20" i="22"/>
  <c r="I20" i="22"/>
  <c r="H20" i="22"/>
  <c r="C15" i="22"/>
  <c r="AC11" i="22"/>
  <c r="M8" i="22"/>
  <c r="L8" i="22"/>
  <c r="K8" i="22"/>
  <c r="J8" i="22"/>
  <c r="I8" i="22"/>
  <c r="H8" i="22"/>
  <c r="G8" i="22"/>
  <c r="A108" i="10"/>
  <c r="K101" i="10"/>
  <c r="J101" i="10"/>
  <c r="I101" i="10"/>
  <c r="H101" i="10"/>
  <c r="G101" i="10"/>
  <c r="F101" i="10"/>
  <c r="E101" i="10"/>
  <c r="C80" i="21"/>
  <c r="J79" i="21"/>
  <c r="J78" i="21"/>
  <c r="J77" i="21"/>
  <c r="C75" i="21"/>
  <c r="I74" i="21"/>
  <c r="J74" i="21" s="1"/>
  <c r="E73" i="21"/>
  <c r="E72" i="21"/>
  <c r="I71" i="21"/>
  <c r="J71" i="21" s="1"/>
  <c r="J70" i="21"/>
  <c r="C67" i="21"/>
  <c r="J66" i="21"/>
  <c r="I66" i="21"/>
  <c r="H66" i="21"/>
  <c r="G66" i="21"/>
  <c r="N64" i="21"/>
  <c r="J64" i="21"/>
  <c r="N63" i="21"/>
  <c r="H63" i="21"/>
  <c r="N62" i="21"/>
  <c r="J62" i="21"/>
  <c r="C60" i="21"/>
  <c r="N59" i="21"/>
  <c r="J59" i="21"/>
  <c r="N58" i="21"/>
  <c r="J58" i="21"/>
  <c r="C56" i="21"/>
  <c r="N55" i="21"/>
  <c r="J55" i="21"/>
  <c r="J54" i="21"/>
  <c r="F51" i="21"/>
  <c r="F52" i="21" s="1"/>
  <c r="F56" i="21" s="1"/>
  <c r="F60" i="21" s="1"/>
  <c r="E51" i="21"/>
  <c r="C51" i="21"/>
  <c r="M50" i="21"/>
  <c r="L50" i="21"/>
  <c r="K50" i="21"/>
  <c r="J50" i="21"/>
  <c r="I50" i="21"/>
  <c r="H50" i="21"/>
  <c r="G50" i="21"/>
  <c r="C40" i="21"/>
  <c r="M39" i="21"/>
  <c r="L39" i="21"/>
  <c r="H39" i="21"/>
  <c r="F39" i="21"/>
  <c r="C39" i="21"/>
  <c r="C38" i="21"/>
  <c r="M35" i="21"/>
  <c r="L35" i="21"/>
  <c r="J35" i="21"/>
  <c r="I35" i="21"/>
  <c r="H35" i="21"/>
  <c r="M34" i="21"/>
  <c r="L34" i="21"/>
  <c r="J34" i="21"/>
  <c r="I34" i="21"/>
  <c r="H34" i="21"/>
  <c r="M33" i="21"/>
  <c r="L33" i="21"/>
  <c r="J33" i="21"/>
  <c r="I33" i="21"/>
  <c r="H33" i="21"/>
  <c r="M32" i="21"/>
  <c r="L32" i="21"/>
  <c r="J32" i="21"/>
  <c r="I32" i="21"/>
  <c r="H32" i="21"/>
  <c r="M30" i="21"/>
  <c r="L30" i="21"/>
  <c r="J30" i="21"/>
  <c r="I30" i="21"/>
  <c r="H30" i="21"/>
  <c r="M29" i="21"/>
  <c r="L29" i="21"/>
  <c r="J29" i="21"/>
  <c r="I29" i="21"/>
  <c r="H29" i="21"/>
  <c r="M28" i="21"/>
  <c r="L28" i="21"/>
  <c r="J28" i="21"/>
  <c r="I28" i="21"/>
  <c r="H28" i="21"/>
  <c r="M27" i="21"/>
  <c r="L27" i="21"/>
  <c r="N27" i="21" s="1"/>
  <c r="J27" i="21"/>
  <c r="I27" i="21"/>
  <c r="H27" i="21"/>
  <c r="M26" i="21"/>
  <c r="L26" i="21"/>
  <c r="J26" i="21"/>
  <c r="I26" i="21"/>
  <c r="H26" i="21"/>
  <c r="M25" i="21"/>
  <c r="L25" i="21"/>
  <c r="J25" i="21"/>
  <c r="I25" i="21"/>
  <c r="H25" i="21"/>
  <c r="M24" i="21"/>
  <c r="L24" i="21"/>
  <c r="J24" i="21"/>
  <c r="I24" i="21"/>
  <c r="H24" i="21"/>
  <c r="M23" i="21"/>
  <c r="N23" i="21" s="1"/>
  <c r="L23" i="21"/>
  <c r="J23" i="21"/>
  <c r="I23" i="21"/>
  <c r="H23" i="21"/>
  <c r="M22" i="21"/>
  <c r="L22" i="21"/>
  <c r="J22" i="21"/>
  <c r="I22" i="21"/>
  <c r="H22" i="21"/>
  <c r="M21" i="21"/>
  <c r="L21" i="21"/>
  <c r="J21" i="21"/>
  <c r="I21" i="21"/>
  <c r="H21" i="21"/>
  <c r="M20" i="21"/>
  <c r="L20" i="21"/>
  <c r="J20" i="21"/>
  <c r="I20" i="21"/>
  <c r="H20" i="21"/>
  <c r="C15" i="21"/>
  <c r="AC11" i="21"/>
  <c r="M8" i="21"/>
  <c r="L8" i="21"/>
  <c r="K8" i="21"/>
  <c r="J8" i="21"/>
  <c r="I8" i="21"/>
  <c r="H8" i="21"/>
  <c r="G8" i="21"/>
  <c r="A97" i="10"/>
  <c r="K90" i="10"/>
  <c r="J90" i="10"/>
  <c r="I90" i="10"/>
  <c r="H90" i="10"/>
  <c r="G90" i="10"/>
  <c r="F90" i="10"/>
  <c r="E90" i="10"/>
  <c r="C80" i="20"/>
  <c r="J79" i="20"/>
  <c r="J78" i="20"/>
  <c r="J77" i="20"/>
  <c r="C75" i="20"/>
  <c r="I74" i="20"/>
  <c r="J74" i="20" s="1"/>
  <c r="E73" i="20"/>
  <c r="E72" i="20"/>
  <c r="I71" i="20"/>
  <c r="J71" i="20" s="1"/>
  <c r="J70" i="20"/>
  <c r="C67" i="20"/>
  <c r="J66" i="20"/>
  <c r="I66" i="20"/>
  <c r="H66" i="20"/>
  <c r="G66" i="20"/>
  <c r="N64" i="20"/>
  <c r="J64" i="20"/>
  <c r="N63" i="20"/>
  <c r="H63" i="20"/>
  <c r="N62" i="20"/>
  <c r="J62" i="20"/>
  <c r="C60" i="20"/>
  <c r="N59" i="20"/>
  <c r="J59" i="20"/>
  <c r="N58" i="20"/>
  <c r="J58" i="20"/>
  <c r="C56" i="20"/>
  <c r="N55" i="20"/>
  <c r="J55" i="20"/>
  <c r="J54" i="20"/>
  <c r="F51" i="20"/>
  <c r="E51" i="20"/>
  <c r="C51" i="20"/>
  <c r="M50" i="20"/>
  <c r="L50" i="20"/>
  <c r="K50" i="20"/>
  <c r="J50" i="20"/>
  <c r="I50" i="20"/>
  <c r="H50" i="20"/>
  <c r="G50" i="20"/>
  <c r="C40" i="20"/>
  <c r="M39" i="20"/>
  <c r="L39" i="20"/>
  <c r="H39" i="20"/>
  <c r="F39" i="20"/>
  <c r="C39" i="20"/>
  <c r="C38" i="20"/>
  <c r="M35" i="20"/>
  <c r="L35" i="20"/>
  <c r="J35" i="20"/>
  <c r="I35" i="20"/>
  <c r="H35" i="20"/>
  <c r="M34" i="20"/>
  <c r="L34" i="20"/>
  <c r="J34" i="20"/>
  <c r="I34" i="20"/>
  <c r="H34" i="20"/>
  <c r="M33" i="20"/>
  <c r="L33" i="20"/>
  <c r="J33" i="20"/>
  <c r="I33" i="20"/>
  <c r="H33" i="20"/>
  <c r="M32" i="20"/>
  <c r="L32" i="20"/>
  <c r="J32" i="20"/>
  <c r="I32" i="20"/>
  <c r="H32" i="20"/>
  <c r="M30" i="20"/>
  <c r="L30" i="20"/>
  <c r="J30" i="20"/>
  <c r="I30" i="20"/>
  <c r="H30" i="20"/>
  <c r="M29" i="20"/>
  <c r="L29" i="20"/>
  <c r="J29" i="20"/>
  <c r="I29" i="20"/>
  <c r="H29" i="20"/>
  <c r="M28" i="20"/>
  <c r="L28" i="20"/>
  <c r="J28" i="20"/>
  <c r="I28" i="20"/>
  <c r="H28" i="20"/>
  <c r="M27" i="20"/>
  <c r="L27" i="20"/>
  <c r="J27" i="20"/>
  <c r="I27" i="20"/>
  <c r="H27" i="20"/>
  <c r="M26" i="20"/>
  <c r="L26" i="20"/>
  <c r="J26" i="20"/>
  <c r="I26" i="20"/>
  <c r="H26" i="20"/>
  <c r="M25" i="20"/>
  <c r="L25" i="20"/>
  <c r="J25" i="20"/>
  <c r="I25" i="20"/>
  <c r="H25" i="20"/>
  <c r="M24" i="20"/>
  <c r="L24" i="20"/>
  <c r="J24" i="20"/>
  <c r="I24" i="20"/>
  <c r="H24" i="20"/>
  <c r="M23" i="20"/>
  <c r="L23" i="20"/>
  <c r="J23" i="20"/>
  <c r="I23" i="20"/>
  <c r="H23" i="20"/>
  <c r="M22" i="20"/>
  <c r="L22" i="20"/>
  <c r="J22" i="20"/>
  <c r="I22" i="20"/>
  <c r="H22" i="20"/>
  <c r="M21" i="20"/>
  <c r="L21" i="20"/>
  <c r="J21" i="20"/>
  <c r="I21" i="20"/>
  <c r="H21" i="20"/>
  <c r="M20" i="20"/>
  <c r="L20" i="20"/>
  <c r="J20" i="20"/>
  <c r="I20" i="20"/>
  <c r="H20" i="20"/>
  <c r="C15" i="20"/>
  <c r="AC11" i="20"/>
  <c r="M8" i="20"/>
  <c r="L8" i="20"/>
  <c r="K8" i="20"/>
  <c r="J8" i="20"/>
  <c r="I8" i="20"/>
  <c r="H8" i="20"/>
  <c r="G8" i="20"/>
  <c r="A86" i="10"/>
  <c r="K79" i="10"/>
  <c r="J79" i="10"/>
  <c r="I79" i="10"/>
  <c r="H79" i="10"/>
  <c r="G79" i="10"/>
  <c r="F79" i="10"/>
  <c r="E79" i="10"/>
  <c r="C80" i="19"/>
  <c r="J79" i="19"/>
  <c r="J78" i="19"/>
  <c r="J77" i="19"/>
  <c r="C75" i="19"/>
  <c r="I74" i="19"/>
  <c r="J74" i="19" s="1"/>
  <c r="E73" i="19"/>
  <c r="E72" i="19"/>
  <c r="I71" i="19"/>
  <c r="J71" i="19" s="1"/>
  <c r="J70" i="19"/>
  <c r="C67" i="19"/>
  <c r="J66" i="19"/>
  <c r="I66" i="19"/>
  <c r="H66" i="19"/>
  <c r="G66" i="19"/>
  <c r="N64" i="19"/>
  <c r="J64" i="19"/>
  <c r="N63" i="19"/>
  <c r="H63" i="19"/>
  <c r="N62" i="19"/>
  <c r="J62" i="19"/>
  <c r="C60" i="19"/>
  <c r="N59" i="19"/>
  <c r="J59" i="19"/>
  <c r="N58" i="19"/>
  <c r="J58" i="19"/>
  <c r="C56" i="19"/>
  <c r="N55" i="19"/>
  <c r="J55" i="19"/>
  <c r="J54" i="19"/>
  <c r="F51" i="19"/>
  <c r="E51" i="19"/>
  <c r="C51" i="19"/>
  <c r="M50" i="19"/>
  <c r="L50" i="19"/>
  <c r="K50" i="19"/>
  <c r="J50" i="19"/>
  <c r="I50" i="19"/>
  <c r="H50" i="19"/>
  <c r="G50" i="19"/>
  <c r="C40" i="19"/>
  <c r="M39" i="19"/>
  <c r="L39" i="19"/>
  <c r="H39" i="19"/>
  <c r="F39" i="19"/>
  <c r="C39" i="19"/>
  <c r="C38" i="19"/>
  <c r="M35" i="19"/>
  <c r="L35" i="19"/>
  <c r="J35" i="19"/>
  <c r="I35" i="19"/>
  <c r="H35" i="19"/>
  <c r="M34" i="19"/>
  <c r="L34" i="19"/>
  <c r="J34" i="19"/>
  <c r="I34" i="19"/>
  <c r="H34" i="19"/>
  <c r="M33" i="19"/>
  <c r="L33" i="19"/>
  <c r="J33" i="19"/>
  <c r="I33" i="19"/>
  <c r="H33" i="19"/>
  <c r="M32" i="19"/>
  <c r="L32" i="19"/>
  <c r="J32" i="19"/>
  <c r="I32" i="19"/>
  <c r="H32" i="19"/>
  <c r="M30" i="19"/>
  <c r="L30" i="19"/>
  <c r="J30" i="19"/>
  <c r="I30" i="19"/>
  <c r="H30" i="19"/>
  <c r="M29" i="19"/>
  <c r="L29" i="19"/>
  <c r="J29" i="19"/>
  <c r="I29" i="19"/>
  <c r="H29" i="19"/>
  <c r="M28" i="19"/>
  <c r="L28" i="19"/>
  <c r="J28" i="19"/>
  <c r="I28" i="19"/>
  <c r="H28" i="19"/>
  <c r="M27" i="19"/>
  <c r="L27" i="19"/>
  <c r="J27" i="19"/>
  <c r="I27" i="19"/>
  <c r="H27" i="19"/>
  <c r="M26" i="19"/>
  <c r="L26" i="19"/>
  <c r="J26" i="19"/>
  <c r="I26" i="19"/>
  <c r="H26" i="19"/>
  <c r="M25" i="19"/>
  <c r="L25" i="19"/>
  <c r="J25" i="19"/>
  <c r="I25" i="19"/>
  <c r="H25" i="19"/>
  <c r="M24" i="19"/>
  <c r="L24" i="19"/>
  <c r="N24" i="19" s="1"/>
  <c r="J24" i="19"/>
  <c r="I24" i="19"/>
  <c r="H24" i="19"/>
  <c r="M23" i="19"/>
  <c r="L23" i="19"/>
  <c r="J23" i="19"/>
  <c r="I23" i="19"/>
  <c r="H23" i="19"/>
  <c r="M22" i="19"/>
  <c r="L22" i="19"/>
  <c r="J22" i="19"/>
  <c r="I22" i="19"/>
  <c r="H22" i="19"/>
  <c r="M21" i="19"/>
  <c r="L21" i="19"/>
  <c r="J21" i="19"/>
  <c r="I21" i="19"/>
  <c r="H21" i="19"/>
  <c r="M20" i="19"/>
  <c r="L20" i="19"/>
  <c r="J20" i="19"/>
  <c r="I20" i="19"/>
  <c r="H20" i="19"/>
  <c r="C15" i="19"/>
  <c r="AC11" i="19"/>
  <c r="M8" i="19"/>
  <c r="L8" i="19"/>
  <c r="K8" i="19"/>
  <c r="J8" i="19"/>
  <c r="I8" i="19"/>
  <c r="H8" i="19"/>
  <c r="G8" i="19"/>
  <c r="A75" i="10"/>
  <c r="K68" i="10"/>
  <c r="J68" i="10"/>
  <c r="I68" i="10"/>
  <c r="H68" i="10"/>
  <c r="G68" i="10"/>
  <c r="F68" i="10"/>
  <c r="E68" i="10"/>
  <c r="C80" i="18"/>
  <c r="J79" i="18"/>
  <c r="J78" i="18"/>
  <c r="J77" i="18"/>
  <c r="C75" i="18"/>
  <c r="I74" i="18"/>
  <c r="J74" i="18" s="1"/>
  <c r="E73" i="18"/>
  <c r="E72" i="18"/>
  <c r="I71" i="18"/>
  <c r="J71" i="18" s="1"/>
  <c r="J70" i="18"/>
  <c r="C67" i="18"/>
  <c r="J66" i="18"/>
  <c r="I66" i="18"/>
  <c r="H66" i="18"/>
  <c r="G66" i="18"/>
  <c r="N64" i="18"/>
  <c r="J64" i="18"/>
  <c r="N63" i="18"/>
  <c r="H63" i="18"/>
  <c r="N62" i="18"/>
  <c r="J62" i="18"/>
  <c r="C60" i="18"/>
  <c r="N59" i="18"/>
  <c r="J59" i="18"/>
  <c r="N58" i="18"/>
  <c r="J58" i="18"/>
  <c r="C56" i="18"/>
  <c r="N55" i="18"/>
  <c r="J55" i="18"/>
  <c r="J54" i="18"/>
  <c r="F51" i="18"/>
  <c r="E51" i="18"/>
  <c r="C51" i="18"/>
  <c r="M50" i="18"/>
  <c r="L50" i="18"/>
  <c r="K50" i="18"/>
  <c r="J50" i="18"/>
  <c r="I50" i="18"/>
  <c r="H50" i="18"/>
  <c r="G50" i="18"/>
  <c r="C40" i="18"/>
  <c r="M39" i="18"/>
  <c r="L39" i="18"/>
  <c r="H39" i="18"/>
  <c r="F39" i="18"/>
  <c r="C39" i="18"/>
  <c r="C38" i="18"/>
  <c r="M35" i="18"/>
  <c r="L35" i="18"/>
  <c r="J35" i="18"/>
  <c r="I35" i="18"/>
  <c r="H35" i="18"/>
  <c r="M34" i="18"/>
  <c r="L34" i="18"/>
  <c r="J34" i="18"/>
  <c r="I34" i="18"/>
  <c r="H34" i="18"/>
  <c r="M33" i="18"/>
  <c r="L33" i="18"/>
  <c r="J33" i="18"/>
  <c r="I33" i="18"/>
  <c r="H33" i="18"/>
  <c r="M32" i="18"/>
  <c r="L32" i="18"/>
  <c r="J32" i="18"/>
  <c r="I32" i="18"/>
  <c r="H32" i="18"/>
  <c r="M30" i="18"/>
  <c r="L30" i="18"/>
  <c r="J30" i="18"/>
  <c r="I30" i="18"/>
  <c r="H30" i="18"/>
  <c r="M29" i="18"/>
  <c r="L29" i="18"/>
  <c r="J29" i="18"/>
  <c r="I29" i="18"/>
  <c r="H29" i="18"/>
  <c r="M28" i="18"/>
  <c r="L28" i="18"/>
  <c r="J28" i="18"/>
  <c r="I28" i="18"/>
  <c r="H28" i="18"/>
  <c r="M27" i="18"/>
  <c r="L27" i="18"/>
  <c r="J27" i="18"/>
  <c r="I27" i="18"/>
  <c r="H27" i="18"/>
  <c r="M26" i="18"/>
  <c r="L26" i="18"/>
  <c r="J26" i="18"/>
  <c r="I26" i="18"/>
  <c r="H26" i="18"/>
  <c r="M25" i="18"/>
  <c r="L25" i="18"/>
  <c r="J25" i="18"/>
  <c r="I25" i="18"/>
  <c r="H25" i="18"/>
  <c r="M24" i="18"/>
  <c r="L24" i="18"/>
  <c r="J24" i="18"/>
  <c r="I24" i="18"/>
  <c r="H24" i="18"/>
  <c r="M23" i="18"/>
  <c r="L23" i="18"/>
  <c r="J23" i="18"/>
  <c r="I23" i="18"/>
  <c r="H23" i="18"/>
  <c r="M22" i="18"/>
  <c r="L22" i="18"/>
  <c r="J22" i="18"/>
  <c r="I22" i="18"/>
  <c r="H22" i="18"/>
  <c r="M21" i="18"/>
  <c r="L21" i="18"/>
  <c r="J21" i="18"/>
  <c r="I21" i="18"/>
  <c r="H21" i="18"/>
  <c r="M20" i="18"/>
  <c r="L20" i="18"/>
  <c r="J20" i="18"/>
  <c r="I20" i="18"/>
  <c r="H20" i="18"/>
  <c r="C15" i="18"/>
  <c r="AC11" i="18"/>
  <c r="M8" i="18"/>
  <c r="L8" i="18"/>
  <c r="K8" i="18"/>
  <c r="J8" i="18"/>
  <c r="I8" i="18"/>
  <c r="H8" i="18"/>
  <c r="G8" i="18"/>
  <c r="CM279" i="5"/>
  <c r="CL279" i="5"/>
  <c r="CK279" i="5"/>
  <c r="CJ279" i="5"/>
  <c r="CI279" i="5"/>
  <c r="CH279" i="5"/>
  <c r="CG279" i="5"/>
  <c r="CF279" i="5"/>
  <c r="CE279" i="5"/>
  <c r="CD279" i="5"/>
  <c r="CC279" i="5"/>
  <c r="CB279" i="5"/>
  <c r="CA279" i="5"/>
  <c r="BZ279" i="5"/>
  <c r="BY279" i="5"/>
  <c r="BX279" i="5"/>
  <c r="BW279" i="5"/>
  <c r="BV279" i="5"/>
  <c r="BU279" i="5"/>
  <c r="BT279" i="5"/>
  <c r="BS279" i="5"/>
  <c r="BR279" i="5"/>
  <c r="BQ279" i="5"/>
  <c r="BP279" i="5"/>
  <c r="BO279" i="5"/>
  <c r="BN279" i="5"/>
  <c r="BM279" i="5"/>
  <c r="BL279" i="5"/>
  <c r="BK279" i="5"/>
  <c r="BJ279" i="5"/>
  <c r="BI279" i="5"/>
  <c r="BH279" i="5"/>
  <c r="BG279" i="5"/>
  <c r="BF279" i="5"/>
  <c r="BE279" i="5"/>
  <c r="BD279" i="5"/>
  <c r="BC279" i="5"/>
  <c r="BB279" i="5"/>
  <c r="BA279" i="5"/>
  <c r="AZ279" i="5"/>
  <c r="AY279" i="5"/>
  <c r="AX279" i="5"/>
  <c r="AW279" i="5"/>
  <c r="AV279" i="5"/>
  <c r="AU279" i="5"/>
  <c r="AT279" i="5"/>
  <c r="AS279" i="5"/>
  <c r="A64" i="10"/>
  <c r="K57" i="10"/>
  <c r="J57" i="10"/>
  <c r="I57" i="10"/>
  <c r="H57" i="10"/>
  <c r="G57" i="10"/>
  <c r="F57" i="10"/>
  <c r="E57" i="10"/>
  <c r="C80" i="17"/>
  <c r="J79" i="17"/>
  <c r="J78" i="17"/>
  <c r="J77" i="17"/>
  <c r="C75" i="17"/>
  <c r="I74" i="17"/>
  <c r="J74" i="17" s="1"/>
  <c r="E73" i="17"/>
  <c r="E72" i="17"/>
  <c r="I71" i="17"/>
  <c r="J71" i="17" s="1"/>
  <c r="J70" i="17"/>
  <c r="C67" i="17"/>
  <c r="J66" i="17"/>
  <c r="I66" i="17"/>
  <c r="H66" i="17"/>
  <c r="G66" i="17"/>
  <c r="N64" i="17"/>
  <c r="J64" i="17"/>
  <c r="N63" i="17"/>
  <c r="H63" i="17"/>
  <c r="N62" i="17"/>
  <c r="J62" i="17"/>
  <c r="C60" i="17"/>
  <c r="N59" i="17"/>
  <c r="J59" i="17"/>
  <c r="N58" i="17"/>
  <c r="J58" i="17"/>
  <c r="C56" i="17"/>
  <c r="N55" i="17"/>
  <c r="J55" i="17"/>
  <c r="J54" i="17"/>
  <c r="F51" i="17"/>
  <c r="E51" i="17"/>
  <c r="C51" i="17"/>
  <c r="M50" i="17"/>
  <c r="L50" i="17"/>
  <c r="K50" i="17"/>
  <c r="J50" i="17"/>
  <c r="I50" i="17"/>
  <c r="H50" i="17"/>
  <c r="G50" i="17"/>
  <c r="C40" i="17"/>
  <c r="M39" i="17"/>
  <c r="L39" i="17"/>
  <c r="H39" i="17"/>
  <c r="F39" i="17"/>
  <c r="C39" i="17"/>
  <c r="C38" i="17"/>
  <c r="M35" i="17"/>
  <c r="L35" i="17"/>
  <c r="J35" i="17"/>
  <c r="I35" i="17"/>
  <c r="H35" i="17"/>
  <c r="M34" i="17"/>
  <c r="L34" i="17"/>
  <c r="J34" i="17"/>
  <c r="I34" i="17"/>
  <c r="H34" i="17"/>
  <c r="M33" i="17"/>
  <c r="L33" i="17"/>
  <c r="J33" i="17"/>
  <c r="I33" i="17"/>
  <c r="H33" i="17"/>
  <c r="M32" i="17"/>
  <c r="L32" i="17"/>
  <c r="J32" i="17"/>
  <c r="I32" i="17"/>
  <c r="H32" i="17"/>
  <c r="M30" i="17"/>
  <c r="L30" i="17"/>
  <c r="J30" i="17"/>
  <c r="I30" i="17"/>
  <c r="H30" i="17"/>
  <c r="M29" i="17"/>
  <c r="L29" i="17"/>
  <c r="J29" i="17"/>
  <c r="I29" i="17"/>
  <c r="H29" i="17"/>
  <c r="M28" i="17"/>
  <c r="L28" i="17"/>
  <c r="J28" i="17"/>
  <c r="I28" i="17"/>
  <c r="H28" i="17"/>
  <c r="M27" i="17"/>
  <c r="L27" i="17"/>
  <c r="J27" i="17"/>
  <c r="I27" i="17"/>
  <c r="H27" i="17"/>
  <c r="M26" i="17"/>
  <c r="L26" i="17"/>
  <c r="J26" i="17"/>
  <c r="I26" i="17"/>
  <c r="H26" i="17"/>
  <c r="M25" i="17"/>
  <c r="L25" i="17"/>
  <c r="J25" i="17"/>
  <c r="I25" i="17"/>
  <c r="H25" i="17"/>
  <c r="M24" i="17"/>
  <c r="L24" i="17"/>
  <c r="J24" i="17"/>
  <c r="I24" i="17"/>
  <c r="H24" i="17"/>
  <c r="M23" i="17"/>
  <c r="L23" i="17"/>
  <c r="J23" i="17"/>
  <c r="I23" i="17"/>
  <c r="H23" i="17"/>
  <c r="M22" i="17"/>
  <c r="L22" i="17"/>
  <c r="J22" i="17"/>
  <c r="I22" i="17"/>
  <c r="H22" i="17"/>
  <c r="M21" i="17"/>
  <c r="L21" i="17"/>
  <c r="J21" i="17"/>
  <c r="I21" i="17"/>
  <c r="H21" i="17"/>
  <c r="M20" i="17"/>
  <c r="L20" i="17"/>
  <c r="J20" i="17"/>
  <c r="I20" i="17"/>
  <c r="H20" i="17"/>
  <c r="C15" i="17"/>
  <c r="AC11" i="17"/>
  <c r="M8" i="17"/>
  <c r="L8" i="17"/>
  <c r="K8" i="17"/>
  <c r="J8" i="17"/>
  <c r="I8" i="17"/>
  <c r="H8" i="17"/>
  <c r="G8" i="17"/>
  <c r="CM277" i="5"/>
  <c r="CM278" i="5" s="1"/>
  <c r="CL277" i="5"/>
  <c r="CL278" i="5" s="1"/>
  <c r="CK277" i="5"/>
  <c r="CK278" i="5" s="1"/>
  <c r="M12" i="17" s="1"/>
  <c r="CJ277" i="5"/>
  <c r="CJ278" i="5" s="1"/>
  <c r="M10" i="17" s="1"/>
  <c r="CI277" i="5"/>
  <c r="CI278" i="5" s="1"/>
  <c r="CH277" i="5"/>
  <c r="CH278" i="5" s="1"/>
  <c r="CG277" i="5"/>
  <c r="CG278" i="5" s="1"/>
  <c r="CF277" i="5"/>
  <c r="CF278" i="5" s="1"/>
  <c r="CE277" i="5"/>
  <c r="CE278" i="5" s="1"/>
  <c r="CD277" i="5"/>
  <c r="CD278" i="5" s="1"/>
  <c r="CC277" i="5"/>
  <c r="CC278" i="5" s="1"/>
  <c r="CB277" i="5"/>
  <c r="CB278" i="5" s="1"/>
  <c r="CA277" i="5"/>
  <c r="CA278" i="5" s="1"/>
  <c r="BZ277" i="5"/>
  <c r="BZ278" i="5" s="1"/>
  <c r="L10" i="17" s="1"/>
  <c r="BY277" i="5"/>
  <c r="BY278" i="5" s="1"/>
  <c r="BX277" i="5"/>
  <c r="BX278" i="5" s="1"/>
  <c r="BW277" i="5"/>
  <c r="BW278" i="5" s="1"/>
  <c r="BV277" i="5"/>
  <c r="BV278" i="5" s="1"/>
  <c r="BU277" i="5"/>
  <c r="BU278" i="5" s="1"/>
  <c r="BT277" i="5"/>
  <c r="BT278" i="5" s="1"/>
  <c r="BS277" i="5"/>
  <c r="BS278" i="5" s="1"/>
  <c r="BR277" i="5"/>
  <c r="BR278" i="5" s="1"/>
  <c r="BQ277" i="5"/>
  <c r="BQ278" i="5" s="1"/>
  <c r="BP277" i="5"/>
  <c r="BP278" i="5" s="1"/>
  <c r="BO277" i="5"/>
  <c r="BO278" i="5" s="1"/>
  <c r="BN277" i="5"/>
  <c r="BN278" i="5" s="1"/>
  <c r="BM277" i="5"/>
  <c r="BM278" i="5" s="1"/>
  <c r="I12" i="17" s="1"/>
  <c r="I40" i="17" s="1"/>
  <c r="BL277" i="5"/>
  <c r="BL278" i="5" s="1"/>
  <c r="I10" i="17" s="1"/>
  <c r="BK277" i="5"/>
  <c r="BK278" i="5" s="1"/>
  <c r="BJ277" i="5"/>
  <c r="BJ278" i="5" s="1"/>
  <c r="BI277" i="5"/>
  <c r="BI278" i="5" s="1"/>
  <c r="BH277" i="5"/>
  <c r="BH278" i="5" s="1"/>
  <c r="BG277" i="5"/>
  <c r="BG278" i="5" s="1"/>
  <c r="BF277" i="5"/>
  <c r="BF278" i="5" s="1"/>
  <c r="BE277" i="5"/>
  <c r="BE278" i="5" s="1"/>
  <c r="BD277" i="5"/>
  <c r="BD278" i="5" s="1"/>
  <c r="BC277" i="5"/>
  <c r="BC278" i="5" s="1"/>
  <c r="BB277" i="5"/>
  <c r="BB278" i="5" s="1"/>
  <c r="F59" i="10" s="1"/>
  <c r="BA277" i="5"/>
  <c r="BA278" i="5" s="1"/>
  <c r="AZ277" i="5"/>
  <c r="AZ278" i="5" s="1"/>
  <c r="AY277" i="5"/>
  <c r="AY278" i="5" s="1"/>
  <c r="AX277" i="5"/>
  <c r="AX278" i="5" s="1"/>
  <c r="AW277" i="5"/>
  <c r="AW278" i="5" s="1"/>
  <c r="AV277" i="5"/>
  <c r="AV278" i="5" s="1"/>
  <c r="AU277" i="5"/>
  <c r="AU278" i="5" s="1"/>
  <c r="AT277" i="5"/>
  <c r="AT278" i="5" s="1"/>
  <c r="AS277" i="5"/>
  <c r="AS278" i="5" s="1"/>
  <c r="A53" i="10"/>
  <c r="K46" i="10"/>
  <c r="J46" i="10"/>
  <c r="I46" i="10"/>
  <c r="H46" i="10"/>
  <c r="G46" i="10"/>
  <c r="F46" i="10"/>
  <c r="E46" i="10"/>
  <c r="C80" i="16"/>
  <c r="J79" i="16"/>
  <c r="J78" i="16"/>
  <c r="J77" i="16"/>
  <c r="C75" i="16"/>
  <c r="I74" i="16"/>
  <c r="J74" i="16" s="1"/>
  <c r="E73" i="16"/>
  <c r="E72" i="16"/>
  <c r="I71" i="16"/>
  <c r="J71" i="16" s="1"/>
  <c r="J70" i="16"/>
  <c r="C67" i="16"/>
  <c r="J66" i="16"/>
  <c r="I66" i="16"/>
  <c r="H66" i="16"/>
  <c r="G66" i="16"/>
  <c r="N64" i="16"/>
  <c r="J64" i="16"/>
  <c r="N63" i="16"/>
  <c r="H63" i="16"/>
  <c r="N62" i="16"/>
  <c r="J62" i="16"/>
  <c r="C60" i="16"/>
  <c r="N59" i="16"/>
  <c r="J59" i="16"/>
  <c r="N58" i="16"/>
  <c r="J58" i="16"/>
  <c r="C56" i="16"/>
  <c r="N55" i="16"/>
  <c r="J55" i="16"/>
  <c r="J54" i="16"/>
  <c r="F51" i="16"/>
  <c r="E51" i="16"/>
  <c r="C51" i="16"/>
  <c r="M50" i="16"/>
  <c r="L50" i="16"/>
  <c r="K50" i="16"/>
  <c r="J50" i="16"/>
  <c r="I50" i="16"/>
  <c r="H50" i="16"/>
  <c r="G50" i="16"/>
  <c r="C40" i="16"/>
  <c r="M39" i="16"/>
  <c r="L39" i="16"/>
  <c r="H39" i="16"/>
  <c r="F39" i="16"/>
  <c r="C39" i="16"/>
  <c r="C38" i="16"/>
  <c r="M35" i="16"/>
  <c r="L35" i="16"/>
  <c r="J35" i="16"/>
  <c r="I35" i="16"/>
  <c r="H35" i="16"/>
  <c r="M34" i="16"/>
  <c r="L34" i="16"/>
  <c r="J34" i="16"/>
  <c r="I34" i="16"/>
  <c r="H34" i="16"/>
  <c r="M33" i="16"/>
  <c r="L33" i="16"/>
  <c r="J33" i="16"/>
  <c r="I33" i="16"/>
  <c r="H33" i="16"/>
  <c r="M32" i="16"/>
  <c r="L32" i="16"/>
  <c r="J32" i="16"/>
  <c r="I32" i="16"/>
  <c r="H32" i="16"/>
  <c r="M30" i="16"/>
  <c r="L30" i="16"/>
  <c r="J30" i="16"/>
  <c r="I30" i="16"/>
  <c r="H30" i="16"/>
  <c r="M29" i="16"/>
  <c r="L29" i="16"/>
  <c r="J29" i="16"/>
  <c r="I29" i="16"/>
  <c r="H29" i="16"/>
  <c r="M28" i="16"/>
  <c r="L28" i="16"/>
  <c r="J28" i="16"/>
  <c r="I28" i="16"/>
  <c r="H28" i="16"/>
  <c r="M27" i="16"/>
  <c r="L27" i="16"/>
  <c r="J27" i="16"/>
  <c r="I27" i="16"/>
  <c r="H27" i="16"/>
  <c r="M26" i="16"/>
  <c r="L26" i="16"/>
  <c r="J26" i="16"/>
  <c r="I26" i="16"/>
  <c r="H26" i="16"/>
  <c r="M25" i="16"/>
  <c r="L25" i="16"/>
  <c r="J25" i="16"/>
  <c r="I25" i="16"/>
  <c r="H25" i="16"/>
  <c r="M24" i="16"/>
  <c r="L24" i="16"/>
  <c r="J24" i="16"/>
  <c r="I24" i="16"/>
  <c r="H24" i="16"/>
  <c r="M23" i="16"/>
  <c r="L23" i="16"/>
  <c r="J23" i="16"/>
  <c r="I23" i="16"/>
  <c r="H23" i="16"/>
  <c r="M22" i="16"/>
  <c r="L22" i="16"/>
  <c r="J22" i="16"/>
  <c r="I22" i="16"/>
  <c r="H22" i="16"/>
  <c r="M21" i="16"/>
  <c r="L21" i="16"/>
  <c r="J21" i="16"/>
  <c r="I21" i="16"/>
  <c r="H21" i="16"/>
  <c r="M20" i="16"/>
  <c r="L20" i="16"/>
  <c r="J20" i="16"/>
  <c r="I20" i="16"/>
  <c r="H20" i="16"/>
  <c r="C15" i="16"/>
  <c r="AC11" i="16"/>
  <c r="M8" i="16"/>
  <c r="L8" i="16"/>
  <c r="K8" i="16"/>
  <c r="J8" i="16"/>
  <c r="I8" i="16"/>
  <c r="H8" i="16"/>
  <c r="G8" i="16"/>
  <c r="CM271" i="5"/>
  <c r="CL271" i="5"/>
  <c r="CK271" i="5"/>
  <c r="CJ271" i="5"/>
  <c r="CI271" i="5"/>
  <c r="CH271" i="5"/>
  <c r="CG271" i="5"/>
  <c r="CF271" i="5"/>
  <c r="CE271" i="5"/>
  <c r="CD271" i="5"/>
  <c r="CC271" i="5"/>
  <c r="CB271" i="5"/>
  <c r="CA271" i="5"/>
  <c r="BZ271" i="5"/>
  <c r="BY271" i="5"/>
  <c r="BX271" i="5"/>
  <c r="BW271" i="5"/>
  <c r="BV271" i="5"/>
  <c r="BU271" i="5"/>
  <c r="BT271" i="5"/>
  <c r="BS271" i="5"/>
  <c r="BR271" i="5"/>
  <c r="BQ271" i="5"/>
  <c r="BP271" i="5"/>
  <c r="BO271" i="5"/>
  <c r="BN271" i="5"/>
  <c r="BM271" i="5"/>
  <c r="BL271" i="5"/>
  <c r="BK271" i="5"/>
  <c r="BJ271" i="5"/>
  <c r="BI271" i="5"/>
  <c r="BH271" i="5"/>
  <c r="BG271" i="5"/>
  <c r="BF271" i="5"/>
  <c r="BE271" i="5"/>
  <c r="BD271" i="5"/>
  <c r="BC271" i="5"/>
  <c r="BB271" i="5"/>
  <c r="BA271" i="5"/>
  <c r="AZ271" i="5"/>
  <c r="AY271" i="5"/>
  <c r="AX271" i="5"/>
  <c r="AW271" i="5"/>
  <c r="AV271" i="5"/>
  <c r="AU271" i="5"/>
  <c r="AT271" i="5"/>
  <c r="AS271" i="5"/>
  <c r="A42" i="10"/>
  <c r="K35" i="10"/>
  <c r="J35" i="10"/>
  <c r="I35" i="10"/>
  <c r="H35" i="10"/>
  <c r="G35" i="10"/>
  <c r="F35" i="10"/>
  <c r="E35" i="10"/>
  <c r="C80" i="15"/>
  <c r="J79" i="15"/>
  <c r="J78" i="15"/>
  <c r="J77" i="15"/>
  <c r="C75" i="15"/>
  <c r="I74" i="15"/>
  <c r="J74" i="15" s="1"/>
  <c r="E73" i="15"/>
  <c r="E72" i="15"/>
  <c r="I71" i="15"/>
  <c r="J71" i="15" s="1"/>
  <c r="J70" i="15"/>
  <c r="C67" i="15"/>
  <c r="J66" i="15"/>
  <c r="I66" i="15"/>
  <c r="H66" i="15"/>
  <c r="G66" i="15"/>
  <c r="N64" i="15"/>
  <c r="J64" i="15"/>
  <c r="N63" i="15"/>
  <c r="H63" i="15"/>
  <c r="N62" i="15"/>
  <c r="J62" i="15"/>
  <c r="C60" i="15"/>
  <c r="N59" i="15"/>
  <c r="J59" i="15"/>
  <c r="N58" i="15"/>
  <c r="J58" i="15"/>
  <c r="C56" i="15"/>
  <c r="N55" i="15"/>
  <c r="J55" i="15"/>
  <c r="J54" i="15"/>
  <c r="F51" i="15"/>
  <c r="E51" i="15"/>
  <c r="C51" i="15"/>
  <c r="M50" i="15"/>
  <c r="L50" i="15"/>
  <c r="K50" i="15"/>
  <c r="J50" i="15"/>
  <c r="I50" i="15"/>
  <c r="H50" i="15"/>
  <c r="G50" i="15"/>
  <c r="C40" i="15"/>
  <c r="M39" i="15"/>
  <c r="L39" i="15"/>
  <c r="H39" i="15"/>
  <c r="F39" i="15"/>
  <c r="C39" i="15"/>
  <c r="C38" i="15"/>
  <c r="M35" i="15"/>
  <c r="L35" i="15"/>
  <c r="J35" i="15"/>
  <c r="I35" i="15"/>
  <c r="H35" i="15"/>
  <c r="M34" i="15"/>
  <c r="L34" i="15"/>
  <c r="J34" i="15"/>
  <c r="I34" i="15"/>
  <c r="H34" i="15"/>
  <c r="M33" i="15"/>
  <c r="L33" i="15"/>
  <c r="J33" i="15"/>
  <c r="I33" i="15"/>
  <c r="H33" i="15"/>
  <c r="M32" i="15"/>
  <c r="L32" i="15"/>
  <c r="J32" i="15"/>
  <c r="I32" i="15"/>
  <c r="H32" i="15"/>
  <c r="M30" i="15"/>
  <c r="L30" i="15"/>
  <c r="J30" i="15"/>
  <c r="I30" i="15"/>
  <c r="H30" i="15"/>
  <c r="M29" i="15"/>
  <c r="L29" i="15"/>
  <c r="J29" i="15"/>
  <c r="I29" i="15"/>
  <c r="H29" i="15"/>
  <c r="M28" i="15"/>
  <c r="L28" i="15"/>
  <c r="J28" i="15"/>
  <c r="I28" i="15"/>
  <c r="H28" i="15"/>
  <c r="M27" i="15"/>
  <c r="L27" i="15"/>
  <c r="J27" i="15"/>
  <c r="I27" i="15"/>
  <c r="H27" i="15"/>
  <c r="M26" i="15"/>
  <c r="L26" i="15"/>
  <c r="J26" i="15"/>
  <c r="I26" i="15"/>
  <c r="H26" i="15"/>
  <c r="M25" i="15"/>
  <c r="L25" i="15"/>
  <c r="J25" i="15"/>
  <c r="I25" i="15"/>
  <c r="H25" i="15"/>
  <c r="M24" i="15"/>
  <c r="L24" i="15"/>
  <c r="J24" i="15"/>
  <c r="I24" i="15"/>
  <c r="H24" i="15"/>
  <c r="M23" i="15"/>
  <c r="L23" i="15"/>
  <c r="J23" i="15"/>
  <c r="I23" i="15"/>
  <c r="H23" i="15"/>
  <c r="M22" i="15"/>
  <c r="L22" i="15"/>
  <c r="J22" i="15"/>
  <c r="I22" i="15"/>
  <c r="H22" i="15"/>
  <c r="M21" i="15"/>
  <c r="L21" i="15"/>
  <c r="J21" i="15"/>
  <c r="I21" i="15"/>
  <c r="H21" i="15"/>
  <c r="M20" i="15"/>
  <c r="L20" i="15"/>
  <c r="J20" i="15"/>
  <c r="I20" i="15"/>
  <c r="H20" i="15"/>
  <c r="C15" i="15"/>
  <c r="AC11" i="15"/>
  <c r="M8" i="15"/>
  <c r="L8" i="15"/>
  <c r="K8" i="15"/>
  <c r="J8" i="15"/>
  <c r="I8" i="15"/>
  <c r="H8" i="15"/>
  <c r="G8" i="15"/>
  <c r="A31" i="10"/>
  <c r="K24" i="10"/>
  <c r="J24" i="10"/>
  <c r="I24" i="10"/>
  <c r="H24" i="10"/>
  <c r="G24" i="10"/>
  <c r="F24" i="10"/>
  <c r="E24" i="10"/>
  <c r="C80" i="14"/>
  <c r="J79" i="14"/>
  <c r="J78" i="14"/>
  <c r="J77" i="14"/>
  <c r="C75" i="14"/>
  <c r="I74" i="14"/>
  <c r="J74" i="14" s="1"/>
  <c r="E73" i="14"/>
  <c r="E72" i="14"/>
  <c r="I71" i="14"/>
  <c r="J71" i="14" s="1"/>
  <c r="J70" i="14"/>
  <c r="C67" i="14"/>
  <c r="J66" i="14"/>
  <c r="I66" i="14"/>
  <c r="H66" i="14"/>
  <c r="G66" i="14"/>
  <c r="N64" i="14"/>
  <c r="J64" i="14"/>
  <c r="N63" i="14"/>
  <c r="H63" i="14"/>
  <c r="N62" i="14"/>
  <c r="J62" i="14"/>
  <c r="C60" i="14"/>
  <c r="N59" i="14"/>
  <c r="J59" i="14"/>
  <c r="N58" i="14"/>
  <c r="J58" i="14"/>
  <c r="C56" i="14"/>
  <c r="N55" i="14"/>
  <c r="J55" i="14"/>
  <c r="J54" i="14"/>
  <c r="F51" i="14"/>
  <c r="F52" i="14" s="1"/>
  <c r="F56" i="14" s="1"/>
  <c r="F60" i="14" s="1"/>
  <c r="E51" i="14"/>
  <c r="C51" i="14"/>
  <c r="M50" i="14"/>
  <c r="L50" i="14"/>
  <c r="K50" i="14"/>
  <c r="J50" i="14"/>
  <c r="I50" i="14"/>
  <c r="H50" i="14"/>
  <c r="G50" i="14"/>
  <c r="C40" i="14"/>
  <c r="M39" i="14"/>
  <c r="L39" i="14"/>
  <c r="H39" i="14"/>
  <c r="F39" i="14"/>
  <c r="C39" i="14"/>
  <c r="C38" i="14"/>
  <c r="M35" i="14"/>
  <c r="L35" i="14"/>
  <c r="J35" i="14"/>
  <c r="I35" i="14"/>
  <c r="H35" i="14"/>
  <c r="M34" i="14"/>
  <c r="L34" i="14"/>
  <c r="J34" i="14"/>
  <c r="I34" i="14"/>
  <c r="H34" i="14"/>
  <c r="M33" i="14"/>
  <c r="L33" i="14"/>
  <c r="J33" i="14"/>
  <c r="I33" i="14"/>
  <c r="H33" i="14"/>
  <c r="M32" i="14"/>
  <c r="L32" i="14"/>
  <c r="J32" i="14"/>
  <c r="I32" i="14"/>
  <c r="H32" i="14"/>
  <c r="M30" i="14"/>
  <c r="L30" i="14"/>
  <c r="J30" i="14"/>
  <c r="I30" i="14"/>
  <c r="H30" i="14"/>
  <c r="M29" i="14"/>
  <c r="L29" i="14"/>
  <c r="J29" i="14"/>
  <c r="I29" i="14"/>
  <c r="H29" i="14"/>
  <c r="M28" i="14"/>
  <c r="L28" i="14"/>
  <c r="J28" i="14"/>
  <c r="I28" i="14"/>
  <c r="H28" i="14"/>
  <c r="M27" i="14"/>
  <c r="L27" i="14"/>
  <c r="J27" i="14"/>
  <c r="I27" i="14"/>
  <c r="H27" i="14"/>
  <c r="M26" i="14"/>
  <c r="L26" i="14"/>
  <c r="J26" i="14"/>
  <c r="I26" i="14"/>
  <c r="H26" i="14"/>
  <c r="M25" i="14"/>
  <c r="L25" i="14"/>
  <c r="J25" i="14"/>
  <c r="I25" i="14"/>
  <c r="H25" i="14"/>
  <c r="M24" i="14"/>
  <c r="L24" i="14"/>
  <c r="J24" i="14"/>
  <c r="I24" i="14"/>
  <c r="H24" i="14"/>
  <c r="M23" i="14"/>
  <c r="L23" i="14"/>
  <c r="J23" i="14"/>
  <c r="I23" i="14"/>
  <c r="H23" i="14"/>
  <c r="M22" i="14"/>
  <c r="L22" i="14"/>
  <c r="J22" i="14"/>
  <c r="I22" i="14"/>
  <c r="H22" i="14"/>
  <c r="M21" i="14"/>
  <c r="L21" i="14"/>
  <c r="J21" i="14"/>
  <c r="I21" i="14"/>
  <c r="H21" i="14"/>
  <c r="M20" i="14"/>
  <c r="L20" i="14"/>
  <c r="J20" i="14"/>
  <c r="I20" i="14"/>
  <c r="H20" i="14"/>
  <c r="C15" i="14"/>
  <c r="AC11" i="14"/>
  <c r="M8" i="14"/>
  <c r="L8" i="14"/>
  <c r="K8" i="14"/>
  <c r="J8" i="14"/>
  <c r="I8" i="14"/>
  <c r="H8" i="14"/>
  <c r="G8" i="14"/>
  <c r="CM265" i="5"/>
  <c r="CL265" i="5"/>
  <c r="CK265" i="5"/>
  <c r="CJ265" i="5"/>
  <c r="CI265" i="5"/>
  <c r="CH265" i="5"/>
  <c r="CG265" i="5"/>
  <c r="CF265" i="5"/>
  <c r="CE265" i="5"/>
  <c r="CD265" i="5"/>
  <c r="CC265" i="5"/>
  <c r="CB265" i="5"/>
  <c r="CA265" i="5"/>
  <c r="BZ265" i="5"/>
  <c r="BY265" i="5"/>
  <c r="BX265" i="5"/>
  <c r="BW265" i="5"/>
  <c r="BV265" i="5"/>
  <c r="BU265" i="5"/>
  <c r="BT265" i="5"/>
  <c r="BS265" i="5"/>
  <c r="BR265" i="5"/>
  <c r="BQ265" i="5"/>
  <c r="BP265" i="5"/>
  <c r="BO265" i="5"/>
  <c r="BN265" i="5"/>
  <c r="BM265" i="5"/>
  <c r="BL265" i="5"/>
  <c r="BK265" i="5"/>
  <c r="BJ265" i="5"/>
  <c r="BI265" i="5"/>
  <c r="BH265" i="5"/>
  <c r="BG265" i="5"/>
  <c r="BF265" i="5"/>
  <c r="BE265" i="5"/>
  <c r="BD265" i="5"/>
  <c r="BC265" i="5"/>
  <c r="BB265" i="5"/>
  <c r="BA265" i="5"/>
  <c r="AZ265" i="5"/>
  <c r="AY265" i="5"/>
  <c r="AX265" i="5"/>
  <c r="AW265" i="5"/>
  <c r="AV265" i="5"/>
  <c r="AU265" i="5"/>
  <c r="AT265" i="5"/>
  <c r="AS265" i="5"/>
  <c r="A20" i="10"/>
  <c r="K13" i="10"/>
  <c r="J13" i="10"/>
  <c r="I13" i="10"/>
  <c r="H13" i="10"/>
  <c r="G13" i="10"/>
  <c r="F13" i="10"/>
  <c r="E13" i="10"/>
  <c r="C80" i="13"/>
  <c r="J79" i="13"/>
  <c r="J78" i="13"/>
  <c r="J77" i="13"/>
  <c r="C75" i="13"/>
  <c r="I74" i="13"/>
  <c r="J74" i="13" s="1"/>
  <c r="E73" i="13"/>
  <c r="E72" i="13"/>
  <c r="I71" i="13"/>
  <c r="J71" i="13" s="1"/>
  <c r="J70" i="13"/>
  <c r="C67" i="13"/>
  <c r="J66" i="13"/>
  <c r="I66" i="13"/>
  <c r="H66" i="13"/>
  <c r="G66" i="13"/>
  <c r="N64" i="13"/>
  <c r="J64" i="13"/>
  <c r="N63" i="13"/>
  <c r="H63" i="13"/>
  <c r="N62" i="13"/>
  <c r="J62" i="13"/>
  <c r="C60" i="13"/>
  <c r="N59" i="13"/>
  <c r="J59" i="13"/>
  <c r="N58" i="13"/>
  <c r="J58" i="13"/>
  <c r="C56" i="13"/>
  <c r="N55" i="13"/>
  <c r="J55" i="13"/>
  <c r="J54" i="13"/>
  <c r="F51" i="13"/>
  <c r="E51" i="13"/>
  <c r="C51" i="13"/>
  <c r="M50" i="13"/>
  <c r="L50" i="13"/>
  <c r="K50" i="13"/>
  <c r="J50" i="13"/>
  <c r="I50" i="13"/>
  <c r="H50" i="13"/>
  <c r="G50" i="13"/>
  <c r="C40" i="13"/>
  <c r="M39" i="13"/>
  <c r="L39" i="13"/>
  <c r="H39" i="13"/>
  <c r="F39" i="13"/>
  <c r="C39" i="13"/>
  <c r="C38" i="13"/>
  <c r="M35" i="13"/>
  <c r="L35" i="13"/>
  <c r="J35" i="13"/>
  <c r="I35" i="13"/>
  <c r="H35" i="13"/>
  <c r="M34" i="13"/>
  <c r="L34" i="13"/>
  <c r="J34" i="13"/>
  <c r="I34" i="13"/>
  <c r="H34" i="13"/>
  <c r="M33" i="13"/>
  <c r="L33" i="13"/>
  <c r="J33" i="13"/>
  <c r="I33" i="13"/>
  <c r="H33" i="13"/>
  <c r="M32" i="13"/>
  <c r="L32" i="13"/>
  <c r="J32" i="13"/>
  <c r="I32" i="13"/>
  <c r="H32" i="13"/>
  <c r="M30" i="13"/>
  <c r="L30" i="13"/>
  <c r="J30" i="13"/>
  <c r="I30" i="13"/>
  <c r="H30" i="13"/>
  <c r="M29" i="13"/>
  <c r="L29" i="13"/>
  <c r="J29" i="13"/>
  <c r="I29" i="13"/>
  <c r="H29" i="13"/>
  <c r="M28" i="13"/>
  <c r="L28" i="13"/>
  <c r="J28" i="13"/>
  <c r="I28" i="13"/>
  <c r="H28" i="13"/>
  <c r="M27" i="13"/>
  <c r="L27" i="13"/>
  <c r="J27" i="13"/>
  <c r="I27" i="13"/>
  <c r="H27" i="13"/>
  <c r="M26" i="13"/>
  <c r="L26" i="13"/>
  <c r="J26" i="13"/>
  <c r="I26" i="13"/>
  <c r="H26" i="13"/>
  <c r="M25" i="13"/>
  <c r="L25" i="13"/>
  <c r="J25" i="13"/>
  <c r="I25" i="13"/>
  <c r="H25" i="13"/>
  <c r="M24" i="13"/>
  <c r="L24" i="13"/>
  <c r="J24" i="13"/>
  <c r="I24" i="13"/>
  <c r="H24" i="13"/>
  <c r="M23" i="13"/>
  <c r="L23" i="13"/>
  <c r="J23" i="13"/>
  <c r="I23" i="13"/>
  <c r="H23" i="13"/>
  <c r="M22" i="13"/>
  <c r="L22" i="13"/>
  <c r="J22" i="13"/>
  <c r="I22" i="13"/>
  <c r="H22" i="13"/>
  <c r="M21" i="13"/>
  <c r="L21" i="13"/>
  <c r="J21" i="13"/>
  <c r="I21" i="13"/>
  <c r="H21" i="13"/>
  <c r="M20" i="13"/>
  <c r="L20" i="13"/>
  <c r="J20" i="13"/>
  <c r="I20" i="13"/>
  <c r="H20" i="13"/>
  <c r="C15" i="13"/>
  <c r="AC11" i="13"/>
  <c r="M8" i="13"/>
  <c r="L8" i="13"/>
  <c r="K8" i="13"/>
  <c r="J8" i="13"/>
  <c r="I8" i="13"/>
  <c r="H8" i="13"/>
  <c r="G8" i="13"/>
  <c r="A9" i="10"/>
  <c r="K2" i="10"/>
  <c r="J2" i="10"/>
  <c r="I2" i="10"/>
  <c r="H2" i="10"/>
  <c r="G2" i="10"/>
  <c r="F2" i="10"/>
  <c r="E2" i="10"/>
  <c r="C80" i="12"/>
  <c r="J79" i="12"/>
  <c r="J78" i="12"/>
  <c r="J77" i="12"/>
  <c r="C75" i="12"/>
  <c r="I74" i="12"/>
  <c r="J74" i="12" s="1"/>
  <c r="E73" i="12"/>
  <c r="E72" i="12"/>
  <c r="I71" i="12"/>
  <c r="J71" i="12" s="1"/>
  <c r="J70" i="12"/>
  <c r="C67" i="12"/>
  <c r="J66" i="12"/>
  <c r="I66" i="12"/>
  <c r="H66" i="12"/>
  <c r="G66" i="12"/>
  <c r="N64" i="12"/>
  <c r="J64" i="12"/>
  <c r="N63" i="12"/>
  <c r="H63" i="12"/>
  <c r="N62" i="12"/>
  <c r="J62" i="12"/>
  <c r="C60" i="12"/>
  <c r="N59" i="12"/>
  <c r="J59" i="12"/>
  <c r="N58" i="12"/>
  <c r="J58" i="12"/>
  <c r="C56" i="12"/>
  <c r="N55" i="12"/>
  <c r="J55" i="12"/>
  <c r="J54" i="12"/>
  <c r="F51" i="12"/>
  <c r="E51" i="12"/>
  <c r="C51" i="12"/>
  <c r="M50" i="12"/>
  <c r="L50" i="12"/>
  <c r="K50" i="12"/>
  <c r="J50" i="12"/>
  <c r="I50" i="12"/>
  <c r="H50" i="12"/>
  <c r="G50" i="12"/>
  <c r="C40" i="12"/>
  <c r="M39" i="12"/>
  <c r="L39" i="12"/>
  <c r="H39" i="12"/>
  <c r="F39" i="12"/>
  <c r="C39" i="12"/>
  <c r="C38" i="12"/>
  <c r="M35" i="12"/>
  <c r="L35" i="12"/>
  <c r="J35" i="12"/>
  <c r="I35" i="12"/>
  <c r="H35" i="12"/>
  <c r="M34" i="12"/>
  <c r="L34" i="12"/>
  <c r="J34" i="12"/>
  <c r="I34" i="12"/>
  <c r="H34" i="12"/>
  <c r="M33" i="12"/>
  <c r="L33" i="12"/>
  <c r="J33" i="12"/>
  <c r="I33" i="12"/>
  <c r="H33" i="12"/>
  <c r="M32" i="12"/>
  <c r="L32" i="12"/>
  <c r="J32" i="12"/>
  <c r="I32" i="12"/>
  <c r="H32" i="12"/>
  <c r="M30" i="12"/>
  <c r="L30" i="12"/>
  <c r="J30" i="12"/>
  <c r="I30" i="12"/>
  <c r="H30" i="12"/>
  <c r="M29" i="12"/>
  <c r="L29" i="12"/>
  <c r="J29" i="12"/>
  <c r="I29" i="12"/>
  <c r="H29" i="12"/>
  <c r="M28" i="12"/>
  <c r="L28" i="12"/>
  <c r="J28" i="12"/>
  <c r="I28" i="12"/>
  <c r="H28" i="12"/>
  <c r="M27" i="12"/>
  <c r="L27" i="12"/>
  <c r="J27" i="12"/>
  <c r="I27" i="12"/>
  <c r="H27" i="12"/>
  <c r="M26" i="12"/>
  <c r="L26" i="12"/>
  <c r="J26" i="12"/>
  <c r="I26" i="12"/>
  <c r="H26" i="12"/>
  <c r="M25" i="12"/>
  <c r="L25" i="12"/>
  <c r="J25" i="12"/>
  <c r="I25" i="12"/>
  <c r="H25" i="12"/>
  <c r="M24" i="12"/>
  <c r="L24" i="12"/>
  <c r="J24" i="12"/>
  <c r="I24" i="12"/>
  <c r="H24" i="12"/>
  <c r="M23" i="12"/>
  <c r="L23" i="12"/>
  <c r="J23" i="12"/>
  <c r="I23" i="12"/>
  <c r="H23" i="12"/>
  <c r="M22" i="12"/>
  <c r="L22" i="12"/>
  <c r="J22" i="12"/>
  <c r="I22" i="12"/>
  <c r="H22" i="12"/>
  <c r="M21" i="12"/>
  <c r="L21" i="12"/>
  <c r="J21" i="12"/>
  <c r="I21" i="12"/>
  <c r="H21" i="12"/>
  <c r="M20" i="12"/>
  <c r="L20" i="12"/>
  <c r="J20" i="12"/>
  <c r="I20" i="12"/>
  <c r="H20" i="12"/>
  <c r="C15" i="12"/>
  <c r="AC11" i="12"/>
  <c r="M8" i="12"/>
  <c r="L8" i="12"/>
  <c r="K8" i="12"/>
  <c r="J8" i="12"/>
  <c r="I8" i="12"/>
  <c r="H8" i="12"/>
  <c r="G8" i="12"/>
  <c r="CN3" i="5"/>
  <c r="CN4" i="5"/>
  <c r="CN5" i="5"/>
  <c r="CN6" i="5"/>
  <c r="CN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N62" i="5"/>
  <c r="CN63" i="5"/>
  <c r="CN64" i="5"/>
  <c r="CN65" i="5"/>
  <c r="CN66" i="5"/>
  <c r="CN67" i="5"/>
  <c r="CN68" i="5"/>
  <c r="CN69" i="5"/>
  <c r="CN70" i="5"/>
  <c r="CN71" i="5"/>
  <c r="CN72" i="5"/>
  <c r="CN73" i="5"/>
  <c r="CN74" i="5"/>
  <c r="CN75" i="5"/>
  <c r="CN76" i="5"/>
  <c r="CN77" i="5"/>
  <c r="CN78" i="5"/>
  <c r="CN79" i="5"/>
  <c r="CN80" i="5"/>
  <c r="CN81" i="5"/>
  <c r="CN82" i="5"/>
  <c r="CN83" i="5"/>
  <c r="CN84" i="5"/>
  <c r="CN85" i="5"/>
  <c r="CN86" i="5"/>
  <c r="CN87" i="5"/>
  <c r="CN88" i="5"/>
  <c r="CN89" i="5"/>
  <c r="CN90" i="5"/>
  <c r="CN91" i="5"/>
  <c r="CN92" i="5"/>
  <c r="CN93" i="5"/>
  <c r="CN94" i="5"/>
  <c r="CN95" i="5"/>
  <c r="CN96" i="5"/>
  <c r="CN97" i="5"/>
  <c r="CN98" i="5"/>
  <c r="CN99" i="5"/>
  <c r="CN100" i="5"/>
  <c r="CN101" i="5"/>
  <c r="CN102" i="5"/>
  <c r="CN103" i="5"/>
  <c r="CN104" i="5"/>
  <c r="CN105" i="5"/>
  <c r="CN106" i="5"/>
  <c r="CN107" i="5"/>
  <c r="CN108" i="5"/>
  <c r="CN109" i="5"/>
  <c r="CN110" i="5"/>
  <c r="CN111" i="5"/>
  <c r="CN112" i="5"/>
  <c r="CN113" i="5"/>
  <c r="CN114" i="5"/>
  <c r="CN115" i="5"/>
  <c r="CN116" i="5"/>
  <c r="CN117" i="5"/>
  <c r="CN118" i="5"/>
  <c r="CN119" i="5"/>
  <c r="CN120" i="5"/>
  <c r="CN121" i="5"/>
  <c r="CN122" i="5"/>
  <c r="CN123" i="5"/>
  <c r="CN124" i="5"/>
  <c r="CN125" i="5"/>
  <c r="CN126" i="5"/>
  <c r="CN127" i="5"/>
  <c r="CN128" i="5"/>
  <c r="CN129" i="5"/>
  <c r="CN130" i="5"/>
  <c r="CN131" i="5"/>
  <c r="CN132" i="5"/>
  <c r="CN133" i="5"/>
  <c r="CN134" i="5"/>
  <c r="CN135" i="5"/>
  <c r="CN136" i="5"/>
  <c r="CN137" i="5"/>
  <c r="CN138" i="5"/>
  <c r="CN139" i="5"/>
  <c r="CN140" i="5"/>
  <c r="CN141" i="5"/>
  <c r="CN142" i="5"/>
  <c r="CN143" i="5"/>
  <c r="CN144" i="5"/>
  <c r="CN145" i="5"/>
  <c r="CN146" i="5"/>
  <c r="CN147" i="5"/>
  <c r="CN148" i="5"/>
  <c r="CN149" i="5"/>
  <c r="CN150" i="5"/>
  <c r="CN151" i="5"/>
  <c r="CN152" i="5"/>
  <c r="CN153" i="5"/>
  <c r="CN154" i="5"/>
  <c r="CN155" i="5"/>
  <c r="CN156" i="5"/>
  <c r="CN157" i="5"/>
  <c r="CN158" i="5"/>
  <c r="CN159" i="5"/>
  <c r="CN160" i="5"/>
  <c r="CN161" i="5"/>
  <c r="CN162" i="5"/>
  <c r="CN163" i="5"/>
  <c r="CN164" i="5"/>
  <c r="CN165" i="5"/>
  <c r="CN166" i="5"/>
  <c r="CN167" i="5"/>
  <c r="CN168" i="5"/>
  <c r="CN169" i="5"/>
  <c r="CN170" i="5"/>
  <c r="CN171" i="5"/>
  <c r="CN172" i="5"/>
  <c r="CN173" i="5"/>
  <c r="CN174" i="5"/>
  <c r="CN175" i="5"/>
  <c r="CN176" i="5"/>
  <c r="CN177" i="5"/>
  <c r="CN178" i="5"/>
  <c r="CN179" i="5"/>
  <c r="CN180" i="5"/>
  <c r="CN181" i="5"/>
  <c r="CN182" i="5"/>
  <c r="CN183" i="5"/>
  <c r="CN184" i="5"/>
  <c r="CN185" i="5"/>
  <c r="CN186" i="5"/>
  <c r="CN187" i="5"/>
  <c r="CN188" i="5"/>
  <c r="CN189" i="5"/>
  <c r="CN190" i="5"/>
  <c r="CN191" i="5"/>
  <c r="CN192" i="5"/>
  <c r="CN193" i="5"/>
  <c r="CN194" i="5"/>
  <c r="CN195" i="5"/>
  <c r="CN196" i="5"/>
  <c r="CN197" i="5"/>
  <c r="CN198" i="5"/>
  <c r="CN199" i="5"/>
  <c r="CN200" i="5"/>
  <c r="CN201" i="5"/>
  <c r="CN202" i="5"/>
  <c r="CN203" i="5"/>
  <c r="CN204" i="5"/>
  <c r="CN205" i="5"/>
  <c r="CN206" i="5"/>
  <c r="CN207" i="5"/>
  <c r="CN208" i="5"/>
  <c r="CN209" i="5"/>
  <c r="CN210" i="5"/>
  <c r="CN211" i="5"/>
  <c r="CN212" i="5"/>
  <c r="CN213" i="5"/>
  <c r="CN214" i="5"/>
  <c r="CN215" i="5"/>
  <c r="CN216" i="5"/>
  <c r="CN217" i="5"/>
  <c r="CN218" i="5"/>
  <c r="CN219" i="5"/>
  <c r="CN220" i="5"/>
  <c r="CN221" i="5"/>
  <c r="CN222" i="5"/>
  <c r="CN223" i="5"/>
  <c r="CN224" i="5"/>
  <c r="CN225" i="5"/>
  <c r="CN226" i="5"/>
  <c r="CN227" i="5"/>
  <c r="CN228" i="5"/>
  <c r="CN229" i="5"/>
  <c r="CN230" i="5"/>
  <c r="CN231" i="5"/>
  <c r="CN232" i="5"/>
  <c r="CN233" i="5"/>
  <c r="CN234" i="5"/>
  <c r="CN235" i="5"/>
  <c r="CN236" i="5"/>
  <c r="CN237" i="5"/>
  <c r="CN238" i="5"/>
  <c r="CN239" i="5"/>
  <c r="CN240" i="5"/>
  <c r="CN241" i="5"/>
  <c r="CN242" i="5"/>
  <c r="CN243" i="5"/>
  <c r="CN244" i="5"/>
  <c r="CN245" i="5"/>
  <c r="CN246" i="5"/>
  <c r="CN247" i="5"/>
  <c r="CN248" i="5"/>
  <c r="CN249" i="5"/>
  <c r="CN250" i="5"/>
  <c r="CN251" i="5"/>
  <c r="CN252" i="5"/>
  <c r="CN253" i="5"/>
  <c r="CN254" i="5"/>
  <c r="CN255" i="5"/>
  <c r="CN256" i="5"/>
  <c r="CN257" i="5"/>
  <c r="CN258" i="5"/>
  <c r="CN2" i="5"/>
  <c r="CM3" i="5"/>
  <c r="CM4" i="5"/>
  <c r="CM5" i="5"/>
  <c r="CM6" i="5"/>
  <c r="CM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M56" i="5"/>
  <c r="CM57" i="5"/>
  <c r="CM58" i="5"/>
  <c r="CM59" i="5"/>
  <c r="CM60" i="5"/>
  <c r="CM61" i="5"/>
  <c r="CM62" i="5"/>
  <c r="CM267" i="5" s="1"/>
  <c r="CM63" i="5"/>
  <c r="CM64" i="5"/>
  <c r="CM65" i="5"/>
  <c r="CM66" i="5"/>
  <c r="CM67" i="5"/>
  <c r="CM68" i="5"/>
  <c r="CM69" i="5"/>
  <c r="CM70" i="5"/>
  <c r="CM71" i="5"/>
  <c r="CM72" i="5"/>
  <c r="CM73" i="5"/>
  <c r="CM74" i="5"/>
  <c r="CM75" i="5"/>
  <c r="CM76" i="5"/>
  <c r="CM77" i="5"/>
  <c r="CM78" i="5"/>
  <c r="CM79" i="5"/>
  <c r="CM80" i="5"/>
  <c r="CM81" i="5"/>
  <c r="CM82" i="5"/>
  <c r="CM83" i="5"/>
  <c r="CM84" i="5"/>
  <c r="CM85" i="5"/>
  <c r="CM86" i="5"/>
  <c r="CM87" i="5"/>
  <c r="CM88" i="5"/>
  <c r="CM89" i="5"/>
  <c r="CM90" i="5"/>
  <c r="CM91" i="5"/>
  <c r="CM92" i="5"/>
  <c r="CM93" i="5"/>
  <c r="CM94" i="5"/>
  <c r="CM95" i="5"/>
  <c r="CM96" i="5"/>
  <c r="CM97" i="5"/>
  <c r="CM98" i="5"/>
  <c r="CM99" i="5"/>
  <c r="CM100" i="5"/>
  <c r="CM101" i="5"/>
  <c r="CM102" i="5"/>
  <c r="CM103" i="5"/>
  <c r="CM104" i="5"/>
  <c r="CM105" i="5"/>
  <c r="CM106" i="5"/>
  <c r="CM107" i="5"/>
  <c r="CM108" i="5"/>
  <c r="CM109" i="5"/>
  <c r="CM110" i="5"/>
  <c r="CM111" i="5"/>
  <c r="CM112" i="5"/>
  <c r="CM113" i="5"/>
  <c r="CM114" i="5"/>
  <c r="CM115" i="5"/>
  <c r="CM116" i="5"/>
  <c r="CM117" i="5"/>
  <c r="CM118" i="5"/>
  <c r="CM119" i="5"/>
  <c r="CM273" i="5" s="1"/>
  <c r="CM120" i="5"/>
  <c r="CM121" i="5"/>
  <c r="CM122" i="5"/>
  <c r="CM123" i="5"/>
  <c r="CM124" i="5"/>
  <c r="CM125" i="5"/>
  <c r="CM126" i="5"/>
  <c r="CM127" i="5"/>
  <c r="CM128" i="5"/>
  <c r="CM129" i="5"/>
  <c r="CM130" i="5"/>
  <c r="CM131" i="5"/>
  <c r="CM132" i="5"/>
  <c r="CM133" i="5"/>
  <c r="CM134" i="5"/>
  <c r="CM135" i="5"/>
  <c r="CM136" i="5"/>
  <c r="CM137" i="5"/>
  <c r="CM138" i="5"/>
  <c r="CM139" i="5"/>
  <c r="CM140" i="5"/>
  <c r="CM141" i="5"/>
  <c r="CM142" i="5"/>
  <c r="CM143" i="5"/>
  <c r="CM144" i="5"/>
  <c r="CM145" i="5"/>
  <c r="CM146" i="5"/>
  <c r="CM147" i="5"/>
  <c r="CM148" i="5"/>
  <c r="CM149" i="5"/>
  <c r="CM150" i="5"/>
  <c r="CM151" i="5"/>
  <c r="CM152" i="5"/>
  <c r="CM153" i="5"/>
  <c r="CM154" i="5"/>
  <c r="CM155" i="5"/>
  <c r="CM156" i="5"/>
  <c r="CM157" i="5"/>
  <c r="CM158" i="5"/>
  <c r="CM159" i="5"/>
  <c r="CM160" i="5"/>
  <c r="CM161" i="5"/>
  <c r="CM162" i="5"/>
  <c r="CM163" i="5"/>
  <c r="CM164" i="5"/>
  <c r="CM165" i="5"/>
  <c r="CM166" i="5"/>
  <c r="CM167" i="5"/>
  <c r="CM168" i="5"/>
  <c r="CM169" i="5"/>
  <c r="CM170" i="5"/>
  <c r="CM171" i="5"/>
  <c r="CM172" i="5"/>
  <c r="CM173" i="5"/>
  <c r="CM174" i="5"/>
  <c r="CM175" i="5"/>
  <c r="CM176" i="5"/>
  <c r="CM177" i="5"/>
  <c r="CM283" i="5" s="1"/>
  <c r="CM178" i="5"/>
  <c r="CM179" i="5"/>
  <c r="CM180" i="5"/>
  <c r="CM181" i="5"/>
  <c r="CM182" i="5"/>
  <c r="CM183" i="5"/>
  <c r="CM184" i="5"/>
  <c r="CM185" i="5"/>
  <c r="CM186" i="5"/>
  <c r="CM187" i="5"/>
  <c r="CM188" i="5"/>
  <c r="CM189" i="5"/>
  <c r="CM190" i="5"/>
  <c r="CM191" i="5"/>
  <c r="CM192" i="5"/>
  <c r="CM193" i="5"/>
  <c r="CM194" i="5"/>
  <c r="CM195" i="5"/>
  <c r="CM196" i="5"/>
  <c r="CM197" i="5"/>
  <c r="CM198" i="5"/>
  <c r="CM199" i="5"/>
  <c r="CM200" i="5"/>
  <c r="CM201" i="5"/>
  <c r="CM202" i="5"/>
  <c r="CM203" i="5"/>
  <c r="CM204" i="5"/>
  <c r="CM205" i="5"/>
  <c r="CM206" i="5"/>
  <c r="CM207" i="5"/>
  <c r="CM208" i="5"/>
  <c r="CM209" i="5"/>
  <c r="CM210" i="5"/>
  <c r="CM211" i="5"/>
  <c r="CM212" i="5"/>
  <c r="CM213" i="5"/>
  <c r="CM214" i="5"/>
  <c r="CM215" i="5"/>
  <c r="CM216" i="5"/>
  <c r="CM217" i="5"/>
  <c r="CM218" i="5"/>
  <c r="CM219" i="5"/>
  <c r="CM220" i="5"/>
  <c r="CM221" i="5"/>
  <c r="CM222" i="5"/>
  <c r="CM288" i="5" s="1"/>
  <c r="CM289" i="5" s="1"/>
  <c r="CM223" i="5"/>
  <c r="CM224" i="5"/>
  <c r="CM225" i="5"/>
  <c r="CM226" i="5"/>
  <c r="CM227" i="5"/>
  <c r="CM228" i="5"/>
  <c r="CM229" i="5"/>
  <c r="CM230" i="5"/>
  <c r="CM231" i="5"/>
  <c r="CM232" i="5"/>
  <c r="CM233" i="5"/>
  <c r="CM234" i="5"/>
  <c r="CM235" i="5"/>
  <c r="CM236" i="5"/>
  <c r="CM237" i="5"/>
  <c r="CM238" i="5"/>
  <c r="CM239" i="5"/>
  <c r="CM240" i="5"/>
  <c r="CM241" i="5"/>
  <c r="CM242" i="5"/>
  <c r="CM243" i="5"/>
  <c r="CM244" i="5"/>
  <c r="CM245" i="5"/>
  <c r="CM246" i="5"/>
  <c r="CM247" i="5"/>
  <c r="CM248" i="5"/>
  <c r="CM249" i="5"/>
  <c r="CM250" i="5"/>
  <c r="CM251" i="5"/>
  <c r="CM252" i="5"/>
  <c r="CM294" i="5" s="1"/>
  <c r="CM295" i="5" s="1"/>
  <c r="CM253" i="5"/>
  <c r="CM254" i="5"/>
  <c r="CM255" i="5"/>
  <c r="CM256" i="5"/>
  <c r="CM257" i="5"/>
  <c r="CM258" i="5"/>
  <c r="CM2" i="5"/>
  <c r="CL3" i="5"/>
  <c r="CL4" i="5"/>
  <c r="CL5" i="5"/>
  <c r="CL6" i="5"/>
  <c r="CL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L50" i="5"/>
  <c r="CL51" i="5"/>
  <c r="CL52" i="5"/>
  <c r="CL53" i="5"/>
  <c r="CL54" i="5"/>
  <c r="CL55" i="5"/>
  <c r="CL56" i="5"/>
  <c r="CL57" i="5"/>
  <c r="CL58" i="5"/>
  <c r="CL59" i="5"/>
  <c r="CL60" i="5"/>
  <c r="CL61" i="5"/>
  <c r="CL62" i="5"/>
  <c r="CL267" i="5" s="1"/>
  <c r="CL63" i="5"/>
  <c r="CL64" i="5"/>
  <c r="CL65" i="5"/>
  <c r="CL66" i="5"/>
  <c r="CL67" i="5"/>
  <c r="CL68" i="5"/>
  <c r="CL69" i="5"/>
  <c r="CL70" i="5"/>
  <c r="CL71" i="5"/>
  <c r="CL72" i="5"/>
  <c r="CL73" i="5"/>
  <c r="CL74" i="5"/>
  <c r="CL75" i="5"/>
  <c r="CL76" i="5"/>
  <c r="CL77" i="5"/>
  <c r="CL78" i="5"/>
  <c r="CL79" i="5"/>
  <c r="CL80" i="5"/>
  <c r="CL81" i="5"/>
  <c r="CL82" i="5"/>
  <c r="CL83" i="5"/>
  <c r="CL84" i="5"/>
  <c r="CL85" i="5"/>
  <c r="CL86" i="5"/>
  <c r="CL87" i="5"/>
  <c r="CL88" i="5"/>
  <c r="CL89" i="5"/>
  <c r="CL90" i="5"/>
  <c r="CL91" i="5"/>
  <c r="CL92" i="5"/>
  <c r="CL93" i="5"/>
  <c r="CL94" i="5"/>
  <c r="CL95" i="5"/>
  <c r="CL96" i="5"/>
  <c r="CL97" i="5"/>
  <c r="CL98" i="5"/>
  <c r="CL99" i="5"/>
  <c r="CL100" i="5"/>
  <c r="CL101" i="5"/>
  <c r="CL102" i="5"/>
  <c r="CL103" i="5"/>
  <c r="CL104" i="5"/>
  <c r="CL105" i="5"/>
  <c r="CL106" i="5"/>
  <c r="CL107" i="5"/>
  <c r="CL108" i="5"/>
  <c r="CL109" i="5"/>
  <c r="CL110" i="5"/>
  <c r="CL111" i="5"/>
  <c r="CL112" i="5"/>
  <c r="CL113" i="5"/>
  <c r="CL114" i="5"/>
  <c r="CL115" i="5"/>
  <c r="CL116" i="5"/>
  <c r="CL117" i="5"/>
  <c r="CL118" i="5"/>
  <c r="CL119" i="5"/>
  <c r="CL273" i="5" s="1"/>
  <c r="CL120" i="5"/>
  <c r="CL121" i="5"/>
  <c r="CL122" i="5"/>
  <c r="CL123" i="5"/>
  <c r="CL124" i="5"/>
  <c r="CL125" i="5"/>
  <c r="CL126" i="5"/>
  <c r="CL127" i="5"/>
  <c r="CL128" i="5"/>
  <c r="CL129" i="5"/>
  <c r="CL130" i="5"/>
  <c r="CL131" i="5"/>
  <c r="CL132" i="5"/>
  <c r="CL133" i="5"/>
  <c r="CL134" i="5"/>
  <c r="CL135" i="5"/>
  <c r="CL136" i="5"/>
  <c r="CL137" i="5"/>
  <c r="CL138" i="5"/>
  <c r="CL139" i="5"/>
  <c r="CL140" i="5"/>
  <c r="CL141" i="5"/>
  <c r="CL142" i="5"/>
  <c r="CL143" i="5"/>
  <c r="CL144" i="5"/>
  <c r="CL145" i="5"/>
  <c r="CL146" i="5"/>
  <c r="CL147" i="5"/>
  <c r="CL148" i="5"/>
  <c r="CL149" i="5"/>
  <c r="CL150" i="5"/>
  <c r="CL151" i="5"/>
  <c r="CL152" i="5"/>
  <c r="CL153" i="5"/>
  <c r="CL154" i="5"/>
  <c r="CL155" i="5"/>
  <c r="CL156" i="5"/>
  <c r="CL157" i="5"/>
  <c r="CL158" i="5"/>
  <c r="CL159" i="5"/>
  <c r="CL160" i="5"/>
  <c r="CL161" i="5"/>
  <c r="CL162" i="5"/>
  <c r="CL163" i="5"/>
  <c r="CL164" i="5"/>
  <c r="CL165" i="5"/>
  <c r="CL166" i="5"/>
  <c r="CL167" i="5"/>
  <c r="CL168" i="5"/>
  <c r="CL169" i="5"/>
  <c r="CL170" i="5"/>
  <c r="CL171" i="5"/>
  <c r="CL172" i="5"/>
  <c r="CL173" i="5"/>
  <c r="CL174" i="5"/>
  <c r="CL175" i="5"/>
  <c r="CL176" i="5"/>
  <c r="CL177" i="5"/>
  <c r="CL283" i="5" s="1"/>
  <c r="CL178" i="5"/>
  <c r="CL179" i="5"/>
  <c r="CL180" i="5"/>
  <c r="CL181" i="5"/>
  <c r="CL182" i="5"/>
  <c r="CL183" i="5"/>
  <c r="CL184" i="5"/>
  <c r="CL185" i="5"/>
  <c r="CL186" i="5"/>
  <c r="CL187" i="5"/>
  <c r="CL188" i="5"/>
  <c r="CL189" i="5"/>
  <c r="CL190" i="5"/>
  <c r="CL191" i="5"/>
  <c r="CL192" i="5"/>
  <c r="CL193" i="5"/>
  <c r="CL194" i="5"/>
  <c r="CL195" i="5"/>
  <c r="CL196" i="5"/>
  <c r="CL197" i="5"/>
  <c r="CL198" i="5"/>
  <c r="CL199" i="5"/>
  <c r="CL200" i="5"/>
  <c r="CL201" i="5"/>
  <c r="CL202" i="5"/>
  <c r="CL203" i="5"/>
  <c r="CL204" i="5"/>
  <c r="CL205" i="5"/>
  <c r="CL206" i="5"/>
  <c r="CL207" i="5"/>
  <c r="CL208" i="5"/>
  <c r="CL209" i="5"/>
  <c r="CL210" i="5"/>
  <c r="CL211" i="5"/>
  <c r="CL212" i="5"/>
  <c r="CL213" i="5"/>
  <c r="CL214" i="5"/>
  <c r="CL215" i="5"/>
  <c r="CL216" i="5"/>
  <c r="CL217" i="5"/>
  <c r="CL218" i="5"/>
  <c r="CL219" i="5"/>
  <c r="CL220" i="5"/>
  <c r="CL221" i="5"/>
  <c r="CL222" i="5"/>
  <c r="CL288" i="5" s="1"/>
  <c r="CL289" i="5" s="1"/>
  <c r="CL223" i="5"/>
  <c r="CL224" i="5"/>
  <c r="CL225" i="5"/>
  <c r="CL226" i="5"/>
  <c r="CL227" i="5"/>
  <c r="CL228" i="5"/>
  <c r="CL229" i="5"/>
  <c r="CL230" i="5"/>
  <c r="CL231" i="5"/>
  <c r="CL232" i="5"/>
  <c r="CL233" i="5"/>
  <c r="CL234" i="5"/>
  <c r="CL235" i="5"/>
  <c r="CL236" i="5"/>
  <c r="CL237" i="5"/>
  <c r="CL238" i="5"/>
  <c r="CL239" i="5"/>
  <c r="CL240" i="5"/>
  <c r="CL241" i="5"/>
  <c r="CL242" i="5"/>
  <c r="CL243" i="5"/>
  <c r="CL244" i="5"/>
  <c r="CL245" i="5"/>
  <c r="CL246" i="5"/>
  <c r="CL247" i="5"/>
  <c r="CL248" i="5"/>
  <c r="CL249" i="5"/>
  <c r="CL250" i="5"/>
  <c r="CL251" i="5"/>
  <c r="CL252" i="5"/>
  <c r="CL294" i="5" s="1"/>
  <c r="CL295" i="5" s="1"/>
  <c r="CL253" i="5"/>
  <c r="CL254" i="5"/>
  <c r="CL255" i="5"/>
  <c r="CL256" i="5"/>
  <c r="CL257" i="5"/>
  <c r="CL258" i="5"/>
  <c r="CL2" i="5"/>
  <c r="AW258" i="5"/>
  <c r="AW257" i="5"/>
  <c r="AW256" i="5"/>
  <c r="AW255" i="5"/>
  <c r="AW254" i="5"/>
  <c r="AW253" i="5"/>
  <c r="AW252" i="5"/>
  <c r="AW294" i="5" s="1"/>
  <c r="AW295" i="5" s="1"/>
  <c r="AW251" i="5"/>
  <c r="AW250" i="5"/>
  <c r="AW249" i="5"/>
  <c r="AW248" i="5"/>
  <c r="AW247" i="5"/>
  <c r="AW246" i="5"/>
  <c r="AW245" i="5"/>
  <c r="AW244" i="5"/>
  <c r="AW243" i="5"/>
  <c r="AW242" i="5"/>
  <c r="AW241" i="5"/>
  <c r="AW240" i="5"/>
  <c r="AW239" i="5"/>
  <c r="AW238" i="5"/>
  <c r="AW237" i="5"/>
  <c r="AW236" i="5"/>
  <c r="AW235" i="5"/>
  <c r="AW234" i="5"/>
  <c r="AW233" i="5"/>
  <c r="AW232" i="5"/>
  <c r="AW231" i="5"/>
  <c r="AW230" i="5"/>
  <c r="AW229" i="5"/>
  <c r="AW228" i="5"/>
  <c r="AW227" i="5"/>
  <c r="AW226" i="5"/>
  <c r="AW225" i="5"/>
  <c r="AW224" i="5"/>
  <c r="AW223" i="5"/>
  <c r="AW222" i="5"/>
  <c r="AW288" i="5" s="1"/>
  <c r="AW289" i="5" s="1"/>
  <c r="AW221" i="5"/>
  <c r="AW220" i="5"/>
  <c r="AW219" i="5"/>
  <c r="AW218" i="5"/>
  <c r="AW217" i="5"/>
  <c r="AW216" i="5"/>
  <c r="AW215" i="5"/>
  <c r="AW214" i="5"/>
  <c r="AW213" i="5"/>
  <c r="AW212" i="5"/>
  <c r="AW211" i="5"/>
  <c r="AW210" i="5"/>
  <c r="AW209" i="5"/>
  <c r="AW208" i="5"/>
  <c r="AW207" i="5"/>
  <c r="AW206" i="5"/>
  <c r="AW205" i="5"/>
  <c r="AW204" i="5"/>
  <c r="AW203" i="5"/>
  <c r="AW202" i="5"/>
  <c r="AW201" i="5"/>
  <c r="AW200" i="5"/>
  <c r="AW199" i="5"/>
  <c r="AW198" i="5"/>
  <c r="AW197" i="5"/>
  <c r="AW196" i="5"/>
  <c r="AW195" i="5"/>
  <c r="AW194" i="5"/>
  <c r="AW193" i="5"/>
  <c r="AW192" i="5"/>
  <c r="AW191" i="5"/>
  <c r="AW190" i="5"/>
  <c r="AW189" i="5"/>
  <c r="AW188" i="5"/>
  <c r="AW187" i="5"/>
  <c r="AW186" i="5"/>
  <c r="AW185" i="5"/>
  <c r="AW184" i="5"/>
  <c r="AW183" i="5"/>
  <c r="AW182" i="5"/>
  <c r="AW181" i="5"/>
  <c r="AW180" i="5"/>
  <c r="AW179" i="5"/>
  <c r="AW178" i="5"/>
  <c r="AW177" i="5"/>
  <c r="AW283" i="5" s="1"/>
  <c r="AW176" i="5"/>
  <c r="AW175" i="5"/>
  <c r="AW174" i="5"/>
  <c r="AW173" i="5"/>
  <c r="AW172" i="5"/>
  <c r="AW171" i="5"/>
  <c r="AW170" i="5"/>
  <c r="AW169" i="5"/>
  <c r="AW168" i="5"/>
  <c r="AW167" i="5"/>
  <c r="AW166" i="5"/>
  <c r="AW165" i="5"/>
  <c r="AW164" i="5"/>
  <c r="AW163" i="5"/>
  <c r="AW162" i="5"/>
  <c r="AW161" i="5"/>
  <c r="AW160" i="5"/>
  <c r="AW159" i="5"/>
  <c r="AW158" i="5"/>
  <c r="AW157" i="5"/>
  <c r="AW156" i="5"/>
  <c r="AW155" i="5"/>
  <c r="AW154" i="5"/>
  <c r="AW153" i="5"/>
  <c r="AW152" i="5"/>
  <c r="AW151" i="5"/>
  <c r="AW150" i="5"/>
  <c r="AW149" i="5"/>
  <c r="AW148" i="5"/>
  <c r="AW147" i="5"/>
  <c r="AW146" i="5"/>
  <c r="AW145" i="5"/>
  <c r="AW144" i="5"/>
  <c r="AW143" i="5"/>
  <c r="AW142" i="5"/>
  <c r="AW141" i="5"/>
  <c r="AW140" i="5"/>
  <c r="AW139" i="5"/>
  <c r="AW138" i="5"/>
  <c r="AW137" i="5"/>
  <c r="AW136" i="5"/>
  <c r="AW135" i="5"/>
  <c r="AW134" i="5"/>
  <c r="AW133" i="5"/>
  <c r="AW132" i="5"/>
  <c r="AW131" i="5"/>
  <c r="AW130" i="5"/>
  <c r="AW129" i="5"/>
  <c r="AW128" i="5"/>
  <c r="AW127" i="5"/>
  <c r="AW126" i="5"/>
  <c r="AW125" i="5"/>
  <c r="AW124" i="5"/>
  <c r="AW123" i="5"/>
  <c r="AW122" i="5"/>
  <c r="AW121" i="5"/>
  <c r="AW120" i="5"/>
  <c r="AW119" i="5"/>
  <c r="AW273" i="5" s="1"/>
  <c r="AW118" i="5"/>
  <c r="AW117" i="5"/>
  <c r="AW116" i="5"/>
  <c r="AW115" i="5"/>
  <c r="AW114" i="5"/>
  <c r="AW113" i="5"/>
  <c r="AW112" i="5"/>
  <c r="AW111" i="5"/>
  <c r="AW110" i="5"/>
  <c r="AW109" i="5"/>
  <c r="AW108" i="5"/>
  <c r="AW107" i="5"/>
  <c r="AW106" i="5"/>
  <c r="AW105" i="5"/>
  <c r="AW104" i="5"/>
  <c r="AW103" i="5"/>
  <c r="AW102" i="5"/>
  <c r="AW101" i="5"/>
  <c r="AW100" i="5"/>
  <c r="AW99" i="5"/>
  <c r="AW98" i="5"/>
  <c r="AW97" i="5"/>
  <c r="AW96" i="5"/>
  <c r="AW95" i="5"/>
  <c r="AW94" i="5"/>
  <c r="AW93" i="5"/>
  <c r="AW92" i="5"/>
  <c r="AW91" i="5"/>
  <c r="AW90" i="5"/>
  <c r="AW89" i="5"/>
  <c r="AW88" i="5"/>
  <c r="AW87" i="5"/>
  <c r="AW86" i="5"/>
  <c r="AW85" i="5"/>
  <c r="AW84" i="5"/>
  <c r="AW83" i="5"/>
  <c r="AW82" i="5"/>
  <c r="AW81" i="5"/>
  <c r="AW80" i="5"/>
  <c r="AW79" i="5"/>
  <c r="AW78" i="5"/>
  <c r="AW77" i="5"/>
  <c r="AW76" i="5"/>
  <c r="AW75" i="5"/>
  <c r="AW74" i="5"/>
  <c r="AW73" i="5"/>
  <c r="AW72" i="5"/>
  <c r="AW71" i="5"/>
  <c r="AW70" i="5"/>
  <c r="AW69" i="5"/>
  <c r="AW68" i="5"/>
  <c r="AW67" i="5"/>
  <c r="AW66" i="5"/>
  <c r="AW65" i="5"/>
  <c r="AW64" i="5"/>
  <c r="AW63" i="5"/>
  <c r="AW62" i="5"/>
  <c r="AW267" i="5" s="1"/>
  <c r="AW61" i="5"/>
  <c r="AW60" i="5"/>
  <c r="AW59" i="5"/>
  <c r="AW58" i="5"/>
  <c r="AW57" i="5"/>
  <c r="AW56" i="5"/>
  <c r="AW55" i="5"/>
  <c r="AW54" i="5"/>
  <c r="AW53" i="5"/>
  <c r="AW52" i="5"/>
  <c r="AW51" i="5"/>
  <c r="AW50" i="5"/>
  <c r="AW49" i="5"/>
  <c r="AW48" i="5"/>
  <c r="AW47" i="5"/>
  <c r="AW46" i="5"/>
  <c r="AW45" i="5"/>
  <c r="AW44" i="5"/>
  <c r="AW43" i="5"/>
  <c r="AW42" i="5"/>
  <c r="AW41" i="5"/>
  <c r="AW40" i="5"/>
  <c r="AW39" i="5"/>
  <c r="AW38" i="5"/>
  <c r="AW37" i="5"/>
  <c r="AW36" i="5"/>
  <c r="AW35" i="5"/>
  <c r="AW34" i="5"/>
  <c r="AW33" i="5"/>
  <c r="AW32" i="5"/>
  <c r="AW31" i="5"/>
  <c r="AW30" i="5"/>
  <c r="AW29" i="5"/>
  <c r="AW28" i="5"/>
  <c r="AW27" i="5"/>
  <c r="AW26" i="5"/>
  <c r="AW25" i="5"/>
  <c r="AW24" i="5"/>
  <c r="AW23" i="5"/>
  <c r="AW22" i="5"/>
  <c r="AW21" i="5"/>
  <c r="AW20" i="5"/>
  <c r="AW19" i="5"/>
  <c r="AW18" i="5"/>
  <c r="AW17" i="5"/>
  <c r="AW16" i="5"/>
  <c r="AW15" i="5"/>
  <c r="AW14" i="5"/>
  <c r="AW13" i="5"/>
  <c r="AW12" i="5"/>
  <c r="AW11" i="5"/>
  <c r="AW10" i="5"/>
  <c r="AW9" i="5"/>
  <c r="AW8" i="5"/>
  <c r="AW7" i="5"/>
  <c r="AW6" i="5"/>
  <c r="AW5" i="5"/>
  <c r="AW4" i="5"/>
  <c r="AW3" i="5"/>
  <c r="AW2" i="5"/>
  <c r="AS3" i="5"/>
  <c r="AX3" i="5" s="1"/>
  <c r="AS4" i="5"/>
  <c r="AX4" i="5" s="1"/>
  <c r="AS5" i="5"/>
  <c r="AX5" i="5" s="1"/>
  <c r="AS6" i="5"/>
  <c r="AX6" i="5" s="1"/>
  <c r="AS7" i="5"/>
  <c r="AX7" i="5" s="1"/>
  <c r="AS8" i="5"/>
  <c r="AX8" i="5" s="1"/>
  <c r="AS9" i="5"/>
  <c r="AX9" i="5" s="1"/>
  <c r="AS10" i="5"/>
  <c r="AX10" i="5" s="1"/>
  <c r="AS11" i="5"/>
  <c r="AX11" i="5" s="1"/>
  <c r="AS12" i="5"/>
  <c r="AX12" i="5" s="1"/>
  <c r="AS13" i="5"/>
  <c r="AX13" i="5" s="1"/>
  <c r="AS14" i="5"/>
  <c r="AX14" i="5" s="1"/>
  <c r="AS15" i="5"/>
  <c r="AX15" i="5" s="1"/>
  <c r="AS16" i="5"/>
  <c r="AX16" i="5" s="1"/>
  <c r="AS17" i="5"/>
  <c r="AX17" i="5" s="1"/>
  <c r="AS18" i="5"/>
  <c r="AX18" i="5" s="1"/>
  <c r="AS19" i="5"/>
  <c r="AX19" i="5" s="1"/>
  <c r="AS20" i="5"/>
  <c r="AX20" i="5" s="1"/>
  <c r="AS21" i="5"/>
  <c r="AX21" i="5" s="1"/>
  <c r="AS22" i="5"/>
  <c r="AX22" i="5" s="1"/>
  <c r="AS23" i="5"/>
  <c r="AX23" i="5" s="1"/>
  <c r="AS24" i="5"/>
  <c r="AX24" i="5" s="1"/>
  <c r="AS25" i="5"/>
  <c r="AX25" i="5" s="1"/>
  <c r="AS26" i="5"/>
  <c r="AX26" i="5" s="1"/>
  <c r="AS27" i="5"/>
  <c r="AX27" i="5" s="1"/>
  <c r="AS28" i="5"/>
  <c r="AX28" i="5" s="1"/>
  <c r="AS29" i="5"/>
  <c r="AX29" i="5" s="1"/>
  <c r="AS30" i="5"/>
  <c r="AX30" i="5" s="1"/>
  <c r="AS31" i="5"/>
  <c r="AX31" i="5" s="1"/>
  <c r="AS32" i="5"/>
  <c r="AX32" i="5" s="1"/>
  <c r="AS33" i="5"/>
  <c r="AX33" i="5" s="1"/>
  <c r="AS34" i="5"/>
  <c r="AX34" i="5" s="1"/>
  <c r="AS35" i="5"/>
  <c r="AX35" i="5" s="1"/>
  <c r="AS36" i="5"/>
  <c r="AX36" i="5" s="1"/>
  <c r="AS37" i="5"/>
  <c r="AX37" i="5" s="1"/>
  <c r="AS38" i="5"/>
  <c r="AX38" i="5" s="1"/>
  <c r="AS39" i="5"/>
  <c r="AX39" i="5" s="1"/>
  <c r="AS40" i="5"/>
  <c r="AX40" i="5" s="1"/>
  <c r="AS41" i="5"/>
  <c r="AX41" i="5" s="1"/>
  <c r="AS42" i="5"/>
  <c r="AX42" i="5" s="1"/>
  <c r="AS43" i="5"/>
  <c r="AX43" i="5" s="1"/>
  <c r="AS44" i="5"/>
  <c r="AX44" i="5" s="1"/>
  <c r="AS45" i="5"/>
  <c r="AX45" i="5" s="1"/>
  <c r="AS46" i="5"/>
  <c r="AX46" i="5" s="1"/>
  <c r="AS47" i="5"/>
  <c r="AX47" i="5" s="1"/>
  <c r="AS48" i="5"/>
  <c r="AX48" i="5" s="1"/>
  <c r="AS49" i="5"/>
  <c r="AX49" i="5" s="1"/>
  <c r="AS50" i="5"/>
  <c r="AX50" i="5" s="1"/>
  <c r="AS51" i="5"/>
  <c r="AX51" i="5" s="1"/>
  <c r="AS52" i="5"/>
  <c r="AX52" i="5" s="1"/>
  <c r="AS53" i="5"/>
  <c r="AX53" i="5" s="1"/>
  <c r="AS54" i="5"/>
  <c r="AX54" i="5" s="1"/>
  <c r="AS55" i="5"/>
  <c r="AX55" i="5" s="1"/>
  <c r="AS56" i="5"/>
  <c r="AX56" i="5" s="1"/>
  <c r="AS57" i="5"/>
  <c r="AX57" i="5" s="1"/>
  <c r="AS58" i="5"/>
  <c r="AX58" i="5" s="1"/>
  <c r="AS59" i="5"/>
  <c r="AX59" i="5" s="1"/>
  <c r="AS60" i="5"/>
  <c r="AX60" i="5" s="1"/>
  <c r="AS61" i="5"/>
  <c r="AX61" i="5" s="1"/>
  <c r="AS62" i="5"/>
  <c r="AX62" i="5" s="1"/>
  <c r="AX267" i="5" s="1"/>
  <c r="AS63" i="5"/>
  <c r="AX63" i="5" s="1"/>
  <c r="AS64" i="5"/>
  <c r="AX64" i="5" s="1"/>
  <c r="AS65" i="5"/>
  <c r="AX65" i="5" s="1"/>
  <c r="AS66" i="5"/>
  <c r="AX66" i="5" s="1"/>
  <c r="AS67" i="5"/>
  <c r="AX67" i="5" s="1"/>
  <c r="AS68" i="5"/>
  <c r="AX68" i="5" s="1"/>
  <c r="AS69" i="5"/>
  <c r="AX69" i="5" s="1"/>
  <c r="AS70" i="5"/>
  <c r="AX70" i="5" s="1"/>
  <c r="AS71" i="5"/>
  <c r="AX71" i="5" s="1"/>
  <c r="AS72" i="5"/>
  <c r="AX72" i="5" s="1"/>
  <c r="AS73" i="5"/>
  <c r="AX73" i="5" s="1"/>
  <c r="AS74" i="5"/>
  <c r="AX74" i="5" s="1"/>
  <c r="AS75" i="5"/>
  <c r="AX75" i="5" s="1"/>
  <c r="AS76" i="5"/>
  <c r="AX76" i="5" s="1"/>
  <c r="AS77" i="5"/>
  <c r="AX77" i="5" s="1"/>
  <c r="AS78" i="5"/>
  <c r="AX78" i="5" s="1"/>
  <c r="AS79" i="5"/>
  <c r="AX79" i="5" s="1"/>
  <c r="AS80" i="5"/>
  <c r="AX80" i="5" s="1"/>
  <c r="AS81" i="5"/>
  <c r="AX81" i="5" s="1"/>
  <c r="AS82" i="5"/>
  <c r="AX82" i="5" s="1"/>
  <c r="AS83" i="5"/>
  <c r="AX83" i="5" s="1"/>
  <c r="AS84" i="5"/>
  <c r="AX84" i="5" s="1"/>
  <c r="AS85" i="5"/>
  <c r="AX85" i="5" s="1"/>
  <c r="AS86" i="5"/>
  <c r="AX86" i="5" s="1"/>
  <c r="AS87" i="5"/>
  <c r="AX87" i="5" s="1"/>
  <c r="AS88" i="5"/>
  <c r="AX88" i="5" s="1"/>
  <c r="AS89" i="5"/>
  <c r="AX89" i="5" s="1"/>
  <c r="AS90" i="5"/>
  <c r="AX90" i="5" s="1"/>
  <c r="AS91" i="5"/>
  <c r="AX91" i="5" s="1"/>
  <c r="AS92" i="5"/>
  <c r="AX92" i="5" s="1"/>
  <c r="AS93" i="5"/>
  <c r="AX93" i="5" s="1"/>
  <c r="AS94" i="5"/>
  <c r="AX94" i="5" s="1"/>
  <c r="AS95" i="5"/>
  <c r="AX95" i="5" s="1"/>
  <c r="AS96" i="5"/>
  <c r="AX96" i="5" s="1"/>
  <c r="AS97" i="5"/>
  <c r="AX97" i="5" s="1"/>
  <c r="AS98" i="5"/>
  <c r="AX98" i="5" s="1"/>
  <c r="AS99" i="5"/>
  <c r="AX99" i="5" s="1"/>
  <c r="AS100" i="5"/>
  <c r="AX100" i="5" s="1"/>
  <c r="AS101" i="5"/>
  <c r="AX101" i="5" s="1"/>
  <c r="AS102" i="5"/>
  <c r="AX102" i="5" s="1"/>
  <c r="AS103" i="5"/>
  <c r="AX103" i="5" s="1"/>
  <c r="AS104" i="5"/>
  <c r="AX104" i="5" s="1"/>
  <c r="AS105" i="5"/>
  <c r="AX105" i="5" s="1"/>
  <c r="AS106" i="5"/>
  <c r="AX106" i="5" s="1"/>
  <c r="AS107" i="5"/>
  <c r="AX107" i="5" s="1"/>
  <c r="AS108" i="5"/>
  <c r="AX108" i="5" s="1"/>
  <c r="AS109" i="5"/>
  <c r="AX109" i="5" s="1"/>
  <c r="AS110" i="5"/>
  <c r="AX110" i="5" s="1"/>
  <c r="AS111" i="5"/>
  <c r="AX111" i="5" s="1"/>
  <c r="AS112" i="5"/>
  <c r="AX112" i="5" s="1"/>
  <c r="AS113" i="5"/>
  <c r="AX113" i="5" s="1"/>
  <c r="AS114" i="5"/>
  <c r="AX114" i="5" s="1"/>
  <c r="AS115" i="5"/>
  <c r="AX115" i="5" s="1"/>
  <c r="AS116" i="5"/>
  <c r="AX116" i="5" s="1"/>
  <c r="AS117" i="5"/>
  <c r="AX117" i="5" s="1"/>
  <c r="AS118" i="5"/>
  <c r="AX118" i="5" s="1"/>
  <c r="AS119" i="5"/>
  <c r="AX119" i="5" s="1"/>
  <c r="AX273" i="5" s="1"/>
  <c r="AS120" i="5"/>
  <c r="AX120" i="5" s="1"/>
  <c r="AS121" i="5"/>
  <c r="AX121" i="5" s="1"/>
  <c r="AS122" i="5"/>
  <c r="AX122" i="5" s="1"/>
  <c r="AS123" i="5"/>
  <c r="AX123" i="5" s="1"/>
  <c r="AS124" i="5"/>
  <c r="AX124" i="5" s="1"/>
  <c r="AS125" i="5"/>
  <c r="AX125" i="5" s="1"/>
  <c r="AS126" i="5"/>
  <c r="AX126" i="5" s="1"/>
  <c r="AS127" i="5"/>
  <c r="AX127" i="5" s="1"/>
  <c r="AS128" i="5"/>
  <c r="AX128" i="5" s="1"/>
  <c r="AS129" i="5"/>
  <c r="AX129" i="5" s="1"/>
  <c r="AS130" i="5"/>
  <c r="AX130" i="5" s="1"/>
  <c r="AS131" i="5"/>
  <c r="AX131" i="5" s="1"/>
  <c r="AS132" i="5"/>
  <c r="AX132" i="5" s="1"/>
  <c r="AS133" i="5"/>
  <c r="AX133" i="5" s="1"/>
  <c r="AS134" i="5"/>
  <c r="AX134" i="5" s="1"/>
  <c r="AS135" i="5"/>
  <c r="AX135" i="5" s="1"/>
  <c r="AS136" i="5"/>
  <c r="AX136" i="5" s="1"/>
  <c r="AS137" i="5"/>
  <c r="AX137" i="5" s="1"/>
  <c r="AS138" i="5"/>
  <c r="AX138" i="5" s="1"/>
  <c r="AS139" i="5"/>
  <c r="AX139" i="5" s="1"/>
  <c r="AS140" i="5"/>
  <c r="AX140" i="5" s="1"/>
  <c r="AS141" i="5"/>
  <c r="AX141" i="5" s="1"/>
  <c r="AS142" i="5"/>
  <c r="AX142" i="5" s="1"/>
  <c r="AS143" i="5"/>
  <c r="AX143" i="5" s="1"/>
  <c r="AS144" i="5"/>
  <c r="AX144" i="5" s="1"/>
  <c r="AS145" i="5"/>
  <c r="AX145" i="5" s="1"/>
  <c r="AS146" i="5"/>
  <c r="AX146" i="5" s="1"/>
  <c r="AS147" i="5"/>
  <c r="AX147" i="5" s="1"/>
  <c r="AS148" i="5"/>
  <c r="AX148" i="5" s="1"/>
  <c r="AS149" i="5"/>
  <c r="AX149" i="5" s="1"/>
  <c r="AS150" i="5"/>
  <c r="AX150" i="5" s="1"/>
  <c r="AS151" i="5"/>
  <c r="AX151" i="5" s="1"/>
  <c r="AS152" i="5"/>
  <c r="AX152" i="5" s="1"/>
  <c r="AS153" i="5"/>
  <c r="AX153" i="5" s="1"/>
  <c r="AS154" i="5"/>
  <c r="AX154" i="5" s="1"/>
  <c r="AS155" i="5"/>
  <c r="AX155" i="5" s="1"/>
  <c r="AS156" i="5"/>
  <c r="AX156" i="5" s="1"/>
  <c r="AS157" i="5"/>
  <c r="AX157" i="5" s="1"/>
  <c r="AS158" i="5"/>
  <c r="AX158" i="5" s="1"/>
  <c r="AS159" i="5"/>
  <c r="AX159" i="5" s="1"/>
  <c r="AS160" i="5"/>
  <c r="AX160" i="5" s="1"/>
  <c r="AS161" i="5"/>
  <c r="AX161" i="5" s="1"/>
  <c r="AS162" i="5"/>
  <c r="AX162" i="5" s="1"/>
  <c r="AS163" i="5"/>
  <c r="AX163" i="5" s="1"/>
  <c r="AS164" i="5"/>
  <c r="AX164" i="5" s="1"/>
  <c r="AS165" i="5"/>
  <c r="AX165" i="5" s="1"/>
  <c r="AS166" i="5"/>
  <c r="AX166" i="5" s="1"/>
  <c r="AS167" i="5"/>
  <c r="AX167" i="5" s="1"/>
  <c r="AS168" i="5"/>
  <c r="AX168" i="5" s="1"/>
  <c r="AS169" i="5"/>
  <c r="AX169" i="5" s="1"/>
  <c r="AS170" i="5"/>
  <c r="AX170" i="5" s="1"/>
  <c r="AS171" i="5"/>
  <c r="AX171" i="5" s="1"/>
  <c r="AS172" i="5"/>
  <c r="AX172" i="5" s="1"/>
  <c r="AS173" i="5"/>
  <c r="AX173" i="5" s="1"/>
  <c r="AS174" i="5"/>
  <c r="AX174" i="5" s="1"/>
  <c r="AS175" i="5"/>
  <c r="AX175" i="5" s="1"/>
  <c r="AS176" i="5"/>
  <c r="AX176" i="5" s="1"/>
  <c r="AS177" i="5"/>
  <c r="AX177" i="5" s="1"/>
  <c r="AX283" i="5" s="1"/>
  <c r="AS178" i="5"/>
  <c r="AX178" i="5" s="1"/>
  <c r="AS179" i="5"/>
  <c r="AX179" i="5" s="1"/>
  <c r="AS180" i="5"/>
  <c r="AX180" i="5" s="1"/>
  <c r="AS181" i="5"/>
  <c r="AX181" i="5" s="1"/>
  <c r="AS182" i="5"/>
  <c r="AX182" i="5" s="1"/>
  <c r="AS183" i="5"/>
  <c r="AX183" i="5" s="1"/>
  <c r="AS184" i="5"/>
  <c r="AX184" i="5" s="1"/>
  <c r="AS185" i="5"/>
  <c r="AX185" i="5" s="1"/>
  <c r="AS186" i="5"/>
  <c r="AX186" i="5" s="1"/>
  <c r="AS187" i="5"/>
  <c r="AX187" i="5" s="1"/>
  <c r="AS188" i="5"/>
  <c r="AX188" i="5" s="1"/>
  <c r="AS189" i="5"/>
  <c r="AX189" i="5" s="1"/>
  <c r="AS190" i="5"/>
  <c r="AX190" i="5" s="1"/>
  <c r="AS191" i="5"/>
  <c r="AX191" i="5" s="1"/>
  <c r="AS192" i="5"/>
  <c r="AX192" i="5" s="1"/>
  <c r="AS193" i="5"/>
  <c r="AX193" i="5" s="1"/>
  <c r="AS194" i="5"/>
  <c r="AX194" i="5" s="1"/>
  <c r="AS195" i="5"/>
  <c r="AX195" i="5" s="1"/>
  <c r="AS196" i="5"/>
  <c r="AX196" i="5" s="1"/>
  <c r="AS197" i="5"/>
  <c r="AX197" i="5" s="1"/>
  <c r="AS198" i="5"/>
  <c r="AX198" i="5" s="1"/>
  <c r="AS199" i="5"/>
  <c r="AX199" i="5" s="1"/>
  <c r="AS200" i="5"/>
  <c r="AX200" i="5" s="1"/>
  <c r="AS201" i="5"/>
  <c r="AX201" i="5" s="1"/>
  <c r="AS202" i="5"/>
  <c r="AX202" i="5" s="1"/>
  <c r="AS203" i="5"/>
  <c r="AX203" i="5" s="1"/>
  <c r="AS204" i="5"/>
  <c r="AX204" i="5" s="1"/>
  <c r="AS205" i="5"/>
  <c r="AX205" i="5" s="1"/>
  <c r="AS206" i="5"/>
  <c r="AX206" i="5" s="1"/>
  <c r="AS207" i="5"/>
  <c r="AX207" i="5" s="1"/>
  <c r="AS208" i="5"/>
  <c r="AX208" i="5" s="1"/>
  <c r="AS209" i="5"/>
  <c r="AX209" i="5" s="1"/>
  <c r="AS210" i="5"/>
  <c r="AX210" i="5" s="1"/>
  <c r="AS211" i="5"/>
  <c r="AX211" i="5" s="1"/>
  <c r="AS212" i="5"/>
  <c r="AX212" i="5" s="1"/>
  <c r="AS213" i="5"/>
  <c r="AX213" i="5" s="1"/>
  <c r="AS214" i="5"/>
  <c r="AX214" i="5" s="1"/>
  <c r="AS215" i="5"/>
  <c r="AX215" i="5" s="1"/>
  <c r="AS216" i="5"/>
  <c r="AX216" i="5" s="1"/>
  <c r="AS217" i="5"/>
  <c r="AX217" i="5" s="1"/>
  <c r="AS218" i="5"/>
  <c r="AX218" i="5" s="1"/>
  <c r="AS219" i="5"/>
  <c r="AX219" i="5" s="1"/>
  <c r="AS220" i="5"/>
  <c r="AX220" i="5" s="1"/>
  <c r="AS221" i="5"/>
  <c r="AX221" i="5" s="1"/>
  <c r="AS222" i="5"/>
  <c r="AX222" i="5" s="1"/>
  <c r="AX288" i="5" s="1"/>
  <c r="AX289" i="5" s="1"/>
  <c r="AS223" i="5"/>
  <c r="AX223" i="5" s="1"/>
  <c r="AS224" i="5"/>
  <c r="AX224" i="5" s="1"/>
  <c r="AS225" i="5"/>
  <c r="AX225" i="5" s="1"/>
  <c r="AS226" i="5"/>
  <c r="AX226" i="5" s="1"/>
  <c r="AS227" i="5"/>
  <c r="AX227" i="5" s="1"/>
  <c r="AS228" i="5"/>
  <c r="AX228" i="5" s="1"/>
  <c r="AS229" i="5"/>
  <c r="AX229" i="5" s="1"/>
  <c r="AS230" i="5"/>
  <c r="AX230" i="5" s="1"/>
  <c r="AS231" i="5"/>
  <c r="AX231" i="5" s="1"/>
  <c r="AS232" i="5"/>
  <c r="AX232" i="5" s="1"/>
  <c r="AS233" i="5"/>
  <c r="AX233" i="5" s="1"/>
  <c r="AS234" i="5"/>
  <c r="AX234" i="5" s="1"/>
  <c r="AS235" i="5"/>
  <c r="AX235" i="5" s="1"/>
  <c r="AS236" i="5"/>
  <c r="AX236" i="5" s="1"/>
  <c r="AS237" i="5"/>
  <c r="AX237" i="5" s="1"/>
  <c r="AS238" i="5"/>
  <c r="AX238" i="5" s="1"/>
  <c r="AS239" i="5"/>
  <c r="AX239" i="5" s="1"/>
  <c r="AS240" i="5"/>
  <c r="AX240" i="5" s="1"/>
  <c r="AS241" i="5"/>
  <c r="AX241" i="5" s="1"/>
  <c r="AS242" i="5"/>
  <c r="AX242" i="5" s="1"/>
  <c r="AS243" i="5"/>
  <c r="AX243" i="5" s="1"/>
  <c r="AS244" i="5"/>
  <c r="AX244" i="5" s="1"/>
  <c r="AS245" i="5"/>
  <c r="AX245" i="5" s="1"/>
  <c r="AS246" i="5"/>
  <c r="AX246" i="5" s="1"/>
  <c r="AS247" i="5"/>
  <c r="AX247" i="5" s="1"/>
  <c r="AS248" i="5"/>
  <c r="AX248" i="5" s="1"/>
  <c r="AS249" i="5"/>
  <c r="AX249" i="5" s="1"/>
  <c r="AS250" i="5"/>
  <c r="AX250" i="5" s="1"/>
  <c r="AS251" i="5"/>
  <c r="AX251" i="5" s="1"/>
  <c r="AS252" i="5"/>
  <c r="AX252" i="5" s="1"/>
  <c r="AX294" i="5" s="1"/>
  <c r="AX295" i="5" s="1"/>
  <c r="AS253" i="5"/>
  <c r="AX253" i="5" s="1"/>
  <c r="AS254" i="5"/>
  <c r="AX254" i="5" s="1"/>
  <c r="AS255" i="5"/>
  <c r="AX255" i="5" s="1"/>
  <c r="AS256" i="5"/>
  <c r="AX256" i="5" s="1"/>
  <c r="AS257" i="5"/>
  <c r="AX257" i="5" s="1"/>
  <c r="AS258" i="5"/>
  <c r="AX258" i="5" s="1"/>
  <c r="AS2" i="5"/>
  <c r="AX2" i="5" s="1"/>
  <c r="E27" i="7"/>
  <c r="I14" i="7" l="1"/>
  <c r="I16" i="7" s="1"/>
  <c r="N29" i="24"/>
  <c r="N25" i="24"/>
  <c r="N20" i="22"/>
  <c r="N27" i="23"/>
  <c r="N23" i="24"/>
  <c r="N26" i="22"/>
  <c r="N35" i="22"/>
  <c r="N32" i="24"/>
  <c r="N20" i="20"/>
  <c r="N29" i="21"/>
  <c r="N22" i="22"/>
  <c r="N25" i="22"/>
  <c r="N34" i="22"/>
  <c r="N23" i="23"/>
  <c r="N35" i="21"/>
  <c r="N27" i="24"/>
  <c r="N34" i="24"/>
  <c r="N25" i="23"/>
  <c r="N34" i="23"/>
  <c r="N21" i="24"/>
  <c r="AT313" i="5"/>
  <c r="BA338" i="5"/>
  <c r="BA339" i="5" s="1"/>
  <c r="AT332" i="5"/>
  <c r="AT324" i="5"/>
  <c r="AY338" i="5"/>
  <c r="AY339" i="5" s="1"/>
  <c r="AU331" i="5"/>
  <c r="AU326" i="5"/>
  <c r="AX338" i="5"/>
  <c r="AX339" i="5" s="1"/>
  <c r="AT331" i="5"/>
  <c r="AT326" i="5"/>
  <c r="AU325" i="5"/>
  <c r="AV338" i="5"/>
  <c r="AV339" i="5" s="1"/>
  <c r="AU329" i="5"/>
  <c r="AT325" i="5"/>
  <c r="AU323" i="5"/>
  <c r="AU338" i="5"/>
  <c r="AU339" i="5" s="1"/>
  <c r="AT329" i="5"/>
  <c r="AT323" i="5"/>
  <c r="AT338" i="5"/>
  <c r="AT339" i="5" s="1"/>
  <c r="AU322" i="5"/>
  <c r="AU327" i="5"/>
  <c r="AT322" i="5"/>
  <c r="AU332" i="5"/>
  <c r="AT327" i="5"/>
  <c r="AU324" i="5"/>
  <c r="AT311" i="5"/>
  <c r="AU314" i="5"/>
  <c r="AT315" i="5"/>
  <c r="AU311" i="5"/>
  <c r="AU315" i="5"/>
  <c r="AT318" i="5"/>
  <c r="AT320" i="5"/>
  <c r="AT317" i="5"/>
  <c r="AU318" i="5"/>
  <c r="AU320" i="5"/>
  <c r="AT316" i="5"/>
  <c r="AT307" i="5"/>
  <c r="AT308" i="5" s="1"/>
  <c r="AU307" i="5"/>
  <c r="AU308" i="5" s="1"/>
  <c r="AT309" i="5"/>
  <c r="AT310" i="5" s="1"/>
  <c r="AU309" i="5"/>
  <c r="AU313" i="5"/>
  <c r="AT314" i="5"/>
  <c r="AU316" i="5"/>
  <c r="AU317" i="5"/>
  <c r="I11" i="23"/>
  <c r="I39" i="23" s="1"/>
  <c r="AB39" i="23" s="1"/>
  <c r="G126" i="10"/>
  <c r="G128" i="10" s="1"/>
  <c r="AX298" i="5"/>
  <c r="AX299" i="5" s="1"/>
  <c r="CL298" i="5"/>
  <c r="CL299" i="5" s="1"/>
  <c r="E137" i="10" s="1"/>
  <c r="CM298" i="5"/>
  <c r="CM299" i="5" s="1"/>
  <c r="I11" i="24" s="1"/>
  <c r="I39" i="24" s="1"/>
  <c r="AB39" i="24" s="1"/>
  <c r="AW298" i="5"/>
  <c r="AW299" i="5" s="1"/>
  <c r="G11" i="23"/>
  <c r="AA11" i="23" s="1"/>
  <c r="E126" i="10"/>
  <c r="G12" i="23"/>
  <c r="G40" i="23" s="1"/>
  <c r="E127" i="10"/>
  <c r="F10" i="23"/>
  <c r="D125" i="10"/>
  <c r="K10" i="23"/>
  <c r="I125" i="10"/>
  <c r="F12" i="23"/>
  <c r="F40" i="23" s="1"/>
  <c r="D127" i="10"/>
  <c r="G10" i="23"/>
  <c r="E125" i="10"/>
  <c r="I10" i="23"/>
  <c r="I38" i="23" s="1"/>
  <c r="J125" i="10"/>
  <c r="N39" i="24"/>
  <c r="H38" i="23"/>
  <c r="L38" i="23"/>
  <c r="H12" i="23"/>
  <c r="H13" i="23" s="1"/>
  <c r="F127" i="10"/>
  <c r="L12" i="23"/>
  <c r="L40" i="23" s="1"/>
  <c r="J127" i="10"/>
  <c r="M13" i="23"/>
  <c r="M40" i="23"/>
  <c r="I12" i="23"/>
  <c r="I40" i="23" s="1"/>
  <c r="K125" i="10"/>
  <c r="K127" i="10"/>
  <c r="N21" i="19"/>
  <c r="N32" i="21"/>
  <c r="N22" i="23"/>
  <c r="N30" i="23"/>
  <c r="F125" i="10"/>
  <c r="F52" i="24"/>
  <c r="F56" i="24" s="1"/>
  <c r="F60" i="24" s="1"/>
  <c r="N21" i="22"/>
  <c r="N32" i="19"/>
  <c r="N25" i="21"/>
  <c r="N34" i="21"/>
  <c r="N33" i="22"/>
  <c r="N39" i="22"/>
  <c r="N21" i="23"/>
  <c r="N24" i="23"/>
  <c r="N29" i="23"/>
  <c r="N33" i="23"/>
  <c r="N28" i="19"/>
  <c r="N10" i="23"/>
  <c r="M38" i="23"/>
  <c r="N39" i="23"/>
  <c r="N27" i="20"/>
  <c r="N23" i="22"/>
  <c r="N20" i="16"/>
  <c r="N32" i="16"/>
  <c r="N29" i="22"/>
  <c r="F52" i="23"/>
  <c r="F56" i="23" s="1"/>
  <c r="F60" i="23" s="1"/>
  <c r="N23" i="20"/>
  <c r="N21" i="21"/>
  <c r="N32" i="22"/>
  <c r="N33" i="21"/>
  <c r="N27" i="22"/>
  <c r="N39" i="21"/>
  <c r="N22" i="21"/>
  <c r="N33" i="19"/>
  <c r="N28" i="20"/>
  <c r="N28" i="21"/>
  <c r="N20" i="19"/>
  <c r="N24" i="21"/>
  <c r="F52" i="22"/>
  <c r="F56" i="22" s="1"/>
  <c r="F60" i="22" s="1"/>
  <c r="N30" i="21"/>
  <c r="N24" i="20"/>
  <c r="N20" i="21"/>
  <c r="N35" i="18"/>
  <c r="N27" i="19"/>
  <c r="N34" i="19"/>
  <c r="N21" i="20"/>
  <c r="N26" i="21"/>
  <c r="AX290" i="5"/>
  <c r="AX291" i="5" s="1"/>
  <c r="AW290" i="5"/>
  <c r="AW291" i="5" s="1"/>
  <c r="CL290" i="5"/>
  <c r="CL291" i="5" s="1"/>
  <c r="G11" i="21" s="1"/>
  <c r="AW292" i="5"/>
  <c r="AW293" i="5" s="1"/>
  <c r="CL292" i="5"/>
  <c r="CL293" i="5" s="1"/>
  <c r="AX292" i="5"/>
  <c r="AX293" i="5" s="1"/>
  <c r="CM292" i="5"/>
  <c r="CM293" i="5" s="1"/>
  <c r="CM290" i="5"/>
  <c r="CM291" i="5" s="1"/>
  <c r="F67" i="21"/>
  <c r="N27" i="13"/>
  <c r="N25" i="14"/>
  <c r="N34" i="14"/>
  <c r="N33" i="16"/>
  <c r="N30" i="17"/>
  <c r="N23" i="18"/>
  <c r="N32" i="18"/>
  <c r="N30" i="20"/>
  <c r="N27" i="17"/>
  <c r="N20" i="18"/>
  <c r="N28" i="18"/>
  <c r="N23" i="16"/>
  <c r="N23" i="19"/>
  <c r="N26" i="19"/>
  <c r="N26" i="20"/>
  <c r="N29" i="20"/>
  <c r="N33" i="20"/>
  <c r="N35" i="20"/>
  <c r="N27" i="18"/>
  <c r="N30" i="16"/>
  <c r="N20" i="17"/>
  <c r="N21" i="18"/>
  <c r="N29" i="18"/>
  <c r="N22" i="19"/>
  <c r="N25" i="19"/>
  <c r="N22" i="20"/>
  <c r="N25" i="20"/>
  <c r="N32" i="20"/>
  <c r="N34" i="20"/>
  <c r="I11" i="20"/>
  <c r="I39" i="20" s="1"/>
  <c r="AB39" i="20" s="1"/>
  <c r="G93" i="10"/>
  <c r="G11" i="20"/>
  <c r="E93" i="10"/>
  <c r="N39" i="20"/>
  <c r="N26" i="18"/>
  <c r="N29" i="19"/>
  <c r="F52" i="20"/>
  <c r="F56" i="20" s="1"/>
  <c r="F60" i="20" s="1"/>
  <c r="N35" i="19"/>
  <c r="N26" i="17"/>
  <c r="N35" i="17"/>
  <c r="N30" i="19"/>
  <c r="N39" i="19"/>
  <c r="N32" i="17"/>
  <c r="N30" i="18"/>
  <c r="N34" i="18"/>
  <c r="N20" i="15"/>
  <c r="N28" i="15"/>
  <c r="N22" i="17"/>
  <c r="N24" i="18"/>
  <c r="N29" i="17"/>
  <c r="N33" i="17"/>
  <c r="N33" i="18"/>
  <c r="F52" i="19"/>
  <c r="F56" i="19" s="1"/>
  <c r="F60" i="19" s="1"/>
  <c r="N21" i="15"/>
  <c r="N29" i="15"/>
  <c r="N22" i="16"/>
  <c r="N34" i="16"/>
  <c r="N22" i="18"/>
  <c r="N25" i="18"/>
  <c r="AX286" i="5"/>
  <c r="AX287" i="5" s="1"/>
  <c r="CL286" i="5"/>
  <c r="CL287" i="5" s="1"/>
  <c r="CM286" i="5"/>
  <c r="CM287" i="5" s="1"/>
  <c r="AW286" i="5"/>
  <c r="AW287" i="5" s="1"/>
  <c r="AW284" i="5"/>
  <c r="AX284" i="5"/>
  <c r="CL284" i="5"/>
  <c r="CM284" i="5"/>
  <c r="N39" i="18"/>
  <c r="N28" i="16"/>
  <c r="N33" i="12"/>
  <c r="N34" i="13"/>
  <c r="N21" i="17"/>
  <c r="N24" i="17"/>
  <c r="N22" i="14"/>
  <c r="N30" i="14"/>
  <c r="N23" i="17"/>
  <c r="F52" i="18"/>
  <c r="F56" i="18" s="1"/>
  <c r="F60" i="18" s="1"/>
  <c r="N27" i="16"/>
  <c r="N25" i="17"/>
  <c r="N28" i="17"/>
  <c r="N21" i="14"/>
  <c r="N24" i="14"/>
  <c r="N29" i="14"/>
  <c r="N33" i="14"/>
  <c r="N24" i="16"/>
  <c r="N29" i="16"/>
  <c r="N20" i="13"/>
  <c r="N35" i="16"/>
  <c r="N34" i="17"/>
  <c r="AW282" i="5"/>
  <c r="CL282" i="5"/>
  <c r="CM282" i="5"/>
  <c r="AX282" i="5"/>
  <c r="AW281" i="5"/>
  <c r="AX281" i="5"/>
  <c r="CL281" i="5"/>
  <c r="CM281" i="5"/>
  <c r="AX280" i="5"/>
  <c r="CL280" i="5"/>
  <c r="CM280" i="5"/>
  <c r="AW280" i="5"/>
  <c r="E59" i="10"/>
  <c r="G10" i="17"/>
  <c r="AA10" i="17" s="1"/>
  <c r="I11" i="17"/>
  <c r="I39" i="17" s="1"/>
  <c r="AB39" i="17" s="1"/>
  <c r="G60" i="10"/>
  <c r="G12" i="17"/>
  <c r="E61" i="10"/>
  <c r="F10" i="17"/>
  <c r="D59" i="10"/>
  <c r="I59" i="10"/>
  <c r="K10" i="17"/>
  <c r="D61" i="10"/>
  <c r="F12" i="17"/>
  <c r="F40" i="17" s="1"/>
  <c r="L38" i="17"/>
  <c r="N10" i="17"/>
  <c r="H12" i="17"/>
  <c r="H40" i="17" s="1"/>
  <c r="F61" i="10"/>
  <c r="F62" i="10" s="1"/>
  <c r="L12" i="17"/>
  <c r="L40" i="17" s="1"/>
  <c r="J61" i="10"/>
  <c r="I38" i="17"/>
  <c r="M13" i="17"/>
  <c r="M38" i="17"/>
  <c r="M40" i="17"/>
  <c r="G11" i="17"/>
  <c r="E60" i="10"/>
  <c r="G59" i="10"/>
  <c r="H10" i="17"/>
  <c r="G61" i="10"/>
  <c r="J59" i="10"/>
  <c r="K59" i="10"/>
  <c r="K61" i="10"/>
  <c r="N39" i="17"/>
  <c r="AB10" i="17"/>
  <c r="N26" i="16"/>
  <c r="N20" i="14"/>
  <c r="N28" i="14"/>
  <c r="F52" i="17"/>
  <c r="F56" i="17" s="1"/>
  <c r="F60" i="17" s="1"/>
  <c r="N32" i="12"/>
  <c r="N25" i="16"/>
  <c r="N21" i="16"/>
  <c r="N39" i="16"/>
  <c r="N25" i="15"/>
  <c r="N34" i="15"/>
  <c r="N22" i="15"/>
  <c r="N27" i="15"/>
  <c r="N30" i="15"/>
  <c r="N24" i="15"/>
  <c r="N33" i="15"/>
  <c r="F52" i="16"/>
  <c r="F56" i="16" s="1"/>
  <c r="F60" i="16" s="1"/>
  <c r="N20" i="12"/>
  <c r="N21" i="13"/>
  <c r="N24" i="13"/>
  <c r="N33" i="13"/>
  <c r="N23" i="15"/>
  <c r="N26" i="15"/>
  <c r="N32" i="15"/>
  <c r="N35" i="15"/>
  <c r="N24" i="12"/>
  <c r="N27" i="14"/>
  <c r="AX275" i="5"/>
  <c r="CM275" i="5"/>
  <c r="AX274" i="5"/>
  <c r="AW275" i="5"/>
  <c r="AW274" i="5"/>
  <c r="CL275" i="5"/>
  <c r="CL274" i="5"/>
  <c r="CM274" i="5"/>
  <c r="AX272" i="5"/>
  <c r="CL272" i="5"/>
  <c r="CM272" i="5"/>
  <c r="N39" i="15"/>
  <c r="AW272" i="5"/>
  <c r="AX269" i="5"/>
  <c r="AX270" i="5" s="1"/>
  <c r="AW269" i="5"/>
  <c r="AW270" i="5" s="1"/>
  <c r="CL269" i="5"/>
  <c r="CL270" i="5" s="1"/>
  <c r="G11" i="15" s="1"/>
  <c r="CM269" i="5"/>
  <c r="CM270" i="5" s="1"/>
  <c r="I11" i="15" s="1"/>
  <c r="I39" i="15" s="1"/>
  <c r="AB39" i="15" s="1"/>
  <c r="N32" i="13"/>
  <c r="N29" i="12"/>
  <c r="N22" i="13"/>
  <c r="N25" i="13"/>
  <c r="N28" i="13"/>
  <c r="N23" i="14"/>
  <c r="N26" i="14"/>
  <c r="N32" i="14"/>
  <c r="N35" i="14"/>
  <c r="F52" i="15"/>
  <c r="F56" i="15" s="1"/>
  <c r="F60" i="15" s="1"/>
  <c r="N28" i="12"/>
  <c r="N22" i="12"/>
  <c r="N23" i="13"/>
  <c r="N26" i="13"/>
  <c r="N39" i="14"/>
  <c r="F67" i="14"/>
  <c r="N26" i="12"/>
  <c r="N35" i="12"/>
  <c r="N29" i="13"/>
  <c r="N34" i="12"/>
  <c r="N35" i="13"/>
  <c r="N30" i="12"/>
  <c r="N30" i="13"/>
  <c r="CL266" i="5"/>
  <c r="CL268" i="5" s="1"/>
  <c r="CM266" i="5"/>
  <c r="CM268" i="5" s="1"/>
  <c r="AX266" i="5"/>
  <c r="AX268" i="5" s="1"/>
  <c r="AW266" i="5"/>
  <c r="AW268" i="5" s="1"/>
  <c r="CL263" i="5"/>
  <c r="CL264" i="5" s="1"/>
  <c r="E16" i="10" s="1"/>
  <c r="CM263" i="5"/>
  <c r="CM264" i="5" s="1"/>
  <c r="I11" i="13" s="1"/>
  <c r="I39" i="13" s="1"/>
  <c r="AB39" i="13" s="1"/>
  <c r="AX263" i="5"/>
  <c r="AX264" i="5" s="1"/>
  <c r="AW263" i="5"/>
  <c r="AW264" i="5" s="1"/>
  <c r="N39" i="13"/>
  <c r="N23" i="12"/>
  <c r="N25" i="12"/>
  <c r="F52" i="13"/>
  <c r="F56" i="13" s="1"/>
  <c r="F60" i="13" s="1"/>
  <c r="N21" i="12"/>
  <c r="N27" i="12"/>
  <c r="AX261" i="5"/>
  <c r="AX262" i="5" s="1"/>
  <c r="N39" i="12"/>
  <c r="F52" i="12"/>
  <c r="F56" i="12" s="1"/>
  <c r="F60" i="12" s="1"/>
  <c r="AT24" i="5"/>
  <c r="AV24" i="5" s="1"/>
  <c r="BO24" i="5" s="1"/>
  <c r="AT16" i="5"/>
  <c r="AV16" i="5" s="1"/>
  <c r="BO16" i="5" s="1"/>
  <c r="AT8" i="5"/>
  <c r="AV8" i="5" s="1"/>
  <c r="BC8" i="5" s="1"/>
  <c r="AT3" i="5"/>
  <c r="CD3" i="5" s="1"/>
  <c r="AW261" i="5"/>
  <c r="AW262" i="5" s="1"/>
  <c r="AT252" i="5"/>
  <c r="AS331" i="5" s="1"/>
  <c r="AT244" i="5"/>
  <c r="AT236" i="5"/>
  <c r="AT228" i="5"/>
  <c r="AT220" i="5"/>
  <c r="AT212" i="5"/>
  <c r="AT204" i="5"/>
  <c r="AT196" i="5"/>
  <c r="AT188" i="5"/>
  <c r="AT180" i="5"/>
  <c r="AT172" i="5"/>
  <c r="AS324" i="5" s="1"/>
  <c r="AT164" i="5"/>
  <c r="AT156" i="5"/>
  <c r="AT148" i="5"/>
  <c r="AT140" i="5"/>
  <c r="AT132" i="5"/>
  <c r="AT124" i="5"/>
  <c r="AT116" i="5"/>
  <c r="AT108" i="5"/>
  <c r="AT100" i="5"/>
  <c r="AT92" i="5"/>
  <c r="AT84" i="5"/>
  <c r="AT76" i="5"/>
  <c r="AT68" i="5"/>
  <c r="AT60" i="5"/>
  <c r="AT52" i="5"/>
  <c r="AT44" i="5"/>
  <c r="AT36" i="5"/>
  <c r="AT28" i="5"/>
  <c r="AT20" i="5"/>
  <c r="AT12" i="5"/>
  <c r="AT4" i="5"/>
  <c r="AT2" i="5"/>
  <c r="AT251" i="5"/>
  <c r="AT243" i="5"/>
  <c r="AT235" i="5"/>
  <c r="AT227" i="5"/>
  <c r="AT219" i="5"/>
  <c r="AT211" i="5"/>
  <c r="AT203" i="5"/>
  <c r="AT195" i="5"/>
  <c r="AT187" i="5"/>
  <c r="AT179" i="5"/>
  <c r="AT171" i="5"/>
  <c r="AT163" i="5"/>
  <c r="AT155" i="5"/>
  <c r="AT147" i="5"/>
  <c r="AT139" i="5"/>
  <c r="AT131" i="5"/>
  <c r="AT123" i="5"/>
  <c r="AT115" i="5"/>
  <c r="AT107" i="5"/>
  <c r="AT99" i="5"/>
  <c r="AT91" i="5"/>
  <c r="AT83" i="5"/>
  <c r="AT75" i="5"/>
  <c r="AT67" i="5"/>
  <c r="AT59" i="5"/>
  <c r="AT51" i="5"/>
  <c r="AT43" i="5"/>
  <c r="AT35" i="5"/>
  <c r="AT27" i="5"/>
  <c r="AT19" i="5"/>
  <c r="AT11" i="5"/>
  <c r="AT258" i="5"/>
  <c r="AT250" i="5"/>
  <c r="AT242" i="5"/>
  <c r="AT234" i="5"/>
  <c r="AT226" i="5"/>
  <c r="AT218" i="5"/>
  <c r="AT210" i="5"/>
  <c r="AT202" i="5"/>
  <c r="AT194" i="5"/>
  <c r="AT186" i="5"/>
  <c r="AT178" i="5"/>
  <c r="AT170" i="5"/>
  <c r="AT162" i="5"/>
  <c r="AT154" i="5"/>
  <c r="AT146" i="5"/>
  <c r="AT138" i="5"/>
  <c r="AT130" i="5"/>
  <c r="AT122" i="5"/>
  <c r="AT114" i="5"/>
  <c r="AT106" i="5"/>
  <c r="AT98" i="5"/>
  <c r="AT90" i="5"/>
  <c r="AT82" i="5"/>
  <c r="AT74" i="5"/>
  <c r="AT66" i="5"/>
  <c r="AT58" i="5"/>
  <c r="AT50" i="5"/>
  <c r="AT42" i="5"/>
  <c r="AT34" i="5"/>
  <c r="AT26" i="5"/>
  <c r="AT18" i="5"/>
  <c r="AT10" i="5"/>
  <c r="AT257" i="5"/>
  <c r="AT249" i="5"/>
  <c r="AT241" i="5"/>
  <c r="AT233" i="5"/>
  <c r="AT225" i="5"/>
  <c r="AT217" i="5"/>
  <c r="AT209" i="5"/>
  <c r="AT201" i="5"/>
  <c r="AT193" i="5"/>
  <c r="AT185" i="5"/>
  <c r="AT177" i="5"/>
  <c r="AS326" i="5" s="1"/>
  <c r="AT169" i="5"/>
  <c r="AT161" i="5"/>
  <c r="AT153" i="5"/>
  <c r="AT145" i="5"/>
  <c r="AT137" i="5"/>
  <c r="AT129" i="5"/>
  <c r="AT121" i="5"/>
  <c r="AT113" i="5"/>
  <c r="AT105" i="5"/>
  <c r="AT97" i="5"/>
  <c r="AT89" i="5"/>
  <c r="AT81" i="5"/>
  <c r="AT73" i="5"/>
  <c r="AT65" i="5"/>
  <c r="AT57" i="5"/>
  <c r="AT49" i="5"/>
  <c r="AT41" i="5"/>
  <c r="AT33" i="5"/>
  <c r="AT25" i="5"/>
  <c r="AT17" i="5"/>
  <c r="AT9" i="5"/>
  <c r="AT256" i="5"/>
  <c r="AT248" i="5"/>
  <c r="AT240" i="5"/>
  <c r="AT232" i="5"/>
  <c r="AT224" i="5"/>
  <c r="AT216" i="5"/>
  <c r="AT208" i="5"/>
  <c r="AT200" i="5"/>
  <c r="AT192" i="5"/>
  <c r="AT184" i="5"/>
  <c r="AT176" i="5"/>
  <c r="AT168" i="5"/>
  <c r="AT160" i="5"/>
  <c r="AT152" i="5"/>
  <c r="AT144" i="5"/>
  <c r="AT136" i="5"/>
  <c r="AT128" i="5"/>
  <c r="AT120" i="5"/>
  <c r="AT112" i="5"/>
  <c r="AT104" i="5"/>
  <c r="AT96" i="5"/>
  <c r="AT88" i="5"/>
  <c r="AT80" i="5"/>
  <c r="AT72" i="5"/>
  <c r="AT64" i="5"/>
  <c r="AT56" i="5"/>
  <c r="AT48" i="5"/>
  <c r="AT40" i="5"/>
  <c r="AT32" i="5"/>
  <c r="AT255" i="5"/>
  <c r="AT247" i="5"/>
  <c r="AT239" i="5"/>
  <c r="AT231" i="5"/>
  <c r="AT223" i="5"/>
  <c r="AT215" i="5"/>
  <c r="AT207" i="5"/>
  <c r="AT199" i="5"/>
  <c r="AT191" i="5"/>
  <c r="AT183" i="5"/>
  <c r="AT175" i="5"/>
  <c r="AT167" i="5"/>
  <c r="AT159" i="5"/>
  <c r="AT151" i="5"/>
  <c r="AT143" i="5"/>
  <c r="AT135" i="5"/>
  <c r="AT127" i="5"/>
  <c r="AT119" i="5"/>
  <c r="AS316" i="5" s="1"/>
  <c r="AT111" i="5"/>
  <c r="AT103" i="5"/>
  <c r="AT95" i="5"/>
  <c r="AT87" i="5"/>
  <c r="AT79" i="5"/>
  <c r="AT71" i="5"/>
  <c r="AT63" i="5"/>
  <c r="AT55" i="5"/>
  <c r="AT47" i="5"/>
  <c r="AT39" i="5"/>
  <c r="AT31" i="5"/>
  <c r="AT23" i="5"/>
  <c r="AT15" i="5"/>
  <c r="AT7" i="5"/>
  <c r="AT254" i="5"/>
  <c r="AT246" i="5"/>
  <c r="AT238" i="5"/>
  <c r="AT230" i="5"/>
  <c r="AT222" i="5"/>
  <c r="AT214" i="5"/>
  <c r="AT206" i="5"/>
  <c r="AT198" i="5"/>
  <c r="AT190" i="5"/>
  <c r="AT182" i="5"/>
  <c r="AT174" i="5"/>
  <c r="AT166" i="5"/>
  <c r="AT158" i="5"/>
  <c r="AT150" i="5"/>
  <c r="AT142" i="5"/>
  <c r="AT134" i="5"/>
  <c r="AT126" i="5"/>
  <c r="AT118" i="5"/>
  <c r="AT110" i="5"/>
  <c r="AT102" i="5"/>
  <c r="AT94" i="5"/>
  <c r="AT86" i="5"/>
  <c r="AT78" i="5"/>
  <c r="AT70" i="5"/>
  <c r="AT62" i="5"/>
  <c r="AS314" i="5" s="1"/>
  <c r="AT54" i="5"/>
  <c r="AT46" i="5"/>
  <c r="AT38" i="5"/>
  <c r="AT30" i="5"/>
  <c r="AT22" i="5"/>
  <c r="AT14" i="5"/>
  <c r="AT6" i="5"/>
  <c r="AT253" i="5"/>
  <c r="AT245" i="5"/>
  <c r="AT237" i="5"/>
  <c r="AT229" i="5"/>
  <c r="AT221" i="5"/>
  <c r="AT213" i="5"/>
  <c r="AT205" i="5"/>
  <c r="AT197" i="5"/>
  <c r="AT189" i="5"/>
  <c r="AT181" i="5"/>
  <c r="AT173" i="5"/>
  <c r="AT165" i="5"/>
  <c r="AT157" i="5"/>
  <c r="AT149" i="5"/>
  <c r="AT141" i="5"/>
  <c r="AT133" i="5"/>
  <c r="AT125" i="5"/>
  <c r="AT117" i="5"/>
  <c r="AT109" i="5"/>
  <c r="AT101" i="5"/>
  <c r="AT93" i="5"/>
  <c r="AT85" i="5"/>
  <c r="AT77" i="5"/>
  <c r="AT69" i="5"/>
  <c r="AT61" i="5"/>
  <c r="AT53" i="5"/>
  <c r="AT45" i="5"/>
  <c r="AT37" i="5"/>
  <c r="AT29" i="5"/>
  <c r="AT21" i="5"/>
  <c r="AT13" i="5"/>
  <c r="AT5" i="5"/>
  <c r="CL261" i="5"/>
  <c r="CL262" i="5" s="1"/>
  <c r="CM261" i="5"/>
  <c r="CM262" i="5" s="1"/>
  <c r="E51" i="9"/>
  <c r="AT328" i="5" l="1"/>
  <c r="AS315" i="5"/>
  <c r="AS332" i="5"/>
  <c r="AS333" i="5" s="1"/>
  <c r="AS323" i="5"/>
  <c r="AS311" i="5"/>
  <c r="AS312" i="5" s="1"/>
  <c r="AS317" i="5"/>
  <c r="AU312" i="5"/>
  <c r="AS318" i="5"/>
  <c r="AS313" i="5"/>
  <c r="AU310" i="5"/>
  <c r="AS307" i="5"/>
  <c r="AS308" i="5" s="1"/>
  <c r="AS329" i="5"/>
  <c r="AS330" i="5" s="1"/>
  <c r="AS327" i="5"/>
  <c r="AS320" i="5"/>
  <c r="AS321" i="5" s="1"/>
  <c r="AS309" i="5"/>
  <c r="AS310" i="5" s="1"/>
  <c r="AS322" i="5"/>
  <c r="AS325" i="5"/>
  <c r="AT330" i="5"/>
  <c r="AU319" i="5"/>
  <c r="AT312" i="5"/>
  <c r="AT321" i="5"/>
  <c r="AU321" i="5"/>
  <c r="AT333" i="5"/>
  <c r="AT319" i="5"/>
  <c r="AU328" i="5"/>
  <c r="AU330" i="5"/>
  <c r="AU333" i="5"/>
  <c r="H126" i="10"/>
  <c r="D128" i="10"/>
  <c r="D131" i="10" s="1"/>
  <c r="H125" i="10"/>
  <c r="I41" i="23"/>
  <c r="J10" i="23"/>
  <c r="G137" i="10"/>
  <c r="H137" i="10" s="1"/>
  <c r="AB10" i="23"/>
  <c r="E128" i="10"/>
  <c r="H127" i="10"/>
  <c r="L41" i="23"/>
  <c r="N12" i="23"/>
  <c r="N13" i="23" s="1"/>
  <c r="L127" i="10"/>
  <c r="G11" i="24"/>
  <c r="J11" i="24" s="1"/>
  <c r="K128" i="10"/>
  <c r="N40" i="23"/>
  <c r="F13" i="23"/>
  <c r="F16" i="23" s="1"/>
  <c r="F38" i="23"/>
  <c r="F41" i="23" s="1"/>
  <c r="F43" i="23" s="1"/>
  <c r="AT298" i="5"/>
  <c r="AT299" i="5" s="1"/>
  <c r="AS298" i="5"/>
  <c r="AS299" i="5" s="1"/>
  <c r="AB11" i="23"/>
  <c r="AB45" i="23" s="1"/>
  <c r="G39" i="23"/>
  <c r="J11" i="23"/>
  <c r="G13" i="23"/>
  <c r="G38" i="23"/>
  <c r="AA10" i="23"/>
  <c r="L125" i="10"/>
  <c r="F128" i="10"/>
  <c r="N38" i="23"/>
  <c r="H40" i="23"/>
  <c r="J40" i="23" s="1"/>
  <c r="J12" i="23"/>
  <c r="F67" i="24"/>
  <c r="I13" i="23"/>
  <c r="J128" i="10"/>
  <c r="L13" i="23"/>
  <c r="M41" i="23"/>
  <c r="AB38" i="23"/>
  <c r="F67" i="23"/>
  <c r="AT294" i="5"/>
  <c r="AT295" i="5" s="1"/>
  <c r="AS294" i="5"/>
  <c r="AS295" i="5" s="1"/>
  <c r="I11" i="22"/>
  <c r="I39" i="22" s="1"/>
  <c r="AB39" i="22" s="1"/>
  <c r="G115" i="10"/>
  <c r="G11" i="22"/>
  <c r="E115" i="10"/>
  <c r="F67" i="22"/>
  <c r="E104" i="10"/>
  <c r="H93" i="10"/>
  <c r="AT292" i="5"/>
  <c r="AT293" i="5" s="1"/>
  <c r="AS292" i="5"/>
  <c r="AS293" i="5" s="1"/>
  <c r="J11" i="20"/>
  <c r="I11" i="21"/>
  <c r="J11" i="21" s="1"/>
  <c r="G104" i="10"/>
  <c r="AB11" i="21"/>
  <c r="AA11" i="21"/>
  <c r="G39" i="21"/>
  <c r="F75" i="21"/>
  <c r="F80" i="21" s="1"/>
  <c r="AT290" i="5"/>
  <c r="AT291" i="5" s="1"/>
  <c r="AS290" i="5"/>
  <c r="AS291" i="5" s="1"/>
  <c r="AB11" i="20"/>
  <c r="AB45" i="20" s="1"/>
  <c r="AA11" i="20"/>
  <c r="G39" i="20"/>
  <c r="F67" i="20"/>
  <c r="AT288" i="5"/>
  <c r="AT289" i="5" s="1"/>
  <c r="AS288" i="5"/>
  <c r="AS289" i="5" s="1"/>
  <c r="I11" i="19"/>
  <c r="I39" i="19" s="1"/>
  <c r="AB39" i="19" s="1"/>
  <c r="G82" i="10"/>
  <c r="G11" i="19"/>
  <c r="E82" i="10"/>
  <c r="F67" i="19"/>
  <c r="I41" i="17"/>
  <c r="CM285" i="5"/>
  <c r="I11" i="18" s="1"/>
  <c r="I39" i="18" s="1"/>
  <c r="AB39" i="18" s="1"/>
  <c r="CL285" i="5"/>
  <c r="G11" i="18" s="1"/>
  <c r="AW285" i="5"/>
  <c r="AT286" i="5"/>
  <c r="AT287" i="5" s="1"/>
  <c r="AS286" i="5"/>
  <c r="AS287" i="5" s="1"/>
  <c r="N12" i="17"/>
  <c r="N13" i="17" s="1"/>
  <c r="AX285" i="5"/>
  <c r="F67" i="18"/>
  <c r="AT284" i="5"/>
  <c r="AS284" i="5"/>
  <c r="CI16" i="5"/>
  <c r="BT16" i="5"/>
  <c r="BF16" i="5"/>
  <c r="BD16" i="5"/>
  <c r="BE16" i="5"/>
  <c r="BS16" i="5"/>
  <c r="BI24" i="5"/>
  <c r="BR16" i="5"/>
  <c r="BY16" i="5"/>
  <c r="AY16" i="5"/>
  <c r="CA16" i="5"/>
  <c r="AX276" i="5"/>
  <c r="BK16" i="5"/>
  <c r="CD16" i="5"/>
  <c r="BI16" i="5"/>
  <c r="CE16" i="5"/>
  <c r="BM16" i="5"/>
  <c r="CK16" i="5"/>
  <c r="BH24" i="5"/>
  <c r="CK24" i="5"/>
  <c r="J10" i="17"/>
  <c r="AT282" i="5"/>
  <c r="AS282" i="5"/>
  <c r="AT283" i="5"/>
  <c r="AS283" i="5"/>
  <c r="BG24" i="5"/>
  <c r="BM24" i="5"/>
  <c r="J11" i="17"/>
  <c r="BU24" i="5"/>
  <c r="AZ24" i="5"/>
  <c r="BV24" i="5"/>
  <c r="CA24" i="5"/>
  <c r="BA24" i="5"/>
  <c r="BP24" i="5" s="1"/>
  <c r="BJ24" i="5"/>
  <c r="CC24" i="5"/>
  <c r="M41" i="17"/>
  <c r="L41" i="17"/>
  <c r="G38" i="17"/>
  <c r="AA38" i="17" s="1"/>
  <c r="L13" i="17"/>
  <c r="I13" i="17"/>
  <c r="K62" i="10"/>
  <c r="AB38" i="17"/>
  <c r="AB44" i="17" s="1"/>
  <c r="BJ16" i="5"/>
  <c r="BW16" i="5"/>
  <c r="AY24" i="5"/>
  <c r="BW24" i="5"/>
  <c r="N40" i="17"/>
  <c r="J62" i="10"/>
  <c r="G13" i="17"/>
  <c r="CM276" i="5"/>
  <c r="I11" i="16" s="1"/>
  <c r="I39" i="16" s="1"/>
  <c r="AB39" i="16" s="1"/>
  <c r="L59" i="10"/>
  <c r="H60" i="10"/>
  <c r="L61" i="10"/>
  <c r="D62" i="10"/>
  <c r="D65" i="10" s="1"/>
  <c r="CL276" i="5"/>
  <c r="G11" i="16" s="1"/>
  <c r="AT281" i="5"/>
  <c r="AS281" i="5"/>
  <c r="N38" i="17"/>
  <c r="AW276" i="5"/>
  <c r="F38" i="17"/>
  <c r="F41" i="17" s="1"/>
  <c r="F43" i="17" s="1"/>
  <c r="F13" i="17"/>
  <c r="F16" i="17" s="1"/>
  <c r="H61" i="10"/>
  <c r="AT280" i="5"/>
  <c r="AS280" i="5"/>
  <c r="H13" i="17"/>
  <c r="H38" i="17"/>
  <c r="H41" i="17" s="1"/>
  <c r="J12" i="17"/>
  <c r="G40" i="17"/>
  <c r="J40" i="17" s="1"/>
  <c r="G62" i="10"/>
  <c r="AA11" i="17"/>
  <c r="G39" i="17"/>
  <c r="AB11" i="17"/>
  <c r="AB45" i="17" s="1"/>
  <c r="E62" i="10"/>
  <c r="H59" i="10"/>
  <c r="AC10" i="17"/>
  <c r="F67" i="17"/>
  <c r="F67" i="16"/>
  <c r="BQ16" i="5"/>
  <c r="CC16" i="5"/>
  <c r="BD24" i="5"/>
  <c r="BY24" i="5"/>
  <c r="AT275" i="5"/>
  <c r="AS275" i="5"/>
  <c r="AT274" i="5"/>
  <c r="AS274" i="5"/>
  <c r="BQ24" i="5"/>
  <c r="CI24" i="5"/>
  <c r="AT273" i="5"/>
  <c r="AS273" i="5"/>
  <c r="AT272" i="5"/>
  <c r="AS272" i="5"/>
  <c r="AZ16" i="5"/>
  <c r="BG16" i="5"/>
  <c r="BU16" i="5"/>
  <c r="CG16" i="5"/>
  <c r="BE24" i="5"/>
  <c r="BS24" i="5"/>
  <c r="CD24" i="5"/>
  <c r="G38" i="10"/>
  <c r="BA16" i="5"/>
  <c r="BP16" i="5" s="1"/>
  <c r="BH16" i="5"/>
  <c r="BV16" i="5"/>
  <c r="CF16" i="5"/>
  <c r="BF24" i="5"/>
  <c r="BT24" i="5"/>
  <c r="CG24" i="5"/>
  <c r="CF24" i="5"/>
  <c r="AU16" i="5"/>
  <c r="BB16" i="5" s="1"/>
  <c r="E38" i="10"/>
  <c r="AT269" i="5"/>
  <c r="AT270" i="5" s="1"/>
  <c r="AS269" i="5"/>
  <c r="AS270" i="5" s="1"/>
  <c r="J11" i="15"/>
  <c r="G39" i="15"/>
  <c r="AB11" i="15"/>
  <c r="AB45" i="15" s="1"/>
  <c r="AA11" i="15"/>
  <c r="F67" i="15"/>
  <c r="BK24" i="5"/>
  <c r="BR24" i="5"/>
  <c r="CE24" i="5"/>
  <c r="I11" i="14"/>
  <c r="I39" i="14" s="1"/>
  <c r="AB39" i="14" s="1"/>
  <c r="G27" i="10"/>
  <c r="G11" i="14"/>
  <c r="E27" i="10"/>
  <c r="F75" i="14"/>
  <c r="F80" i="14" s="1"/>
  <c r="BD8" i="5"/>
  <c r="BQ8" i="5"/>
  <c r="BR8" i="5"/>
  <c r="CG8" i="5"/>
  <c r="CI8" i="5"/>
  <c r="AY8" i="5"/>
  <c r="BI8" i="5"/>
  <c r="AT267" i="5"/>
  <c r="AS267" i="5"/>
  <c r="AT266" i="5"/>
  <c r="AS266" i="5"/>
  <c r="AU24" i="5"/>
  <c r="BN24" i="5" s="1"/>
  <c r="G16" i="10"/>
  <c r="H16" i="10" s="1"/>
  <c r="G11" i="13"/>
  <c r="AB11" i="13" s="1"/>
  <c r="AB45" i="13" s="1"/>
  <c r="AT263" i="5"/>
  <c r="AT264" i="5" s="1"/>
  <c r="AS263" i="5"/>
  <c r="AS264" i="5" s="1"/>
  <c r="F67" i="13"/>
  <c r="BK8" i="5"/>
  <c r="CK8" i="5"/>
  <c r="BY8" i="5"/>
  <c r="BW8" i="5"/>
  <c r="AZ3" i="5"/>
  <c r="BM3" i="5"/>
  <c r="CC3" i="5"/>
  <c r="AZ8" i="5"/>
  <c r="BG8" i="5"/>
  <c r="BU8" i="5"/>
  <c r="CE8" i="5"/>
  <c r="BI3" i="5"/>
  <c r="BY3" i="5"/>
  <c r="BA8" i="5"/>
  <c r="BP8" i="5" s="1"/>
  <c r="BH8" i="5"/>
  <c r="BV8" i="5"/>
  <c r="CF8" i="5"/>
  <c r="AU3" i="5"/>
  <c r="BN3" i="5" s="1"/>
  <c r="BK3" i="5"/>
  <c r="CA3" i="5"/>
  <c r="BA3" i="5"/>
  <c r="BP3" i="5" s="1"/>
  <c r="BQ3" i="5"/>
  <c r="CG3" i="5"/>
  <c r="BE8" i="5"/>
  <c r="BM8" i="5"/>
  <c r="CA8" i="5"/>
  <c r="BE3" i="5"/>
  <c r="BR3" i="5"/>
  <c r="CE3" i="5"/>
  <c r="BF8" i="5"/>
  <c r="BS8" i="5"/>
  <c r="CC8" i="5"/>
  <c r="BF3" i="5"/>
  <c r="BT3" i="5"/>
  <c r="CF3" i="5"/>
  <c r="BJ8" i="5"/>
  <c r="BT8" i="5"/>
  <c r="CD8" i="5"/>
  <c r="BD3" i="5"/>
  <c r="BU3" i="5"/>
  <c r="CI3" i="5"/>
  <c r="AV3" i="5"/>
  <c r="BO3" i="5" s="1"/>
  <c r="BH3" i="5"/>
  <c r="BV3" i="5"/>
  <c r="BO8" i="5"/>
  <c r="AY3" i="5"/>
  <c r="BJ3" i="5"/>
  <c r="BW3" i="5"/>
  <c r="CK3" i="5"/>
  <c r="G11" i="12"/>
  <c r="E5" i="10"/>
  <c r="I11" i="12"/>
  <c r="I39" i="12" s="1"/>
  <c r="AB39" i="12" s="1"/>
  <c r="G5" i="10"/>
  <c r="F67" i="12"/>
  <c r="BC24" i="5"/>
  <c r="BG3" i="5"/>
  <c r="BS3" i="5"/>
  <c r="AU8" i="5"/>
  <c r="BB8" i="5" s="1"/>
  <c r="BC16" i="5"/>
  <c r="CK133" i="5"/>
  <c r="CG133" i="5"/>
  <c r="CI133" i="5"/>
  <c r="CF133" i="5"/>
  <c r="CE133" i="5"/>
  <c r="CD133" i="5"/>
  <c r="CC133" i="5"/>
  <c r="CA133" i="5"/>
  <c r="BW133" i="5"/>
  <c r="BY133" i="5"/>
  <c r="BV133" i="5"/>
  <c r="BU133" i="5"/>
  <c r="BT133" i="5"/>
  <c r="BS133" i="5"/>
  <c r="BR133" i="5"/>
  <c r="BQ133" i="5"/>
  <c r="BM133" i="5"/>
  <c r="BK133" i="5"/>
  <c r="BJ133" i="5"/>
  <c r="BI133" i="5"/>
  <c r="BH133" i="5"/>
  <c r="BG133" i="5"/>
  <c r="BF133" i="5"/>
  <c r="BE133" i="5"/>
  <c r="BD133" i="5"/>
  <c r="BA133" i="5"/>
  <c r="BP133" i="5" s="1"/>
  <c r="AZ133" i="5"/>
  <c r="AY133" i="5"/>
  <c r="AV133" i="5"/>
  <c r="BO133" i="5" s="1"/>
  <c r="AU133" i="5"/>
  <c r="BN133" i="5" s="1"/>
  <c r="CK134" i="5"/>
  <c r="CI134" i="5"/>
  <c r="CG134" i="5"/>
  <c r="CF134" i="5"/>
  <c r="CE134" i="5"/>
  <c r="CD134" i="5"/>
  <c r="CC134" i="5"/>
  <c r="CA134" i="5"/>
  <c r="BY134" i="5"/>
  <c r="BV134" i="5"/>
  <c r="BU134" i="5"/>
  <c r="BW134" i="5"/>
  <c r="BT134" i="5"/>
  <c r="BS134" i="5"/>
  <c r="BR134" i="5"/>
  <c r="BQ134" i="5"/>
  <c r="BG134" i="5"/>
  <c r="BM134" i="5"/>
  <c r="BK134" i="5"/>
  <c r="BJ134" i="5"/>
  <c r="BI134" i="5"/>
  <c r="BH134" i="5"/>
  <c r="BF134" i="5"/>
  <c r="BE134" i="5"/>
  <c r="BD134" i="5"/>
  <c r="BA134" i="5"/>
  <c r="BP134" i="5" s="1"/>
  <c r="AZ134" i="5"/>
  <c r="AY134" i="5"/>
  <c r="AV134" i="5"/>
  <c r="BC134" i="5" s="1"/>
  <c r="AU134" i="5"/>
  <c r="BN134" i="5" s="1"/>
  <c r="CK71" i="5"/>
  <c r="CJ71" i="5"/>
  <c r="CI71" i="5"/>
  <c r="CF71" i="5"/>
  <c r="CG71" i="5"/>
  <c r="CH71" i="5"/>
  <c r="CE71" i="5"/>
  <c r="CD71" i="5"/>
  <c r="CC71" i="5"/>
  <c r="CA71" i="5"/>
  <c r="BX71" i="5"/>
  <c r="BZ71" i="5"/>
  <c r="BY71" i="5"/>
  <c r="BV71" i="5"/>
  <c r="BU71" i="5"/>
  <c r="BW71" i="5"/>
  <c r="BT71" i="5"/>
  <c r="BS71" i="5"/>
  <c r="BR71" i="5"/>
  <c r="BQ71" i="5"/>
  <c r="BM71" i="5"/>
  <c r="BH71" i="5"/>
  <c r="BL71" i="5"/>
  <c r="BK71" i="5"/>
  <c r="BJ71" i="5"/>
  <c r="BI71" i="5"/>
  <c r="BF71" i="5"/>
  <c r="BE71" i="5"/>
  <c r="BD71" i="5"/>
  <c r="BG71" i="5"/>
  <c r="BA71" i="5"/>
  <c r="BP71" i="5" s="1"/>
  <c r="AZ71" i="5"/>
  <c r="AY71" i="5"/>
  <c r="AU71" i="5"/>
  <c r="BN71" i="5" s="1"/>
  <c r="AV71" i="5"/>
  <c r="BC71" i="5" s="1"/>
  <c r="CK160" i="5"/>
  <c r="CF160" i="5"/>
  <c r="CI160" i="5"/>
  <c r="CG160" i="5"/>
  <c r="CE160" i="5"/>
  <c r="CD160" i="5"/>
  <c r="CA160" i="5"/>
  <c r="CC160" i="5"/>
  <c r="BY160" i="5"/>
  <c r="BV160" i="5"/>
  <c r="BW160" i="5"/>
  <c r="BU160" i="5"/>
  <c r="BR160" i="5"/>
  <c r="BT160" i="5"/>
  <c r="BS160" i="5"/>
  <c r="BM160" i="5"/>
  <c r="BQ160" i="5"/>
  <c r="BI160" i="5"/>
  <c r="BH160" i="5"/>
  <c r="BK160" i="5"/>
  <c r="BJ160" i="5"/>
  <c r="BG160" i="5"/>
  <c r="BF160" i="5"/>
  <c r="BE160" i="5"/>
  <c r="BD160" i="5"/>
  <c r="AY160" i="5"/>
  <c r="BA160" i="5"/>
  <c r="BP160" i="5" s="1"/>
  <c r="AZ160" i="5"/>
  <c r="AV160" i="5"/>
  <c r="BO160" i="5" s="1"/>
  <c r="AU160" i="5"/>
  <c r="BN160" i="5" s="1"/>
  <c r="CK217" i="5"/>
  <c r="CJ217" i="5"/>
  <c r="CG217" i="5"/>
  <c r="CF217" i="5"/>
  <c r="CI217" i="5"/>
  <c r="CH217" i="5"/>
  <c r="CE217" i="5"/>
  <c r="CD217" i="5"/>
  <c r="CC217" i="5"/>
  <c r="BX217" i="5"/>
  <c r="CA217" i="5"/>
  <c r="BZ217" i="5"/>
  <c r="BY217" i="5"/>
  <c r="BW217" i="5"/>
  <c r="BV217" i="5"/>
  <c r="BU217" i="5"/>
  <c r="BS217" i="5"/>
  <c r="BT217" i="5"/>
  <c r="BR217" i="5"/>
  <c r="BQ217" i="5"/>
  <c r="BJ217" i="5"/>
  <c r="BI217" i="5"/>
  <c r="BH217" i="5"/>
  <c r="BM217" i="5"/>
  <c r="BL217" i="5"/>
  <c r="BK217" i="5"/>
  <c r="BG217" i="5"/>
  <c r="BF217" i="5"/>
  <c r="BE217" i="5"/>
  <c r="BD217" i="5"/>
  <c r="AZ217" i="5"/>
  <c r="AY217" i="5"/>
  <c r="BA217" i="5"/>
  <c r="BP217" i="5" s="1"/>
  <c r="AU217" i="5"/>
  <c r="BB217" i="5" s="1"/>
  <c r="AV217" i="5"/>
  <c r="BC217" i="5" s="1"/>
  <c r="CK154" i="5"/>
  <c r="CG154" i="5"/>
  <c r="CI154" i="5"/>
  <c r="CF154" i="5"/>
  <c r="CE154" i="5"/>
  <c r="CD154" i="5"/>
  <c r="CC154" i="5"/>
  <c r="CA154" i="5"/>
  <c r="BY154" i="5"/>
  <c r="BV154" i="5"/>
  <c r="BU154" i="5"/>
  <c r="BW154" i="5"/>
  <c r="BT154" i="5"/>
  <c r="BS154" i="5"/>
  <c r="BR154" i="5"/>
  <c r="BQ154" i="5"/>
  <c r="BK154" i="5"/>
  <c r="BJ154" i="5"/>
  <c r="BI154" i="5"/>
  <c r="BH154" i="5"/>
  <c r="BM154" i="5"/>
  <c r="BG154" i="5"/>
  <c r="BF154" i="5"/>
  <c r="BE154" i="5"/>
  <c r="BD154" i="5"/>
  <c r="BA154" i="5"/>
  <c r="BP154" i="5" s="1"/>
  <c r="AZ154" i="5"/>
  <c r="AY154" i="5"/>
  <c r="AV154" i="5"/>
  <c r="BO154" i="5" s="1"/>
  <c r="AU154" i="5"/>
  <c r="BN154" i="5" s="1"/>
  <c r="CK203" i="5"/>
  <c r="CJ203" i="5"/>
  <c r="CH203" i="5"/>
  <c r="CI203" i="5"/>
  <c r="CF203" i="5"/>
  <c r="CG203" i="5"/>
  <c r="CE203" i="5"/>
  <c r="CD203" i="5"/>
  <c r="CC203" i="5"/>
  <c r="CA203" i="5"/>
  <c r="BZ203" i="5"/>
  <c r="BY203" i="5"/>
  <c r="BX203" i="5"/>
  <c r="BW203" i="5"/>
  <c r="BV203" i="5"/>
  <c r="BU203" i="5"/>
  <c r="BT203" i="5"/>
  <c r="BS203" i="5"/>
  <c r="BQ203" i="5"/>
  <c r="BR203" i="5"/>
  <c r="BL203" i="5"/>
  <c r="BK203" i="5"/>
  <c r="BM203" i="5"/>
  <c r="BJ203" i="5"/>
  <c r="BI203" i="5"/>
  <c r="BH203" i="5"/>
  <c r="BD203" i="5"/>
  <c r="BG203" i="5"/>
  <c r="BF203" i="5"/>
  <c r="BE203" i="5"/>
  <c r="BA203" i="5"/>
  <c r="BP203" i="5" s="1"/>
  <c r="AZ203" i="5"/>
  <c r="AY203" i="5"/>
  <c r="AV203" i="5"/>
  <c r="BO203" i="5" s="1"/>
  <c r="AU203" i="5"/>
  <c r="BN203" i="5" s="1"/>
  <c r="CK13" i="5"/>
  <c r="CF13" i="5"/>
  <c r="CI13" i="5"/>
  <c r="CD13" i="5"/>
  <c r="CE13" i="5"/>
  <c r="CC13" i="5"/>
  <c r="CG13" i="5"/>
  <c r="CA13" i="5"/>
  <c r="BW13" i="5"/>
  <c r="BY13" i="5"/>
  <c r="BV13" i="5"/>
  <c r="BU13" i="5"/>
  <c r="BT13" i="5"/>
  <c r="BS13" i="5"/>
  <c r="BR13" i="5"/>
  <c r="BQ13" i="5"/>
  <c r="BM13" i="5"/>
  <c r="BK13" i="5"/>
  <c r="BJ13" i="5"/>
  <c r="BI13" i="5"/>
  <c r="BH13" i="5"/>
  <c r="BG13" i="5"/>
  <c r="BF13" i="5"/>
  <c r="BE13" i="5"/>
  <c r="BD13" i="5"/>
  <c r="BA13" i="5"/>
  <c r="BP13" i="5" s="1"/>
  <c r="AZ13" i="5"/>
  <c r="AY13" i="5"/>
  <c r="AV13" i="5"/>
  <c r="BO13" i="5" s="1"/>
  <c r="AU13" i="5"/>
  <c r="BN13" i="5" s="1"/>
  <c r="CK14" i="5"/>
  <c r="CI14" i="5"/>
  <c r="CG14" i="5"/>
  <c r="CE14" i="5"/>
  <c r="CF14" i="5"/>
  <c r="CD14" i="5"/>
  <c r="CC14" i="5"/>
  <c r="CA14" i="5"/>
  <c r="BW14" i="5"/>
  <c r="BY14" i="5"/>
  <c r="BV14" i="5"/>
  <c r="BU14" i="5"/>
  <c r="BT14" i="5"/>
  <c r="BS14" i="5"/>
  <c r="BR14" i="5"/>
  <c r="BQ14" i="5"/>
  <c r="BM14" i="5"/>
  <c r="BG14" i="5"/>
  <c r="BK14" i="5"/>
  <c r="BJ14" i="5"/>
  <c r="BI14" i="5"/>
  <c r="BH14" i="5"/>
  <c r="BF14" i="5"/>
  <c r="BE14" i="5"/>
  <c r="BD14" i="5"/>
  <c r="BA14" i="5"/>
  <c r="AZ14" i="5"/>
  <c r="AY14" i="5"/>
  <c r="AV14" i="5"/>
  <c r="AU14" i="5"/>
  <c r="CK206" i="5"/>
  <c r="CG206" i="5"/>
  <c r="CI206" i="5"/>
  <c r="CE206" i="5"/>
  <c r="CF206" i="5"/>
  <c r="CD206" i="5"/>
  <c r="CC206" i="5"/>
  <c r="CA206" i="5"/>
  <c r="BY206" i="5"/>
  <c r="BW206" i="5"/>
  <c r="BV206" i="5"/>
  <c r="BU206" i="5"/>
  <c r="BT206" i="5"/>
  <c r="BS206" i="5"/>
  <c r="BQ206" i="5"/>
  <c r="BR206" i="5"/>
  <c r="BK206" i="5"/>
  <c r="BM206" i="5"/>
  <c r="BJ206" i="5"/>
  <c r="BI206" i="5"/>
  <c r="BH206" i="5"/>
  <c r="BG206" i="5"/>
  <c r="BF206" i="5"/>
  <c r="BE206" i="5"/>
  <c r="BD206" i="5"/>
  <c r="BA206" i="5"/>
  <c r="BP206" i="5" s="1"/>
  <c r="AZ206" i="5"/>
  <c r="AY206" i="5"/>
  <c r="AV206" i="5"/>
  <c r="BO206" i="5" s="1"/>
  <c r="AU206" i="5"/>
  <c r="BN206" i="5" s="1"/>
  <c r="CK143" i="5"/>
  <c r="CF143" i="5"/>
  <c r="CG143" i="5"/>
  <c r="CI143" i="5"/>
  <c r="CE143" i="5"/>
  <c r="CD143" i="5"/>
  <c r="CC143" i="5"/>
  <c r="CA143" i="5"/>
  <c r="BY143" i="5"/>
  <c r="BV143" i="5"/>
  <c r="BU143" i="5"/>
  <c r="BW143" i="5"/>
  <c r="BT143" i="5"/>
  <c r="BS143" i="5"/>
  <c r="BR143" i="5"/>
  <c r="BQ143" i="5"/>
  <c r="BM143" i="5"/>
  <c r="BH143" i="5"/>
  <c r="BK143" i="5"/>
  <c r="BJ143" i="5"/>
  <c r="BI143" i="5"/>
  <c r="BG143" i="5"/>
  <c r="BF143" i="5"/>
  <c r="BE143" i="5"/>
  <c r="BD143" i="5"/>
  <c r="BA143" i="5"/>
  <c r="BP143" i="5" s="1"/>
  <c r="AZ143" i="5"/>
  <c r="AY143" i="5"/>
  <c r="AV143" i="5"/>
  <c r="BC143" i="5" s="1"/>
  <c r="AU143" i="5"/>
  <c r="BN143" i="5" s="1"/>
  <c r="CK104" i="5"/>
  <c r="CF104" i="5"/>
  <c r="CI104" i="5"/>
  <c r="CG104" i="5"/>
  <c r="CE104" i="5"/>
  <c r="CD104" i="5"/>
  <c r="CC104" i="5"/>
  <c r="CA104" i="5"/>
  <c r="BY104" i="5"/>
  <c r="BW104" i="5"/>
  <c r="BV104" i="5"/>
  <c r="BU104" i="5"/>
  <c r="BR104" i="5"/>
  <c r="BT104" i="5"/>
  <c r="BS104" i="5"/>
  <c r="BM104" i="5"/>
  <c r="BQ104" i="5"/>
  <c r="BI104" i="5"/>
  <c r="BH104" i="5"/>
  <c r="BK104" i="5"/>
  <c r="BJ104" i="5"/>
  <c r="BF104" i="5"/>
  <c r="BE104" i="5"/>
  <c r="BD104" i="5"/>
  <c r="BG104" i="5"/>
  <c r="AY104" i="5"/>
  <c r="BA104" i="5"/>
  <c r="BP104" i="5" s="1"/>
  <c r="AZ104" i="5"/>
  <c r="AV104" i="5"/>
  <c r="BO104" i="5" s="1"/>
  <c r="AU104" i="5"/>
  <c r="BB104" i="5" s="1"/>
  <c r="CK97" i="5"/>
  <c r="CI97" i="5"/>
  <c r="CG97" i="5"/>
  <c r="CF97" i="5"/>
  <c r="CE97" i="5"/>
  <c r="CD97" i="5"/>
  <c r="CA97" i="5"/>
  <c r="CC97" i="5"/>
  <c r="BY97" i="5"/>
  <c r="BV97" i="5"/>
  <c r="BW97" i="5"/>
  <c r="BU97" i="5"/>
  <c r="BS97" i="5"/>
  <c r="BR97" i="5"/>
  <c r="BT97" i="5"/>
  <c r="BQ97" i="5"/>
  <c r="BJ97" i="5"/>
  <c r="BI97" i="5"/>
  <c r="BH97" i="5"/>
  <c r="BM97" i="5"/>
  <c r="BG97" i="5"/>
  <c r="BK97" i="5"/>
  <c r="BF97" i="5"/>
  <c r="BE97" i="5"/>
  <c r="BD97" i="5"/>
  <c r="AZ97" i="5"/>
  <c r="AY97" i="5"/>
  <c r="BA97" i="5"/>
  <c r="BP97" i="5" s="1"/>
  <c r="AV97" i="5"/>
  <c r="BC97" i="5" s="1"/>
  <c r="AU97" i="5"/>
  <c r="BB97" i="5" s="1"/>
  <c r="CK161" i="5"/>
  <c r="CG161" i="5"/>
  <c r="CF161" i="5"/>
  <c r="CI161" i="5"/>
  <c r="CE161" i="5"/>
  <c r="CD161" i="5"/>
  <c r="CA161" i="5"/>
  <c r="CC161" i="5"/>
  <c r="BY161" i="5"/>
  <c r="BV161" i="5"/>
  <c r="BW161" i="5"/>
  <c r="BU161" i="5"/>
  <c r="BS161" i="5"/>
  <c r="BR161" i="5"/>
  <c r="BT161" i="5"/>
  <c r="BQ161" i="5"/>
  <c r="BJ161" i="5"/>
  <c r="BI161" i="5"/>
  <c r="BH161" i="5"/>
  <c r="BM161" i="5"/>
  <c r="BK161" i="5"/>
  <c r="BG161" i="5"/>
  <c r="BF161" i="5"/>
  <c r="BE161" i="5"/>
  <c r="BD161" i="5"/>
  <c r="AZ161" i="5"/>
  <c r="AY161" i="5"/>
  <c r="BA161" i="5"/>
  <c r="BP161" i="5" s="1"/>
  <c r="AV161" i="5"/>
  <c r="BC161" i="5" s="1"/>
  <c r="AU161" i="5"/>
  <c r="BB161" i="5" s="1"/>
  <c r="CK34" i="5"/>
  <c r="CI34" i="5"/>
  <c r="CG34" i="5"/>
  <c r="CE34" i="5"/>
  <c r="CF34" i="5"/>
  <c r="CD34" i="5"/>
  <c r="CC34" i="5"/>
  <c r="CA34" i="5"/>
  <c r="BY34" i="5"/>
  <c r="BW34" i="5"/>
  <c r="BV34" i="5"/>
  <c r="BU34" i="5"/>
  <c r="BT34" i="5"/>
  <c r="BS34" i="5"/>
  <c r="BR34" i="5"/>
  <c r="BM34" i="5"/>
  <c r="BQ34" i="5"/>
  <c r="BK34" i="5"/>
  <c r="BJ34" i="5"/>
  <c r="BI34" i="5"/>
  <c r="BH34" i="5"/>
  <c r="BG34" i="5"/>
  <c r="BF34" i="5"/>
  <c r="BE34" i="5"/>
  <c r="BD34" i="5"/>
  <c r="BA34" i="5"/>
  <c r="BP34" i="5" s="1"/>
  <c r="AZ34" i="5"/>
  <c r="AY34" i="5"/>
  <c r="AV34" i="5"/>
  <c r="BC34" i="5" s="1"/>
  <c r="AU34" i="5"/>
  <c r="BN34" i="5" s="1"/>
  <c r="CG226" i="5"/>
  <c r="CI226" i="5"/>
  <c r="CJ226" i="5"/>
  <c r="CF226" i="5"/>
  <c r="CK226" i="5"/>
  <c r="CE226" i="5"/>
  <c r="CD226" i="5"/>
  <c r="CH226" i="5"/>
  <c r="CC226" i="5"/>
  <c r="CA226" i="5"/>
  <c r="BZ226" i="5"/>
  <c r="BY226" i="5"/>
  <c r="BX226" i="5"/>
  <c r="BW226" i="5"/>
  <c r="BV226" i="5"/>
  <c r="BU226" i="5"/>
  <c r="BT226" i="5"/>
  <c r="BS226" i="5"/>
  <c r="BR226" i="5"/>
  <c r="BQ226" i="5"/>
  <c r="BK226" i="5"/>
  <c r="BJ226" i="5"/>
  <c r="BI226" i="5"/>
  <c r="BL226" i="5"/>
  <c r="BH226" i="5"/>
  <c r="BM226" i="5"/>
  <c r="BG226" i="5"/>
  <c r="BF226" i="5"/>
  <c r="BE226" i="5"/>
  <c r="BD226" i="5"/>
  <c r="BA226" i="5"/>
  <c r="BP226" i="5" s="1"/>
  <c r="AZ226" i="5"/>
  <c r="AY226" i="5"/>
  <c r="AV226" i="5"/>
  <c r="BO226" i="5" s="1"/>
  <c r="AU226" i="5"/>
  <c r="BN226" i="5" s="1"/>
  <c r="CK83" i="5"/>
  <c r="CJ83" i="5"/>
  <c r="CI83" i="5"/>
  <c r="CH83" i="5"/>
  <c r="CG83" i="5"/>
  <c r="CF83" i="5"/>
  <c r="CE83" i="5"/>
  <c r="CD83" i="5"/>
  <c r="CC83" i="5"/>
  <c r="CA83" i="5"/>
  <c r="BZ83" i="5"/>
  <c r="BY83" i="5"/>
  <c r="BX83" i="5"/>
  <c r="BW83" i="5"/>
  <c r="BV83" i="5"/>
  <c r="BU83" i="5"/>
  <c r="BT83" i="5"/>
  <c r="BS83" i="5"/>
  <c r="BQ83" i="5"/>
  <c r="BR83" i="5"/>
  <c r="BM83" i="5"/>
  <c r="BL83" i="5"/>
  <c r="BK83" i="5"/>
  <c r="BJ83" i="5"/>
  <c r="BI83" i="5"/>
  <c r="BH83" i="5"/>
  <c r="BD83" i="5"/>
  <c r="BG83" i="5"/>
  <c r="BF83" i="5"/>
  <c r="BE83" i="5"/>
  <c r="BA83" i="5"/>
  <c r="BP83" i="5" s="1"/>
  <c r="AZ83" i="5"/>
  <c r="AY83" i="5"/>
  <c r="AV83" i="5"/>
  <c r="BC83" i="5" s="1"/>
  <c r="AU83" i="5"/>
  <c r="BB83" i="5" s="1"/>
  <c r="CK147" i="5"/>
  <c r="CI147" i="5"/>
  <c r="CG147" i="5"/>
  <c r="CF147" i="5"/>
  <c r="CE147" i="5"/>
  <c r="CD147" i="5"/>
  <c r="CC147" i="5"/>
  <c r="CA147" i="5"/>
  <c r="BY147" i="5"/>
  <c r="BW147" i="5"/>
  <c r="BV147" i="5"/>
  <c r="BU147" i="5"/>
  <c r="BT147" i="5"/>
  <c r="BS147" i="5"/>
  <c r="BQ147" i="5"/>
  <c r="BR147" i="5"/>
  <c r="BM147" i="5"/>
  <c r="BK147" i="5"/>
  <c r="BJ147" i="5"/>
  <c r="BI147" i="5"/>
  <c r="BH147" i="5"/>
  <c r="BD147" i="5"/>
  <c r="BG147" i="5"/>
  <c r="BF147" i="5"/>
  <c r="BE147" i="5"/>
  <c r="BA147" i="5"/>
  <c r="BP147" i="5" s="1"/>
  <c r="AZ147" i="5"/>
  <c r="AY147" i="5"/>
  <c r="AU147" i="5"/>
  <c r="BB147" i="5" s="1"/>
  <c r="AV147" i="5"/>
  <c r="BC147" i="5" s="1"/>
  <c r="CK21" i="5"/>
  <c r="CI21" i="5"/>
  <c r="CG21" i="5"/>
  <c r="CF21" i="5"/>
  <c r="CD21" i="5"/>
  <c r="CC21" i="5"/>
  <c r="CE21" i="5"/>
  <c r="CA21" i="5"/>
  <c r="BW21" i="5"/>
  <c r="BY21" i="5"/>
  <c r="BV21" i="5"/>
  <c r="BU21" i="5"/>
  <c r="BT21" i="5"/>
  <c r="BS21" i="5"/>
  <c r="BR21" i="5"/>
  <c r="BQ21" i="5"/>
  <c r="BM21" i="5"/>
  <c r="BK21" i="5"/>
  <c r="BJ21" i="5"/>
  <c r="BI21" i="5"/>
  <c r="BH21" i="5"/>
  <c r="BG21" i="5"/>
  <c r="BF21" i="5"/>
  <c r="BE21" i="5"/>
  <c r="BD21" i="5"/>
  <c r="BA21" i="5"/>
  <c r="BP21" i="5" s="1"/>
  <c r="AZ21" i="5"/>
  <c r="AY21" i="5"/>
  <c r="AV21" i="5"/>
  <c r="BO21" i="5" s="1"/>
  <c r="AU21" i="5"/>
  <c r="BN21" i="5" s="1"/>
  <c r="CK149" i="5"/>
  <c r="CJ149" i="5"/>
  <c r="CI149" i="5"/>
  <c r="CH149" i="5"/>
  <c r="CG149" i="5"/>
  <c r="CF149" i="5"/>
  <c r="CE149" i="5"/>
  <c r="CC149" i="5"/>
  <c r="CD149" i="5"/>
  <c r="CA149" i="5"/>
  <c r="BW149" i="5"/>
  <c r="BZ149" i="5"/>
  <c r="BY149" i="5"/>
  <c r="BX149" i="5"/>
  <c r="BV149" i="5"/>
  <c r="BU149" i="5"/>
  <c r="BT149" i="5"/>
  <c r="BS149" i="5"/>
  <c r="BR149" i="5"/>
  <c r="BQ149" i="5"/>
  <c r="BL149" i="5"/>
  <c r="BK149" i="5"/>
  <c r="BM149" i="5"/>
  <c r="BJ149" i="5"/>
  <c r="BI149" i="5"/>
  <c r="BH149" i="5"/>
  <c r="BF149" i="5"/>
  <c r="BE149" i="5"/>
  <c r="BD149" i="5"/>
  <c r="BG149" i="5"/>
  <c r="BA149" i="5"/>
  <c r="BP149" i="5" s="1"/>
  <c r="AZ149" i="5"/>
  <c r="AY149" i="5"/>
  <c r="AU149" i="5"/>
  <c r="BN149" i="5" s="1"/>
  <c r="AV149" i="5"/>
  <c r="BO149" i="5" s="1"/>
  <c r="CK86" i="5"/>
  <c r="CJ86" i="5"/>
  <c r="CI86" i="5"/>
  <c r="CH86" i="5"/>
  <c r="CG86" i="5"/>
  <c r="CE86" i="5"/>
  <c r="CD86" i="5"/>
  <c r="CF86" i="5"/>
  <c r="CC86" i="5"/>
  <c r="CA86" i="5"/>
  <c r="BX86" i="5"/>
  <c r="BZ86" i="5"/>
  <c r="BY86" i="5"/>
  <c r="BV86" i="5"/>
  <c r="BU86" i="5"/>
  <c r="BW86" i="5"/>
  <c r="BT86" i="5"/>
  <c r="BS86" i="5"/>
  <c r="BR86" i="5"/>
  <c r="BQ86" i="5"/>
  <c r="BG86" i="5"/>
  <c r="BL86" i="5"/>
  <c r="BK86" i="5"/>
  <c r="BJ86" i="5"/>
  <c r="BI86" i="5"/>
  <c r="BM86" i="5"/>
  <c r="BH86" i="5"/>
  <c r="BF86" i="5"/>
  <c r="BE86" i="5"/>
  <c r="BD86" i="5"/>
  <c r="BA86" i="5"/>
  <c r="BP86" i="5" s="1"/>
  <c r="AZ86" i="5"/>
  <c r="AY86" i="5"/>
  <c r="AV86" i="5"/>
  <c r="BC86" i="5" s="1"/>
  <c r="AU86" i="5"/>
  <c r="BB86" i="5" s="1"/>
  <c r="CK150" i="5"/>
  <c r="CI150" i="5"/>
  <c r="CG150" i="5"/>
  <c r="CE150" i="5"/>
  <c r="CD150" i="5"/>
  <c r="CF150" i="5"/>
  <c r="CC150" i="5"/>
  <c r="CA150" i="5"/>
  <c r="BY150" i="5"/>
  <c r="BV150" i="5"/>
  <c r="BU150" i="5"/>
  <c r="BW150" i="5"/>
  <c r="BT150" i="5"/>
  <c r="BS150" i="5"/>
  <c r="BQ150" i="5"/>
  <c r="BR150" i="5"/>
  <c r="BK150" i="5"/>
  <c r="BM150" i="5"/>
  <c r="BJ150" i="5"/>
  <c r="BI150" i="5"/>
  <c r="BH150" i="5"/>
  <c r="BG150" i="5"/>
  <c r="BF150" i="5"/>
  <c r="BE150" i="5"/>
  <c r="BD150" i="5"/>
  <c r="BA150" i="5"/>
  <c r="BP150" i="5" s="1"/>
  <c r="AZ150" i="5"/>
  <c r="AY150" i="5"/>
  <c r="AU150" i="5"/>
  <c r="BB150" i="5" s="1"/>
  <c r="AV150" i="5"/>
  <c r="BO150" i="5" s="1"/>
  <c r="CK23" i="5"/>
  <c r="CI23" i="5"/>
  <c r="CF23" i="5"/>
  <c r="CE23" i="5"/>
  <c r="CD23" i="5"/>
  <c r="CG23" i="5"/>
  <c r="CC23" i="5"/>
  <c r="CA23" i="5"/>
  <c r="BW23" i="5"/>
  <c r="BY23" i="5"/>
  <c r="BV23" i="5"/>
  <c r="BU23" i="5"/>
  <c r="BQ23" i="5"/>
  <c r="BT23" i="5"/>
  <c r="BS23" i="5"/>
  <c r="BR23" i="5"/>
  <c r="BM23" i="5"/>
  <c r="BH23" i="5"/>
  <c r="BG23" i="5"/>
  <c r="BK23" i="5"/>
  <c r="BJ23" i="5"/>
  <c r="BI23" i="5"/>
  <c r="BF23" i="5"/>
  <c r="BE23" i="5"/>
  <c r="BD23" i="5"/>
  <c r="BA23" i="5"/>
  <c r="BP23" i="5" s="1"/>
  <c r="AZ23" i="5"/>
  <c r="AY23" i="5"/>
  <c r="AU23" i="5"/>
  <c r="BN23" i="5" s="1"/>
  <c r="AV23" i="5"/>
  <c r="BO23" i="5" s="1"/>
  <c r="CK215" i="5"/>
  <c r="CJ215" i="5"/>
  <c r="CF215" i="5"/>
  <c r="CI215" i="5"/>
  <c r="CH215" i="5"/>
  <c r="CE215" i="5"/>
  <c r="CD215" i="5"/>
  <c r="CG215" i="5"/>
  <c r="CC215" i="5"/>
  <c r="CA215" i="5"/>
  <c r="BX215" i="5"/>
  <c r="BZ215" i="5"/>
  <c r="BY215" i="5"/>
  <c r="BW215" i="5"/>
  <c r="BV215" i="5"/>
  <c r="BU215" i="5"/>
  <c r="BT215" i="5"/>
  <c r="BS215" i="5"/>
  <c r="BR215" i="5"/>
  <c r="BQ215" i="5"/>
  <c r="BH215" i="5"/>
  <c r="BL215" i="5"/>
  <c r="BM215" i="5"/>
  <c r="BK215" i="5"/>
  <c r="BJ215" i="5"/>
  <c r="BI215" i="5"/>
  <c r="BG215" i="5"/>
  <c r="BF215" i="5"/>
  <c r="BE215" i="5"/>
  <c r="BD215" i="5"/>
  <c r="BA215" i="5"/>
  <c r="BP215" i="5" s="1"/>
  <c r="AZ215" i="5"/>
  <c r="AY215" i="5"/>
  <c r="AU215" i="5"/>
  <c r="BN215" i="5" s="1"/>
  <c r="AV215" i="5"/>
  <c r="BO215" i="5" s="1"/>
  <c r="CJ48" i="5"/>
  <c r="CK48" i="5"/>
  <c r="CI48" i="5"/>
  <c r="CF48" i="5"/>
  <c r="CH48" i="5"/>
  <c r="CG48" i="5"/>
  <c r="CE48" i="5"/>
  <c r="CD48" i="5"/>
  <c r="CC48" i="5"/>
  <c r="CA48" i="5"/>
  <c r="BZ48" i="5"/>
  <c r="BX48" i="5"/>
  <c r="BW48" i="5"/>
  <c r="BY48" i="5"/>
  <c r="BV48" i="5"/>
  <c r="BU48" i="5"/>
  <c r="BR48" i="5"/>
  <c r="BT48" i="5"/>
  <c r="BS48" i="5"/>
  <c r="BM48" i="5"/>
  <c r="BQ48" i="5"/>
  <c r="BI48" i="5"/>
  <c r="BH48" i="5"/>
  <c r="BL48" i="5"/>
  <c r="BK48" i="5"/>
  <c r="BJ48" i="5"/>
  <c r="BF48" i="5"/>
  <c r="BE48" i="5"/>
  <c r="BD48" i="5"/>
  <c r="BG48" i="5"/>
  <c r="AY48" i="5"/>
  <c r="BA48" i="5"/>
  <c r="BP48" i="5" s="1"/>
  <c r="AZ48" i="5"/>
  <c r="AV48" i="5"/>
  <c r="BO48" i="5" s="1"/>
  <c r="AU48" i="5"/>
  <c r="BB48" i="5" s="1"/>
  <c r="CK176" i="5"/>
  <c r="CJ176" i="5"/>
  <c r="CF176" i="5"/>
  <c r="CH176" i="5"/>
  <c r="CG176" i="5"/>
  <c r="CI176" i="5"/>
  <c r="CE176" i="5"/>
  <c r="CD176" i="5"/>
  <c r="CA176" i="5"/>
  <c r="CC176" i="5"/>
  <c r="BZ176" i="5"/>
  <c r="BY176" i="5"/>
  <c r="BX176" i="5"/>
  <c r="BW176" i="5"/>
  <c r="BV176" i="5"/>
  <c r="BU176" i="5"/>
  <c r="BR176" i="5"/>
  <c r="BT176" i="5"/>
  <c r="BS176" i="5"/>
  <c r="BM176" i="5"/>
  <c r="BQ176" i="5"/>
  <c r="BI176" i="5"/>
  <c r="BH176" i="5"/>
  <c r="BL176" i="5"/>
  <c r="BK176" i="5"/>
  <c r="BJ176" i="5"/>
  <c r="BG176" i="5"/>
  <c r="BF176" i="5"/>
  <c r="BE176" i="5"/>
  <c r="BD176" i="5"/>
  <c r="AY176" i="5"/>
  <c r="BA176" i="5"/>
  <c r="BP176" i="5" s="1"/>
  <c r="AZ176" i="5"/>
  <c r="AV176" i="5"/>
  <c r="BO176" i="5" s="1"/>
  <c r="AU176" i="5"/>
  <c r="BN176" i="5" s="1"/>
  <c r="CK41" i="5"/>
  <c r="CI41" i="5"/>
  <c r="CG41" i="5"/>
  <c r="CF41" i="5"/>
  <c r="CE41" i="5"/>
  <c r="CD41" i="5"/>
  <c r="CC41" i="5"/>
  <c r="CA41" i="5"/>
  <c r="BY41" i="5"/>
  <c r="BW41" i="5"/>
  <c r="BV41" i="5"/>
  <c r="BU41" i="5"/>
  <c r="BS41" i="5"/>
  <c r="BR41" i="5"/>
  <c r="BT41" i="5"/>
  <c r="BM41" i="5"/>
  <c r="BQ41" i="5"/>
  <c r="BJ41" i="5"/>
  <c r="BI41" i="5"/>
  <c r="BH41" i="5"/>
  <c r="BG41" i="5"/>
  <c r="BK41" i="5"/>
  <c r="BF41" i="5"/>
  <c r="BE41" i="5"/>
  <c r="BD41" i="5"/>
  <c r="AZ41" i="5"/>
  <c r="AY41" i="5"/>
  <c r="BA41" i="5"/>
  <c r="BP41" i="5" s="1"/>
  <c r="AV41" i="5"/>
  <c r="BO41" i="5" s="1"/>
  <c r="AU41" i="5"/>
  <c r="BB41" i="5" s="1"/>
  <c r="CJ233" i="5"/>
  <c r="CK233" i="5"/>
  <c r="CH233" i="5"/>
  <c r="CG233" i="5"/>
  <c r="CF233" i="5"/>
  <c r="CI233" i="5"/>
  <c r="CE233" i="5"/>
  <c r="CD233" i="5"/>
  <c r="CC233" i="5"/>
  <c r="CA233" i="5"/>
  <c r="BX233" i="5"/>
  <c r="BZ233" i="5"/>
  <c r="BY233" i="5"/>
  <c r="BW233" i="5"/>
  <c r="BV233" i="5"/>
  <c r="BS233" i="5"/>
  <c r="BU233" i="5"/>
  <c r="BT233" i="5"/>
  <c r="BR233" i="5"/>
  <c r="BQ233" i="5"/>
  <c r="BJ233" i="5"/>
  <c r="BI233" i="5"/>
  <c r="BH233" i="5"/>
  <c r="BM233" i="5"/>
  <c r="BL233" i="5"/>
  <c r="BK233" i="5"/>
  <c r="BG233" i="5"/>
  <c r="BF233" i="5"/>
  <c r="BE233" i="5"/>
  <c r="BD233" i="5"/>
  <c r="AZ233" i="5"/>
  <c r="AY233" i="5"/>
  <c r="BA233" i="5"/>
  <c r="BP233" i="5" s="1"/>
  <c r="AV233" i="5"/>
  <c r="BO233" i="5" s="1"/>
  <c r="AU233" i="5"/>
  <c r="BN233" i="5" s="1"/>
  <c r="CK106" i="5"/>
  <c r="CJ106" i="5"/>
  <c r="CI106" i="5"/>
  <c r="CH106" i="5"/>
  <c r="CG106" i="5"/>
  <c r="CF106" i="5"/>
  <c r="CE106" i="5"/>
  <c r="CD106" i="5"/>
  <c r="CA106" i="5"/>
  <c r="CC106" i="5"/>
  <c r="BX106" i="5"/>
  <c r="BZ106" i="5"/>
  <c r="BY106" i="5"/>
  <c r="BW106" i="5"/>
  <c r="BV106" i="5"/>
  <c r="BU106" i="5"/>
  <c r="BT106" i="5"/>
  <c r="BS106" i="5"/>
  <c r="BR106" i="5"/>
  <c r="BQ106" i="5"/>
  <c r="BL106" i="5"/>
  <c r="BK106" i="5"/>
  <c r="BM106" i="5"/>
  <c r="BJ106" i="5"/>
  <c r="BI106" i="5"/>
  <c r="BH106" i="5"/>
  <c r="BG106" i="5"/>
  <c r="BF106" i="5"/>
  <c r="BE106" i="5"/>
  <c r="BD106" i="5"/>
  <c r="BA106" i="5"/>
  <c r="BP106" i="5" s="1"/>
  <c r="AZ106" i="5"/>
  <c r="AY106" i="5"/>
  <c r="AV106" i="5"/>
  <c r="BO106" i="5" s="1"/>
  <c r="AU106" i="5"/>
  <c r="BN106" i="5" s="1"/>
  <c r="CJ234" i="5"/>
  <c r="CK234" i="5"/>
  <c r="CH234" i="5"/>
  <c r="CG234" i="5"/>
  <c r="CF234" i="5"/>
  <c r="CI234" i="5"/>
  <c r="CE234" i="5"/>
  <c r="CD234" i="5"/>
  <c r="CC234" i="5"/>
  <c r="CA234" i="5"/>
  <c r="BX234" i="5"/>
  <c r="BZ234" i="5"/>
  <c r="BY234" i="5"/>
  <c r="BW234" i="5"/>
  <c r="BV234" i="5"/>
  <c r="BT234" i="5"/>
  <c r="BS234" i="5"/>
  <c r="BU234" i="5"/>
  <c r="BR234" i="5"/>
  <c r="BQ234" i="5"/>
  <c r="BL234" i="5"/>
  <c r="BK234" i="5"/>
  <c r="BJ234" i="5"/>
  <c r="BI234" i="5"/>
  <c r="BH234" i="5"/>
  <c r="BM234" i="5"/>
  <c r="BG234" i="5"/>
  <c r="BF234" i="5"/>
  <c r="BE234" i="5"/>
  <c r="BD234" i="5"/>
  <c r="BA234" i="5"/>
  <c r="BP234" i="5" s="1"/>
  <c r="AZ234" i="5"/>
  <c r="AY234" i="5"/>
  <c r="AV234" i="5"/>
  <c r="BO234" i="5" s="1"/>
  <c r="AU234" i="5"/>
  <c r="BN234" i="5" s="1"/>
  <c r="CK27" i="5"/>
  <c r="CJ27" i="5"/>
  <c r="CI27" i="5"/>
  <c r="CH27" i="5"/>
  <c r="CG27" i="5"/>
  <c r="CF27" i="5"/>
  <c r="CE27" i="5"/>
  <c r="CD27" i="5"/>
  <c r="CC27" i="5"/>
  <c r="CA27" i="5"/>
  <c r="BZ27" i="5"/>
  <c r="BY27" i="5"/>
  <c r="BX27" i="5"/>
  <c r="BV27" i="5"/>
  <c r="BW27" i="5"/>
  <c r="BU27" i="5"/>
  <c r="BT27" i="5"/>
  <c r="BS27" i="5"/>
  <c r="BR27" i="5"/>
  <c r="BQ27" i="5"/>
  <c r="BM27" i="5"/>
  <c r="BL27" i="5"/>
  <c r="BK27" i="5"/>
  <c r="BJ27" i="5"/>
  <c r="BI27" i="5"/>
  <c r="BH27" i="5"/>
  <c r="BD27" i="5"/>
  <c r="BG27" i="5"/>
  <c r="BF27" i="5"/>
  <c r="BE27" i="5"/>
  <c r="BA27" i="5"/>
  <c r="BP27" i="5" s="1"/>
  <c r="AZ27" i="5"/>
  <c r="AY27" i="5"/>
  <c r="AV27" i="5"/>
  <c r="BO27" i="5" s="1"/>
  <c r="AU27" i="5"/>
  <c r="BB27" i="5" s="1"/>
  <c r="CK91" i="5"/>
  <c r="CI91" i="5"/>
  <c r="CG91" i="5"/>
  <c r="CF91" i="5"/>
  <c r="CE91" i="5"/>
  <c r="CD91" i="5"/>
  <c r="CC91" i="5"/>
  <c r="CA91" i="5"/>
  <c r="BY91" i="5"/>
  <c r="BW91" i="5"/>
  <c r="BV91" i="5"/>
  <c r="BU91" i="5"/>
  <c r="BT91" i="5"/>
  <c r="BS91" i="5"/>
  <c r="BQ91" i="5"/>
  <c r="BM91" i="5"/>
  <c r="BR91" i="5"/>
  <c r="BK91" i="5"/>
  <c r="BJ91" i="5"/>
  <c r="BI91" i="5"/>
  <c r="BH91" i="5"/>
  <c r="BD91" i="5"/>
  <c r="BG91" i="5"/>
  <c r="BF91" i="5"/>
  <c r="BE91" i="5"/>
  <c r="BA91" i="5"/>
  <c r="BP91" i="5" s="1"/>
  <c r="AZ91" i="5"/>
  <c r="AY91" i="5"/>
  <c r="AV91" i="5"/>
  <c r="BC91" i="5" s="1"/>
  <c r="AU91" i="5"/>
  <c r="BN91" i="5" s="1"/>
  <c r="CK155" i="5"/>
  <c r="CI155" i="5"/>
  <c r="CG155" i="5"/>
  <c r="CF155" i="5"/>
  <c r="CE155" i="5"/>
  <c r="CD155" i="5"/>
  <c r="CC155" i="5"/>
  <c r="CA155" i="5"/>
  <c r="BY155" i="5"/>
  <c r="BW155" i="5"/>
  <c r="BV155" i="5"/>
  <c r="BU155" i="5"/>
  <c r="BT155" i="5"/>
  <c r="BS155" i="5"/>
  <c r="BQ155" i="5"/>
  <c r="BR155" i="5"/>
  <c r="BM155" i="5"/>
  <c r="BK155" i="5"/>
  <c r="BJ155" i="5"/>
  <c r="BI155" i="5"/>
  <c r="BH155" i="5"/>
  <c r="BD155" i="5"/>
  <c r="BG155" i="5"/>
  <c r="BF155" i="5"/>
  <c r="BE155" i="5"/>
  <c r="BA155" i="5"/>
  <c r="BP155" i="5" s="1"/>
  <c r="AZ155" i="5"/>
  <c r="AY155" i="5"/>
  <c r="AU155" i="5"/>
  <c r="BB155" i="5" s="1"/>
  <c r="AV155" i="5"/>
  <c r="BO155" i="5" s="1"/>
  <c r="CK219" i="5"/>
  <c r="CJ219" i="5"/>
  <c r="CI219" i="5"/>
  <c r="CH219" i="5"/>
  <c r="CG219" i="5"/>
  <c r="CF219" i="5"/>
  <c r="CE219" i="5"/>
  <c r="CD219" i="5"/>
  <c r="CC219" i="5"/>
  <c r="CA219" i="5"/>
  <c r="BZ219" i="5"/>
  <c r="BY219" i="5"/>
  <c r="BX219" i="5"/>
  <c r="BW219" i="5"/>
  <c r="BV219" i="5"/>
  <c r="BU219" i="5"/>
  <c r="BT219" i="5"/>
  <c r="BS219" i="5"/>
  <c r="BQ219" i="5"/>
  <c r="BR219" i="5"/>
  <c r="BM219" i="5"/>
  <c r="BK219" i="5"/>
  <c r="BJ219" i="5"/>
  <c r="BI219" i="5"/>
  <c r="BH219" i="5"/>
  <c r="BL219" i="5"/>
  <c r="BD219" i="5"/>
  <c r="BG219" i="5"/>
  <c r="BF219" i="5"/>
  <c r="BE219" i="5"/>
  <c r="BA219" i="5"/>
  <c r="BP219" i="5" s="1"/>
  <c r="AZ219" i="5"/>
  <c r="AY219" i="5"/>
  <c r="AU219" i="5"/>
  <c r="BB219" i="5" s="1"/>
  <c r="AV219" i="5"/>
  <c r="BO219" i="5" s="1"/>
  <c r="CK29" i="5"/>
  <c r="CG29" i="5"/>
  <c r="CF29" i="5"/>
  <c r="CD29" i="5"/>
  <c r="CC29" i="5"/>
  <c r="CE29" i="5"/>
  <c r="CI29" i="5"/>
  <c r="CA29" i="5"/>
  <c r="BW29" i="5"/>
  <c r="BY29" i="5"/>
  <c r="BV29" i="5"/>
  <c r="BU29" i="5"/>
  <c r="BT29" i="5"/>
  <c r="BS29" i="5"/>
  <c r="BR29" i="5"/>
  <c r="BQ29" i="5"/>
  <c r="BM29" i="5"/>
  <c r="BK29" i="5"/>
  <c r="BJ29" i="5"/>
  <c r="BI29" i="5"/>
  <c r="BH29" i="5"/>
  <c r="BG29" i="5"/>
  <c r="BF29" i="5"/>
  <c r="BE29" i="5"/>
  <c r="BD29" i="5"/>
  <c r="BA29" i="5"/>
  <c r="BP29" i="5" s="1"/>
  <c r="AZ29" i="5"/>
  <c r="AY29" i="5"/>
  <c r="AV29" i="5"/>
  <c r="BO29" i="5" s="1"/>
  <c r="AU29" i="5"/>
  <c r="BN29" i="5" s="1"/>
  <c r="CK93" i="5"/>
  <c r="CI93" i="5"/>
  <c r="CG93" i="5"/>
  <c r="CF93" i="5"/>
  <c r="CE93" i="5"/>
  <c r="CC93" i="5"/>
  <c r="CD93" i="5"/>
  <c r="CA93" i="5"/>
  <c r="BW93" i="5"/>
  <c r="BY93" i="5"/>
  <c r="BV93" i="5"/>
  <c r="BU93" i="5"/>
  <c r="BT93" i="5"/>
  <c r="BS93" i="5"/>
  <c r="BR93" i="5"/>
  <c r="BQ93" i="5"/>
  <c r="BM93" i="5"/>
  <c r="BK93" i="5"/>
  <c r="BJ93" i="5"/>
  <c r="BI93" i="5"/>
  <c r="BH93" i="5"/>
  <c r="BF93" i="5"/>
  <c r="BE93" i="5"/>
  <c r="BD93" i="5"/>
  <c r="BG93" i="5"/>
  <c r="BA93" i="5"/>
  <c r="BP93" i="5" s="1"/>
  <c r="AZ93" i="5"/>
  <c r="AY93" i="5"/>
  <c r="AV93" i="5"/>
  <c r="BO93" i="5" s="1"/>
  <c r="AU93" i="5"/>
  <c r="BB93" i="5" s="1"/>
  <c r="CK157" i="5"/>
  <c r="CI157" i="5"/>
  <c r="CG157" i="5"/>
  <c r="CF157" i="5"/>
  <c r="CE157" i="5"/>
  <c r="CC157" i="5"/>
  <c r="CD157" i="5"/>
  <c r="CA157" i="5"/>
  <c r="BW157" i="5"/>
  <c r="BY157" i="5"/>
  <c r="BV157" i="5"/>
  <c r="BU157" i="5"/>
  <c r="BT157" i="5"/>
  <c r="BS157" i="5"/>
  <c r="BR157" i="5"/>
  <c r="BQ157" i="5"/>
  <c r="BM157" i="5"/>
  <c r="BK157" i="5"/>
  <c r="BJ157" i="5"/>
  <c r="BI157" i="5"/>
  <c r="BH157" i="5"/>
  <c r="BF157" i="5"/>
  <c r="BE157" i="5"/>
  <c r="BD157" i="5"/>
  <c r="BG157" i="5"/>
  <c r="BA157" i="5"/>
  <c r="AZ157" i="5"/>
  <c r="AY157" i="5"/>
  <c r="AU157" i="5"/>
  <c r="AV157" i="5"/>
  <c r="CK221" i="5"/>
  <c r="CI221" i="5"/>
  <c r="CG221" i="5"/>
  <c r="CF221" i="5"/>
  <c r="CE221" i="5"/>
  <c r="CC221" i="5"/>
  <c r="CD221" i="5"/>
  <c r="CA221" i="5"/>
  <c r="BY221" i="5"/>
  <c r="BV221" i="5"/>
  <c r="BU221" i="5"/>
  <c r="BW221" i="5"/>
  <c r="BT221" i="5"/>
  <c r="BS221" i="5"/>
  <c r="BR221" i="5"/>
  <c r="BQ221" i="5"/>
  <c r="BM221" i="5"/>
  <c r="BK221" i="5"/>
  <c r="BJ221" i="5"/>
  <c r="BI221" i="5"/>
  <c r="BH221" i="5"/>
  <c r="BF221" i="5"/>
  <c r="BE221" i="5"/>
  <c r="BD221" i="5"/>
  <c r="BG221" i="5"/>
  <c r="BA221" i="5"/>
  <c r="BP221" i="5" s="1"/>
  <c r="AZ221" i="5"/>
  <c r="AY221" i="5"/>
  <c r="AU221" i="5"/>
  <c r="BB221" i="5" s="1"/>
  <c r="AV221" i="5"/>
  <c r="BO221" i="5" s="1"/>
  <c r="CK30" i="5"/>
  <c r="CI30" i="5"/>
  <c r="CE30" i="5"/>
  <c r="CG30" i="5"/>
  <c r="CF30" i="5"/>
  <c r="CD30" i="5"/>
  <c r="CC30" i="5"/>
  <c r="CA30" i="5"/>
  <c r="BW30" i="5"/>
  <c r="BY30" i="5"/>
  <c r="BV30" i="5"/>
  <c r="BU30" i="5"/>
  <c r="BT30" i="5"/>
  <c r="BS30" i="5"/>
  <c r="BR30" i="5"/>
  <c r="BQ30" i="5"/>
  <c r="BM30" i="5"/>
  <c r="BG30" i="5"/>
  <c r="BK30" i="5"/>
  <c r="BJ30" i="5"/>
  <c r="BI30" i="5"/>
  <c r="BH30" i="5"/>
  <c r="BF30" i="5"/>
  <c r="BE30" i="5"/>
  <c r="BD30" i="5"/>
  <c r="BA30" i="5"/>
  <c r="BP30" i="5" s="1"/>
  <c r="AZ30" i="5"/>
  <c r="AY30" i="5"/>
  <c r="AV30" i="5"/>
  <c r="BO30" i="5" s="1"/>
  <c r="AU30" i="5"/>
  <c r="BN30" i="5" s="1"/>
  <c r="CK94" i="5"/>
  <c r="CJ94" i="5"/>
  <c r="CI94" i="5"/>
  <c r="CG94" i="5"/>
  <c r="CH94" i="5"/>
  <c r="CE94" i="5"/>
  <c r="CD94" i="5"/>
  <c r="CF94" i="5"/>
  <c r="CC94" i="5"/>
  <c r="CA94" i="5"/>
  <c r="BZ94" i="5"/>
  <c r="BY94" i="5"/>
  <c r="BX94" i="5"/>
  <c r="BV94" i="5"/>
  <c r="BW94" i="5"/>
  <c r="BU94" i="5"/>
  <c r="BT94" i="5"/>
  <c r="BS94" i="5"/>
  <c r="BR94" i="5"/>
  <c r="BQ94" i="5"/>
  <c r="BG94" i="5"/>
  <c r="BM94" i="5"/>
  <c r="BL94" i="5"/>
  <c r="BK94" i="5"/>
  <c r="BJ94" i="5"/>
  <c r="BI94" i="5"/>
  <c r="BH94" i="5"/>
  <c r="BF94" i="5"/>
  <c r="BE94" i="5"/>
  <c r="BD94" i="5"/>
  <c r="BA94" i="5"/>
  <c r="BP94" i="5" s="1"/>
  <c r="AZ94" i="5"/>
  <c r="AY94" i="5"/>
  <c r="AV94" i="5"/>
  <c r="BC94" i="5" s="1"/>
  <c r="AU94" i="5"/>
  <c r="BN94" i="5" s="1"/>
  <c r="CK158" i="5"/>
  <c r="CI158" i="5"/>
  <c r="CG158" i="5"/>
  <c r="CE158" i="5"/>
  <c r="CD158" i="5"/>
  <c r="CF158" i="5"/>
  <c r="CC158" i="5"/>
  <c r="CA158" i="5"/>
  <c r="BY158" i="5"/>
  <c r="BV158" i="5"/>
  <c r="BW158" i="5"/>
  <c r="BU158" i="5"/>
  <c r="BT158" i="5"/>
  <c r="BS158" i="5"/>
  <c r="BQ158" i="5"/>
  <c r="BR158" i="5"/>
  <c r="BM158" i="5"/>
  <c r="BK158" i="5"/>
  <c r="BJ158" i="5"/>
  <c r="BI158" i="5"/>
  <c r="BH158" i="5"/>
  <c r="BG158" i="5"/>
  <c r="BF158" i="5"/>
  <c r="BE158" i="5"/>
  <c r="BD158" i="5"/>
  <c r="BA158" i="5"/>
  <c r="BP158" i="5" s="1"/>
  <c r="AZ158" i="5"/>
  <c r="AY158" i="5"/>
  <c r="AU158" i="5"/>
  <c r="BB158" i="5" s="1"/>
  <c r="AV158" i="5"/>
  <c r="BO158" i="5" s="1"/>
  <c r="CK222" i="5"/>
  <c r="CK288" i="5" s="1"/>
  <c r="CK289" i="5" s="1"/>
  <c r="CG222" i="5"/>
  <c r="CG288" i="5" s="1"/>
  <c r="CG289" i="5" s="1"/>
  <c r="CI222" i="5"/>
  <c r="CI288" i="5" s="1"/>
  <c r="CI289" i="5" s="1"/>
  <c r="CE222" i="5"/>
  <c r="CE288" i="5" s="1"/>
  <c r="CE289" i="5" s="1"/>
  <c r="CD222" i="5"/>
  <c r="CD288" i="5" s="1"/>
  <c r="CD289" i="5" s="1"/>
  <c r="CF222" i="5"/>
  <c r="CF288" i="5" s="1"/>
  <c r="CF289" i="5" s="1"/>
  <c r="CC222" i="5"/>
  <c r="CC288" i="5" s="1"/>
  <c r="CC289" i="5" s="1"/>
  <c r="CA222" i="5"/>
  <c r="CA288" i="5" s="1"/>
  <c r="CA289" i="5" s="1"/>
  <c r="BY222" i="5"/>
  <c r="BY288" i="5" s="1"/>
  <c r="BY289" i="5" s="1"/>
  <c r="BW222" i="5"/>
  <c r="BW288" i="5" s="1"/>
  <c r="BW289" i="5" s="1"/>
  <c r="BV222" i="5"/>
  <c r="BV288" i="5" s="1"/>
  <c r="BV289" i="5" s="1"/>
  <c r="BU222" i="5"/>
  <c r="BU288" i="5" s="1"/>
  <c r="BU289" i="5" s="1"/>
  <c r="BT222" i="5"/>
  <c r="BT288" i="5" s="1"/>
  <c r="BT289" i="5" s="1"/>
  <c r="BS222" i="5"/>
  <c r="BS288" i="5" s="1"/>
  <c r="BS289" i="5" s="1"/>
  <c r="BR222" i="5"/>
  <c r="BR288" i="5" s="1"/>
  <c r="BR289" i="5" s="1"/>
  <c r="BQ222" i="5"/>
  <c r="BQ288" i="5" s="1"/>
  <c r="BQ289" i="5" s="1"/>
  <c r="BM222" i="5"/>
  <c r="BM288" i="5" s="1"/>
  <c r="BM289" i="5" s="1"/>
  <c r="BK222" i="5"/>
  <c r="BK288" i="5" s="1"/>
  <c r="BK289" i="5" s="1"/>
  <c r="BJ222" i="5"/>
  <c r="BJ288" i="5" s="1"/>
  <c r="BJ289" i="5" s="1"/>
  <c r="BI222" i="5"/>
  <c r="BI288" i="5" s="1"/>
  <c r="BI289" i="5" s="1"/>
  <c r="BH222" i="5"/>
  <c r="BH288" i="5" s="1"/>
  <c r="BH289" i="5" s="1"/>
  <c r="BG222" i="5"/>
  <c r="BG288" i="5" s="1"/>
  <c r="BG289" i="5" s="1"/>
  <c r="BF222" i="5"/>
  <c r="BF288" i="5" s="1"/>
  <c r="BF289" i="5" s="1"/>
  <c r="BE222" i="5"/>
  <c r="BE288" i="5" s="1"/>
  <c r="BE289" i="5" s="1"/>
  <c r="BD222" i="5"/>
  <c r="BD288" i="5" s="1"/>
  <c r="BD289" i="5" s="1"/>
  <c r="BA222" i="5"/>
  <c r="AZ222" i="5"/>
  <c r="AZ288" i="5" s="1"/>
  <c r="AZ289" i="5" s="1"/>
  <c r="AY222" i="5"/>
  <c r="AY288" i="5" s="1"/>
  <c r="AY289" i="5" s="1"/>
  <c r="AU222" i="5"/>
  <c r="AV222" i="5"/>
  <c r="CK31" i="5"/>
  <c r="CI31" i="5"/>
  <c r="CE31" i="5"/>
  <c r="CG31" i="5"/>
  <c r="CF31" i="5"/>
  <c r="CD31" i="5"/>
  <c r="CC31" i="5"/>
  <c r="CA31" i="5"/>
  <c r="BW31" i="5"/>
  <c r="BY31" i="5"/>
  <c r="BV31" i="5"/>
  <c r="BU31" i="5"/>
  <c r="BT31" i="5"/>
  <c r="BS31" i="5"/>
  <c r="BR31" i="5"/>
  <c r="BM31" i="5"/>
  <c r="BQ31" i="5"/>
  <c r="BH31" i="5"/>
  <c r="BG31" i="5"/>
  <c r="BK31" i="5"/>
  <c r="BJ31" i="5"/>
  <c r="BI31" i="5"/>
  <c r="BF31" i="5"/>
  <c r="BE31" i="5"/>
  <c r="BD31" i="5"/>
  <c r="BA31" i="5"/>
  <c r="BP31" i="5" s="1"/>
  <c r="AZ31" i="5"/>
  <c r="AY31" i="5"/>
  <c r="AU31" i="5"/>
  <c r="BB31" i="5" s="1"/>
  <c r="AV31" i="5"/>
  <c r="BO31" i="5" s="1"/>
  <c r="CJ95" i="5"/>
  <c r="CK95" i="5"/>
  <c r="CF95" i="5"/>
  <c r="CI95" i="5"/>
  <c r="CG95" i="5"/>
  <c r="CH95" i="5"/>
  <c r="CE95" i="5"/>
  <c r="CD95" i="5"/>
  <c r="CC95" i="5"/>
  <c r="CA95" i="5"/>
  <c r="BZ95" i="5"/>
  <c r="BY95" i="5"/>
  <c r="BX95" i="5"/>
  <c r="BV95" i="5"/>
  <c r="BW95" i="5"/>
  <c r="BU95" i="5"/>
  <c r="BT95" i="5"/>
  <c r="BS95" i="5"/>
  <c r="BR95" i="5"/>
  <c r="BQ95" i="5"/>
  <c r="BM95" i="5"/>
  <c r="BH95" i="5"/>
  <c r="BL95" i="5"/>
  <c r="BK95" i="5"/>
  <c r="BJ95" i="5"/>
  <c r="BI95" i="5"/>
  <c r="BF95" i="5"/>
  <c r="BE95" i="5"/>
  <c r="BD95" i="5"/>
  <c r="BG95" i="5"/>
  <c r="BA95" i="5"/>
  <c r="BP95" i="5" s="1"/>
  <c r="AZ95" i="5"/>
  <c r="AY95" i="5"/>
  <c r="AU95" i="5"/>
  <c r="BB95" i="5" s="1"/>
  <c r="AV95" i="5"/>
  <c r="BO95" i="5" s="1"/>
  <c r="CK159" i="5"/>
  <c r="CF159" i="5"/>
  <c r="CI159" i="5"/>
  <c r="CG159" i="5"/>
  <c r="CE159" i="5"/>
  <c r="CD159" i="5"/>
  <c r="CC159" i="5"/>
  <c r="CA159" i="5"/>
  <c r="BY159" i="5"/>
  <c r="BV159" i="5"/>
  <c r="BW159" i="5"/>
  <c r="BU159" i="5"/>
  <c r="BT159" i="5"/>
  <c r="BS159" i="5"/>
  <c r="BR159" i="5"/>
  <c r="BQ159" i="5"/>
  <c r="BH159" i="5"/>
  <c r="BM159" i="5"/>
  <c r="BK159" i="5"/>
  <c r="BJ159" i="5"/>
  <c r="BI159" i="5"/>
  <c r="BG159" i="5"/>
  <c r="BF159" i="5"/>
  <c r="BE159" i="5"/>
  <c r="BD159" i="5"/>
  <c r="BA159" i="5"/>
  <c r="BP159" i="5" s="1"/>
  <c r="AZ159" i="5"/>
  <c r="AY159" i="5"/>
  <c r="AU159" i="5"/>
  <c r="BN159" i="5" s="1"/>
  <c r="AV159" i="5"/>
  <c r="BO159" i="5" s="1"/>
  <c r="CJ223" i="5"/>
  <c r="CK223" i="5"/>
  <c r="CH223" i="5"/>
  <c r="CF223" i="5"/>
  <c r="CG223" i="5"/>
  <c r="CI223" i="5"/>
  <c r="CE223" i="5"/>
  <c r="CD223" i="5"/>
  <c r="CC223" i="5"/>
  <c r="CA223" i="5"/>
  <c r="BZ223" i="5"/>
  <c r="BY223" i="5"/>
  <c r="BX223" i="5"/>
  <c r="BW223" i="5"/>
  <c r="BV223" i="5"/>
  <c r="BU223" i="5"/>
  <c r="BT223" i="5"/>
  <c r="BS223" i="5"/>
  <c r="BR223" i="5"/>
  <c r="BQ223" i="5"/>
  <c r="BL223" i="5"/>
  <c r="BH223" i="5"/>
  <c r="BM223" i="5"/>
  <c r="BK223" i="5"/>
  <c r="BJ223" i="5"/>
  <c r="BI223" i="5"/>
  <c r="BG223" i="5"/>
  <c r="BF223" i="5"/>
  <c r="BE223" i="5"/>
  <c r="BD223" i="5"/>
  <c r="BA223" i="5"/>
  <c r="AZ223" i="5"/>
  <c r="AY223" i="5"/>
  <c r="AU223" i="5"/>
  <c r="AV223" i="5"/>
  <c r="CK56" i="5"/>
  <c r="CI56" i="5"/>
  <c r="CG56" i="5"/>
  <c r="CF56" i="5"/>
  <c r="CE56" i="5"/>
  <c r="CD56" i="5"/>
  <c r="CC56" i="5"/>
  <c r="CA56" i="5"/>
  <c r="BW56" i="5"/>
  <c r="BY56" i="5"/>
  <c r="BV56" i="5"/>
  <c r="BU56" i="5"/>
  <c r="BR56" i="5"/>
  <c r="BT56" i="5"/>
  <c r="BS56" i="5"/>
  <c r="BM56" i="5"/>
  <c r="BQ56" i="5"/>
  <c r="BI56" i="5"/>
  <c r="BH56" i="5"/>
  <c r="BK56" i="5"/>
  <c r="BJ56" i="5"/>
  <c r="BG56" i="5"/>
  <c r="BF56" i="5"/>
  <c r="BE56" i="5"/>
  <c r="BD56" i="5"/>
  <c r="AY56" i="5"/>
  <c r="BA56" i="5"/>
  <c r="BP56" i="5" s="1"/>
  <c r="AZ56" i="5"/>
  <c r="AV56" i="5"/>
  <c r="BC56" i="5" s="1"/>
  <c r="AU56" i="5"/>
  <c r="BN56" i="5" s="1"/>
  <c r="CJ120" i="5"/>
  <c r="CK120" i="5"/>
  <c r="CI120" i="5"/>
  <c r="CH120" i="5"/>
  <c r="CG120" i="5"/>
  <c r="CF120" i="5"/>
  <c r="CE120" i="5"/>
  <c r="CD120" i="5"/>
  <c r="CC120" i="5"/>
  <c r="CA120" i="5"/>
  <c r="BX120" i="5"/>
  <c r="BZ120" i="5"/>
  <c r="BY120" i="5"/>
  <c r="BW120" i="5"/>
  <c r="BV120" i="5"/>
  <c r="BU120" i="5"/>
  <c r="BR120" i="5"/>
  <c r="BT120" i="5"/>
  <c r="BS120" i="5"/>
  <c r="BM120" i="5"/>
  <c r="BQ120" i="5"/>
  <c r="BL120" i="5"/>
  <c r="BI120" i="5"/>
  <c r="BH120" i="5"/>
  <c r="BK120" i="5"/>
  <c r="BJ120" i="5"/>
  <c r="BF120" i="5"/>
  <c r="BG120" i="5"/>
  <c r="BE120" i="5"/>
  <c r="BD120" i="5"/>
  <c r="AY120" i="5"/>
  <c r="BA120" i="5"/>
  <c r="AZ120" i="5"/>
  <c r="AV120" i="5"/>
  <c r="AU120" i="5"/>
  <c r="CK184" i="5"/>
  <c r="CI184" i="5"/>
  <c r="CG184" i="5"/>
  <c r="CF184" i="5"/>
  <c r="CE184" i="5"/>
  <c r="CD184" i="5"/>
  <c r="CA184" i="5"/>
  <c r="CC184" i="5"/>
  <c r="BY184" i="5"/>
  <c r="BW184" i="5"/>
  <c r="BV184" i="5"/>
  <c r="BU184" i="5"/>
  <c r="BR184" i="5"/>
  <c r="BT184" i="5"/>
  <c r="BS184" i="5"/>
  <c r="BM184" i="5"/>
  <c r="BQ184" i="5"/>
  <c r="BI184" i="5"/>
  <c r="BH184" i="5"/>
  <c r="BK184" i="5"/>
  <c r="BJ184" i="5"/>
  <c r="BG184" i="5"/>
  <c r="BF184" i="5"/>
  <c r="BE184" i="5"/>
  <c r="BD184" i="5"/>
  <c r="AY184" i="5"/>
  <c r="BA184" i="5"/>
  <c r="BP184" i="5" s="1"/>
  <c r="AZ184" i="5"/>
  <c r="AV184" i="5"/>
  <c r="BO184" i="5" s="1"/>
  <c r="AU184" i="5"/>
  <c r="BB184" i="5" s="1"/>
  <c r="CK248" i="5"/>
  <c r="CI248" i="5"/>
  <c r="CG248" i="5"/>
  <c r="CF248" i="5"/>
  <c r="CJ248" i="5"/>
  <c r="CH248" i="5"/>
  <c r="CE248" i="5"/>
  <c r="CD248" i="5"/>
  <c r="CC248" i="5"/>
  <c r="CA248" i="5"/>
  <c r="BZ248" i="5"/>
  <c r="BY248" i="5"/>
  <c r="BX248" i="5"/>
  <c r="BW248" i="5"/>
  <c r="BV248" i="5"/>
  <c r="BU248" i="5"/>
  <c r="BR248" i="5"/>
  <c r="BT248" i="5"/>
  <c r="BS248" i="5"/>
  <c r="BQ248" i="5"/>
  <c r="BI248" i="5"/>
  <c r="BH248" i="5"/>
  <c r="BM248" i="5"/>
  <c r="BL248" i="5"/>
  <c r="BK248" i="5"/>
  <c r="BJ248" i="5"/>
  <c r="BG248" i="5"/>
  <c r="BF248" i="5"/>
  <c r="BE248" i="5"/>
  <c r="BD248" i="5"/>
  <c r="AY248" i="5"/>
  <c r="BA248" i="5"/>
  <c r="BP248" i="5" s="1"/>
  <c r="AZ248" i="5"/>
  <c r="AV248" i="5"/>
  <c r="BO248" i="5" s="1"/>
  <c r="AU248" i="5"/>
  <c r="BN248" i="5" s="1"/>
  <c r="CI49" i="5"/>
  <c r="CG49" i="5"/>
  <c r="CF49" i="5"/>
  <c r="CK49" i="5"/>
  <c r="CE49" i="5"/>
  <c r="CD49" i="5"/>
  <c r="CC49" i="5"/>
  <c r="CA49" i="5"/>
  <c r="BY49" i="5"/>
  <c r="BW49" i="5"/>
  <c r="BV49" i="5"/>
  <c r="BU49" i="5"/>
  <c r="BS49" i="5"/>
  <c r="BR49" i="5"/>
  <c r="BT49" i="5"/>
  <c r="BM49" i="5"/>
  <c r="BQ49" i="5"/>
  <c r="BJ49" i="5"/>
  <c r="BI49" i="5"/>
  <c r="BH49" i="5"/>
  <c r="BG49" i="5"/>
  <c r="BK49" i="5"/>
  <c r="BF49" i="5"/>
  <c r="BE49" i="5"/>
  <c r="BD49" i="5"/>
  <c r="AZ49" i="5"/>
  <c r="AY49" i="5"/>
  <c r="BA49" i="5"/>
  <c r="BP49" i="5" s="1"/>
  <c r="AV49" i="5"/>
  <c r="BC49" i="5" s="1"/>
  <c r="AU49" i="5"/>
  <c r="BB49" i="5" s="1"/>
  <c r="CJ113" i="5"/>
  <c r="CG113" i="5"/>
  <c r="CH113" i="5"/>
  <c r="CF113" i="5"/>
  <c r="CK113" i="5"/>
  <c r="CE113" i="5"/>
  <c r="CD113" i="5"/>
  <c r="CI113" i="5"/>
  <c r="CA113" i="5"/>
  <c r="CC113" i="5"/>
  <c r="BX113" i="5"/>
  <c r="BZ113" i="5"/>
  <c r="BY113" i="5"/>
  <c r="BW113" i="5"/>
  <c r="BV113" i="5"/>
  <c r="BU113" i="5"/>
  <c r="BS113" i="5"/>
  <c r="BR113" i="5"/>
  <c r="BT113" i="5"/>
  <c r="BQ113" i="5"/>
  <c r="BJ113" i="5"/>
  <c r="BI113" i="5"/>
  <c r="BL113" i="5"/>
  <c r="BH113" i="5"/>
  <c r="BM113" i="5"/>
  <c r="BK113" i="5"/>
  <c r="BF113" i="5"/>
  <c r="BE113" i="5"/>
  <c r="BG113" i="5"/>
  <c r="BD113" i="5"/>
  <c r="AZ113" i="5"/>
  <c r="AY113" i="5"/>
  <c r="BA113" i="5"/>
  <c r="AV113" i="5"/>
  <c r="AU113" i="5"/>
  <c r="CG177" i="5"/>
  <c r="CG283" i="5" s="1"/>
  <c r="CI177" i="5"/>
  <c r="CI283" i="5" s="1"/>
  <c r="CF177" i="5"/>
  <c r="CF283" i="5" s="1"/>
  <c r="CK177" i="5"/>
  <c r="CK283" i="5" s="1"/>
  <c r="CE177" i="5"/>
  <c r="CE283" i="5" s="1"/>
  <c r="CD177" i="5"/>
  <c r="CD283" i="5" s="1"/>
  <c r="CA177" i="5"/>
  <c r="CA283" i="5" s="1"/>
  <c r="CC177" i="5"/>
  <c r="CC283" i="5" s="1"/>
  <c r="BY177" i="5"/>
  <c r="BY283" i="5" s="1"/>
  <c r="BW177" i="5"/>
  <c r="BW283" i="5" s="1"/>
  <c r="BV177" i="5"/>
  <c r="BV283" i="5" s="1"/>
  <c r="BU177" i="5"/>
  <c r="BU283" i="5" s="1"/>
  <c r="BS177" i="5"/>
  <c r="BS283" i="5" s="1"/>
  <c r="BT177" i="5"/>
  <c r="BT283" i="5" s="1"/>
  <c r="BR177" i="5"/>
  <c r="BR283" i="5" s="1"/>
  <c r="BQ177" i="5"/>
  <c r="BQ283" i="5" s="1"/>
  <c r="BJ177" i="5"/>
  <c r="BJ283" i="5" s="1"/>
  <c r="BI177" i="5"/>
  <c r="BI283" i="5" s="1"/>
  <c r="BH177" i="5"/>
  <c r="BH283" i="5" s="1"/>
  <c r="BM177" i="5"/>
  <c r="BM283" i="5" s="1"/>
  <c r="BK177" i="5"/>
  <c r="BK283" i="5" s="1"/>
  <c r="BG177" i="5"/>
  <c r="BG283" i="5" s="1"/>
  <c r="BF177" i="5"/>
  <c r="BF283" i="5" s="1"/>
  <c r="BE177" i="5"/>
  <c r="BE283" i="5" s="1"/>
  <c r="BD177" i="5"/>
  <c r="BD283" i="5" s="1"/>
  <c r="AZ177" i="5"/>
  <c r="AZ283" i="5" s="1"/>
  <c r="AY177" i="5"/>
  <c r="AY283" i="5" s="1"/>
  <c r="BA177" i="5"/>
  <c r="AV177" i="5"/>
  <c r="AU177" i="5"/>
  <c r="CK241" i="5"/>
  <c r="CJ241" i="5"/>
  <c r="CG241" i="5"/>
  <c r="CI241" i="5"/>
  <c r="CF241" i="5"/>
  <c r="CH241" i="5"/>
  <c r="CE241" i="5"/>
  <c r="CD241" i="5"/>
  <c r="CC241" i="5"/>
  <c r="BX241" i="5"/>
  <c r="CA241" i="5"/>
  <c r="BZ241" i="5"/>
  <c r="BY241" i="5"/>
  <c r="BW241" i="5"/>
  <c r="BV241" i="5"/>
  <c r="BS241" i="5"/>
  <c r="BU241" i="5"/>
  <c r="BT241" i="5"/>
  <c r="BR241" i="5"/>
  <c r="BQ241" i="5"/>
  <c r="BJ241" i="5"/>
  <c r="BI241" i="5"/>
  <c r="BH241" i="5"/>
  <c r="BM241" i="5"/>
  <c r="BL241" i="5"/>
  <c r="BK241" i="5"/>
  <c r="BG241" i="5"/>
  <c r="BF241" i="5"/>
  <c r="BE241" i="5"/>
  <c r="BD241" i="5"/>
  <c r="AZ241" i="5"/>
  <c r="AY241" i="5"/>
  <c r="BA241" i="5"/>
  <c r="BP241" i="5" s="1"/>
  <c r="AV241" i="5"/>
  <c r="BO241" i="5" s="1"/>
  <c r="AU241" i="5"/>
  <c r="BN241" i="5" s="1"/>
  <c r="CK50" i="5"/>
  <c r="CI50" i="5"/>
  <c r="CJ50" i="5"/>
  <c r="CG50" i="5"/>
  <c r="CH50" i="5"/>
  <c r="CF50" i="5"/>
  <c r="CE50" i="5"/>
  <c r="CD50" i="5"/>
  <c r="CC50" i="5"/>
  <c r="CA50" i="5"/>
  <c r="BZ50" i="5"/>
  <c r="BX50" i="5"/>
  <c r="BW50" i="5"/>
  <c r="BY50" i="5"/>
  <c r="BV50" i="5"/>
  <c r="BU50" i="5"/>
  <c r="BT50" i="5"/>
  <c r="BS50" i="5"/>
  <c r="BR50" i="5"/>
  <c r="BM50" i="5"/>
  <c r="BQ50" i="5"/>
  <c r="BK50" i="5"/>
  <c r="BJ50" i="5"/>
  <c r="BI50" i="5"/>
  <c r="BH50" i="5"/>
  <c r="BL50" i="5"/>
  <c r="BG50" i="5"/>
  <c r="BF50" i="5"/>
  <c r="BE50" i="5"/>
  <c r="BD50" i="5"/>
  <c r="BA50" i="5"/>
  <c r="BP50" i="5" s="1"/>
  <c r="AZ50" i="5"/>
  <c r="AY50" i="5"/>
  <c r="AV50" i="5"/>
  <c r="BC50" i="5" s="1"/>
  <c r="AU50" i="5"/>
  <c r="BB50" i="5" s="1"/>
  <c r="CK114" i="5"/>
  <c r="CJ114" i="5"/>
  <c r="CG114" i="5"/>
  <c r="CI114" i="5"/>
  <c r="CH114" i="5"/>
  <c r="CF114" i="5"/>
  <c r="CE114" i="5"/>
  <c r="CD114" i="5"/>
  <c r="CA114" i="5"/>
  <c r="CC114" i="5"/>
  <c r="BX114" i="5"/>
  <c r="BZ114" i="5"/>
  <c r="BY114" i="5"/>
  <c r="BW114" i="5"/>
  <c r="BV114" i="5"/>
  <c r="BU114" i="5"/>
  <c r="BT114" i="5"/>
  <c r="BS114" i="5"/>
  <c r="BR114" i="5"/>
  <c r="BQ114" i="5"/>
  <c r="BK114" i="5"/>
  <c r="BJ114" i="5"/>
  <c r="BI114" i="5"/>
  <c r="BL114" i="5"/>
  <c r="BH114" i="5"/>
  <c r="BM114" i="5"/>
  <c r="BF114" i="5"/>
  <c r="BE114" i="5"/>
  <c r="BG114" i="5"/>
  <c r="BD114" i="5"/>
  <c r="BA114" i="5"/>
  <c r="BP114" i="5" s="1"/>
  <c r="AZ114" i="5"/>
  <c r="AY114" i="5"/>
  <c r="AV114" i="5"/>
  <c r="BO114" i="5" s="1"/>
  <c r="AU114" i="5"/>
  <c r="BN114" i="5" s="1"/>
  <c r="CK178" i="5"/>
  <c r="CG178" i="5"/>
  <c r="CI178" i="5"/>
  <c r="CF178" i="5"/>
  <c r="CE178" i="5"/>
  <c r="CD178" i="5"/>
  <c r="CC178" i="5"/>
  <c r="CA178" i="5"/>
  <c r="BY178" i="5"/>
  <c r="BW178" i="5"/>
  <c r="BV178" i="5"/>
  <c r="BU178" i="5"/>
  <c r="BT178" i="5"/>
  <c r="BS178" i="5"/>
  <c r="BR178" i="5"/>
  <c r="BQ178" i="5"/>
  <c r="BK178" i="5"/>
  <c r="BJ178" i="5"/>
  <c r="BI178" i="5"/>
  <c r="BH178" i="5"/>
  <c r="BM178" i="5"/>
  <c r="BG178" i="5"/>
  <c r="BF178" i="5"/>
  <c r="BE178" i="5"/>
  <c r="BD178" i="5"/>
  <c r="BA178" i="5"/>
  <c r="AZ178" i="5"/>
  <c r="AY178" i="5"/>
  <c r="AV178" i="5"/>
  <c r="AU178" i="5"/>
  <c r="CK242" i="5"/>
  <c r="CG242" i="5"/>
  <c r="CI242" i="5"/>
  <c r="CF242" i="5"/>
  <c r="CE242" i="5"/>
  <c r="CD242" i="5"/>
  <c r="CC242" i="5"/>
  <c r="CA242" i="5"/>
  <c r="BY242" i="5"/>
  <c r="BW242" i="5"/>
  <c r="BV242" i="5"/>
  <c r="BT242" i="5"/>
  <c r="BS242" i="5"/>
  <c r="BU242" i="5"/>
  <c r="BR242" i="5"/>
  <c r="BQ242" i="5"/>
  <c r="BK242" i="5"/>
  <c r="BJ242" i="5"/>
  <c r="BI242" i="5"/>
  <c r="BH242" i="5"/>
  <c r="BM242" i="5"/>
  <c r="BG242" i="5"/>
  <c r="BF242" i="5"/>
  <c r="BE242" i="5"/>
  <c r="BD242" i="5"/>
  <c r="BA242" i="5"/>
  <c r="BP242" i="5" s="1"/>
  <c r="AZ242" i="5"/>
  <c r="AY242" i="5"/>
  <c r="AV242" i="5"/>
  <c r="BO242" i="5" s="1"/>
  <c r="AU242" i="5"/>
  <c r="BB242" i="5" s="1"/>
  <c r="CK35" i="5"/>
  <c r="CI35" i="5"/>
  <c r="CF35" i="5"/>
  <c r="CE35" i="5"/>
  <c r="CG35" i="5"/>
  <c r="CD35" i="5"/>
  <c r="CC35" i="5"/>
  <c r="CA35" i="5"/>
  <c r="BY35" i="5"/>
  <c r="BW35" i="5"/>
  <c r="BV35" i="5"/>
  <c r="BU35" i="5"/>
  <c r="BT35" i="5"/>
  <c r="BS35" i="5"/>
  <c r="BR35" i="5"/>
  <c r="BQ35" i="5"/>
  <c r="BM35" i="5"/>
  <c r="BK35" i="5"/>
  <c r="BJ35" i="5"/>
  <c r="BI35" i="5"/>
  <c r="BH35" i="5"/>
  <c r="BD35" i="5"/>
  <c r="BG35" i="5"/>
  <c r="BF35" i="5"/>
  <c r="BE35" i="5"/>
  <c r="BA35" i="5"/>
  <c r="BP35" i="5" s="1"/>
  <c r="AZ35" i="5"/>
  <c r="AY35" i="5"/>
  <c r="AV35" i="5"/>
  <c r="BO35" i="5" s="1"/>
  <c r="AU35" i="5"/>
  <c r="BN35" i="5" s="1"/>
  <c r="CK99" i="5"/>
  <c r="CI99" i="5"/>
  <c r="CF99" i="5"/>
  <c r="CG99" i="5"/>
  <c r="CE99" i="5"/>
  <c r="CD99" i="5"/>
  <c r="CA99" i="5"/>
  <c r="CC99" i="5"/>
  <c r="BY99" i="5"/>
  <c r="BV99" i="5"/>
  <c r="BW99" i="5"/>
  <c r="BU99" i="5"/>
  <c r="BT99" i="5"/>
  <c r="BS99" i="5"/>
  <c r="BQ99" i="5"/>
  <c r="BM99" i="5"/>
  <c r="BR99" i="5"/>
  <c r="BK99" i="5"/>
  <c r="BJ99" i="5"/>
  <c r="BI99" i="5"/>
  <c r="BH99" i="5"/>
  <c r="BD99" i="5"/>
  <c r="BG99" i="5"/>
  <c r="BF99" i="5"/>
  <c r="BE99" i="5"/>
  <c r="BA99" i="5"/>
  <c r="BP99" i="5" s="1"/>
  <c r="AZ99" i="5"/>
  <c r="AY99" i="5"/>
  <c r="AV99" i="5"/>
  <c r="BO99" i="5" s="1"/>
  <c r="AU99" i="5"/>
  <c r="BB99" i="5" s="1"/>
  <c r="CK163" i="5"/>
  <c r="CJ163" i="5"/>
  <c r="CI163" i="5"/>
  <c r="CH163" i="5"/>
  <c r="CF163" i="5"/>
  <c r="CG163" i="5"/>
  <c r="CE163" i="5"/>
  <c r="CD163" i="5"/>
  <c r="CC163" i="5"/>
  <c r="CA163" i="5"/>
  <c r="BZ163" i="5"/>
  <c r="BY163" i="5"/>
  <c r="BX163" i="5"/>
  <c r="BV163" i="5"/>
  <c r="BW163" i="5"/>
  <c r="BU163" i="5"/>
  <c r="BT163" i="5"/>
  <c r="BS163" i="5"/>
  <c r="BQ163" i="5"/>
  <c r="BR163" i="5"/>
  <c r="BK163" i="5"/>
  <c r="BJ163" i="5"/>
  <c r="BI163" i="5"/>
  <c r="BH163" i="5"/>
  <c r="BL163" i="5"/>
  <c r="BM163" i="5"/>
  <c r="BD163" i="5"/>
  <c r="BG163" i="5"/>
  <c r="BF163" i="5"/>
  <c r="BE163" i="5"/>
  <c r="BA163" i="5"/>
  <c r="BP163" i="5" s="1"/>
  <c r="AZ163" i="5"/>
  <c r="AY163" i="5"/>
  <c r="AU163" i="5"/>
  <c r="BN163" i="5" s="1"/>
  <c r="AV163" i="5"/>
  <c r="BO163" i="5" s="1"/>
  <c r="CK227" i="5"/>
  <c r="CI227" i="5"/>
  <c r="CF227" i="5"/>
  <c r="CE227" i="5"/>
  <c r="CG227" i="5"/>
  <c r="CD227" i="5"/>
  <c r="CC227" i="5"/>
  <c r="CA227" i="5"/>
  <c r="BY227" i="5"/>
  <c r="BW227" i="5"/>
  <c r="BV227" i="5"/>
  <c r="BU227" i="5"/>
  <c r="BT227" i="5"/>
  <c r="BS227" i="5"/>
  <c r="BQ227" i="5"/>
  <c r="BR227" i="5"/>
  <c r="BK227" i="5"/>
  <c r="BJ227" i="5"/>
  <c r="BI227" i="5"/>
  <c r="BH227" i="5"/>
  <c r="BM227" i="5"/>
  <c r="BD227" i="5"/>
  <c r="BG227" i="5"/>
  <c r="BF227" i="5"/>
  <c r="BE227" i="5"/>
  <c r="BA227" i="5"/>
  <c r="BP227" i="5" s="1"/>
  <c r="AZ227" i="5"/>
  <c r="AY227" i="5"/>
  <c r="AU227" i="5"/>
  <c r="BN227" i="5" s="1"/>
  <c r="AV227" i="5"/>
  <c r="BC227" i="5" s="1"/>
  <c r="CK4" i="5"/>
  <c r="CI4" i="5"/>
  <c r="CG4" i="5"/>
  <c r="CF4" i="5"/>
  <c r="CE4" i="5"/>
  <c r="CD4" i="5"/>
  <c r="CC4" i="5"/>
  <c r="CA4" i="5"/>
  <c r="BY4" i="5"/>
  <c r="BW4" i="5"/>
  <c r="BU4" i="5"/>
  <c r="BV4" i="5"/>
  <c r="BT4" i="5"/>
  <c r="BS4" i="5"/>
  <c r="BR4" i="5"/>
  <c r="BQ4" i="5"/>
  <c r="BM4" i="5"/>
  <c r="BK4" i="5"/>
  <c r="BJ4" i="5"/>
  <c r="BI4" i="5"/>
  <c r="BH4" i="5"/>
  <c r="BG4" i="5"/>
  <c r="BE4" i="5"/>
  <c r="BD4" i="5"/>
  <c r="BF4" i="5"/>
  <c r="BA4" i="5"/>
  <c r="BP4" i="5" s="1"/>
  <c r="AZ4" i="5"/>
  <c r="AY4" i="5"/>
  <c r="AV4" i="5"/>
  <c r="BO4" i="5" s="1"/>
  <c r="AU4" i="5"/>
  <c r="BN4" i="5" s="1"/>
  <c r="CK68" i="5"/>
  <c r="CJ68" i="5"/>
  <c r="CI68" i="5"/>
  <c r="CG68" i="5"/>
  <c r="CH68" i="5"/>
  <c r="CF68" i="5"/>
  <c r="CE68" i="5"/>
  <c r="CD68" i="5"/>
  <c r="CA68" i="5"/>
  <c r="CC68" i="5"/>
  <c r="BZ68" i="5"/>
  <c r="BY68" i="5"/>
  <c r="BX68" i="5"/>
  <c r="BW68" i="5"/>
  <c r="BU68" i="5"/>
  <c r="BV68" i="5"/>
  <c r="BT68" i="5"/>
  <c r="BS68" i="5"/>
  <c r="BR68" i="5"/>
  <c r="BQ68" i="5"/>
  <c r="BM68" i="5"/>
  <c r="BL68" i="5"/>
  <c r="BK68" i="5"/>
  <c r="BJ68" i="5"/>
  <c r="BI68" i="5"/>
  <c r="BH68" i="5"/>
  <c r="BE68" i="5"/>
  <c r="BD68" i="5"/>
  <c r="BG68" i="5"/>
  <c r="BF68" i="5"/>
  <c r="BA68" i="5"/>
  <c r="BP68" i="5" s="1"/>
  <c r="AZ68" i="5"/>
  <c r="AY68" i="5"/>
  <c r="AV68" i="5"/>
  <c r="BO68" i="5" s="1"/>
  <c r="AU68" i="5"/>
  <c r="BB68" i="5" s="1"/>
  <c r="CK132" i="5"/>
  <c r="CI132" i="5"/>
  <c r="CG132" i="5"/>
  <c r="CF132" i="5"/>
  <c r="CE132" i="5"/>
  <c r="CD132" i="5"/>
  <c r="CC132" i="5"/>
  <c r="CA132" i="5"/>
  <c r="BY132" i="5"/>
  <c r="BU132" i="5"/>
  <c r="BW132" i="5"/>
  <c r="BV132" i="5"/>
  <c r="BT132" i="5"/>
  <c r="BS132" i="5"/>
  <c r="BR132" i="5"/>
  <c r="BQ132" i="5"/>
  <c r="BM132" i="5"/>
  <c r="BK132" i="5"/>
  <c r="BJ132" i="5"/>
  <c r="BI132" i="5"/>
  <c r="BH132" i="5"/>
  <c r="BE132" i="5"/>
  <c r="BD132" i="5"/>
  <c r="BG132" i="5"/>
  <c r="BF132" i="5"/>
  <c r="BA132" i="5"/>
  <c r="BP132" i="5" s="1"/>
  <c r="AZ132" i="5"/>
  <c r="AY132" i="5"/>
  <c r="AV132" i="5"/>
  <c r="BO132" i="5" s="1"/>
  <c r="AU132" i="5"/>
  <c r="BN132" i="5" s="1"/>
  <c r="CK196" i="5"/>
  <c r="CI196" i="5"/>
  <c r="CG196" i="5"/>
  <c r="CF196" i="5"/>
  <c r="CE196" i="5"/>
  <c r="CD196" i="5"/>
  <c r="CC196" i="5"/>
  <c r="CA196" i="5"/>
  <c r="BY196" i="5"/>
  <c r="BU196" i="5"/>
  <c r="BW196" i="5"/>
  <c r="BV196" i="5"/>
  <c r="BT196" i="5"/>
  <c r="BS196" i="5"/>
  <c r="BQ196" i="5"/>
  <c r="BR196" i="5"/>
  <c r="BK196" i="5"/>
  <c r="BJ196" i="5"/>
  <c r="BM196" i="5"/>
  <c r="BI196" i="5"/>
  <c r="BH196" i="5"/>
  <c r="BE196" i="5"/>
  <c r="BD196" i="5"/>
  <c r="BG196" i="5"/>
  <c r="BF196" i="5"/>
  <c r="BA196" i="5"/>
  <c r="BP196" i="5" s="1"/>
  <c r="AZ196" i="5"/>
  <c r="AY196" i="5"/>
  <c r="AV196" i="5"/>
  <c r="BO196" i="5" s="1"/>
  <c r="AU196" i="5"/>
  <c r="BN196" i="5" s="1"/>
  <c r="CK96" i="5"/>
  <c r="CJ96" i="5"/>
  <c r="CI96" i="5"/>
  <c r="CH96" i="5"/>
  <c r="CF96" i="5"/>
  <c r="CG96" i="5"/>
  <c r="CE96" i="5"/>
  <c r="CD96" i="5"/>
  <c r="CC96" i="5"/>
  <c r="CA96" i="5"/>
  <c r="BZ96" i="5"/>
  <c r="BY96" i="5"/>
  <c r="BX96" i="5"/>
  <c r="BV96" i="5"/>
  <c r="BW96" i="5"/>
  <c r="BU96" i="5"/>
  <c r="BR96" i="5"/>
  <c r="BT96" i="5"/>
  <c r="BS96" i="5"/>
  <c r="BM96" i="5"/>
  <c r="BQ96" i="5"/>
  <c r="BI96" i="5"/>
  <c r="BH96" i="5"/>
  <c r="BL96" i="5"/>
  <c r="BK96" i="5"/>
  <c r="BJ96" i="5"/>
  <c r="BG96" i="5"/>
  <c r="BF96" i="5"/>
  <c r="BE96" i="5"/>
  <c r="BD96" i="5"/>
  <c r="AY96" i="5"/>
  <c r="BA96" i="5"/>
  <c r="BP96" i="5" s="1"/>
  <c r="AZ96" i="5"/>
  <c r="AV96" i="5"/>
  <c r="BC96" i="5" s="1"/>
  <c r="AU96" i="5"/>
  <c r="BN96" i="5" s="1"/>
  <c r="CK89" i="5"/>
  <c r="CI89" i="5"/>
  <c r="CG89" i="5"/>
  <c r="CJ89" i="5"/>
  <c r="CF89" i="5"/>
  <c r="CH89" i="5"/>
  <c r="CE89" i="5"/>
  <c r="CD89" i="5"/>
  <c r="CA89" i="5"/>
  <c r="CC89" i="5"/>
  <c r="BX89" i="5"/>
  <c r="BZ89" i="5"/>
  <c r="BY89" i="5"/>
  <c r="BV89" i="5"/>
  <c r="BU89" i="5"/>
  <c r="BW89" i="5"/>
  <c r="BS89" i="5"/>
  <c r="BR89" i="5"/>
  <c r="BT89" i="5"/>
  <c r="BM89" i="5"/>
  <c r="BQ89" i="5"/>
  <c r="BJ89" i="5"/>
  <c r="BI89" i="5"/>
  <c r="BH89" i="5"/>
  <c r="BL89" i="5"/>
  <c r="BG89" i="5"/>
  <c r="BK89" i="5"/>
  <c r="BF89" i="5"/>
  <c r="BE89" i="5"/>
  <c r="BD89" i="5"/>
  <c r="AZ89" i="5"/>
  <c r="AY89" i="5"/>
  <c r="BA89" i="5"/>
  <c r="BP89" i="5" s="1"/>
  <c r="AV89" i="5"/>
  <c r="BC89" i="5" s="1"/>
  <c r="AU89" i="5"/>
  <c r="BB89" i="5" s="1"/>
  <c r="CK90" i="5"/>
  <c r="CI90" i="5"/>
  <c r="CG90" i="5"/>
  <c r="CF90" i="5"/>
  <c r="CE90" i="5"/>
  <c r="CD90" i="5"/>
  <c r="CA90" i="5"/>
  <c r="CC90" i="5"/>
  <c r="BY90" i="5"/>
  <c r="BV90" i="5"/>
  <c r="BU90" i="5"/>
  <c r="BW90" i="5"/>
  <c r="BT90" i="5"/>
  <c r="BS90" i="5"/>
  <c r="BR90" i="5"/>
  <c r="BQ90" i="5"/>
  <c r="BM90" i="5"/>
  <c r="BK90" i="5"/>
  <c r="BJ90" i="5"/>
  <c r="BI90" i="5"/>
  <c r="BH90" i="5"/>
  <c r="BG90" i="5"/>
  <c r="BF90" i="5"/>
  <c r="BE90" i="5"/>
  <c r="BD90" i="5"/>
  <c r="BA90" i="5"/>
  <c r="BP90" i="5" s="1"/>
  <c r="AZ90" i="5"/>
  <c r="AY90" i="5"/>
  <c r="AV90" i="5"/>
  <c r="BO90" i="5" s="1"/>
  <c r="AU90" i="5"/>
  <c r="BB90" i="5" s="1"/>
  <c r="CK139" i="5"/>
  <c r="CJ139" i="5"/>
  <c r="CI139" i="5"/>
  <c r="CH139" i="5"/>
  <c r="CF139" i="5"/>
  <c r="CG139" i="5"/>
  <c r="CE139" i="5"/>
  <c r="CD139" i="5"/>
  <c r="CC139" i="5"/>
  <c r="CA139" i="5"/>
  <c r="BZ139" i="5"/>
  <c r="BY139" i="5"/>
  <c r="BX139" i="5"/>
  <c r="BW139" i="5"/>
  <c r="BV139" i="5"/>
  <c r="BU139" i="5"/>
  <c r="BT139" i="5"/>
  <c r="BS139" i="5"/>
  <c r="BQ139" i="5"/>
  <c r="BR139" i="5"/>
  <c r="BM139" i="5"/>
  <c r="BL139" i="5"/>
  <c r="BK139" i="5"/>
  <c r="BJ139" i="5"/>
  <c r="BI139" i="5"/>
  <c r="BH139" i="5"/>
  <c r="BD139" i="5"/>
  <c r="BG139" i="5"/>
  <c r="BF139" i="5"/>
  <c r="BE139" i="5"/>
  <c r="BA139" i="5"/>
  <c r="BP139" i="5" s="1"/>
  <c r="AZ139" i="5"/>
  <c r="AY139" i="5"/>
  <c r="AV139" i="5"/>
  <c r="BO139" i="5" s="1"/>
  <c r="AU139" i="5"/>
  <c r="BN139" i="5" s="1"/>
  <c r="CK141" i="5"/>
  <c r="CI141" i="5"/>
  <c r="CF141" i="5"/>
  <c r="CG141" i="5"/>
  <c r="CE141" i="5"/>
  <c r="CD141" i="5"/>
  <c r="CC141" i="5"/>
  <c r="CA141" i="5"/>
  <c r="BW141" i="5"/>
  <c r="BY141" i="5"/>
  <c r="BV141" i="5"/>
  <c r="BU141" i="5"/>
  <c r="BT141" i="5"/>
  <c r="BS141" i="5"/>
  <c r="BR141" i="5"/>
  <c r="BQ141" i="5"/>
  <c r="BK141" i="5"/>
  <c r="BJ141" i="5"/>
  <c r="BI141" i="5"/>
  <c r="BH141" i="5"/>
  <c r="BM141" i="5"/>
  <c r="BF141" i="5"/>
  <c r="BE141" i="5"/>
  <c r="BD141" i="5"/>
  <c r="BG141" i="5"/>
  <c r="BA141" i="5"/>
  <c r="BP141" i="5" s="1"/>
  <c r="AZ141" i="5"/>
  <c r="AY141" i="5"/>
  <c r="AV141" i="5"/>
  <c r="BO141" i="5" s="1"/>
  <c r="AU141" i="5"/>
  <c r="BN141" i="5" s="1"/>
  <c r="CK142" i="5"/>
  <c r="CG142" i="5"/>
  <c r="CI142" i="5"/>
  <c r="CE142" i="5"/>
  <c r="CF142" i="5"/>
  <c r="CD142" i="5"/>
  <c r="CC142" i="5"/>
  <c r="CA142" i="5"/>
  <c r="BY142" i="5"/>
  <c r="BV142" i="5"/>
  <c r="BU142" i="5"/>
  <c r="BW142" i="5"/>
  <c r="BT142" i="5"/>
  <c r="BS142" i="5"/>
  <c r="BR142" i="5"/>
  <c r="BQ142" i="5"/>
  <c r="BM142" i="5"/>
  <c r="BK142" i="5"/>
  <c r="BJ142" i="5"/>
  <c r="BI142" i="5"/>
  <c r="BH142" i="5"/>
  <c r="BG142" i="5"/>
  <c r="BF142" i="5"/>
  <c r="BE142" i="5"/>
  <c r="BD142" i="5"/>
  <c r="BA142" i="5"/>
  <c r="BP142" i="5" s="1"/>
  <c r="AZ142" i="5"/>
  <c r="AY142" i="5"/>
  <c r="AV142" i="5"/>
  <c r="BO142" i="5" s="1"/>
  <c r="AU142" i="5"/>
  <c r="BN142" i="5" s="1"/>
  <c r="CK207" i="5"/>
  <c r="CJ207" i="5"/>
  <c r="CH207" i="5"/>
  <c r="CF207" i="5"/>
  <c r="CG207" i="5"/>
  <c r="CI207" i="5"/>
  <c r="CE207" i="5"/>
  <c r="CD207" i="5"/>
  <c r="CC207" i="5"/>
  <c r="CA207" i="5"/>
  <c r="BZ207" i="5"/>
  <c r="BY207" i="5"/>
  <c r="BX207" i="5"/>
  <c r="BW207" i="5"/>
  <c r="BV207" i="5"/>
  <c r="BU207" i="5"/>
  <c r="BT207" i="5"/>
  <c r="BS207" i="5"/>
  <c r="BQ207" i="5"/>
  <c r="BR207" i="5"/>
  <c r="BH207" i="5"/>
  <c r="BL207" i="5"/>
  <c r="BK207" i="5"/>
  <c r="BM207" i="5"/>
  <c r="BJ207" i="5"/>
  <c r="BI207" i="5"/>
  <c r="BG207" i="5"/>
  <c r="BF207" i="5"/>
  <c r="BE207" i="5"/>
  <c r="BD207" i="5"/>
  <c r="BA207" i="5"/>
  <c r="BP207" i="5" s="1"/>
  <c r="AZ207" i="5"/>
  <c r="AY207" i="5"/>
  <c r="AV207" i="5"/>
  <c r="BO207" i="5" s="1"/>
  <c r="AU207" i="5"/>
  <c r="BB207" i="5" s="1"/>
  <c r="CK40" i="5"/>
  <c r="CI40" i="5"/>
  <c r="CF40" i="5"/>
  <c r="CE40" i="5"/>
  <c r="CG40" i="5"/>
  <c r="CD40" i="5"/>
  <c r="CC40" i="5"/>
  <c r="CA40" i="5"/>
  <c r="BW40" i="5"/>
  <c r="BY40" i="5"/>
  <c r="BV40" i="5"/>
  <c r="BU40" i="5"/>
  <c r="BR40" i="5"/>
  <c r="BT40" i="5"/>
  <c r="BS40" i="5"/>
  <c r="BM40" i="5"/>
  <c r="BQ40" i="5"/>
  <c r="BI40" i="5"/>
  <c r="BH40" i="5"/>
  <c r="BK40" i="5"/>
  <c r="BJ40" i="5"/>
  <c r="BG40" i="5"/>
  <c r="BF40" i="5"/>
  <c r="BE40" i="5"/>
  <c r="BD40" i="5"/>
  <c r="AY40" i="5"/>
  <c r="BA40" i="5"/>
  <c r="BP40" i="5" s="1"/>
  <c r="AZ40" i="5"/>
  <c r="AV40" i="5"/>
  <c r="BC40" i="5" s="1"/>
  <c r="AU40" i="5"/>
  <c r="BN40" i="5" s="1"/>
  <c r="CK168" i="5"/>
  <c r="CF168" i="5"/>
  <c r="CI168" i="5"/>
  <c r="CG168" i="5"/>
  <c r="CE168" i="5"/>
  <c r="CD168" i="5"/>
  <c r="CA168" i="5"/>
  <c r="CC168" i="5"/>
  <c r="BY168" i="5"/>
  <c r="BW168" i="5"/>
  <c r="BV168" i="5"/>
  <c r="BU168" i="5"/>
  <c r="BR168" i="5"/>
  <c r="BT168" i="5"/>
  <c r="BS168" i="5"/>
  <c r="BM168" i="5"/>
  <c r="BQ168" i="5"/>
  <c r="BI168" i="5"/>
  <c r="BH168" i="5"/>
  <c r="BK168" i="5"/>
  <c r="BJ168" i="5"/>
  <c r="BG168" i="5"/>
  <c r="BF168" i="5"/>
  <c r="BE168" i="5"/>
  <c r="BD168" i="5"/>
  <c r="AY168" i="5"/>
  <c r="BA168" i="5"/>
  <c r="BP168" i="5" s="1"/>
  <c r="AZ168" i="5"/>
  <c r="AV168" i="5"/>
  <c r="BO168" i="5" s="1"/>
  <c r="AU168" i="5"/>
  <c r="BB168" i="5" s="1"/>
  <c r="CJ225" i="5"/>
  <c r="CK225" i="5"/>
  <c r="CG225" i="5"/>
  <c r="CI225" i="5"/>
  <c r="CF225" i="5"/>
  <c r="CH225" i="5"/>
  <c r="CE225" i="5"/>
  <c r="CD225" i="5"/>
  <c r="CC225" i="5"/>
  <c r="CA225" i="5"/>
  <c r="BZ225" i="5"/>
  <c r="BY225" i="5"/>
  <c r="BX225" i="5"/>
  <c r="BW225" i="5"/>
  <c r="BV225" i="5"/>
  <c r="BU225" i="5"/>
  <c r="BS225" i="5"/>
  <c r="BT225" i="5"/>
  <c r="BR225" i="5"/>
  <c r="BQ225" i="5"/>
  <c r="BJ225" i="5"/>
  <c r="BI225" i="5"/>
  <c r="BL225" i="5"/>
  <c r="BH225" i="5"/>
  <c r="BM225" i="5"/>
  <c r="BK225" i="5"/>
  <c r="BG225" i="5"/>
  <c r="BF225" i="5"/>
  <c r="BE225" i="5"/>
  <c r="BD225" i="5"/>
  <c r="AZ225" i="5"/>
  <c r="AY225" i="5"/>
  <c r="BA225" i="5"/>
  <c r="BP225" i="5" s="1"/>
  <c r="AV225" i="5"/>
  <c r="BC225" i="5" s="1"/>
  <c r="AU225" i="5"/>
  <c r="BN225" i="5" s="1"/>
  <c r="CK98" i="5"/>
  <c r="CI98" i="5"/>
  <c r="CG98" i="5"/>
  <c r="CF98" i="5"/>
  <c r="CE98" i="5"/>
  <c r="CD98" i="5"/>
  <c r="CA98" i="5"/>
  <c r="CC98" i="5"/>
  <c r="BY98" i="5"/>
  <c r="BV98" i="5"/>
  <c r="BW98" i="5"/>
  <c r="BU98" i="5"/>
  <c r="BT98" i="5"/>
  <c r="BS98" i="5"/>
  <c r="BR98" i="5"/>
  <c r="BQ98" i="5"/>
  <c r="BK98" i="5"/>
  <c r="BJ98" i="5"/>
  <c r="BI98" i="5"/>
  <c r="BH98" i="5"/>
  <c r="BM98" i="5"/>
  <c r="BG98" i="5"/>
  <c r="BF98" i="5"/>
  <c r="BE98" i="5"/>
  <c r="BD98" i="5"/>
  <c r="BA98" i="5"/>
  <c r="BP98" i="5" s="1"/>
  <c r="AZ98" i="5"/>
  <c r="AY98" i="5"/>
  <c r="AV98" i="5"/>
  <c r="BO98" i="5" s="1"/>
  <c r="AU98" i="5"/>
  <c r="BN98" i="5" s="1"/>
  <c r="CK162" i="5"/>
  <c r="CG162" i="5"/>
  <c r="CF162" i="5"/>
  <c r="CI162" i="5"/>
  <c r="CE162" i="5"/>
  <c r="CD162" i="5"/>
  <c r="CC162" i="5"/>
  <c r="CA162" i="5"/>
  <c r="BY162" i="5"/>
  <c r="BV162" i="5"/>
  <c r="BW162" i="5"/>
  <c r="BU162" i="5"/>
  <c r="BT162" i="5"/>
  <c r="BS162" i="5"/>
  <c r="BR162" i="5"/>
  <c r="BQ162" i="5"/>
  <c r="BK162" i="5"/>
  <c r="BJ162" i="5"/>
  <c r="BI162" i="5"/>
  <c r="BH162" i="5"/>
  <c r="BM162" i="5"/>
  <c r="BG162" i="5"/>
  <c r="BF162" i="5"/>
  <c r="BE162" i="5"/>
  <c r="BD162" i="5"/>
  <c r="BA162" i="5"/>
  <c r="BP162" i="5" s="1"/>
  <c r="AZ162" i="5"/>
  <c r="AY162" i="5"/>
  <c r="AV162" i="5"/>
  <c r="BO162" i="5" s="1"/>
  <c r="AU162" i="5"/>
  <c r="BN162" i="5" s="1"/>
  <c r="CK19" i="5"/>
  <c r="CI19" i="5"/>
  <c r="CG19" i="5"/>
  <c r="CF19" i="5"/>
  <c r="CE19" i="5"/>
  <c r="CD19" i="5"/>
  <c r="CC19" i="5"/>
  <c r="CA19" i="5"/>
  <c r="BY19" i="5"/>
  <c r="BW19" i="5"/>
  <c r="BV19" i="5"/>
  <c r="BU19" i="5"/>
  <c r="BT19" i="5"/>
  <c r="BS19" i="5"/>
  <c r="BR19" i="5"/>
  <c r="BQ19" i="5"/>
  <c r="BM19" i="5"/>
  <c r="BK19" i="5"/>
  <c r="BJ19" i="5"/>
  <c r="BI19" i="5"/>
  <c r="BH19" i="5"/>
  <c r="BG19" i="5"/>
  <c r="BD19" i="5"/>
  <c r="BF19" i="5"/>
  <c r="BE19" i="5"/>
  <c r="BA19" i="5"/>
  <c r="BP19" i="5" s="1"/>
  <c r="AZ19" i="5"/>
  <c r="AY19" i="5"/>
  <c r="AV19" i="5"/>
  <c r="BO19" i="5" s="1"/>
  <c r="AU19" i="5"/>
  <c r="BN19" i="5" s="1"/>
  <c r="CK211" i="5"/>
  <c r="CI211" i="5"/>
  <c r="CG211" i="5"/>
  <c r="CF211" i="5"/>
  <c r="CE211" i="5"/>
  <c r="CD211" i="5"/>
  <c r="CC211" i="5"/>
  <c r="CA211" i="5"/>
  <c r="BY211" i="5"/>
  <c r="BW211" i="5"/>
  <c r="BV211" i="5"/>
  <c r="BU211" i="5"/>
  <c r="BT211" i="5"/>
  <c r="BS211" i="5"/>
  <c r="BR211" i="5"/>
  <c r="BQ211" i="5"/>
  <c r="BM211" i="5"/>
  <c r="BK211" i="5"/>
  <c r="BJ211" i="5"/>
  <c r="BI211" i="5"/>
  <c r="BH211" i="5"/>
  <c r="BD211" i="5"/>
  <c r="BG211" i="5"/>
  <c r="BF211" i="5"/>
  <c r="BE211" i="5"/>
  <c r="BA211" i="5"/>
  <c r="BP211" i="5" s="1"/>
  <c r="AZ211" i="5"/>
  <c r="AY211" i="5"/>
  <c r="AU211" i="5"/>
  <c r="BN211" i="5" s="1"/>
  <c r="AV211" i="5"/>
  <c r="BO211" i="5" s="1"/>
  <c r="CK85" i="5"/>
  <c r="CI85" i="5"/>
  <c r="CG85" i="5"/>
  <c r="CF85" i="5"/>
  <c r="CC85" i="5"/>
  <c r="CE85" i="5"/>
  <c r="CD85" i="5"/>
  <c r="CA85" i="5"/>
  <c r="BW85" i="5"/>
  <c r="BY85" i="5"/>
  <c r="BV85" i="5"/>
  <c r="BU85" i="5"/>
  <c r="BT85" i="5"/>
  <c r="BS85" i="5"/>
  <c r="BR85" i="5"/>
  <c r="BQ85" i="5"/>
  <c r="BM85" i="5"/>
  <c r="BK85" i="5"/>
  <c r="BJ85" i="5"/>
  <c r="BI85" i="5"/>
  <c r="BH85" i="5"/>
  <c r="BG85" i="5"/>
  <c r="BF85" i="5"/>
  <c r="BE85" i="5"/>
  <c r="BD85" i="5"/>
  <c r="BA85" i="5"/>
  <c r="BP85" i="5" s="1"/>
  <c r="AZ85" i="5"/>
  <c r="AY85" i="5"/>
  <c r="AV85" i="5"/>
  <c r="BO85" i="5" s="1"/>
  <c r="AU85" i="5"/>
  <c r="BN85" i="5" s="1"/>
  <c r="CK213" i="5"/>
  <c r="CJ213" i="5"/>
  <c r="CH213" i="5"/>
  <c r="CG213" i="5"/>
  <c r="CF213" i="5"/>
  <c r="CI213" i="5"/>
  <c r="CE213" i="5"/>
  <c r="CC213" i="5"/>
  <c r="CD213" i="5"/>
  <c r="CA213" i="5"/>
  <c r="BZ213" i="5"/>
  <c r="BY213" i="5"/>
  <c r="BX213" i="5"/>
  <c r="BV213" i="5"/>
  <c r="BU213" i="5"/>
  <c r="BW213" i="5"/>
  <c r="BT213" i="5"/>
  <c r="BS213" i="5"/>
  <c r="BR213" i="5"/>
  <c r="BQ213" i="5"/>
  <c r="BM213" i="5"/>
  <c r="BL213" i="5"/>
  <c r="BK213" i="5"/>
  <c r="BJ213" i="5"/>
  <c r="BI213" i="5"/>
  <c r="BH213" i="5"/>
  <c r="BF213" i="5"/>
  <c r="BE213" i="5"/>
  <c r="BD213" i="5"/>
  <c r="BG213" i="5"/>
  <c r="BA213" i="5"/>
  <c r="BP213" i="5" s="1"/>
  <c r="AZ213" i="5"/>
  <c r="AY213" i="5"/>
  <c r="AU213" i="5"/>
  <c r="BN213" i="5" s="1"/>
  <c r="AV213" i="5"/>
  <c r="BC213" i="5" s="1"/>
  <c r="CK22" i="5"/>
  <c r="CE22" i="5"/>
  <c r="CI22" i="5"/>
  <c r="CG22" i="5"/>
  <c r="CD22" i="5"/>
  <c r="CC22" i="5"/>
  <c r="CF22" i="5"/>
  <c r="CA22" i="5"/>
  <c r="BW22" i="5"/>
  <c r="BY22" i="5"/>
  <c r="BV22" i="5"/>
  <c r="BU22" i="5"/>
  <c r="BT22" i="5"/>
  <c r="BS22" i="5"/>
  <c r="BR22" i="5"/>
  <c r="BQ22" i="5"/>
  <c r="BM22" i="5"/>
  <c r="BG22" i="5"/>
  <c r="BK22" i="5"/>
  <c r="BJ22" i="5"/>
  <c r="BI22" i="5"/>
  <c r="BH22" i="5"/>
  <c r="BF22" i="5"/>
  <c r="BE22" i="5"/>
  <c r="BD22" i="5"/>
  <c r="BA22" i="5"/>
  <c r="BP22" i="5" s="1"/>
  <c r="AZ22" i="5"/>
  <c r="AY22" i="5"/>
  <c r="AV22" i="5"/>
  <c r="BO22" i="5" s="1"/>
  <c r="AU22" i="5"/>
  <c r="BN22" i="5" s="1"/>
  <c r="CK214" i="5"/>
  <c r="CI214" i="5"/>
  <c r="CG214" i="5"/>
  <c r="CE214" i="5"/>
  <c r="CD214" i="5"/>
  <c r="CF214" i="5"/>
  <c r="CC214" i="5"/>
  <c r="BY214" i="5"/>
  <c r="CA214" i="5"/>
  <c r="BW214" i="5"/>
  <c r="BV214" i="5"/>
  <c r="BU214" i="5"/>
  <c r="BT214" i="5"/>
  <c r="BS214" i="5"/>
  <c r="BR214" i="5"/>
  <c r="BQ214" i="5"/>
  <c r="BM214" i="5"/>
  <c r="BK214" i="5"/>
  <c r="BJ214" i="5"/>
  <c r="BI214" i="5"/>
  <c r="BH214" i="5"/>
  <c r="BG214" i="5"/>
  <c r="BF214" i="5"/>
  <c r="BE214" i="5"/>
  <c r="BD214" i="5"/>
  <c r="BA214" i="5"/>
  <c r="AZ214" i="5"/>
  <c r="AY214" i="5"/>
  <c r="AU214" i="5"/>
  <c r="AV214" i="5"/>
  <c r="CK87" i="5"/>
  <c r="CI87" i="5"/>
  <c r="CF87" i="5"/>
  <c r="CG87" i="5"/>
  <c r="CE87" i="5"/>
  <c r="CD87" i="5"/>
  <c r="CC87" i="5"/>
  <c r="CA87" i="5"/>
  <c r="BY87" i="5"/>
  <c r="BV87" i="5"/>
  <c r="BU87" i="5"/>
  <c r="BW87" i="5"/>
  <c r="BT87" i="5"/>
  <c r="BS87" i="5"/>
  <c r="BR87" i="5"/>
  <c r="BQ87" i="5"/>
  <c r="BM87" i="5"/>
  <c r="BH87" i="5"/>
  <c r="BK87" i="5"/>
  <c r="BJ87" i="5"/>
  <c r="BI87" i="5"/>
  <c r="BG87" i="5"/>
  <c r="BF87" i="5"/>
  <c r="BE87" i="5"/>
  <c r="BD87" i="5"/>
  <c r="BA87" i="5"/>
  <c r="BP87" i="5" s="1"/>
  <c r="AZ87" i="5"/>
  <c r="AY87" i="5"/>
  <c r="AU87" i="5"/>
  <c r="BN87" i="5" s="1"/>
  <c r="AV87" i="5"/>
  <c r="BC87" i="5" s="1"/>
  <c r="CK151" i="5"/>
  <c r="CF151" i="5"/>
  <c r="CI151" i="5"/>
  <c r="CE151" i="5"/>
  <c r="CD151" i="5"/>
  <c r="CG151" i="5"/>
  <c r="CC151" i="5"/>
  <c r="CA151" i="5"/>
  <c r="BY151" i="5"/>
  <c r="BV151" i="5"/>
  <c r="BU151" i="5"/>
  <c r="BW151" i="5"/>
  <c r="BT151" i="5"/>
  <c r="BS151" i="5"/>
  <c r="BR151" i="5"/>
  <c r="BQ151" i="5"/>
  <c r="BM151" i="5"/>
  <c r="BH151" i="5"/>
  <c r="BK151" i="5"/>
  <c r="BJ151" i="5"/>
  <c r="BI151" i="5"/>
  <c r="BG151" i="5"/>
  <c r="BF151" i="5"/>
  <c r="BE151" i="5"/>
  <c r="BD151" i="5"/>
  <c r="BA151" i="5"/>
  <c r="BP151" i="5" s="1"/>
  <c r="AZ151" i="5"/>
  <c r="AY151" i="5"/>
  <c r="AU151" i="5"/>
  <c r="BN151" i="5" s="1"/>
  <c r="AV151" i="5"/>
  <c r="BO151" i="5" s="1"/>
  <c r="CK112" i="5"/>
  <c r="CI112" i="5"/>
  <c r="CF112" i="5"/>
  <c r="CG112" i="5"/>
  <c r="CE112" i="5"/>
  <c r="CD112" i="5"/>
  <c r="CC112" i="5"/>
  <c r="CA112" i="5"/>
  <c r="BY112" i="5"/>
  <c r="BW112" i="5"/>
  <c r="BV112" i="5"/>
  <c r="BU112" i="5"/>
  <c r="BR112" i="5"/>
  <c r="BT112" i="5"/>
  <c r="BS112" i="5"/>
  <c r="BM112" i="5"/>
  <c r="BQ112" i="5"/>
  <c r="BI112" i="5"/>
  <c r="BH112" i="5"/>
  <c r="BK112" i="5"/>
  <c r="BJ112" i="5"/>
  <c r="BF112" i="5"/>
  <c r="BE112" i="5"/>
  <c r="BG112" i="5"/>
  <c r="BD112" i="5"/>
  <c r="AY112" i="5"/>
  <c r="BA112" i="5"/>
  <c r="BP112" i="5" s="1"/>
  <c r="AZ112" i="5"/>
  <c r="AV112" i="5"/>
  <c r="BO112" i="5" s="1"/>
  <c r="AU112" i="5"/>
  <c r="BB112" i="5" s="1"/>
  <c r="CK240" i="5"/>
  <c r="CJ240" i="5"/>
  <c r="CI240" i="5"/>
  <c r="CF240" i="5"/>
  <c r="CG240" i="5"/>
  <c r="CH240" i="5"/>
  <c r="CE240" i="5"/>
  <c r="CD240" i="5"/>
  <c r="CC240" i="5"/>
  <c r="BX240" i="5"/>
  <c r="CA240" i="5"/>
  <c r="BZ240" i="5"/>
  <c r="BY240" i="5"/>
  <c r="BW240" i="5"/>
  <c r="BV240" i="5"/>
  <c r="BU240" i="5"/>
  <c r="BR240" i="5"/>
  <c r="BT240" i="5"/>
  <c r="BS240" i="5"/>
  <c r="BM240" i="5"/>
  <c r="BQ240" i="5"/>
  <c r="BI240" i="5"/>
  <c r="BH240" i="5"/>
  <c r="BL240" i="5"/>
  <c r="BK240" i="5"/>
  <c r="BJ240" i="5"/>
  <c r="BG240" i="5"/>
  <c r="BF240" i="5"/>
  <c r="BE240" i="5"/>
  <c r="BD240" i="5"/>
  <c r="AY240" i="5"/>
  <c r="BA240" i="5"/>
  <c r="BP240" i="5" s="1"/>
  <c r="AZ240" i="5"/>
  <c r="AV240" i="5"/>
  <c r="BO240" i="5" s="1"/>
  <c r="AU240" i="5"/>
  <c r="BB240" i="5" s="1"/>
  <c r="CK105" i="5"/>
  <c r="CG105" i="5"/>
  <c r="CF105" i="5"/>
  <c r="CI105" i="5"/>
  <c r="CE105" i="5"/>
  <c r="CD105" i="5"/>
  <c r="CA105" i="5"/>
  <c r="CC105" i="5"/>
  <c r="BY105" i="5"/>
  <c r="BW105" i="5"/>
  <c r="BV105" i="5"/>
  <c r="BU105" i="5"/>
  <c r="BS105" i="5"/>
  <c r="BR105" i="5"/>
  <c r="BT105" i="5"/>
  <c r="BQ105" i="5"/>
  <c r="BM105" i="5"/>
  <c r="BJ105" i="5"/>
  <c r="BI105" i="5"/>
  <c r="BH105" i="5"/>
  <c r="BK105" i="5"/>
  <c r="BF105" i="5"/>
  <c r="BE105" i="5"/>
  <c r="BD105" i="5"/>
  <c r="BG105" i="5"/>
  <c r="AZ105" i="5"/>
  <c r="AY105" i="5"/>
  <c r="BA105" i="5"/>
  <c r="BP105" i="5" s="1"/>
  <c r="AV105" i="5"/>
  <c r="BO105" i="5" s="1"/>
  <c r="AU105" i="5"/>
  <c r="BN105" i="5" s="1"/>
  <c r="CK169" i="5"/>
  <c r="CG169" i="5"/>
  <c r="CF169" i="5"/>
  <c r="CI169" i="5"/>
  <c r="CE169" i="5"/>
  <c r="CD169" i="5"/>
  <c r="CA169" i="5"/>
  <c r="CC169" i="5"/>
  <c r="BY169" i="5"/>
  <c r="BW169" i="5"/>
  <c r="BV169" i="5"/>
  <c r="BU169" i="5"/>
  <c r="BS169" i="5"/>
  <c r="BT169" i="5"/>
  <c r="BR169" i="5"/>
  <c r="BQ169" i="5"/>
  <c r="BJ169" i="5"/>
  <c r="BI169" i="5"/>
  <c r="BH169" i="5"/>
  <c r="BM169" i="5"/>
  <c r="BK169" i="5"/>
  <c r="BG169" i="5"/>
  <c r="BF169" i="5"/>
  <c r="BE169" i="5"/>
  <c r="BD169" i="5"/>
  <c r="AZ169" i="5"/>
  <c r="AY169" i="5"/>
  <c r="BA169" i="5"/>
  <c r="BP169" i="5" s="1"/>
  <c r="AV169" i="5"/>
  <c r="BC169" i="5" s="1"/>
  <c r="AU169" i="5"/>
  <c r="BB169" i="5" s="1"/>
  <c r="CK42" i="5"/>
  <c r="CI42" i="5"/>
  <c r="CG42" i="5"/>
  <c r="CE42" i="5"/>
  <c r="CF42" i="5"/>
  <c r="CD42" i="5"/>
  <c r="CC42" i="5"/>
  <c r="CA42" i="5"/>
  <c r="BY42" i="5"/>
  <c r="BW42" i="5"/>
  <c r="BV42" i="5"/>
  <c r="BU42" i="5"/>
  <c r="BT42" i="5"/>
  <c r="BS42" i="5"/>
  <c r="BR42" i="5"/>
  <c r="BM42" i="5"/>
  <c r="BQ42" i="5"/>
  <c r="BK42" i="5"/>
  <c r="BJ42" i="5"/>
  <c r="BI42" i="5"/>
  <c r="BH42" i="5"/>
  <c r="BG42" i="5"/>
  <c r="BF42" i="5"/>
  <c r="BE42" i="5"/>
  <c r="BD42" i="5"/>
  <c r="BA42" i="5"/>
  <c r="BP42" i="5" s="1"/>
  <c r="AZ42" i="5"/>
  <c r="AY42" i="5"/>
  <c r="AV42" i="5"/>
  <c r="BC42" i="5" s="1"/>
  <c r="AU42" i="5"/>
  <c r="BB42" i="5" s="1"/>
  <c r="CK170" i="5"/>
  <c r="CG170" i="5"/>
  <c r="CF170" i="5"/>
  <c r="CI170" i="5"/>
  <c r="CE170" i="5"/>
  <c r="CD170" i="5"/>
  <c r="CC170" i="5"/>
  <c r="CA170" i="5"/>
  <c r="BY170" i="5"/>
  <c r="BW170" i="5"/>
  <c r="BV170" i="5"/>
  <c r="BU170" i="5"/>
  <c r="BT170" i="5"/>
  <c r="BS170" i="5"/>
  <c r="BR170" i="5"/>
  <c r="BQ170" i="5"/>
  <c r="BK170" i="5"/>
  <c r="BJ170" i="5"/>
  <c r="BI170" i="5"/>
  <c r="BH170" i="5"/>
  <c r="BM170" i="5"/>
  <c r="BG170" i="5"/>
  <c r="BF170" i="5"/>
  <c r="BE170" i="5"/>
  <c r="BD170" i="5"/>
  <c r="BA170" i="5"/>
  <c r="BP170" i="5" s="1"/>
  <c r="AZ170" i="5"/>
  <c r="AY170" i="5"/>
  <c r="AV170" i="5"/>
  <c r="BC170" i="5" s="1"/>
  <c r="AU170" i="5"/>
  <c r="BB170" i="5" s="1"/>
  <c r="CK37" i="5"/>
  <c r="CJ37" i="5"/>
  <c r="CI37" i="5"/>
  <c r="CG37" i="5"/>
  <c r="CH37" i="5"/>
  <c r="CF37" i="5"/>
  <c r="CD37" i="5"/>
  <c r="CC37" i="5"/>
  <c r="CE37" i="5"/>
  <c r="CA37" i="5"/>
  <c r="BW37" i="5"/>
  <c r="BZ37" i="5"/>
  <c r="BY37" i="5"/>
  <c r="BX37" i="5"/>
  <c r="BV37" i="5"/>
  <c r="BU37" i="5"/>
  <c r="BT37" i="5"/>
  <c r="BS37" i="5"/>
  <c r="BR37" i="5"/>
  <c r="BQ37" i="5"/>
  <c r="BM37" i="5"/>
  <c r="BL37" i="5"/>
  <c r="BK37" i="5"/>
  <c r="BJ37" i="5"/>
  <c r="BI37" i="5"/>
  <c r="BH37" i="5"/>
  <c r="BG37" i="5"/>
  <c r="BF37" i="5"/>
  <c r="BE37" i="5"/>
  <c r="BD37" i="5"/>
  <c r="BA37" i="5"/>
  <c r="BP37" i="5" s="1"/>
  <c r="AZ37" i="5"/>
  <c r="AY37" i="5"/>
  <c r="AV37" i="5"/>
  <c r="BO37" i="5" s="1"/>
  <c r="AU37" i="5"/>
  <c r="BB37" i="5" s="1"/>
  <c r="CK101" i="5"/>
  <c r="CI101" i="5"/>
  <c r="CG101" i="5"/>
  <c r="CF101" i="5"/>
  <c r="CE101" i="5"/>
  <c r="CC101" i="5"/>
  <c r="CA101" i="5"/>
  <c r="CD101" i="5"/>
  <c r="BW101" i="5"/>
  <c r="BY101" i="5"/>
  <c r="BV101" i="5"/>
  <c r="BU101" i="5"/>
  <c r="BT101" i="5"/>
  <c r="BS101" i="5"/>
  <c r="BR101" i="5"/>
  <c r="BQ101" i="5"/>
  <c r="BK101" i="5"/>
  <c r="BJ101" i="5"/>
  <c r="BI101" i="5"/>
  <c r="BM101" i="5"/>
  <c r="BH101" i="5"/>
  <c r="BF101" i="5"/>
  <c r="BE101" i="5"/>
  <c r="BD101" i="5"/>
  <c r="BG101" i="5"/>
  <c r="BA101" i="5"/>
  <c r="BP101" i="5" s="1"/>
  <c r="AZ101" i="5"/>
  <c r="AY101" i="5"/>
  <c r="AV101" i="5"/>
  <c r="BO101" i="5" s="1"/>
  <c r="AU101" i="5"/>
  <c r="BN101" i="5" s="1"/>
  <c r="CK165" i="5"/>
  <c r="CI165" i="5"/>
  <c r="CG165" i="5"/>
  <c r="CF165" i="5"/>
  <c r="CE165" i="5"/>
  <c r="CC165" i="5"/>
  <c r="CA165" i="5"/>
  <c r="CD165" i="5"/>
  <c r="BW165" i="5"/>
  <c r="BY165" i="5"/>
  <c r="BV165" i="5"/>
  <c r="BU165" i="5"/>
  <c r="BT165" i="5"/>
  <c r="BS165" i="5"/>
  <c r="BR165" i="5"/>
  <c r="BQ165" i="5"/>
  <c r="BM165" i="5"/>
  <c r="BK165" i="5"/>
  <c r="BJ165" i="5"/>
  <c r="BI165" i="5"/>
  <c r="BH165" i="5"/>
  <c r="BF165" i="5"/>
  <c r="BE165" i="5"/>
  <c r="BD165" i="5"/>
  <c r="BG165" i="5"/>
  <c r="BA165" i="5"/>
  <c r="BP165" i="5" s="1"/>
  <c r="AZ165" i="5"/>
  <c r="AY165" i="5"/>
  <c r="AU165" i="5"/>
  <c r="BN165" i="5" s="1"/>
  <c r="AV165" i="5"/>
  <c r="BO165" i="5" s="1"/>
  <c r="CK229" i="5"/>
  <c r="CI229" i="5"/>
  <c r="CG229" i="5"/>
  <c r="CF229" i="5"/>
  <c r="CE229" i="5"/>
  <c r="CC229" i="5"/>
  <c r="CD229" i="5"/>
  <c r="BY229" i="5"/>
  <c r="CA229" i="5"/>
  <c r="BV229" i="5"/>
  <c r="BU229" i="5"/>
  <c r="BW229" i="5"/>
  <c r="BT229" i="5"/>
  <c r="BS229" i="5"/>
  <c r="BR229" i="5"/>
  <c r="BQ229" i="5"/>
  <c r="BM229" i="5"/>
  <c r="BK229" i="5"/>
  <c r="BJ229" i="5"/>
  <c r="BI229" i="5"/>
  <c r="BH229" i="5"/>
  <c r="BF229" i="5"/>
  <c r="BE229" i="5"/>
  <c r="BD229" i="5"/>
  <c r="BG229" i="5"/>
  <c r="BA229" i="5"/>
  <c r="AZ229" i="5"/>
  <c r="AY229" i="5"/>
  <c r="AU229" i="5"/>
  <c r="AV229" i="5"/>
  <c r="CK38" i="5"/>
  <c r="CI38" i="5"/>
  <c r="CE38" i="5"/>
  <c r="CG38" i="5"/>
  <c r="CF38" i="5"/>
  <c r="CD38" i="5"/>
  <c r="CC38" i="5"/>
  <c r="CA38" i="5"/>
  <c r="BW38" i="5"/>
  <c r="BY38" i="5"/>
  <c r="BV38" i="5"/>
  <c r="BU38" i="5"/>
  <c r="BT38" i="5"/>
  <c r="BS38" i="5"/>
  <c r="BR38" i="5"/>
  <c r="BQ38" i="5"/>
  <c r="BM38" i="5"/>
  <c r="BG38" i="5"/>
  <c r="BK38" i="5"/>
  <c r="BJ38" i="5"/>
  <c r="BI38" i="5"/>
  <c r="BH38" i="5"/>
  <c r="BF38" i="5"/>
  <c r="BE38" i="5"/>
  <c r="BD38" i="5"/>
  <c r="BA38" i="5"/>
  <c r="BP38" i="5" s="1"/>
  <c r="AZ38" i="5"/>
  <c r="AY38" i="5"/>
  <c r="AV38" i="5"/>
  <c r="BO38" i="5" s="1"/>
  <c r="AU38" i="5"/>
  <c r="BB38" i="5" s="1"/>
  <c r="CK102" i="5"/>
  <c r="CI102" i="5"/>
  <c r="CG102" i="5"/>
  <c r="CE102" i="5"/>
  <c r="CD102" i="5"/>
  <c r="CF102" i="5"/>
  <c r="CC102" i="5"/>
  <c r="CA102" i="5"/>
  <c r="BY102" i="5"/>
  <c r="BW102" i="5"/>
  <c r="BV102" i="5"/>
  <c r="BU102" i="5"/>
  <c r="BT102" i="5"/>
  <c r="BS102" i="5"/>
  <c r="BR102" i="5"/>
  <c r="BQ102" i="5"/>
  <c r="BG102" i="5"/>
  <c r="BK102" i="5"/>
  <c r="BJ102" i="5"/>
  <c r="BI102" i="5"/>
  <c r="BM102" i="5"/>
  <c r="BH102" i="5"/>
  <c r="BF102" i="5"/>
  <c r="BE102" i="5"/>
  <c r="BD102" i="5"/>
  <c r="BA102" i="5"/>
  <c r="BP102" i="5" s="1"/>
  <c r="AZ102" i="5"/>
  <c r="AY102" i="5"/>
  <c r="AV102" i="5"/>
  <c r="BO102" i="5" s="1"/>
  <c r="AU102" i="5"/>
  <c r="BN102" i="5" s="1"/>
  <c r="CK166" i="5"/>
  <c r="CI166" i="5"/>
  <c r="CG166" i="5"/>
  <c r="CE166" i="5"/>
  <c r="CD166" i="5"/>
  <c r="CF166" i="5"/>
  <c r="CC166" i="5"/>
  <c r="CA166" i="5"/>
  <c r="BY166" i="5"/>
  <c r="BW166" i="5"/>
  <c r="BV166" i="5"/>
  <c r="BU166" i="5"/>
  <c r="BT166" i="5"/>
  <c r="BS166" i="5"/>
  <c r="BR166" i="5"/>
  <c r="BQ166" i="5"/>
  <c r="BM166" i="5"/>
  <c r="BK166" i="5"/>
  <c r="BJ166" i="5"/>
  <c r="BI166" i="5"/>
  <c r="BH166" i="5"/>
  <c r="BG166" i="5"/>
  <c r="BF166" i="5"/>
  <c r="BE166" i="5"/>
  <c r="BD166" i="5"/>
  <c r="BA166" i="5"/>
  <c r="BP166" i="5" s="1"/>
  <c r="AZ166" i="5"/>
  <c r="AY166" i="5"/>
  <c r="AU166" i="5"/>
  <c r="BN166" i="5" s="1"/>
  <c r="AV166" i="5"/>
  <c r="BO166" i="5" s="1"/>
  <c r="CK230" i="5"/>
  <c r="CJ230" i="5"/>
  <c r="CI230" i="5"/>
  <c r="CH230" i="5"/>
  <c r="CG230" i="5"/>
  <c r="CE230" i="5"/>
  <c r="CD230" i="5"/>
  <c r="CF230" i="5"/>
  <c r="CC230" i="5"/>
  <c r="BX230" i="5"/>
  <c r="BZ230" i="5"/>
  <c r="BY230" i="5"/>
  <c r="CA230" i="5"/>
  <c r="BW230" i="5"/>
  <c r="BV230" i="5"/>
  <c r="BU230" i="5"/>
  <c r="BT230" i="5"/>
  <c r="BS230" i="5"/>
  <c r="BR230" i="5"/>
  <c r="BQ230" i="5"/>
  <c r="BM230" i="5"/>
  <c r="BL230" i="5"/>
  <c r="BK230" i="5"/>
  <c r="BJ230" i="5"/>
  <c r="BI230" i="5"/>
  <c r="BH230" i="5"/>
  <c r="BG230" i="5"/>
  <c r="BF230" i="5"/>
  <c r="BE230" i="5"/>
  <c r="BD230" i="5"/>
  <c r="BA230" i="5"/>
  <c r="BP230" i="5" s="1"/>
  <c r="AZ230" i="5"/>
  <c r="AY230" i="5"/>
  <c r="AU230" i="5"/>
  <c r="BN230" i="5" s="1"/>
  <c r="AV230" i="5"/>
  <c r="BO230" i="5" s="1"/>
  <c r="CK39" i="5"/>
  <c r="CI39" i="5"/>
  <c r="CE39" i="5"/>
  <c r="CG39" i="5"/>
  <c r="CF39" i="5"/>
  <c r="CD39" i="5"/>
  <c r="CC39" i="5"/>
  <c r="CA39" i="5"/>
  <c r="BW39" i="5"/>
  <c r="BY39" i="5"/>
  <c r="BV39" i="5"/>
  <c r="BU39" i="5"/>
  <c r="BT39" i="5"/>
  <c r="BS39" i="5"/>
  <c r="BR39" i="5"/>
  <c r="BM39" i="5"/>
  <c r="BQ39" i="5"/>
  <c r="BH39" i="5"/>
  <c r="BK39" i="5"/>
  <c r="BJ39" i="5"/>
  <c r="BI39" i="5"/>
  <c r="BG39" i="5"/>
  <c r="BF39" i="5"/>
  <c r="BE39" i="5"/>
  <c r="BD39" i="5"/>
  <c r="BA39" i="5"/>
  <c r="BP39" i="5" s="1"/>
  <c r="AZ39" i="5"/>
  <c r="AY39" i="5"/>
  <c r="AU39" i="5"/>
  <c r="BN39" i="5" s="1"/>
  <c r="AV39" i="5"/>
  <c r="BO39" i="5" s="1"/>
  <c r="CK103" i="5"/>
  <c r="CI103" i="5"/>
  <c r="CF103" i="5"/>
  <c r="CG103" i="5"/>
  <c r="CE103" i="5"/>
  <c r="CD103" i="5"/>
  <c r="CC103" i="5"/>
  <c r="CA103" i="5"/>
  <c r="BY103" i="5"/>
  <c r="BW103" i="5"/>
  <c r="BV103" i="5"/>
  <c r="BU103" i="5"/>
  <c r="BT103" i="5"/>
  <c r="BS103" i="5"/>
  <c r="BR103" i="5"/>
  <c r="BQ103" i="5"/>
  <c r="BM103" i="5"/>
  <c r="BH103" i="5"/>
  <c r="BK103" i="5"/>
  <c r="BJ103" i="5"/>
  <c r="BI103" i="5"/>
  <c r="BF103" i="5"/>
  <c r="BE103" i="5"/>
  <c r="BD103" i="5"/>
  <c r="BG103" i="5"/>
  <c r="BA103" i="5"/>
  <c r="BP103" i="5" s="1"/>
  <c r="AZ103" i="5"/>
  <c r="AY103" i="5"/>
  <c r="AU103" i="5"/>
  <c r="BN103" i="5" s="1"/>
  <c r="AV103" i="5"/>
  <c r="BO103" i="5" s="1"/>
  <c r="CK167" i="5"/>
  <c r="CF167" i="5"/>
  <c r="CI167" i="5"/>
  <c r="CG167" i="5"/>
  <c r="CE167" i="5"/>
  <c r="CD167" i="5"/>
  <c r="CC167" i="5"/>
  <c r="CA167" i="5"/>
  <c r="BY167" i="5"/>
  <c r="BW167" i="5"/>
  <c r="BV167" i="5"/>
  <c r="BU167" i="5"/>
  <c r="BT167" i="5"/>
  <c r="BS167" i="5"/>
  <c r="BR167" i="5"/>
  <c r="BQ167" i="5"/>
  <c r="BH167" i="5"/>
  <c r="BM167" i="5"/>
  <c r="BK167" i="5"/>
  <c r="BJ167" i="5"/>
  <c r="BI167" i="5"/>
  <c r="BG167" i="5"/>
  <c r="BF167" i="5"/>
  <c r="BE167" i="5"/>
  <c r="BD167" i="5"/>
  <c r="BA167" i="5"/>
  <c r="BP167" i="5" s="1"/>
  <c r="AZ167" i="5"/>
  <c r="AY167" i="5"/>
  <c r="AU167" i="5"/>
  <c r="BB167" i="5" s="1"/>
  <c r="AV167" i="5"/>
  <c r="BO167" i="5" s="1"/>
  <c r="CK231" i="5"/>
  <c r="CJ231" i="5"/>
  <c r="CF231" i="5"/>
  <c r="CH231" i="5"/>
  <c r="CI231" i="5"/>
  <c r="CG231" i="5"/>
  <c r="CE231" i="5"/>
  <c r="CD231" i="5"/>
  <c r="CC231" i="5"/>
  <c r="CA231" i="5"/>
  <c r="BX231" i="5"/>
  <c r="BZ231" i="5"/>
  <c r="BY231" i="5"/>
  <c r="BW231" i="5"/>
  <c r="BV231" i="5"/>
  <c r="BU231" i="5"/>
  <c r="BT231" i="5"/>
  <c r="BS231" i="5"/>
  <c r="BR231" i="5"/>
  <c r="BQ231" i="5"/>
  <c r="BH231" i="5"/>
  <c r="BM231" i="5"/>
  <c r="BL231" i="5"/>
  <c r="BK231" i="5"/>
  <c r="BJ231" i="5"/>
  <c r="BI231" i="5"/>
  <c r="BG231" i="5"/>
  <c r="BF231" i="5"/>
  <c r="BE231" i="5"/>
  <c r="BD231" i="5"/>
  <c r="BA231" i="5"/>
  <c r="BP231" i="5" s="1"/>
  <c r="AZ231" i="5"/>
  <c r="AY231" i="5"/>
  <c r="AU231" i="5"/>
  <c r="BN231" i="5" s="1"/>
  <c r="AV231" i="5"/>
  <c r="BC231" i="5" s="1"/>
  <c r="CJ64" i="5"/>
  <c r="CK64" i="5"/>
  <c r="CH64" i="5"/>
  <c r="CI64" i="5"/>
  <c r="CF64" i="5"/>
  <c r="CG64" i="5"/>
  <c r="CE64" i="5"/>
  <c r="CD64" i="5"/>
  <c r="CC64" i="5"/>
  <c r="CA64" i="5"/>
  <c r="BW64" i="5"/>
  <c r="BY64" i="5"/>
  <c r="BZ64" i="5"/>
  <c r="BX64" i="5"/>
  <c r="BV64" i="5"/>
  <c r="BU64" i="5"/>
  <c r="BR64" i="5"/>
  <c r="BT64" i="5"/>
  <c r="BS64" i="5"/>
  <c r="BM64" i="5"/>
  <c r="BQ64" i="5"/>
  <c r="BI64" i="5"/>
  <c r="BH64" i="5"/>
  <c r="BK64" i="5"/>
  <c r="BL64" i="5"/>
  <c r="BJ64" i="5"/>
  <c r="BG64" i="5"/>
  <c r="BF64" i="5"/>
  <c r="BE64" i="5"/>
  <c r="BD64" i="5"/>
  <c r="AY64" i="5"/>
  <c r="BA64" i="5"/>
  <c r="BP64" i="5" s="1"/>
  <c r="AZ64" i="5"/>
  <c r="AV64" i="5"/>
  <c r="BO64" i="5" s="1"/>
  <c r="AU64" i="5"/>
  <c r="BN64" i="5" s="1"/>
  <c r="CK128" i="5"/>
  <c r="CI128" i="5"/>
  <c r="CF128" i="5"/>
  <c r="CG128" i="5"/>
  <c r="CE128" i="5"/>
  <c r="CD128" i="5"/>
  <c r="CC128" i="5"/>
  <c r="CA128" i="5"/>
  <c r="BY128" i="5"/>
  <c r="BW128" i="5"/>
  <c r="BV128" i="5"/>
  <c r="BU128" i="5"/>
  <c r="BR128" i="5"/>
  <c r="BT128" i="5"/>
  <c r="BS128" i="5"/>
  <c r="BM128" i="5"/>
  <c r="BQ128" i="5"/>
  <c r="BI128" i="5"/>
  <c r="BH128" i="5"/>
  <c r="BK128" i="5"/>
  <c r="BJ128" i="5"/>
  <c r="BG128" i="5"/>
  <c r="BF128" i="5"/>
  <c r="BE128" i="5"/>
  <c r="BD128" i="5"/>
  <c r="AY128" i="5"/>
  <c r="BA128" i="5"/>
  <c r="BP128" i="5" s="1"/>
  <c r="AZ128" i="5"/>
  <c r="AV128" i="5"/>
  <c r="BO128" i="5" s="1"/>
  <c r="AU128" i="5"/>
  <c r="BB128" i="5" s="1"/>
  <c r="CK192" i="5"/>
  <c r="CJ192" i="5"/>
  <c r="CI192" i="5"/>
  <c r="CF192" i="5"/>
  <c r="CH192" i="5"/>
  <c r="CG192" i="5"/>
  <c r="CE192" i="5"/>
  <c r="CD192" i="5"/>
  <c r="CA192" i="5"/>
  <c r="CC192" i="5"/>
  <c r="BX192" i="5"/>
  <c r="BZ192" i="5"/>
  <c r="BY192" i="5"/>
  <c r="BW192" i="5"/>
  <c r="BV192" i="5"/>
  <c r="BU192" i="5"/>
  <c r="BR192" i="5"/>
  <c r="BT192" i="5"/>
  <c r="BS192" i="5"/>
  <c r="BM192" i="5"/>
  <c r="BQ192" i="5"/>
  <c r="BI192" i="5"/>
  <c r="BH192" i="5"/>
  <c r="BL192" i="5"/>
  <c r="BK192" i="5"/>
  <c r="BJ192" i="5"/>
  <c r="BG192" i="5"/>
  <c r="BF192" i="5"/>
  <c r="BE192" i="5"/>
  <c r="BD192" i="5"/>
  <c r="AY192" i="5"/>
  <c r="BA192" i="5"/>
  <c r="BP192" i="5" s="1"/>
  <c r="AZ192" i="5"/>
  <c r="AV192" i="5"/>
  <c r="BO192" i="5" s="1"/>
  <c r="AU192" i="5"/>
  <c r="BN192" i="5" s="1"/>
  <c r="CK256" i="5"/>
  <c r="CJ256" i="5"/>
  <c r="CI256" i="5"/>
  <c r="CF256" i="5"/>
  <c r="CH256" i="5"/>
  <c r="CG256" i="5"/>
  <c r="CE256" i="5"/>
  <c r="CD256" i="5"/>
  <c r="CC256" i="5"/>
  <c r="BX256" i="5"/>
  <c r="BZ256" i="5"/>
  <c r="BY256" i="5"/>
  <c r="CA256" i="5"/>
  <c r="BW256" i="5"/>
  <c r="BV256" i="5"/>
  <c r="BR256" i="5"/>
  <c r="BU256" i="5"/>
  <c r="BT256" i="5"/>
  <c r="BS256" i="5"/>
  <c r="BQ256" i="5"/>
  <c r="BI256" i="5"/>
  <c r="BH256" i="5"/>
  <c r="BM256" i="5"/>
  <c r="BL256" i="5"/>
  <c r="BK256" i="5"/>
  <c r="BJ256" i="5"/>
  <c r="BG256" i="5"/>
  <c r="BF256" i="5"/>
  <c r="BE256" i="5"/>
  <c r="BD256" i="5"/>
  <c r="AY256" i="5"/>
  <c r="BA256" i="5"/>
  <c r="BP256" i="5" s="1"/>
  <c r="AZ256" i="5"/>
  <c r="AV256" i="5"/>
  <c r="BO256" i="5" s="1"/>
  <c r="AU256" i="5"/>
  <c r="BN256" i="5" s="1"/>
  <c r="CI57" i="5"/>
  <c r="CK57" i="5"/>
  <c r="CG57" i="5"/>
  <c r="CF57" i="5"/>
  <c r="CE57" i="5"/>
  <c r="CD57" i="5"/>
  <c r="CC57" i="5"/>
  <c r="CA57" i="5"/>
  <c r="BY57" i="5"/>
  <c r="BV57" i="5"/>
  <c r="BU57" i="5"/>
  <c r="BW57" i="5"/>
  <c r="BS57" i="5"/>
  <c r="BR57" i="5"/>
  <c r="BT57" i="5"/>
  <c r="BM57" i="5"/>
  <c r="BQ57" i="5"/>
  <c r="BJ57" i="5"/>
  <c r="BI57" i="5"/>
  <c r="BH57" i="5"/>
  <c r="BG57" i="5"/>
  <c r="BK57" i="5"/>
  <c r="BF57" i="5"/>
  <c r="BE57" i="5"/>
  <c r="BD57" i="5"/>
  <c r="AZ57" i="5"/>
  <c r="AY57" i="5"/>
  <c r="BA57" i="5"/>
  <c r="BP57" i="5" s="1"/>
  <c r="AV57" i="5"/>
  <c r="BO57" i="5" s="1"/>
  <c r="AU57" i="5"/>
  <c r="BB57" i="5" s="1"/>
  <c r="CJ121" i="5"/>
  <c r="CI121" i="5"/>
  <c r="CK121" i="5"/>
  <c r="CG121" i="5"/>
  <c r="CF121" i="5"/>
  <c r="CH121" i="5"/>
  <c r="CE121" i="5"/>
  <c r="CD121" i="5"/>
  <c r="CC121" i="5"/>
  <c r="CA121" i="5"/>
  <c r="BX121" i="5"/>
  <c r="BZ121" i="5"/>
  <c r="BY121" i="5"/>
  <c r="BW121" i="5"/>
  <c r="BV121" i="5"/>
  <c r="BU121" i="5"/>
  <c r="BS121" i="5"/>
  <c r="BR121" i="5"/>
  <c r="BT121" i="5"/>
  <c r="BQ121" i="5"/>
  <c r="BJ121" i="5"/>
  <c r="BL121" i="5"/>
  <c r="BI121" i="5"/>
  <c r="BM121" i="5"/>
  <c r="BH121" i="5"/>
  <c r="BK121" i="5"/>
  <c r="BF121" i="5"/>
  <c r="BG121" i="5"/>
  <c r="BE121" i="5"/>
  <c r="BD121" i="5"/>
  <c r="AZ121" i="5"/>
  <c r="AY121" i="5"/>
  <c r="BA121" i="5"/>
  <c r="BP121" i="5" s="1"/>
  <c r="AV121" i="5"/>
  <c r="BO121" i="5" s="1"/>
  <c r="AU121" i="5"/>
  <c r="BB121" i="5" s="1"/>
  <c r="CK185" i="5"/>
  <c r="CG185" i="5"/>
  <c r="CF185" i="5"/>
  <c r="CI185" i="5"/>
  <c r="CE185" i="5"/>
  <c r="CD185" i="5"/>
  <c r="CA185" i="5"/>
  <c r="CC185" i="5"/>
  <c r="BY185" i="5"/>
  <c r="BW185" i="5"/>
  <c r="BV185" i="5"/>
  <c r="BU185" i="5"/>
  <c r="BS185" i="5"/>
  <c r="BT185" i="5"/>
  <c r="BR185" i="5"/>
  <c r="BQ185" i="5"/>
  <c r="BJ185" i="5"/>
  <c r="BI185" i="5"/>
  <c r="BM185" i="5"/>
  <c r="BH185" i="5"/>
  <c r="BK185" i="5"/>
  <c r="BG185" i="5"/>
  <c r="BF185" i="5"/>
  <c r="BE185" i="5"/>
  <c r="BD185" i="5"/>
  <c r="AZ185" i="5"/>
  <c r="AY185" i="5"/>
  <c r="BA185" i="5"/>
  <c r="BP185" i="5" s="1"/>
  <c r="AV185" i="5"/>
  <c r="BO185" i="5" s="1"/>
  <c r="AU185" i="5"/>
  <c r="BB185" i="5" s="1"/>
  <c r="CK249" i="5"/>
  <c r="CG249" i="5"/>
  <c r="CF249" i="5"/>
  <c r="CI249" i="5"/>
  <c r="CE249" i="5"/>
  <c r="CD249" i="5"/>
  <c r="CC249" i="5"/>
  <c r="CA249" i="5"/>
  <c r="BY249" i="5"/>
  <c r="BW249" i="5"/>
  <c r="BV249" i="5"/>
  <c r="BU249" i="5"/>
  <c r="BS249" i="5"/>
  <c r="BT249" i="5"/>
  <c r="BR249" i="5"/>
  <c r="BQ249" i="5"/>
  <c r="BJ249" i="5"/>
  <c r="BI249" i="5"/>
  <c r="BH249" i="5"/>
  <c r="BM249" i="5"/>
  <c r="BK249" i="5"/>
  <c r="BG249" i="5"/>
  <c r="BF249" i="5"/>
  <c r="BE249" i="5"/>
  <c r="BD249" i="5"/>
  <c r="AZ249" i="5"/>
  <c r="AY249" i="5"/>
  <c r="BA249" i="5"/>
  <c r="BP249" i="5" s="1"/>
  <c r="AV249" i="5"/>
  <c r="BO249" i="5" s="1"/>
  <c r="AU249" i="5"/>
  <c r="BB249" i="5" s="1"/>
  <c r="CK58" i="5"/>
  <c r="CI58" i="5"/>
  <c r="CG58" i="5"/>
  <c r="CF58" i="5"/>
  <c r="CE58" i="5"/>
  <c r="CD58" i="5"/>
  <c r="CC58" i="5"/>
  <c r="CA58" i="5"/>
  <c r="BY58" i="5"/>
  <c r="BV58" i="5"/>
  <c r="BU58" i="5"/>
  <c r="BW58" i="5"/>
  <c r="BT58" i="5"/>
  <c r="BS58" i="5"/>
  <c r="BR58" i="5"/>
  <c r="BM58" i="5"/>
  <c r="BQ58" i="5"/>
  <c r="BK58" i="5"/>
  <c r="BJ58" i="5"/>
  <c r="BI58" i="5"/>
  <c r="BH58" i="5"/>
  <c r="BG58" i="5"/>
  <c r="BF58" i="5"/>
  <c r="BE58" i="5"/>
  <c r="BD58" i="5"/>
  <c r="BA58" i="5"/>
  <c r="BP58" i="5" s="1"/>
  <c r="AZ58" i="5"/>
  <c r="AY58" i="5"/>
  <c r="AV58" i="5"/>
  <c r="BO58" i="5" s="1"/>
  <c r="AU58" i="5"/>
  <c r="BN58" i="5" s="1"/>
  <c r="CK122" i="5"/>
  <c r="CJ122" i="5"/>
  <c r="CG122" i="5"/>
  <c r="CI122" i="5"/>
  <c r="CF122" i="5"/>
  <c r="CH122" i="5"/>
  <c r="CE122" i="5"/>
  <c r="CD122" i="5"/>
  <c r="CC122" i="5"/>
  <c r="CA122" i="5"/>
  <c r="BX122" i="5"/>
  <c r="BZ122" i="5"/>
  <c r="BY122" i="5"/>
  <c r="BW122" i="5"/>
  <c r="BV122" i="5"/>
  <c r="BU122" i="5"/>
  <c r="BT122" i="5"/>
  <c r="BS122" i="5"/>
  <c r="BR122" i="5"/>
  <c r="BQ122" i="5"/>
  <c r="BK122" i="5"/>
  <c r="BJ122" i="5"/>
  <c r="BL122" i="5"/>
  <c r="BI122" i="5"/>
  <c r="BM122" i="5"/>
  <c r="BH122" i="5"/>
  <c r="BF122" i="5"/>
  <c r="BG122" i="5"/>
  <c r="BE122" i="5"/>
  <c r="BD122" i="5"/>
  <c r="BA122" i="5"/>
  <c r="BP122" i="5" s="1"/>
  <c r="AZ122" i="5"/>
  <c r="AY122" i="5"/>
  <c r="AV122" i="5"/>
  <c r="BC122" i="5" s="1"/>
  <c r="AU122" i="5"/>
  <c r="BB122" i="5" s="1"/>
  <c r="CK186" i="5"/>
  <c r="CG186" i="5"/>
  <c r="CJ186" i="5"/>
  <c r="CH186" i="5"/>
  <c r="CF186" i="5"/>
  <c r="CI186" i="5"/>
  <c r="CE186" i="5"/>
  <c r="CD186" i="5"/>
  <c r="CC186" i="5"/>
  <c r="CA186" i="5"/>
  <c r="BZ186" i="5"/>
  <c r="BY186" i="5"/>
  <c r="BX186" i="5"/>
  <c r="BW186" i="5"/>
  <c r="BV186" i="5"/>
  <c r="BU186" i="5"/>
  <c r="BT186" i="5"/>
  <c r="BS186" i="5"/>
  <c r="BR186" i="5"/>
  <c r="BQ186" i="5"/>
  <c r="BK186" i="5"/>
  <c r="BJ186" i="5"/>
  <c r="BI186" i="5"/>
  <c r="BM186" i="5"/>
  <c r="BL186" i="5"/>
  <c r="BH186" i="5"/>
  <c r="BG186" i="5"/>
  <c r="BF186" i="5"/>
  <c r="BE186" i="5"/>
  <c r="BD186" i="5"/>
  <c r="BA186" i="5"/>
  <c r="BP186" i="5" s="1"/>
  <c r="AZ186" i="5"/>
  <c r="AY186" i="5"/>
  <c r="AV186" i="5"/>
  <c r="BO186" i="5" s="1"/>
  <c r="AU186" i="5"/>
  <c r="BN186" i="5" s="1"/>
  <c r="CK250" i="5"/>
  <c r="CG250" i="5"/>
  <c r="CI250" i="5"/>
  <c r="CF250" i="5"/>
  <c r="CE250" i="5"/>
  <c r="CD250" i="5"/>
  <c r="CC250" i="5"/>
  <c r="CA250" i="5"/>
  <c r="BY250" i="5"/>
  <c r="BW250" i="5"/>
  <c r="BV250" i="5"/>
  <c r="BT250" i="5"/>
  <c r="BU250" i="5"/>
  <c r="BS250" i="5"/>
  <c r="BR250" i="5"/>
  <c r="BQ250" i="5"/>
  <c r="BK250" i="5"/>
  <c r="BJ250" i="5"/>
  <c r="BI250" i="5"/>
  <c r="BH250" i="5"/>
  <c r="BM250" i="5"/>
  <c r="BG250" i="5"/>
  <c r="BF250" i="5"/>
  <c r="BE250" i="5"/>
  <c r="BD250" i="5"/>
  <c r="BA250" i="5"/>
  <c r="BP250" i="5" s="1"/>
  <c r="AZ250" i="5"/>
  <c r="AY250" i="5"/>
  <c r="AV250" i="5"/>
  <c r="BO250" i="5" s="1"/>
  <c r="AU250" i="5"/>
  <c r="BN250" i="5" s="1"/>
  <c r="CJ43" i="5"/>
  <c r="CI43" i="5"/>
  <c r="CG43" i="5"/>
  <c r="CE43" i="5"/>
  <c r="CF43" i="5"/>
  <c r="CD43" i="5"/>
  <c r="CC43" i="5"/>
  <c r="BZ43" i="5"/>
  <c r="BX43" i="5"/>
  <c r="BW43" i="5"/>
  <c r="BV43" i="5"/>
  <c r="BU43" i="5"/>
  <c r="BT43" i="5"/>
  <c r="BS43" i="5"/>
  <c r="BR43" i="5"/>
  <c r="BQ43" i="5"/>
  <c r="BK43" i="5"/>
  <c r="BJ43" i="5"/>
  <c r="BL43" i="5"/>
  <c r="BI43" i="5"/>
  <c r="BH43" i="5"/>
  <c r="BD43" i="5"/>
  <c r="BG43" i="5"/>
  <c r="BF43" i="5"/>
  <c r="BE43" i="5"/>
  <c r="BA43" i="5"/>
  <c r="BP43" i="5" s="1"/>
  <c r="AZ43" i="5"/>
  <c r="AY43" i="5"/>
  <c r="AV43" i="5"/>
  <c r="BO43" i="5" s="1"/>
  <c r="AU43" i="5"/>
  <c r="BN43" i="5" s="1"/>
  <c r="CK107" i="5"/>
  <c r="CI107" i="5"/>
  <c r="CF107" i="5"/>
  <c r="CG107" i="5"/>
  <c r="CE107" i="5"/>
  <c r="CD107" i="5"/>
  <c r="CA107" i="5"/>
  <c r="CC107" i="5"/>
  <c r="BY107" i="5"/>
  <c r="BW107" i="5"/>
  <c r="BV107" i="5"/>
  <c r="BU107" i="5"/>
  <c r="BT107" i="5"/>
  <c r="BS107" i="5"/>
  <c r="BQ107" i="5"/>
  <c r="BM107" i="5"/>
  <c r="BR107" i="5"/>
  <c r="BK107" i="5"/>
  <c r="BJ107" i="5"/>
  <c r="BI107" i="5"/>
  <c r="BH107" i="5"/>
  <c r="BD107" i="5"/>
  <c r="BG107" i="5"/>
  <c r="BF107" i="5"/>
  <c r="BE107" i="5"/>
  <c r="BA107" i="5"/>
  <c r="BP107" i="5" s="1"/>
  <c r="AZ107" i="5"/>
  <c r="AY107" i="5"/>
  <c r="AV107" i="5"/>
  <c r="BO107" i="5" s="1"/>
  <c r="AU107" i="5"/>
  <c r="BB107" i="5" s="1"/>
  <c r="CK171" i="5"/>
  <c r="CF171" i="5"/>
  <c r="CI171" i="5"/>
  <c r="CG171" i="5"/>
  <c r="CE171" i="5"/>
  <c r="CD171" i="5"/>
  <c r="CC171" i="5"/>
  <c r="CA171" i="5"/>
  <c r="BY171" i="5"/>
  <c r="BW171" i="5"/>
  <c r="BV171" i="5"/>
  <c r="BU171" i="5"/>
  <c r="BT171" i="5"/>
  <c r="BS171" i="5"/>
  <c r="BQ171" i="5"/>
  <c r="BR171" i="5"/>
  <c r="BK171" i="5"/>
  <c r="BJ171" i="5"/>
  <c r="BI171" i="5"/>
  <c r="BH171" i="5"/>
  <c r="BM171" i="5"/>
  <c r="BD171" i="5"/>
  <c r="BG171" i="5"/>
  <c r="BF171" i="5"/>
  <c r="BE171" i="5"/>
  <c r="BA171" i="5"/>
  <c r="BP171" i="5" s="1"/>
  <c r="AZ171" i="5"/>
  <c r="AY171" i="5"/>
  <c r="AV171" i="5"/>
  <c r="BC171" i="5" s="1"/>
  <c r="AU171" i="5"/>
  <c r="BB171" i="5" s="1"/>
  <c r="CK235" i="5"/>
  <c r="CJ235" i="5"/>
  <c r="CH235" i="5"/>
  <c r="CF235" i="5"/>
  <c r="CG235" i="5"/>
  <c r="CE235" i="5"/>
  <c r="CD235" i="5"/>
  <c r="CI235" i="5"/>
  <c r="CC235" i="5"/>
  <c r="CA235" i="5"/>
  <c r="BZ235" i="5"/>
  <c r="BY235" i="5"/>
  <c r="BX235" i="5"/>
  <c r="BW235" i="5"/>
  <c r="BV235" i="5"/>
  <c r="BU235" i="5"/>
  <c r="BT235" i="5"/>
  <c r="BS235" i="5"/>
  <c r="BQ235" i="5"/>
  <c r="BR235" i="5"/>
  <c r="BL235" i="5"/>
  <c r="BK235" i="5"/>
  <c r="BJ235" i="5"/>
  <c r="BI235" i="5"/>
  <c r="BH235" i="5"/>
  <c r="BM235" i="5"/>
  <c r="BD235" i="5"/>
  <c r="BG235" i="5"/>
  <c r="BF235" i="5"/>
  <c r="BE235" i="5"/>
  <c r="BA235" i="5"/>
  <c r="BP235" i="5" s="1"/>
  <c r="AZ235" i="5"/>
  <c r="AY235" i="5"/>
  <c r="AV235" i="5"/>
  <c r="BC235" i="5" s="1"/>
  <c r="AU235" i="5"/>
  <c r="BB235" i="5" s="1"/>
  <c r="CK12" i="5"/>
  <c r="CI12" i="5"/>
  <c r="CG12" i="5"/>
  <c r="CE12" i="5"/>
  <c r="CF12" i="5"/>
  <c r="CD12" i="5"/>
  <c r="CC12" i="5"/>
  <c r="CA12" i="5"/>
  <c r="BY12" i="5"/>
  <c r="BW12" i="5"/>
  <c r="BU12" i="5"/>
  <c r="BV12" i="5"/>
  <c r="BT12" i="5"/>
  <c r="BS12" i="5"/>
  <c r="BR12" i="5"/>
  <c r="BQ12" i="5"/>
  <c r="BM12" i="5"/>
  <c r="BK12" i="5"/>
  <c r="BJ12" i="5"/>
  <c r="BI12" i="5"/>
  <c r="BH12" i="5"/>
  <c r="BG12" i="5"/>
  <c r="BE12" i="5"/>
  <c r="BD12" i="5"/>
  <c r="BF12" i="5"/>
  <c r="BA12" i="5"/>
  <c r="BP12" i="5" s="1"/>
  <c r="AZ12" i="5"/>
  <c r="AY12" i="5"/>
  <c r="AV12" i="5"/>
  <c r="BO12" i="5" s="1"/>
  <c r="AU12" i="5"/>
  <c r="BN12" i="5" s="1"/>
  <c r="CK76" i="5"/>
  <c r="CI76" i="5"/>
  <c r="CH76" i="5"/>
  <c r="CF76" i="5"/>
  <c r="CG76" i="5"/>
  <c r="CJ76" i="5"/>
  <c r="CE76" i="5"/>
  <c r="CD76" i="5"/>
  <c r="CC76" i="5"/>
  <c r="CA76" i="5"/>
  <c r="BZ76" i="5"/>
  <c r="BY76" i="5"/>
  <c r="BX76" i="5"/>
  <c r="BU76" i="5"/>
  <c r="BW76" i="5"/>
  <c r="BV76" i="5"/>
  <c r="BT76" i="5"/>
  <c r="BS76" i="5"/>
  <c r="BR76" i="5"/>
  <c r="BQ76" i="5"/>
  <c r="BM76" i="5"/>
  <c r="BK76" i="5"/>
  <c r="BJ76" i="5"/>
  <c r="BL76" i="5"/>
  <c r="BI76" i="5"/>
  <c r="BH76" i="5"/>
  <c r="BE76" i="5"/>
  <c r="BG76" i="5"/>
  <c r="BD76" i="5"/>
  <c r="BF76" i="5"/>
  <c r="BA76" i="5"/>
  <c r="BP76" i="5" s="1"/>
  <c r="AZ76" i="5"/>
  <c r="AY76" i="5"/>
  <c r="AV76" i="5"/>
  <c r="BO76" i="5" s="1"/>
  <c r="AU76" i="5"/>
  <c r="BN76" i="5" s="1"/>
  <c r="CK140" i="5"/>
  <c r="CI140" i="5"/>
  <c r="CF140" i="5"/>
  <c r="CG140" i="5"/>
  <c r="CE140" i="5"/>
  <c r="CD140" i="5"/>
  <c r="CC140" i="5"/>
  <c r="CA140" i="5"/>
  <c r="BY140" i="5"/>
  <c r="BU140" i="5"/>
  <c r="BW140" i="5"/>
  <c r="BV140" i="5"/>
  <c r="BT140" i="5"/>
  <c r="BS140" i="5"/>
  <c r="BR140" i="5"/>
  <c r="BQ140" i="5"/>
  <c r="BK140" i="5"/>
  <c r="BJ140" i="5"/>
  <c r="BI140" i="5"/>
  <c r="BH140" i="5"/>
  <c r="BM140" i="5"/>
  <c r="BE140" i="5"/>
  <c r="BD140" i="5"/>
  <c r="BG140" i="5"/>
  <c r="BF140" i="5"/>
  <c r="BA140" i="5"/>
  <c r="BP140" i="5" s="1"/>
  <c r="AZ140" i="5"/>
  <c r="AY140" i="5"/>
  <c r="AV140" i="5"/>
  <c r="BO140" i="5" s="1"/>
  <c r="AU140" i="5"/>
  <c r="BN140" i="5" s="1"/>
  <c r="CK204" i="5"/>
  <c r="CI204" i="5"/>
  <c r="CF204" i="5"/>
  <c r="CG204" i="5"/>
  <c r="CE204" i="5"/>
  <c r="CD204" i="5"/>
  <c r="CC204" i="5"/>
  <c r="CA204" i="5"/>
  <c r="BY204" i="5"/>
  <c r="BU204" i="5"/>
  <c r="BW204" i="5"/>
  <c r="BV204" i="5"/>
  <c r="BT204" i="5"/>
  <c r="BS204" i="5"/>
  <c r="BQ204" i="5"/>
  <c r="BR204" i="5"/>
  <c r="BK204" i="5"/>
  <c r="BM204" i="5"/>
  <c r="BJ204" i="5"/>
  <c r="BI204" i="5"/>
  <c r="BH204" i="5"/>
  <c r="BE204" i="5"/>
  <c r="BD204" i="5"/>
  <c r="BG204" i="5"/>
  <c r="BF204" i="5"/>
  <c r="BA204" i="5"/>
  <c r="BP204" i="5" s="1"/>
  <c r="AZ204" i="5"/>
  <c r="AY204" i="5"/>
  <c r="AV204" i="5"/>
  <c r="BO204" i="5" s="1"/>
  <c r="AU204" i="5"/>
  <c r="BN204" i="5" s="1"/>
  <c r="CI65" i="5"/>
  <c r="CG65" i="5"/>
  <c r="CK65" i="5"/>
  <c r="CF65" i="5"/>
  <c r="CE65" i="5"/>
  <c r="CD65" i="5"/>
  <c r="CA65" i="5"/>
  <c r="CC65" i="5"/>
  <c r="BY65" i="5"/>
  <c r="BW65" i="5"/>
  <c r="BV65" i="5"/>
  <c r="BU65" i="5"/>
  <c r="BS65" i="5"/>
  <c r="BR65" i="5"/>
  <c r="BT65" i="5"/>
  <c r="BM65" i="5"/>
  <c r="BQ65" i="5"/>
  <c r="BJ65" i="5"/>
  <c r="BI65" i="5"/>
  <c r="BH65" i="5"/>
  <c r="BG65" i="5"/>
  <c r="BK65" i="5"/>
  <c r="BF65" i="5"/>
  <c r="BE65" i="5"/>
  <c r="BD65" i="5"/>
  <c r="AZ65" i="5"/>
  <c r="AY65" i="5"/>
  <c r="BA65" i="5"/>
  <c r="BP65" i="5" s="1"/>
  <c r="AV65" i="5"/>
  <c r="BO65" i="5" s="1"/>
  <c r="AU65" i="5"/>
  <c r="BN65" i="5" s="1"/>
  <c r="CG129" i="5"/>
  <c r="CK129" i="5"/>
  <c r="CI129" i="5"/>
  <c r="CF129" i="5"/>
  <c r="CE129" i="5"/>
  <c r="CD129" i="5"/>
  <c r="CC129" i="5"/>
  <c r="CA129" i="5"/>
  <c r="BY129" i="5"/>
  <c r="BW129" i="5"/>
  <c r="BV129" i="5"/>
  <c r="BU129" i="5"/>
  <c r="BS129" i="5"/>
  <c r="BR129" i="5"/>
  <c r="BT129" i="5"/>
  <c r="BQ129" i="5"/>
  <c r="BJ129" i="5"/>
  <c r="BI129" i="5"/>
  <c r="BH129" i="5"/>
  <c r="BM129" i="5"/>
  <c r="BK129" i="5"/>
  <c r="BG129" i="5"/>
  <c r="BF129" i="5"/>
  <c r="BE129" i="5"/>
  <c r="BD129" i="5"/>
  <c r="AZ129" i="5"/>
  <c r="AY129" i="5"/>
  <c r="BA129" i="5"/>
  <c r="AV129" i="5"/>
  <c r="AU129" i="5"/>
  <c r="CG193" i="5"/>
  <c r="CK193" i="5"/>
  <c r="CI193" i="5"/>
  <c r="CF193" i="5"/>
  <c r="CE193" i="5"/>
  <c r="CD193" i="5"/>
  <c r="CA193" i="5"/>
  <c r="CC193" i="5"/>
  <c r="BY193" i="5"/>
  <c r="BW193" i="5"/>
  <c r="BV193" i="5"/>
  <c r="BU193" i="5"/>
  <c r="BS193" i="5"/>
  <c r="BT193" i="5"/>
  <c r="BR193" i="5"/>
  <c r="BQ193" i="5"/>
  <c r="BJ193" i="5"/>
  <c r="BM193" i="5"/>
  <c r="BI193" i="5"/>
  <c r="BH193" i="5"/>
  <c r="BK193" i="5"/>
  <c r="BG193" i="5"/>
  <c r="BF193" i="5"/>
  <c r="BE193" i="5"/>
  <c r="BD193" i="5"/>
  <c r="AZ193" i="5"/>
  <c r="AY193" i="5"/>
  <c r="BA193" i="5"/>
  <c r="BP193" i="5" s="1"/>
  <c r="AV193" i="5"/>
  <c r="BC193" i="5" s="1"/>
  <c r="AU193" i="5"/>
  <c r="BN193" i="5" s="1"/>
  <c r="CJ257" i="5"/>
  <c r="CK257" i="5"/>
  <c r="CH257" i="5"/>
  <c r="CG257" i="5"/>
  <c r="CI257" i="5"/>
  <c r="CF257" i="5"/>
  <c r="CE257" i="5"/>
  <c r="CD257" i="5"/>
  <c r="CC257" i="5"/>
  <c r="BZ257" i="5"/>
  <c r="BY257" i="5"/>
  <c r="CA257" i="5"/>
  <c r="BX257" i="5"/>
  <c r="BW257" i="5"/>
  <c r="BV257" i="5"/>
  <c r="BS257" i="5"/>
  <c r="BU257" i="5"/>
  <c r="BT257" i="5"/>
  <c r="BR257" i="5"/>
  <c r="BQ257" i="5"/>
  <c r="BJ257" i="5"/>
  <c r="BI257" i="5"/>
  <c r="BH257" i="5"/>
  <c r="BM257" i="5"/>
  <c r="BL257" i="5"/>
  <c r="BK257" i="5"/>
  <c r="BG257" i="5"/>
  <c r="BF257" i="5"/>
  <c r="BE257" i="5"/>
  <c r="BD257" i="5"/>
  <c r="AZ257" i="5"/>
  <c r="AY257" i="5"/>
  <c r="BA257" i="5"/>
  <c r="BP257" i="5" s="1"/>
  <c r="AV257" i="5"/>
  <c r="BC257" i="5" s="1"/>
  <c r="AU257" i="5"/>
  <c r="BN257" i="5" s="1"/>
  <c r="CK66" i="5"/>
  <c r="CI66" i="5"/>
  <c r="CG66" i="5"/>
  <c r="CF66" i="5"/>
  <c r="CE66" i="5"/>
  <c r="CD66" i="5"/>
  <c r="CC66" i="5"/>
  <c r="CA66" i="5"/>
  <c r="BY66" i="5"/>
  <c r="BW66" i="5"/>
  <c r="BV66" i="5"/>
  <c r="BU66" i="5"/>
  <c r="BT66" i="5"/>
  <c r="BS66" i="5"/>
  <c r="BR66" i="5"/>
  <c r="BM66" i="5"/>
  <c r="BQ66" i="5"/>
  <c r="BK66" i="5"/>
  <c r="BJ66" i="5"/>
  <c r="BI66" i="5"/>
  <c r="BH66" i="5"/>
  <c r="BG66" i="5"/>
  <c r="BF66" i="5"/>
  <c r="BE66" i="5"/>
  <c r="BD66" i="5"/>
  <c r="BA66" i="5"/>
  <c r="BP66" i="5" s="1"/>
  <c r="AZ66" i="5"/>
  <c r="AY66" i="5"/>
  <c r="AV66" i="5"/>
  <c r="BO66" i="5" s="1"/>
  <c r="AU66" i="5"/>
  <c r="BN66" i="5" s="1"/>
  <c r="CK130" i="5"/>
  <c r="CJ130" i="5"/>
  <c r="CI130" i="5"/>
  <c r="CG130" i="5"/>
  <c r="CH130" i="5"/>
  <c r="CF130" i="5"/>
  <c r="CE130" i="5"/>
  <c r="CD130" i="5"/>
  <c r="CC130" i="5"/>
  <c r="CA130" i="5"/>
  <c r="BZ130" i="5"/>
  <c r="BY130" i="5"/>
  <c r="BX130" i="5"/>
  <c r="BW130" i="5"/>
  <c r="BV130" i="5"/>
  <c r="BU130" i="5"/>
  <c r="BT130" i="5"/>
  <c r="BS130" i="5"/>
  <c r="BR130" i="5"/>
  <c r="BQ130" i="5"/>
  <c r="BM130" i="5"/>
  <c r="BK130" i="5"/>
  <c r="BJ130" i="5"/>
  <c r="BI130" i="5"/>
  <c r="BH130" i="5"/>
  <c r="BL130" i="5"/>
  <c r="BG130" i="5"/>
  <c r="BF130" i="5"/>
  <c r="BE130" i="5"/>
  <c r="BD130" i="5"/>
  <c r="BA130" i="5"/>
  <c r="BP130" i="5" s="1"/>
  <c r="AZ130" i="5"/>
  <c r="AY130" i="5"/>
  <c r="AV130" i="5"/>
  <c r="BC130" i="5" s="1"/>
  <c r="AU130" i="5"/>
  <c r="BN130" i="5" s="1"/>
  <c r="CK194" i="5"/>
  <c r="CG194" i="5"/>
  <c r="CI194" i="5"/>
  <c r="CF194" i="5"/>
  <c r="CE194" i="5"/>
  <c r="CD194" i="5"/>
  <c r="CC194" i="5"/>
  <c r="CA194" i="5"/>
  <c r="BY194" i="5"/>
  <c r="BW194" i="5"/>
  <c r="BV194" i="5"/>
  <c r="BU194" i="5"/>
  <c r="BT194" i="5"/>
  <c r="BS194" i="5"/>
  <c r="BR194" i="5"/>
  <c r="BQ194" i="5"/>
  <c r="BK194" i="5"/>
  <c r="BJ194" i="5"/>
  <c r="BM194" i="5"/>
  <c r="BI194" i="5"/>
  <c r="BH194" i="5"/>
  <c r="BG194" i="5"/>
  <c r="BF194" i="5"/>
  <c r="BE194" i="5"/>
  <c r="BD194" i="5"/>
  <c r="BA194" i="5"/>
  <c r="BP194" i="5" s="1"/>
  <c r="AZ194" i="5"/>
  <c r="AY194" i="5"/>
  <c r="AV194" i="5"/>
  <c r="BO194" i="5" s="1"/>
  <c r="AU194" i="5"/>
  <c r="BN194" i="5" s="1"/>
  <c r="CJ258" i="5"/>
  <c r="CK258" i="5"/>
  <c r="CH258" i="5"/>
  <c r="CG258" i="5"/>
  <c r="CF258" i="5"/>
  <c r="CI258" i="5"/>
  <c r="CE258" i="5"/>
  <c r="CD258" i="5"/>
  <c r="CC258" i="5"/>
  <c r="CA258" i="5"/>
  <c r="BX258" i="5"/>
  <c r="BZ258" i="5"/>
  <c r="BY258" i="5"/>
  <c r="BW258" i="5"/>
  <c r="BV258" i="5"/>
  <c r="BU258" i="5"/>
  <c r="BT258" i="5"/>
  <c r="BS258" i="5"/>
  <c r="BR258" i="5"/>
  <c r="BQ258" i="5"/>
  <c r="BL258" i="5"/>
  <c r="BK258" i="5"/>
  <c r="BJ258" i="5"/>
  <c r="BI258" i="5"/>
  <c r="BH258" i="5"/>
  <c r="BM258" i="5"/>
  <c r="BG258" i="5"/>
  <c r="BF258" i="5"/>
  <c r="BE258" i="5"/>
  <c r="BD258" i="5"/>
  <c r="BA258" i="5"/>
  <c r="BP258" i="5" s="1"/>
  <c r="AZ258" i="5"/>
  <c r="AY258" i="5"/>
  <c r="AV258" i="5"/>
  <c r="BC258" i="5" s="1"/>
  <c r="AU258" i="5"/>
  <c r="CK51" i="5"/>
  <c r="CI51" i="5"/>
  <c r="CG51" i="5"/>
  <c r="CF51" i="5"/>
  <c r="CE51" i="5"/>
  <c r="CD51" i="5"/>
  <c r="CC51" i="5"/>
  <c r="CA51" i="5"/>
  <c r="BY51" i="5"/>
  <c r="BW51" i="5"/>
  <c r="BV51" i="5"/>
  <c r="BU51" i="5"/>
  <c r="BT51" i="5"/>
  <c r="BS51" i="5"/>
  <c r="BR51" i="5"/>
  <c r="BQ51" i="5"/>
  <c r="BM51" i="5"/>
  <c r="BK51" i="5"/>
  <c r="BJ51" i="5"/>
  <c r="BI51" i="5"/>
  <c r="BH51" i="5"/>
  <c r="BD51" i="5"/>
  <c r="BG51" i="5"/>
  <c r="BF51" i="5"/>
  <c r="BE51" i="5"/>
  <c r="BA51" i="5"/>
  <c r="BP51" i="5" s="1"/>
  <c r="AZ51" i="5"/>
  <c r="AY51" i="5"/>
  <c r="AV51" i="5"/>
  <c r="BO51" i="5" s="1"/>
  <c r="AU51" i="5"/>
  <c r="BB51" i="5" s="1"/>
  <c r="CK115" i="5"/>
  <c r="CJ115" i="5"/>
  <c r="CI115" i="5"/>
  <c r="CH115" i="5"/>
  <c r="CG115" i="5"/>
  <c r="CF115" i="5"/>
  <c r="CE115" i="5"/>
  <c r="CD115" i="5"/>
  <c r="CA115" i="5"/>
  <c r="CC115" i="5"/>
  <c r="BZ115" i="5"/>
  <c r="BY115" i="5"/>
  <c r="BX115" i="5"/>
  <c r="BW115" i="5"/>
  <c r="BV115" i="5"/>
  <c r="BU115" i="5"/>
  <c r="BT115" i="5"/>
  <c r="BS115" i="5"/>
  <c r="BQ115" i="5"/>
  <c r="BM115" i="5"/>
  <c r="BR115" i="5"/>
  <c r="BK115" i="5"/>
  <c r="BJ115" i="5"/>
  <c r="BI115" i="5"/>
  <c r="BL115" i="5"/>
  <c r="BH115" i="5"/>
  <c r="BG115" i="5"/>
  <c r="BD115" i="5"/>
  <c r="BF115" i="5"/>
  <c r="BE115" i="5"/>
  <c r="BA115" i="5"/>
  <c r="BP115" i="5" s="1"/>
  <c r="AZ115" i="5"/>
  <c r="AY115" i="5"/>
  <c r="AV115" i="5"/>
  <c r="BO115" i="5" s="1"/>
  <c r="AU115" i="5"/>
  <c r="BN115" i="5" s="1"/>
  <c r="CK179" i="5"/>
  <c r="CI179" i="5"/>
  <c r="CG179" i="5"/>
  <c r="CF179" i="5"/>
  <c r="CE179" i="5"/>
  <c r="CD179" i="5"/>
  <c r="CC179" i="5"/>
  <c r="CA179" i="5"/>
  <c r="BY179" i="5"/>
  <c r="BW179" i="5"/>
  <c r="BV179" i="5"/>
  <c r="BU179" i="5"/>
  <c r="BT179" i="5"/>
  <c r="BS179" i="5"/>
  <c r="BQ179" i="5"/>
  <c r="BR179" i="5"/>
  <c r="BK179" i="5"/>
  <c r="BJ179" i="5"/>
  <c r="BI179" i="5"/>
  <c r="BH179" i="5"/>
  <c r="BM179" i="5"/>
  <c r="BD179" i="5"/>
  <c r="BG179" i="5"/>
  <c r="BF179" i="5"/>
  <c r="BE179" i="5"/>
  <c r="BA179" i="5"/>
  <c r="BP179" i="5" s="1"/>
  <c r="AZ179" i="5"/>
  <c r="AY179" i="5"/>
  <c r="AV179" i="5"/>
  <c r="BO179" i="5" s="1"/>
  <c r="AU179" i="5"/>
  <c r="CK243" i="5"/>
  <c r="CJ243" i="5"/>
  <c r="CH243" i="5"/>
  <c r="CG243" i="5"/>
  <c r="CI243" i="5"/>
  <c r="CF243" i="5"/>
  <c r="CE243" i="5"/>
  <c r="CD243" i="5"/>
  <c r="CC243" i="5"/>
  <c r="CA243" i="5"/>
  <c r="BZ243" i="5"/>
  <c r="BY243" i="5"/>
  <c r="BX243" i="5"/>
  <c r="BW243" i="5"/>
  <c r="BV243" i="5"/>
  <c r="BU243" i="5"/>
  <c r="BT243" i="5"/>
  <c r="BS243" i="5"/>
  <c r="BQ243" i="5"/>
  <c r="BR243" i="5"/>
  <c r="BK243" i="5"/>
  <c r="BJ243" i="5"/>
  <c r="BI243" i="5"/>
  <c r="BH243" i="5"/>
  <c r="BM243" i="5"/>
  <c r="BL243" i="5"/>
  <c r="BD243" i="5"/>
  <c r="BG243" i="5"/>
  <c r="BF243" i="5"/>
  <c r="BE243" i="5"/>
  <c r="BA243" i="5"/>
  <c r="BP243" i="5" s="1"/>
  <c r="AZ243" i="5"/>
  <c r="AY243" i="5"/>
  <c r="AV243" i="5"/>
  <c r="BC243" i="5" s="1"/>
  <c r="AU243" i="5"/>
  <c r="CK20" i="5"/>
  <c r="CI20" i="5"/>
  <c r="CG20" i="5"/>
  <c r="CF20" i="5"/>
  <c r="CE20" i="5"/>
  <c r="CD20" i="5"/>
  <c r="CC20" i="5"/>
  <c r="CA20" i="5"/>
  <c r="BY20" i="5"/>
  <c r="BW20" i="5"/>
  <c r="BU20" i="5"/>
  <c r="BV20" i="5"/>
  <c r="BT20" i="5"/>
  <c r="BS20" i="5"/>
  <c r="BR20" i="5"/>
  <c r="BQ20" i="5"/>
  <c r="BM20" i="5"/>
  <c r="BK20" i="5"/>
  <c r="BJ20" i="5"/>
  <c r="BI20" i="5"/>
  <c r="BH20" i="5"/>
  <c r="BG20" i="5"/>
  <c r="BE20" i="5"/>
  <c r="BD20" i="5"/>
  <c r="BF20" i="5"/>
  <c r="BA20" i="5"/>
  <c r="BP20" i="5" s="1"/>
  <c r="AZ20" i="5"/>
  <c r="AY20" i="5"/>
  <c r="AV20" i="5"/>
  <c r="BO20" i="5" s="1"/>
  <c r="AU20" i="5"/>
  <c r="BN20" i="5" s="1"/>
  <c r="CK84" i="5"/>
  <c r="CJ84" i="5"/>
  <c r="CI84" i="5"/>
  <c r="CH84" i="5"/>
  <c r="CG84" i="5"/>
  <c r="CF84" i="5"/>
  <c r="CE84" i="5"/>
  <c r="CD84" i="5"/>
  <c r="CC84" i="5"/>
  <c r="CA84" i="5"/>
  <c r="BX84" i="5"/>
  <c r="BZ84" i="5"/>
  <c r="BY84" i="5"/>
  <c r="BU84" i="5"/>
  <c r="BW84" i="5"/>
  <c r="BV84" i="5"/>
  <c r="BT84" i="5"/>
  <c r="BS84" i="5"/>
  <c r="BR84" i="5"/>
  <c r="BQ84" i="5"/>
  <c r="BL84" i="5"/>
  <c r="BK84" i="5"/>
  <c r="BJ84" i="5"/>
  <c r="BI84" i="5"/>
  <c r="BH84" i="5"/>
  <c r="BM84" i="5"/>
  <c r="BE84" i="5"/>
  <c r="BD84" i="5"/>
  <c r="BG84" i="5"/>
  <c r="BF84" i="5"/>
  <c r="BA84" i="5"/>
  <c r="BP84" i="5" s="1"/>
  <c r="AZ84" i="5"/>
  <c r="AY84" i="5"/>
  <c r="AV84" i="5"/>
  <c r="BO84" i="5" s="1"/>
  <c r="AU84" i="5"/>
  <c r="CK148" i="5"/>
  <c r="CJ148" i="5"/>
  <c r="CI148" i="5"/>
  <c r="CH148" i="5"/>
  <c r="CG148" i="5"/>
  <c r="CF148" i="5"/>
  <c r="CE148" i="5"/>
  <c r="CD148" i="5"/>
  <c r="CC148" i="5"/>
  <c r="CA148" i="5"/>
  <c r="BZ148" i="5"/>
  <c r="BY148" i="5"/>
  <c r="BX148" i="5"/>
  <c r="BU148" i="5"/>
  <c r="BW148" i="5"/>
  <c r="BV148" i="5"/>
  <c r="BT148" i="5"/>
  <c r="BS148" i="5"/>
  <c r="BR148" i="5"/>
  <c r="BQ148" i="5"/>
  <c r="BL148" i="5"/>
  <c r="BK148" i="5"/>
  <c r="BM148" i="5"/>
  <c r="BJ148" i="5"/>
  <c r="BI148" i="5"/>
  <c r="BH148" i="5"/>
  <c r="BE148" i="5"/>
  <c r="BD148" i="5"/>
  <c r="BG148" i="5"/>
  <c r="BF148" i="5"/>
  <c r="BA148" i="5"/>
  <c r="BP148" i="5" s="1"/>
  <c r="AZ148" i="5"/>
  <c r="AY148" i="5"/>
  <c r="AU148" i="5"/>
  <c r="BN148" i="5" s="1"/>
  <c r="AV148" i="5"/>
  <c r="BO148" i="5" s="1"/>
  <c r="CK212" i="5"/>
  <c r="CI212" i="5"/>
  <c r="CG212" i="5"/>
  <c r="CF212" i="5"/>
  <c r="CE212" i="5"/>
  <c r="CD212" i="5"/>
  <c r="CC212" i="5"/>
  <c r="CA212" i="5"/>
  <c r="BY212" i="5"/>
  <c r="BU212" i="5"/>
  <c r="BW212" i="5"/>
  <c r="BV212" i="5"/>
  <c r="BT212" i="5"/>
  <c r="BS212" i="5"/>
  <c r="BR212" i="5"/>
  <c r="BQ212" i="5"/>
  <c r="BM212" i="5"/>
  <c r="BK212" i="5"/>
  <c r="BJ212" i="5"/>
  <c r="BI212" i="5"/>
  <c r="BH212" i="5"/>
  <c r="BE212" i="5"/>
  <c r="BD212" i="5"/>
  <c r="BG212" i="5"/>
  <c r="BF212" i="5"/>
  <c r="BA212" i="5"/>
  <c r="BP212" i="5" s="1"/>
  <c r="AZ212" i="5"/>
  <c r="AY212" i="5"/>
  <c r="AU212" i="5"/>
  <c r="BB212" i="5" s="1"/>
  <c r="AV212" i="5"/>
  <c r="BO212" i="5" s="1"/>
  <c r="CK69" i="5"/>
  <c r="CI69" i="5"/>
  <c r="CG69" i="5"/>
  <c r="CF69" i="5"/>
  <c r="CD69" i="5"/>
  <c r="CC69" i="5"/>
  <c r="CE69" i="5"/>
  <c r="CA69" i="5"/>
  <c r="BW69" i="5"/>
  <c r="BY69" i="5"/>
  <c r="BV69" i="5"/>
  <c r="BU69" i="5"/>
  <c r="BT69" i="5"/>
  <c r="BS69" i="5"/>
  <c r="BR69" i="5"/>
  <c r="BQ69" i="5"/>
  <c r="BM69" i="5"/>
  <c r="BK69" i="5"/>
  <c r="BJ69" i="5"/>
  <c r="BI69" i="5"/>
  <c r="BH69" i="5"/>
  <c r="BF69" i="5"/>
  <c r="BE69" i="5"/>
  <c r="BD69" i="5"/>
  <c r="BG69" i="5"/>
  <c r="BA69" i="5"/>
  <c r="BP69" i="5" s="1"/>
  <c r="AZ69" i="5"/>
  <c r="AY69" i="5"/>
  <c r="AV69" i="5"/>
  <c r="BO69" i="5" s="1"/>
  <c r="AU69" i="5"/>
  <c r="BB69" i="5" s="1"/>
  <c r="CK6" i="5"/>
  <c r="CE6" i="5"/>
  <c r="CG6" i="5"/>
  <c r="CF6" i="5"/>
  <c r="CI6" i="5"/>
  <c r="CD6" i="5"/>
  <c r="CC6" i="5"/>
  <c r="CA6" i="5"/>
  <c r="BW6" i="5"/>
  <c r="BY6" i="5"/>
  <c r="BV6" i="5"/>
  <c r="BU6" i="5"/>
  <c r="BT6" i="5"/>
  <c r="BS6" i="5"/>
  <c r="BR6" i="5"/>
  <c r="BQ6" i="5"/>
  <c r="BM6" i="5"/>
  <c r="BG6" i="5"/>
  <c r="BK6" i="5"/>
  <c r="BJ6" i="5"/>
  <c r="BI6" i="5"/>
  <c r="BH6" i="5"/>
  <c r="BF6" i="5"/>
  <c r="BE6" i="5"/>
  <c r="BD6" i="5"/>
  <c r="BA6" i="5"/>
  <c r="BP6" i="5" s="1"/>
  <c r="AZ6" i="5"/>
  <c r="AY6" i="5"/>
  <c r="AV6" i="5"/>
  <c r="BC6" i="5" s="1"/>
  <c r="AU6" i="5"/>
  <c r="BB6" i="5" s="1"/>
  <c r="CK198" i="5"/>
  <c r="CG198" i="5"/>
  <c r="CI198" i="5"/>
  <c r="CF198" i="5"/>
  <c r="CE198" i="5"/>
  <c r="CD198" i="5"/>
  <c r="CC198" i="5"/>
  <c r="CA198" i="5"/>
  <c r="BY198" i="5"/>
  <c r="BW198" i="5"/>
  <c r="BV198" i="5"/>
  <c r="BU198" i="5"/>
  <c r="BT198" i="5"/>
  <c r="BS198" i="5"/>
  <c r="BQ198" i="5"/>
  <c r="BR198" i="5"/>
  <c r="BK198" i="5"/>
  <c r="BJ198" i="5"/>
  <c r="BM198" i="5"/>
  <c r="BI198" i="5"/>
  <c r="BH198" i="5"/>
  <c r="BG198" i="5"/>
  <c r="BF198" i="5"/>
  <c r="BE198" i="5"/>
  <c r="BD198" i="5"/>
  <c r="BA198" i="5"/>
  <c r="BP198" i="5" s="1"/>
  <c r="AZ198" i="5"/>
  <c r="AY198" i="5"/>
  <c r="AV198" i="5"/>
  <c r="BO198" i="5" s="1"/>
  <c r="AU198" i="5"/>
  <c r="BB198" i="5" s="1"/>
  <c r="CK199" i="5"/>
  <c r="CF199" i="5"/>
  <c r="CG199" i="5"/>
  <c r="CE199" i="5"/>
  <c r="CD199" i="5"/>
  <c r="CI199" i="5"/>
  <c r="CC199" i="5"/>
  <c r="CA199" i="5"/>
  <c r="BY199" i="5"/>
  <c r="BW199" i="5"/>
  <c r="BV199" i="5"/>
  <c r="BU199" i="5"/>
  <c r="BT199" i="5"/>
  <c r="BS199" i="5"/>
  <c r="BQ199" i="5"/>
  <c r="BR199" i="5"/>
  <c r="BH199" i="5"/>
  <c r="BK199" i="5"/>
  <c r="BJ199" i="5"/>
  <c r="BM199" i="5"/>
  <c r="BI199" i="5"/>
  <c r="BG199" i="5"/>
  <c r="BF199" i="5"/>
  <c r="BE199" i="5"/>
  <c r="BD199" i="5"/>
  <c r="BA199" i="5"/>
  <c r="BP199" i="5" s="1"/>
  <c r="AZ199" i="5"/>
  <c r="AY199" i="5"/>
  <c r="AU199" i="5"/>
  <c r="BN199" i="5" s="1"/>
  <c r="AV199" i="5"/>
  <c r="CJ224" i="5"/>
  <c r="CK224" i="5"/>
  <c r="CF224" i="5"/>
  <c r="CH224" i="5"/>
  <c r="CG224" i="5"/>
  <c r="CE224" i="5"/>
  <c r="CD224" i="5"/>
  <c r="CI224" i="5"/>
  <c r="CC224" i="5"/>
  <c r="CA224" i="5"/>
  <c r="BZ224" i="5"/>
  <c r="BY224" i="5"/>
  <c r="BX224" i="5"/>
  <c r="BW224" i="5"/>
  <c r="BV224" i="5"/>
  <c r="BU224" i="5"/>
  <c r="BR224" i="5"/>
  <c r="BT224" i="5"/>
  <c r="BS224" i="5"/>
  <c r="BM224" i="5"/>
  <c r="BQ224" i="5"/>
  <c r="BI224" i="5"/>
  <c r="BL224" i="5"/>
  <c r="BH224" i="5"/>
  <c r="BK224" i="5"/>
  <c r="BJ224" i="5"/>
  <c r="BG224" i="5"/>
  <c r="BF224" i="5"/>
  <c r="BE224" i="5"/>
  <c r="BD224" i="5"/>
  <c r="AY224" i="5"/>
  <c r="BA224" i="5"/>
  <c r="BP224" i="5" s="1"/>
  <c r="AZ224" i="5"/>
  <c r="AV224" i="5"/>
  <c r="BC224" i="5" s="1"/>
  <c r="AU224" i="5"/>
  <c r="BN224" i="5" s="1"/>
  <c r="CK153" i="5"/>
  <c r="CG153" i="5"/>
  <c r="CI153" i="5"/>
  <c r="CF153" i="5"/>
  <c r="CE153" i="5"/>
  <c r="CD153" i="5"/>
  <c r="CA153" i="5"/>
  <c r="CC153" i="5"/>
  <c r="BY153" i="5"/>
  <c r="BV153" i="5"/>
  <c r="BU153" i="5"/>
  <c r="BW153" i="5"/>
  <c r="BS153" i="5"/>
  <c r="BR153" i="5"/>
  <c r="BT153" i="5"/>
  <c r="BQ153" i="5"/>
  <c r="BJ153" i="5"/>
  <c r="BI153" i="5"/>
  <c r="BH153" i="5"/>
  <c r="BM153" i="5"/>
  <c r="BK153" i="5"/>
  <c r="BG153" i="5"/>
  <c r="BF153" i="5"/>
  <c r="BE153" i="5"/>
  <c r="BD153" i="5"/>
  <c r="AZ153" i="5"/>
  <c r="AY153" i="5"/>
  <c r="BA153" i="5"/>
  <c r="BP153" i="5" s="1"/>
  <c r="AU153" i="5"/>
  <c r="BN153" i="5" s="1"/>
  <c r="AV153" i="5"/>
  <c r="CK218" i="5"/>
  <c r="CG218" i="5"/>
  <c r="CF218" i="5"/>
  <c r="CI218" i="5"/>
  <c r="CE218" i="5"/>
  <c r="CD218" i="5"/>
  <c r="CC218" i="5"/>
  <c r="CA218" i="5"/>
  <c r="BY218" i="5"/>
  <c r="BW218" i="5"/>
  <c r="BV218" i="5"/>
  <c r="BU218" i="5"/>
  <c r="BT218" i="5"/>
  <c r="BS218" i="5"/>
  <c r="BR218" i="5"/>
  <c r="BQ218" i="5"/>
  <c r="BK218" i="5"/>
  <c r="BJ218" i="5"/>
  <c r="BI218" i="5"/>
  <c r="BH218" i="5"/>
  <c r="BM218" i="5"/>
  <c r="BG218" i="5"/>
  <c r="BF218" i="5"/>
  <c r="BE218" i="5"/>
  <c r="BD218" i="5"/>
  <c r="BA218" i="5"/>
  <c r="BP218" i="5" s="1"/>
  <c r="AZ218" i="5"/>
  <c r="AY218" i="5"/>
  <c r="AV218" i="5"/>
  <c r="BC218" i="5" s="1"/>
  <c r="AU218" i="5"/>
  <c r="CK75" i="5"/>
  <c r="CI75" i="5"/>
  <c r="CJ75" i="5"/>
  <c r="CF75" i="5"/>
  <c r="CG75" i="5"/>
  <c r="CH75" i="5"/>
  <c r="CE75" i="5"/>
  <c r="CD75" i="5"/>
  <c r="CC75" i="5"/>
  <c r="CA75" i="5"/>
  <c r="BZ75" i="5"/>
  <c r="BY75" i="5"/>
  <c r="BX75" i="5"/>
  <c r="BW75" i="5"/>
  <c r="BV75" i="5"/>
  <c r="BU75" i="5"/>
  <c r="BT75" i="5"/>
  <c r="BS75" i="5"/>
  <c r="BR75" i="5"/>
  <c r="BQ75" i="5"/>
  <c r="BM75" i="5"/>
  <c r="BK75" i="5"/>
  <c r="BJ75" i="5"/>
  <c r="BL75" i="5"/>
  <c r="BI75" i="5"/>
  <c r="BH75" i="5"/>
  <c r="BG75" i="5"/>
  <c r="BD75" i="5"/>
  <c r="BF75" i="5"/>
  <c r="BE75" i="5"/>
  <c r="BA75" i="5"/>
  <c r="BP75" i="5" s="1"/>
  <c r="AZ75" i="5"/>
  <c r="AY75" i="5"/>
  <c r="AV75" i="5"/>
  <c r="BO75" i="5" s="1"/>
  <c r="AU75" i="5"/>
  <c r="CK77" i="5"/>
  <c r="CI77" i="5"/>
  <c r="CF77" i="5"/>
  <c r="CG77" i="5"/>
  <c r="CC77" i="5"/>
  <c r="CE77" i="5"/>
  <c r="CD77" i="5"/>
  <c r="CA77" i="5"/>
  <c r="BW77" i="5"/>
  <c r="BY77" i="5"/>
  <c r="BV77" i="5"/>
  <c r="BU77" i="5"/>
  <c r="BT77" i="5"/>
  <c r="BS77" i="5"/>
  <c r="BR77" i="5"/>
  <c r="BQ77" i="5"/>
  <c r="BM77" i="5"/>
  <c r="BK77" i="5"/>
  <c r="BJ77" i="5"/>
  <c r="BI77" i="5"/>
  <c r="BH77" i="5"/>
  <c r="BF77" i="5"/>
  <c r="BE77" i="5"/>
  <c r="BG77" i="5"/>
  <c r="BD77" i="5"/>
  <c r="BA77" i="5"/>
  <c r="BP77" i="5" s="1"/>
  <c r="AZ77" i="5"/>
  <c r="AY77" i="5"/>
  <c r="AV77" i="5"/>
  <c r="BO77" i="5" s="1"/>
  <c r="AU77" i="5"/>
  <c r="BB77" i="5" s="1"/>
  <c r="CJ78" i="5"/>
  <c r="CK78" i="5"/>
  <c r="CH78" i="5"/>
  <c r="CG78" i="5"/>
  <c r="CE78" i="5"/>
  <c r="CF78" i="5"/>
  <c r="CD78" i="5"/>
  <c r="CC78" i="5"/>
  <c r="CI78" i="5"/>
  <c r="CA78" i="5"/>
  <c r="BZ78" i="5"/>
  <c r="BY78" i="5"/>
  <c r="BX78" i="5"/>
  <c r="BV78" i="5"/>
  <c r="BU78" i="5"/>
  <c r="BW78" i="5"/>
  <c r="BT78" i="5"/>
  <c r="BS78" i="5"/>
  <c r="BR78" i="5"/>
  <c r="BQ78" i="5"/>
  <c r="BG78" i="5"/>
  <c r="BM78" i="5"/>
  <c r="BK78" i="5"/>
  <c r="BL78" i="5"/>
  <c r="BJ78" i="5"/>
  <c r="BI78" i="5"/>
  <c r="BH78" i="5"/>
  <c r="BF78" i="5"/>
  <c r="BE78" i="5"/>
  <c r="BD78" i="5"/>
  <c r="BA78" i="5"/>
  <c r="BP78" i="5" s="1"/>
  <c r="AZ78" i="5"/>
  <c r="AY78" i="5"/>
  <c r="AV78" i="5"/>
  <c r="BO78" i="5" s="1"/>
  <c r="AU78" i="5"/>
  <c r="CK79" i="5"/>
  <c r="CI79" i="5"/>
  <c r="CF79" i="5"/>
  <c r="CG79" i="5"/>
  <c r="CE79" i="5"/>
  <c r="CD79" i="5"/>
  <c r="CC79" i="5"/>
  <c r="CA79" i="5"/>
  <c r="BY79" i="5"/>
  <c r="BV79" i="5"/>
  <c r="BU79" i="5"/>
  <c r="BW79" i="5"/>
  <c r="BT79" i="5"/>
  <c r="BS79" i="5"/>
  <c r="BR79" i="5"/>
  <c r="BQ79" i="5"/>
  <c r="BM79" i="5"/>
  <c r="BH79" i="5"/>
  <c r="BK79" i="5"/>
  <c r="BJ79" i="5"/>
  <c r="BI79" i="5"/>
  <c r="BF79" i="5"/>
  <c r="BG79" i="5"/>
  <c r="BE79" i="5"/>
  <c r="BD79" i="5"/>
  <c r="BA79" i="5"/>
  <c r="BP79" i="5" s="1"/>
  <c r="AZ79" i="5"/>
  <c r="AY79" i="5"/>
  <c r="AU79" i="5"/>
  <c r="BB79" i="5" s="1"/>
  <c r="AV79" i="5"/>
  <c r="CB16" i="5"/>
  <c r="CK33" i="5"/>
  <c r="CI33" i="5"/>
  <c r="CG33" i="5"/>
  <c r="CF33" i="5"/>
  <c r="CE33" i="5"/>
  <c r="CD33" i="5"/>
  <c r="CC33" i="5"/>
  <c r="CA33" i="5"/>
  <c r="BY33" i="5"/>
  <c r="BW33" i="5"/>
  <c r="BV33" i="5"/>
  <c r="BU33" i="5"/>
  <c r="BS33" i="5"/>
  <c r="BR33" i="5"/>
  <c r="BT33" i="5"/>
  <c r="BM33" i="5"/>
  <c r="BQ33" i="5"/>
  <c r="BJ33" i="5"/>
  <c r="BI33" i="5"/>
  <c r="BH33" i="5"/>
  <c r="BG33" i="5"/>
  <c r="BK33" i="5"/>
  <c r="BF33" i="5"/>
  <c r="BE33" i="5"/>
  <c r="BD33" i="5"/>
  <c r="AZ33" i="5"/>
  <c r="AY33" i="5"/>
  <c r="BA33" i="5"/>
  <c r="BP33" i="5" s="1"/>
  <c r="AV33" i="5"/>
  <c r="BO33" i="5" s="1"/>
  <c r="AU33" i="5"/>
  <c r="BN33" i="5" s="1"/>
  <c r="CK109" i="5"/>
  <c r="CI109" i="5"/>
  <c r="CF109" i="5"/>
  <c r="CG109" i="5"/>
  <c r="CE109" i="5"/>
  <c r="CA109" i="5"/>
  <c r="CD109" i="5"/>
  <c r="CC109" i="5"/>
  <c r="BW109" i="5"/>
  <c r="BY109" i="5"/>
  <c r="BV109" i="5"/>
  <c r="BU109" i="5"/>
  <c r="BT109" i="5"/>
  <c r="BS109" i="5"/>
  <c r="BR109" i="5"/>
  <c r="BQ109" i="5"/>
  <c r="BM109" i="5"/>
  <c r="BK109" i="5"/>
  <c r="BJ109" i="5"/>
  <c r="BI109" i="5"/>
  <c r="BH109" i="5"/>
  <c r="BF109" i="5"/>
  <c r="BE109" i="5"/>
  <c r="BD109" i="5"/>
  <c r="BG109" i="5"/>
  <c r="BA109" i="5"/>
  <c r="BP109" i="5" s="1"/>
  <c r="AZ109" i="5"/>
  <c r="AY109" i="5"/>
  <c r="AV109" i="5"/>
  <c r="BO109" i="5" s="1"/>
  <c r="AU109" i="5"/>
  <c r="BN109" i="5" s="1"/>
  <c r="CK237" i="5"/>
  <c r="CI237" i="5"/>
  <c r="CF237" i="5"/>
  <c r="CG237" i="5"/>
  <c r="CE237" i="5"/>
  <c r="CC237" i="5"/>
  <c r="CD237" i="5"/>
  <c r="CA237" i="5"/>
  <c r="BY237" i="5"/>
  <c r="BV237" i="5"/>
  <c r="BW237" i="5"/>
  <c r="BT237" i="5"/>
  <c r="BS237" i="5"/>
  <c r="BU237" i="5"/>
  <c r="BQ237" i="5"/>
  <c r="BR237" i="5"/>
  <c r="BM237" i="5"/>
  <c r="BK237" i="5"/>
  <c r="BJ237" i="5"/>
  <c r="BI237" i="5"/>
  <c r="BH237" i="5"/>
  <c r="BF237" i="5"/>
  <c r="BE237" i="5"/>
  <c r="BD237" i="5"/>
  <c r="BG237" i="5"/>
  <c r="BA237" i="5"/>
  <c r="BP237" i="5" s="1"/>
  <c r="AZ237" i="5"/>
  <c r="AY237" i="5"/>
  <c r="AU237" i="5"/>
  <c r="BB237" i="5" s="1"/>
  <c r="AV237" i="5"/>
  <c r="BO237" i="5" s="1"/>
  <c r="CK110" i="5"/>
  <c r="CI110" i="5"/>
  <c r="CG110" i="5"/>
  <c r="CE110" i="5"/>
  <c r="CD110" i="5"/>
  <c r="CF110" i="5"/>
  <c r="CC110" i="5"/>
  <c r="CA110" i="5"/>
  <c r="BY110" i="5"/>
  <c r="BW110" i="5"/>
  <c r="BV110" i="5"/>
  <c r="BU110" i="5"/>
  <c r="BT110" i="5"/>
  <c r="BS110" i="5"/>
  <c r="BR110" i="5"/>
  <c r="BQ110" i="5"/>
  <c r="BG110" i="5"/>
  <c r="BM110" i="5"/>
  <c r="BK110" i="5"/>
  <c r="BJ110" i="5"/>
  <c r="BI110" i="5"/>
  <c r="BH110" i="5"/>
  <c r="BF110" i="5"/>
  <c r="BE110" i="5"/>
  <c r="BD110" i="5"/>
  <c r="BA110" i="5"/>
  <c r="BP110" i="5" s="1"/>
  <c r="AZ110" i="5"/>
  <c r="AY110" i="5"/>
  <c r="AV110" i="5"/>
  <c r="BO110" i="5" s="1"/>
  <c r="AU110" i="5"/>
  <c r="BB110" i="5" s="1"/>
  <c r="CK238" i="5"/>
  <c r="CJ238" i="5"/>
  <c r="CI238" i="5"/>
  <c r="CG238" i="5"/>
  <c r="CH238" i="5"/>
  <c r="CE238" i="5"/>
  <c r="CD238" i="5"/>
  <c r="CF238" i="5"/>
  <c r="CC238" i="5"/>
  <c r="CA238" i="5"/>
  <c r="BZ238" i="5"/>
  <c r="BY238" i="5"/>
  <c r="BX238" i="5"/>
  <c r="BW238" i="5"/>
  <c r="BV238" i="5"/>
  <c r="BU238" i="5"/>
  <c r="BT238" i="5"/>
  <c r="BS238" i="5"/>
  <c r="BR238" i="5"/>
  <c r="BQ238" i="5"/>
  <c r="BM238" i="5"/>
  <c r="BL238" i="5"/>
  <c r="BK238" i="5"/>
  <c r="BJ238" i="5"/>
  <c r="BI238" i="5"/>
  <c r="BH238" i="5"/>
  <c r="BG238" i="5"/>
  <c r="BF238" i="5"/>
  <c r="BE238" i="5"/>
  <c r="BD238" i="5"/>
  <c r="BA238" i="5"/>
  <c r="BP238" i="5" s="1"/>
  <c r="AZ238" i="5"/>
  <c r="AY238" i="5"/>
  <c r="AU238" i="5"/>
  <c r="BN238" i="5" s="1"/>
  <c r="AV238" i="5"/>
  <c r="BO238" i="5" s="1"/>
  <c r="CK111" i="5"/>
  <c r="CI111" i="5"/>
  <c r="CF111" i="5"/>
  <c r="CG111" i="5"/>
  <c r="CE111" i="5"/>
  <c r="CD111" i="5"/>
  <c r="CC111" i="5"/>
  <c r="CA111" i="5"/>
  <c r="BY111" i="5"/>
  <c r="BW111" i="5"/>
  <c r="BV111" i="5"/>
  <c r="BU111" i="5"/>
  <c r="BT111" i="5"/>
  <c r="BS111" i="5"/>
  <c r="BR111" i="5"/>
  <c r="BQ111" i="5"/>
  <c r="BM111" i="5"/>
  <c r="BH111" i="5"/>
  <c r="BK111" i="5"/>
  <c r="BJ111" i="5"/>
  <c r="BI111" i="5"/>
  <c r="BF111" i="5"/>
  <c r="BE111" i="5"/>
  <c r="BG111" i="5"/>
  <c r="BD111" i="5"/>
  <c r="BA111" i="5"/>
  <c r="BP111" i="5" s="1"/>
  <c r="AZ111" i="5"/>
  <c r="AY111" i="5"/>
  <c r="AU111" i="5"/>
  <c r="BB111" i="5" s="1"/>
  <c r="AV111" i="5"/>
  <c r="BO111" i="5" s="1"/>
  <c r="CK239" i="5"/>
  <c r="CJ239" i="5"/>
  <c r="CI239" i="5"/>
  <c r="CF239" i="5"/>
  <c r="CG239" i="5"/>
  <c r="CH239" i="5"/>
  <c r="CE239" i="5"/>
  <c r="CD239" i="5"/>
  <c r="CC239" i="5"/>
  <c r="CA239" i="5"/>
  <c r="BZ239" i="5"/>
  <c r="BY239" i="5"/>
  <c r="BX239" i="5"/>
  <c r="BW239" i="5"/>
  <c r="BV239" i="5"/>
  <c r="BU239" i="5"/>
  <c r="BT239" i="5"/>
  <c r="BS239" i="5"/>
  <c r="BR239" i="5"/>
  <c r="BQ239" i="5"/>
  <c r="BH239" i="5"/>
  <c r="BM239" i="5"/>
  <c r="BL239" i="5"/>
  <c r="BK239" i="5"/>
  <c r="BJ239" i="5"/>
  <c r="BI239" i="5"/>
  <c r="BG239" i="5"/>
  <c r="BF239" i="5"/>
  <c r="BE239" i="5"/>
  <c r="BD239" i="5"/>
  <c r="BA239" i="5"/>
  <c r="BP239" i="5" s="1"/>
  <c r="AZ239" i="5"/>
  <c r="AY239" i="5"/>
  <c r="AU239" i="5"/>
  <c r="BB239" i="5" s="1"/>
  <c r="AV239" i="5"/>
  <c r="BO239" i="5" s="1"/>
  <c r="CK136" i="5"/>
  <c r="CF136" i="5"/>
  <c r="CG136" i="5"/>
  <c r="CE136" i="5"/>
  <c r="CD136" i="5"/>
  <c r="CC136" i="5"/>
  <c r="CI136" i="5"/>
  <c r="CA136" i="5"/>
  <c r="BY136" i="5"/>
  <c r="BV136" i="5"/>
  <c r="BU136" i="5"/>
  <c r="BW136" i="5"/>
  <c r="BR136" i="5"/>
  <c r="BT136" i="5"/>
  <c r="BS136" i="5"/>
  <c r="BM136" i="5"/>
  <c r="BQ136" i="5"/>
  <c r="BI136" i="5"/>
  <c r="BH136" i="5"/>
  <c r="BK136" i="5"/>
  <c r="BJ136" i="5"/>
  <c r="BG136" i="5"/>
  <c r="BF136" i="5"/>
  <c r="BE136" i="5"/>
  <c r="BD136" i="5"/>
  <c r="AY136" i="5"/>
  <c r="BA136" i="5"/>
  <c r="BP136" i="5" s="1"/>
  <c r="AZ136" i="5"/>
  <c r="AV136" i="5"/>
  <c r="BC136" i="5" s="1"/>
  <c r="AU136" i="5"/>
  <c r="BN136" i="5" s="1"/>
  <c r="CK53" i="5"/>
  <c r="CI53" i="5"/>
  <c r="CG53" i="5"/>
  <c r="CF53" i="5"/>
  <c r="CD53" i="5"/>
  <c r="CC53" i="5"/>
  <c r="CE53" i="5"/>
  <c r="CA53" i="5"/>
  <c r="BW53" i="5"/>
  <c r="BY53" i="5"/>
  <c r="BV53" i="5"/>
  <c r="BU53" i="5"/>
  <c r="BT53" i="5"/>
  <c r="BS53" i="5"/>
  <c r="BR53" i="5"/>
  <c r="BQ53" i="5"/>
  <c r="BM53" i="5"/>
  <c r="BK53" i="5"/>
  <c r="BJ53" i="5"/>
  <c r="BI53" i="5"/>
  <c r="BH53" i="5"/>
  <c r="BG53" i="5"/>
  <c r="BF53" i="5"/>
  <c r="BE53" i="5"/>
  <c r="BD53" i="5"/>
  <c r="BA53" i="5"/>
  <c r="BP53" i="5" s="1"/>
  <c r="AZ53" i="5"/>
  <c r="AY53" i="5"/>
  <c r="AV53" i="5"/>
  <c r="BC53" i="5" s="1"/>
  <c r="AU53" i="5"/>
  <c r="BB53" i="5" s="1"/>
  <c r="CK117" i="5"/>
  <c r="CJ117" i="5"/>
  <c r="CI117" i="5"/>
  <c r="CH117" i="5"/>
  <c r="CG117" i="5"/>
  <c r="CF117" i="5"/>
  <c r="CE117" i="5"/>
  <c r="CD117" i="5"/>
  <c r="CA117" i="5"/>
  <c r="CC117" i="5"/>
  <c r="BW117" i="5"/>
  <c r="BZ117" i="5"/>
  <c r="BY117" i="5"/>
  <c r="BX117" i="5"/>
  <c r="BV117" i="5"/>
  <c r="BU117" i="5"/>
  <c r="BT117" i="5"/>
  <c r="BS117" i="5"/>
  <c r="BR117" i="5"/>
  <c r="BQ117" i="5"/>
  <c r="BM117" i="5"/>
  <c r="BK117" i="5"/>
  <c r="BJ117" i="5"/>
  <c r="BI117" i="5"/>
  <c r="BL117" i="5"/>
  <c r="BH117" i="5"/>
  <c r="BF117" i="5"/>
  <c r="BE117" i="5"/>
  <c r="BG117" i="5"/>
  <c r="BD117" i="5"/>
  <c r="BA117" i="5"/>
  <c r="BP117" i="5" s="1"/>
  <c r="AZ117" i="5"/>
  <c r="AY117" i="5"/>
  <c r="AV117" i="5"/>
  <c r="AU117" i="5"/>
  <c r="BB117" i="5" s="1"/>
  <c r="CK181" i="5"/>
  <c r="CI181" i="5"/>
  <c r="CG181" i="5"/>
  <c r="CF181" i="5"/>
  <c r="CE181" i="5"/>
  <c r="CD181" i="5"/>
  <c r="CC181" i="5"/>
  <c r="CA181" i="5"/>
  <c r="BY181" i="5"/>
  <c r="BV181" i="5"/>
  <c r="BU181" i="5"/>
  <c r="BW181" i="5"/>
  <c r="BT181" i="5"/>
  <c r="BS181" i="5"/>
  <c r="BQ181" i="5"/>
  <c r="BR181" i="5"/>
  <c r="BK181" i="5"/>
  <c r="BJ181" i="5"/>
  <c r="BI181" i="5"/>
  <c r="BH181" i="5"/>
  <c r="BM181" i="5"/>
  <c r="BF181" i="5"/>
  <c r="BE181" i="5"/>
  <c r="BD181" i="5"/>
  <c r="BG181" i="5"/>
  <c r="BA181" i="5"/>
  <c r="BP181" i="5" s="1"/>
  <c r="AZ181" i="5"/>
  <c r="AY181" i="5"/>
  <c r="AU181" i="5"/>
  <c r="BN181" i="5" s="1"/>
  <c r="AV181" i="5"/>
  <c r="BO181" i="5" s="1"/>
  <c r="CK245" i="5"/>
  <c r="CJ245" i="5"/>
  <c r="CH245" i="5"/>
  <c r="CI245" i="5"/>
  <c r="CG245" i="5"/>
  <c r="CF245" i="5"/>
  <c r="CE245" i="5"/>
  <c r="CD245" i="5"/>
  <c r="CC245" i="5"/>
  <c r="BZ245" i="5"/>
  <c r="BY245" i="5"/>
  <c r="BX245" i="5"/>
  <c r="CA245" i="5"/>
  <c r="BV245" i="5"/>
  <c r="BW245" i="5"/>
  <c r="BT245" i="5"/>
  <c r="BS245" i="5"/>
  <c r="BU245" i="5"/>
  <c r="BQ245" i="5"/>
  <c r="BR245" i="5"/>
  <c r="BL245" i="5"/>
  <c r="BK245" i="5"/>
  <c r="BJ245" i="5"/>
  <c r="BI245" i="5"/>
  <c r="BH245" i="5"/>
  <c r="BM245" i="5"/>
  <c r="BF245" i="5"/>
  <c r="BE245" i="5"/>
  <c r="BD245" i="5"/>
  <c r="BG245" i="5"/>
  <c r="BA245" i="5"/>
  <c r="BP245" i="5" s="1"/>
  <c r="AZ245" i="5"/>
  <c r="AY245" i="5"/>
  <c r="AU245" i="5"/>
  <c r="BN245" i="5" s="1"/>
  <c r="AV245" i="5"/>
  <c r="BO245" i="5" s="1"/>
  <c r="CK54" i="5"/>
  <c r="CI54" i="5"/>
  <c r="CE54" i="5"/>
  <c r="CG54" i="5"/>
  <c r="CD54" i="5"/>
  <c r="CC54" i="5"/>
  <c r="CF54" i="5"/>
  <c r="CA54" i="5"/>
  <c r="BW54" i="5"/>
  <c r="BY54" i="5"/>
  <c r="BV54" i="5"/>
  <c r="BU54" i="5"/>
  <c r="BT54" i="5"/>
  <c r="BS54" i="5"/>
  <c r="BR54" i="5"/>
  <c r="BQ54" i="5"/>
  <c r="BM54" i="5"/>
  <c r="BG54" i="5"/>
  <c r="BK54" i="5"/>
  <c r="BJ54" i="5"/>
  <c r="BI54" i="5"/>
  <c r="BH54" i="5"/>
  <c r="BF54" i="5"/>
  <c r="BE54" i="5"/>
  <c r="BD54" i="5"/>
  <c r="BA54" i="5"/>
  <c r="AZ54" i="5"/>
  <c r="AY54" i="5"/>
  <c r="AV54" i="5"/>
  <c r="AU54" i="5"/>
  <c r="CJ118" i="5"/>
  <c r="CK118" i="5"/>
  <c r="CH118" i="5"/>
  <c r="CI118" i="5"/>
  <c r="CG118" i="5"/>
  <c r="CE118" i="5"/>
  <c r="CD118" i="5"/>
  <c r="CF118" i="5"/>
  <c r="CA118" i="5"/>
  <c r="CC118" i="5"/>
  <c r="BX118" i="5"/>
  <c r="BZ118" i="5"/>
  <c r="BY118" i="5"/>
  <c r="BV118" i="5"/>
  <c r="BU118" i="5"/>
  <c r="BW118" i="5"/>
  <c r="BT118" i="5"/>
  <c r="BS118" i="5"/>
  <c r="BR118" i="5"/>
  <c r="BQ118" i="5"/>
  <c r="BG118" i="5"/>
  <c r="BM118" i="5"/>
  <c r="BK118" i="5"/>
  <c r="BJ118" i="5"/>
  <c r="BI118" i="5"/>
  <c r="BL118" i="5"/>
  <c r="BH118" i="5"/>
  <c r="BF118" i="5"/>
  <c r="BE118" i="5"/>
  <c r="BD118" i="5"/>
  <c r="BA118" i="5"/>
  <c r="BP118" i="5" s="1"/>
  <c r="AZ118" i="5"/>
  <c r="AY118" i="5"/>
  <c r="AV118" i="5"/>
  <c r="AU118" i="5"/>
  <c r="BB118" i="5" s="1"/>
  <c r="CK182" i="5"/>
  <c r="CI182" i="5"/>
  <c r="CG182" i="5"/>
  <c r="CE182" i="5"/>
  <c r="CD182" i="5"/>
  <c r="CF182" i="5"/>
  <c r="CC182" i="5"/>
  <c r="CA182" i="5"/>
  <c r="BY182" i="5"/>
  <c r="BW182" i="5"/>
  <c r="BV182" i="5"/>
  <c r="BU182" i="5"/>
  <c r="BT182" i="5"/>
  <c r="BS182" i="5"/>
  <c r="BQ182" i="5"/>
  <c r="BR182" i="5"/>
  <c r="BM182" i="5"/>
  <c r="BK182" i="5"/>
  <c r="BJ182" i="5"/>
  <c r="BI182" i="5"/>
  <c r="BH182" i="5"/>
  <c r="BG182" i="5"/>
  <c r="BF182" i="5"/>
  <c r="BE182" i="5"/>
  <c r="BD182" i="5"/>
  <c r="BA182" i="5"/>
  <c r="BP182" i="5" s="1"/>
  <c r="AZ182" i="5"/>
  <c r="AY182" i="5"/>
  <c r="AU182" i="5"/>
  <c r="BN182" i="5" s="1"/>
  <c r="AV182" i="5"/>
  <c r="CK246" i="5"/>
  <c r="CJ246" i="5"/>
  <c r="CH246" i="5"/>
  <c r="CI246" i="5"/>
  <c r="CG246" i="5"/>
  <c r="CE246" i="5"/>
  <c r="CD246" i="5"/>
  <c r="CF246" i="5"/>
  <c r="CC246" i="5"/>
  <c r="CA246" i="5"/>
  <c r="BZ246" i="5"/>
  <c r="BY246" i="5"/>
  <c r="BX246" i="5"/>
  <c r="BW246" i="5"/>
  <c r="BV246" i="5"/>
  <c r="BT246" i="5"/>
  <c r="BS246" i="5"/>
  <c r="BU246" i="5"/>
  <c r="BQ246" i="5"/>
  <c r="BR246" i="5"/>
  <c r="BM246" i="5"/>
  <c r="BL246" i="5"/>
  <c r="BK246" i="5"/>
  <c r="BJ246" i="5"/>
  <c r="BI246" i="5"/>
  <c r="BH246" i="5"/>
  <c r="BG246" i="5"/>
  <c r="BF246" i="5"/>
  <c r="BE246" i="5"/>
  <c r="BD246" i="5"/>
  <c r="BA246" i="5"/>
  <c r="BP246" i="5" s="1"/>
  <c r="AZ246" i="5"/>
  <c r="AY246" i="5"/>
  <c r="AU246" i="5"/>
  <c r="BN246" i="5" s="1"/>
  <c r="AV246" i="5"/>
  <c r="BC246" i="5" s="1"/>
  <c r="CK55" i="5"/>
  <c r="CF55" i="5"/>
  <c r="CE55" i="5"/>
  <c r="CI55" i="5"/>
  <c r="CD55" i="5"/>
  <c r="CC55" i="5"/>
  <c r="CG55" i="5"/>
  <c r="CA55" i="5"/>
  <c r="BW55" i="5"/>
  <c r="BY55" i="5"/>
  <c r="BV55" i="5"/>
  <c r="BU55" i="5"/>
  <c r="BT55" i="5"/>
  <c r="BS55" i="5"/>
  <c r="BR55" i="5"/>
  <c r="BQ55" i="5"/>
  <c r="BM55" i="5"/>
  <c r="BH55" i="5"/>
  <c r="BK55" i="5"/>
  <c r="BJ55" i="5"/>
  <c r="BI55" i="5"/>
  <c r="BG55" i="5"/>
  <c r="BF55" i="5"/>
  <c r="BE55" i="5"/>
  <c r="BD55" i="5"/>
  <c r="BA55" i="5"/>
  <c r="BP55" i="5" s="1"/>
  <c r="AZ55" i="5"/>
  <c r="AY55" i="5"/>
  <c r="AU55" i="5"/>
  <c r="BN55" i="5" s="1"/>
  <c r="AV55" i="5"/>
  <c r="BC55" i="5" s="1"/>
  <c r="CK119" i="5"/>
  <c r="CK273" i="5" s="1"/>
  <c r="CI119" i="5"/>
  <c r="CI273" i="5" s="1"/>
  <c r="CF119" i="5"/>
  <c r="CF273" i="5" s="1"/>
  <c r="CE119" i="5"/>
  <c r="CE273" i="5" s="1"/>
  <c r="CD119" i="5"/>
  <c r="CD273" i="5" s="1"/>
  <c r="CG119" i="5"/>
  <c r="CG273" i="5" s="1"/>
  <c r="CC119" i="5"/>
  <c r="CC273" i="5" s="1"/>
  <c r="CA119" i="5"/>
  <c r="CA273" i="5" s="1"/>
  <c r="BY119" i="5"/>
  <c r="BY273" i="5" s="1"/>
  <c r="BW119" i="5"/>
  <c r="BW273" i="5" s="1"/>
  <c r="BV119" i="5"/>
  <c r="BV273" i="5" s="1"/>
  <c r="BU119" i="5"/>
  <c r="BU273" i="5" s="1"/>
  <c r="BT119" i="5"/>
  <c r="BT273" i="5" s="1"/>
  <c r="BS119" i="5"/>
  <c r="BS273" i="5" s="1"/>
  <c r="BR119" i="5"/>
  <c r="BR273" i="5" s="1"/>
  <c r="BQ119" i="5"/>
  <c r="BQ273" i="5" s="1"/>
  <c r="BM119" i="5"/>
  <c r="BM273" i="5" s="1"/>
  <c r="BH119" i="5"/>
  <c r="BH273" i="5" s="1"/>
  <c r="BK119" i="5"/>
  <c r="BK273" i="5" s="1"/>
  <c r="BJ119" i="5"/>
  <c r="BJ273" i="5" s="1"/>
  <c r="BI119" i="5"/>
  <c r="BI273" i="5" s="1"/>
  <c r="BF119" i="5"/>
  <c r="BF273" i="5" s="1"/>
  <c r="BG119" i="5"/>
  <c r="BG273" i="5" s="1"/>
  <c r="BE119" i="5"/>
  <c r="BE273" i="5" s="1"/>
  <c r="BD119" i="5"/>
  <c r="BD273" i="5" s="1"/>
  <c r="BA119" i="5"/>
  <c r="AZ119" i="5"/>
  <c r="AZ273" i="5" s="1"/>
  <c r="AY119" i="5"/>
  <c r="AY273" i="5" s="1"/>
  <c r="AU119" i="5"/>
  <c r="AV119" i="5"/>
  <c r="CK183" i="5"/>
  <c r="CI183" i="5"/>
  <c r="CF183" i="5"/>
  <c r="CE183" i="5"/>
  <c r="CG183" i="5"/>
  <c r="CD183" i="5"/>
  <c r="CC183" i="5"/>
  <c r="CA183" i="5"/>
  <c r="BY183" i="5"/>
  <c r="BW183" i="5"/>
  <c r="BV183" i="5"/>
  <c r="BU183" i="5"/>
  <c r="BT183" i="5"/>
  <c r="BS183" i="5"/>
  <c r="BR183" i="5"/>
  <c r="BQ183" i="5"/>
  <c r="BH183" i="5"/>
  <c r="BM183" i="5"/>
  <c r="BK183" i="5"/>
  <c r="BJ183" i="5"/>
  <c r="BI183" i="5"/>
  <c r="BG183" i="5"/>
  <c r="BF183" i="5"/>
  <c r="BE183" i="5"/>
  <c r="BD183" i="5"/>
  <c r="BA183" i="5"/>
  <c r="BP183" i="5" s="1"/>
  <c r="AZ183" i="5"/>
  <c r="AY183" i="5"/>
  <c r="AU183" i="5"/>
  <c r="BB183" i="5" s="1"/>
  <c r="AV183" i="5"/>
  <c r="BC183" i="5" s="1"/>
  <c r="CK247" i="5"/>
  <c r="CJ247" i="5"/>
  <c r="CI247" i="5"/>
  <c r="CF247" i="5"/>
  <c r="CH247" i="5"/>
  <c r="CG247" i="5"/>
  <c r="CE247" i="5"/>
  <c r="CD247" i="5"/>
  <c r="CC247" i="5"/>
  <c r="CA247" i="5"/>
  <c r="BZ247" i="5"/>
  <c r="BY247" i="5"/>
  <c r="BX247" i="5"/>
  <c r="BW247" i="5"/>
  <c r="BV247" i="5"/>
  <c r="BT247" i="5"/>
  <c r="BS247" i="5"/>
  <c r="BU247" i="5"/>
  <c r="BR247" i="5"/>
  <c r="BQ247" i="5"/>
  <c r="BH247" i="5"/>
  <c r="BM247" i="5"/>
  <c r="BL247" i="5"/>
  <c r="BK247" i="5"/>
  <c r="BJ247" i="5"/>
  <c r="BI247" i="5"/>
  <c r="BG247" i="5"/>
  <c r="BF247" i="5"/>
  <c r="BE247" i="5"/>
  <c r="BD247" i="5"/>
  <c r="BA247" i="5"/>
  <c r="BP247" i="5" s="1"/>
  <c r="AZ247" i="5"/>
  <c r="AY247" i="5"/>
  <c r="AU247" i="5"/>
  <c r="BN247" i="5" s="1"/>
  <c r="AV247" i="5"/>
  <c r="CK80" i="5"/>
  <c r="CI80" i="5"/>
  <c r="CF80" i="5"/>
  <c r="CG80" i="5"/>
  <c r="CE80" i="5"/>
  <c r="CD80" i="5"/>
  <c r="CC80" i="5"/>
  <c r="CA80" i="5"/>
  <c r="BY80" i="5"/>
  <c r="BV80" i="5"/>
  <c r="BU80" i="5"/>
  <c r="BW80" i="5"/>
  <c r="BR80" i="5"/>
  <c r="BT80" i="5"/>
  <c r="BS80" i="5"/>
  <c r="BM80" i="5"/>
  <c r="BQ80" i="5"/>
  <c r="BI80" i="5"/>
  <c r="BH80" i="5"/>
  <c r="BK80" i="5"/>
  <c r="BJ80" i="5"/>
  <c r="BF80" i="5"/>
  <c r="BG80" i="5"/>
  <c r="BE80" i="5"/>
  <c r="BD80" i="5"/>
  <c r="AY80" i="5"/>
  <c r="BA80" i="5"/>
  <c r="BP80" i="5" s="1"/>
  <c r="AZ80" i="5"/>
  <c r="AV80" i="5"/>
  <c r="BC80" i="5" s="1"/>
  <c r="AU80" i="5"/>
  <c r="BB80" i="5" s="1"/>
  <c r="CJ144" i="5"/>
  <c r="CK144" i="5"/>
  <c r="CF144" i="5"/>
  <c r="CG144" i="5"/>
  <c r="CI144" i="5"/>
  <c r="CH144" i="5"/>
  <c r="CE144" i="5"/>
  <c r="CD144" i="5"/>
  <c r="CA144" i="5"/>
  <c r="CC144" i="5"/>
  <c r="BX144" i="5"/>
  <c r="BZ144" i="5"/>
  <c r="BY144" i="5"/>
  <c r="BV144" i="5"/>
  <c r="BU144" i="5"/>
  <c r="BW144" i="5"/>
  <c r="BR144" i="5"/>
  <c r="BT144" i="5"/>
  <c r="BS144" i="5"/>
  <c r="BM144" i="5"/>
  <c r="BQ144" i="5"/>
  <c r="BI144" i="5"/>
  <c r="BL144" i="5"/>
  <c r="BH144" i="5"/>
  <c r="BK144" i="5"/>
  <c r="BJ144" i="5"/>
  <c r="BG144" i="5"/>
  <c r="BF144" i="5"/>
  <c r="BE144" i="5"/>
  <c r="BD144" i="5"/>
  <c r="AY144" i="5"/>
  <c r="BA144" i="5"/>
  <c r="BP144" i="5" s="1"/>
  <c r="AZ144" i="5"/>
  <c r="AV144" i="5"/>
  <c r="BC144" i="5" s="1"/>
  <c r="AU144" i="5"/>
  <c r="BB144" i="5" s="1"/>
  <c r="CK208" i="5"/>
  <c r="CF208" i="5"/>
  <c r="CG208" i="5"/>
  <c r="CI208" i="5"/>
  <c r="CE208" i="5"/>
  <c r="CD208" i="5"/>
  <c r="CA208" i="5"/>
  <c r="CC208" i="5"/>
  <c r="BY208" i="5"/>
  <c r="BW208" i="5"/>
  <c r="BV208" i="5"/>
  <c r="BU208" i="5"/>
  <c r="BR208" i="5"/>
  <c r="BT208" i="5"/>
  <c r="BS208" i="5"/>
  <c r="BM208" i="5"/>
  <c r="BQ208" i="5"/>
  <c r="BI208" i="5"/>
  <c r="BH208" i="5"/>
  <c r="BK208" i="5"/>
  <c r="BJ208" i="5"/>
  <c r="BG208" i="5"/>
  <c r="BF208" i="5"/>
  <c r="BE208" i="5"/>
  <c r="BD208" i="5"/>
  <c r="AY208" i="5"/>
  <c r="BA208" i="5"/>
  <c r="BP208" i="5" s="1"/>
  <c r="AZ208" i="5"/>
  <c r="AV208" i="5"/>
  <c r="BC208" i="5" s="1"/>
  <c r="AU208" i="5"/>
  <c r="BB208" i="5" s="1"/>
  <c r="CK9" i="5"/>
  <c r="CI9" i="5"/>
  <c r="CG9" i="5"/>
  <c r="CF9" i="5"/>
  <c r="CE9" i="5"/>
  <c r="CD9" i="5"/>
  <c r="CC9" i="5"/>
  <c r="CA9" i="5"/>
  <c r="BY9" i="5"/>
  <c r="BW9" i="5"/>
  <c r="BV9" i="5"/>
  <c r="BU9" i="5"/>
  <c r="BS9" i="5"/>
  <c r="BR9" i="5"/>
  <c r="BT9" i="5"/>
  <c r="BQ9" i="5"/>
  <c r="BM9" i="5"/>
  <c r="BJ9" i="5"/>
  <c r="BI9" i="5"/>
  <c r="BH9" i="5"/>
  <c r="BG9" i="5"/>
  <c r="BK9" i="5"/>
  <c r="BF9" i="5"/>
  <c r="BE9" i="5"/>
  <c r="BD9" i="5"/>
  <c r="AZ9" i="5"/>
  <c r="AY9" i="5"/>
  <c r="BA9" i="5"/>
  <c r="BP9" i="5" s="1"/>
  <c r="AV9" i="5"/>
  <c r="BO9" i="5" s="1"/>
  <c r="AU9" i="5"/>
  <c r="BN9" i="5" s="1"/>
  <c r="CJ73" i="5"/>
  <c r="CK73" i="5"/>
  <c r="CG73" i="5"/>
  <c r="CF73" i="5"/>
  <c r="CI73" i="5"/>
  <c r="CH73" i="5"/>
  <c r="CE73" i="5"/>
  <c r="CD73" i="5"/>
  <c r="CA73" i="5"/>
  <c r="CC73" i="5"/>
  <c r="BX73" i="5"/>
  <c r="BZ73" i="5"/>
  <c r="BY73" i="5"/>
  <c r="BW73" i="5"/>
  <c r="BV73" i="5"/>
  <c r="BU73" i="5"/>
  <c r="BS73" i="5"/>
  <c r="BR73" i="5"/>
  <c r="BT73" i="5"/>
  <c r="BM73" i="5"/>
  <c r="BQ73" i="5"/>
  <c r="BJ73" i="5"/>
  <c r="BI73" i="5"/>
  <c r="BL73" i="5"/>
  <c r="BH73" i="5"/>
  <c r="BG73" i="5"/>
  <c r="BK73" i="5"/>
  <c r="BF73" i="5"/>
  <c r="BE73" i="5"/>
  <c r="BD73" i="5"/>
  <c r="AZ73" i="5"/>
  <c r="AY73" i="5"/>
  <c r="BA73" i="5"/>
  <c r="BP73" i="5" s="1"/>
  <c r="AV73" i="5"/>
  <c r="BC73" i="5" s="1"/>
  <c r="AU73" i="5"/>
  <c r="BB73" i="5" s="1"/>
  <c r="CK137" i="5"/>
  <c r="CI137" i="5"/>
  <c r="CG137" i="5"/>
  <c r="CF137" i="5"/>
  <c r="CE137" i="5"/>
  <c r="CD137" i="5"/>
  <c r="CA137" i="5"/>
  <c r="CC137" i="5"/>
  <c r="BY137" i="5"/>
  <c r="BW137" i="5"/>
  <c r="BV137" i="5"/>
  <c r="BU137" i="5"/>
  <c r="BS137" i="5"/>
  <c r="BR137" i="5"/>
  <c r="BT137" i="5"/>
  <c r="BQ137" i="5"/>
  <c r="BJ137" i="5"/>
  <c r="BI137" i="5"/>
  <c r="BH137" i="5"/>
  <c r="BM137" i="5"/>
  <c r="BK137" i="5"/>
  <c r="BG137" i="5"/>
  <c r="BF137" i="5"/>
  <c r="BE137" i="5"/>
  <c r="BD137" i="5"/>
  <c r="AZ137" i="5"/>
  <c r="AY137" i="5"/>
  <c r="BA137" i="5"/>
  <c r="BP137" i="5" s="1"/>
  <c r="AV137" i="5"/>
  <c r="BC137" i="5" s="1"/>
  <c r="AU137" i="5"/>
  <c r="BN137" i="5" s="1"/>
  <c r="CK201" i="5"/>
  <c r="CI201" i="5"/>
  <c r="CG201" i="5"/>
  <c r="CF201" i="5"/>
  <c r="CE201" i="5"/>
  <c r="CD201" i="5"/>
  <c r="CA201" i="5"/>
  <c r="CC201" i="5"/>
  <c r="BY201" i="5"/>
  <c r="BW201" i="5"/>
  <c r="BV201" i="5"/>
  <c r="BU201" i="5"/>
  <c r="BS201" i="5"/>
  <c r="BT201" i="5"/>
  <c r="BQ201" i="5"/>
  <c r="BR201" i="5"/>
  <c r="BM201" i="5"/>
  <c r="BJ201" i="5"/>
  <c r="BI201" i="5"/>
  <c r="BH201" i="5"/>
  <c r="BK201" i="5"/>
  <c r="BG201" i="5"/>
  <c r="BF201" i="5"/>
  <c r="BE201" i="5"/>
  <c r="BD201" i="5"/>
  <c r="AZ201" i="5"/>
  <c r="AY201" i="5"/>
  <c r="BA201" i="5"/>
  <c r="BP201" i="5" s="1"/>
  <c r="AV201" i="5"/>
  <c r="BC201" i="5" s="1"/>
  <c r="AU201" i="5"/>
  <c r="BN201" i="5" s="1"/>
  <c r="CK10" i="5"/>
  <c r="CI10" i="5"/>
  <c r="CG10" i="5"/>
  <c r="CE10" i="5"/>
  <c r="CF10" i="5"/>
  <c r="CD10" i="5"/>
  <c r="CC10" i="5"/>
  <c r="CA10" i="5"/>
  <c r="BY10" i="5"/>
  <c r="BW10" i="5"/>
  <c r="BV10" i="5"/>
  <c r="BU10" i="5"/>
  <c r="BT10" i="5"/>
  <c r="BS10" i="5"/>
  <c r="BR10" i="5"/>
  <c r="BQ10" i="5"/>
  <c r="BM10" i="5"/>
  <c r="BK10" i="5"/>
  <c r="BJ10" i="5"/>
  <c r="BI10" i="5"/>
  <c r="BH10" i="5"/>
  <c r="BG10" i="5"/>
  <c r="BF10" i="5"/>
  <c r="BE10" i="5"/>
  <c r="BD10" i="5"/>
  <c r="BA10" i="5"/>
  <c r="BP10" i="5" s="1"/>
  <c r="AZ10" i="5"/>
  <c r="AY10" i="5"/>
  <c r="AV10" i="5"/>
  <c r="BC10" i="5" s="1"/>
  <c r="AU10" i="5"/>
  <c r="BB10" i="5" s="1"/>
  <c r="CK74" i="5"/>
  <c r="CI74" i="5"/>
  <c r="CG74" i="5"/>
  <c r="CF74" i="5"/>
  <c r="CE74" i="5"/>
  <c r="CD74" i="5"/>
  <c r="CC74" i="5"/>
  <c r="CA74" i="5"/>
  <c r="BY74" i="5"/>
  <c r="BW74" i="5"/>
  <c r="BV74" i="5"/>
  <c r="BU74" i="5"/>
  <c r="BT74" i="5"/>
  <c r="BS74" i="5"/>
  <c r="BR74" i="5"/>
  <c r="BQ74" i="5"/>
  <c r="BK74" i="5"/>
  <c r="BJ74" i="5"/>
  <c r="BI74" i="5"/>
  <c r="BM74" i="5"/>
  <c r="BH74" i="5"/>
  <c r="BF74" i="5"/>
  <c r="BE74" i="5"/>
  <c r="BG74" i="5"/>
  <c r="BD74" i="5"/>
  <c r="BA74" i="5"/>
  <c r="BP74" i="5" s="1"/>
  <c r="AZ74" i="5"/>
  <c r="AY74" i="5"/>
  <c r="AV74" i="5"/>
  <c r="AU74" i="5"/>
  <c r="BB74" i="5" s="1"/>
  <c r="CK138" i="5"/>
  <c r="CI138" i="5"/>
  <c r="CG138" i="5"/>
  <c r="CF138" i="5"/>
  <c r="CE138" i="5"/>
  <c r="CD138" i="5"/>
  <c r="CC138" i="5"/>
  <c r="CA138" i="5"/>
  <c r="BY138" i="5"/>
  <c r="BW138" i="5"/>
  <c r="BV138" i="5"/>
  <c r="BU138" i="5"/>
  <c r="BT138" i="5"/>
  <c r="BS138" i="5"/>
  <c r="BR138" i="5"/>
  <c r="BQ138" i="5"/>
  <c r="BK138" i="5"/>
  <c r="BJ138" i="5"/>
  <c r="BI138" i="5"/>
  <c r="BH138" i="5"/>
  <c r="BM138" i="5"/>
  <c r="BG138" i="5"/>
  <c r="BF138" i="5"/>
  <c r="BE138" i="5"/>
  <c r="BD138" i="5"/>
  <c r="BA138" i="5"/>
  <c r="BP138" i="5" s="1"/>
  <c r="AZ138" i="5"/>
  <c r="AY138" i="5"/>
  <c r="AV138" i="5"/>
  <c r="BO138" i="5" s="1"/>
  <c r="AU138" i="5"/>
  <c r="BN138" i="5" s="1"/>
  <c r="CK202" i="5"/>
  <c r="CJ202" i="5"/>
  <c r="CH202" i="5"/>
  <c r="CI202" i="5"/>
  <c r="CG202" i="5"/>
  <c r="CF202" i="5"/>
  <c r="CE202" i="5"/>
  <c r="CD202" i="5"/>
  <c r="CC202" i="5"/>
  <c r="CA202" i="5"/>
  <c r="BX202" i="5"/>
  <c r="BZ202" i="5"/>
  <c r="BY202" i="5"/>
  <c r="BW202" i="5"/>
  <c r="BV202" i="5"/>
  <c r="BU202" i="5"/>
  <c r="BT202" i="5"/>
  <c r="BS202" i="5"/>
  <c r="BR202" i="5"/>
  <c r="BQ202" i="5"/>
  <c r="BK202" i="5"/>
  <c r="BM202" i="5"/>
  <c r="BJ202" i="5"/>
  <c r="BI202" i="5"/>
  <c r="BH202" i="5"/>
  <c r="BL202" i="5"/>
  <c r="BG202" i="5"/>
  <c r="BF202" i="5"/>
  <c r="BE202" i="5"/>
  <c r="BD202" i="5"/>
  <c r="BA202" i="5"/>
  <c r="BP202" i="5" s="1"/>
  <c r="AZ202" i="5"/>
  <c r="AY202" i="5"/>
  <c r="AV202" i="5"/>
  <c r="BC202" i="5" s="1"/>
  <c r="AU202" i="5"/>
  <c r="BN202" i="5" s="1"/>
  <c r="CK59" i="5"/>
  <c r="CI59" i="5"/>
  <c r="CG59" i="5"/>
  <c r="CF59" i="5"/>
  <c r="CD59" i="5"/>
  <c r="CE59" i="5"/>
  <c r="CC59" i="5"/>
  <c r="CA59" i="5"/>
  <c r="BY59" i="5"/>
  <c r="BW59" i="5"/>
  <c r="BV59" i="5"/>
  <c r="BU59" i="5"/>
  <c r="BT59" i="5"/>
  <c r="BS59" i="5"/>
  <c r="BR59" i="5"/>
  <c r="BQ59" i="5"/>
  <c r="BM59" i="5"/>
  <c r="BK59" i="5"/>
  <c r="BJ59" i="5"/>
  <c r="BI59" i="5"/>
  <c r="BH59" i="5"/>
  <c r="BD59" i="5"/>
  <c r="BG59" i="5"/>
  <c r="BF59" i="5"/>
  <c r="BE59" i="5"/>
  <c r="BA59" i="5"/>
  <c r="BP59" i="5" s="1"/>
  <c r="AZ59" i="5"/>
  <c r="AY59" i="5"/>
  <c r="AV59" i="5"/>
  <c r="BO59" i="5" s="1"/>
  <c r="AU59" i="5"/>
  <c r="BN59" i="5" s="1"/>
  <c r="CK123" i="5"/>
  <c r="CJ123" i="5"/>
  <c r="CG123" i="5"/>
  <c r="CI123" i="5"/>
  <c r="CF123" i="5"/>
  <c r="CH123" i="5"/>
  <c r="CE123" i="5"/>
  <c r="CD123" i="5"/>
  <c r="CC123" i="5"/>
  <c r="CA123" i="5"/>
  <c r="BZ123" i="5"/>
  <c r="BY123" i="5"/>
  <c r="BX123" i="5"/>
  <c r="BW123" i="5"/>
  <c r="BV123" i="5"/>
  <c r="BU123" i="5"/>
  <c r="BT123" i="5"/>
  <c r="BS123" i="5"/>
  <c r="BR123" i="5"/>
  <c r="BQ123" i="5"/>
  <c r="BM123" i="5"/>
  <c r="BK123" i="5"/>
  <c r="BJ123" i="5"/>
  <c r="BL123" i="5"/>
  <c r="BI123" i="5"/>
  <c r="BH123" i="5"/>
  <c r="BD123" i="5"/>
  <c r="BF123" i="5"/>
  <c r="BG123" i="5"/>
  <c r="BE123" i="5"/>
  <c r="BA123" i="5"/>
  <c r="BP123" i="5" s="1"/>
  <c r="AZ123" i="5"/>
  <c r="AY123" i="5"/>
  <c r="AV123" i="5"/>
  <c r="BO123" i="5" s="1"/>
  <c r="AU123" i="5"/>
  <c r="BN123" i="5" s="1"/>
  <c r="CK187" i="5"/>
  <c r="CJ187" i="5"/>
  <c r="CG187" i="5"/>
  <c r="CH187" i="5"/>
  <c r="CF187" i="5"/>
  <c r="CI187" i="5"/>
  <c r="CE187" i="5"/>
  <c r="CD187" i="5"/>
  <c r="CC187" i="5"/>
  <c r="CA187" i="5"/>
  <c r="BZ187" i="5"/>
  <c r="BY187" i="5"/>
  <c r="BX187" i="5"/>
  <c r="BW187" i="5"/>
  <c r="BV187" i="5"/>
  <c r="BU187" i="5"/>
  <c r="BT187" i="5"/>
  <c r="BS187" i="5"/>
  <c r="BQ187" i="5"/>
  <c r="BR187" i="5"/>
  <c r="BK187" i="5"/>
  <c r="BJ187" i="5"/>
  <c r="BI187" i="5"/>
  <c r="BM187" i="5"/>
  <c r="BL187" i="5"/>
  <c r="BH187" i="5"/>
  <c r="BD187" i="5"/>
  <c r="BG187" i="5"/>
  <c r="BF187" i="5"/>
  <c r="BE187" i="5"/>
  <c r="BA187" i="5"/>
  <c r="BP187" i="5" s="1"/>
  <c r="AZ187" i="5"/>
  <c r="AY187" i="5"/>
  <c r="AV187" i="5"/>
  <c r="BC187" i="5" s="1"/>
  <c r="AU187" i="5"/>
  <c r="BN187" i="5" s="1"/>
  <c r="CK251" i="5"/>
  <c r="CJ251" i="5"/>
  <c r="CI251" i="5"/>
  <c r="CG251" i="5"/>
  <c r="CH251" i="5"/>
  <c r="CF251" i="5"/>
  <c r="CE251" i="5"/>
  <c r="CD251" i="5"/>
  <c r="CC251" i="5"/>
  <c r="CA251" i="5"/>
  <c r="BZ251" i="5"/>
  <c r="BY251" i="5"/>
  <c r="BX251" i="5"/>
  <c r="BW251" i="5"/>
  <c r="BV251" i="5"/>
  <c r="BU251" i="5"/>
  <c r="BT251" i="5"/>
  <c r="BS251" i="5"/>
  <c r="BQ251" i="5"/>
  <c r="BR251" i="5"/>
  <c r="BK251" i="5"/>
  <c r="BJ251" i="5"/>
  <c r="BI251" i="5"/>
  <c r="BL251" i="5"/>
  <c r="BH251" i="5"/>
  <c r="BM251" i="5"/>
  <c r="BD251" i="5"/>
  <c r="BG251" i="5"/>
  <c r="BF251" i="5"/>
  <c r="BE251" i="5"/>
  <c r="BA251" i="5"/>
  <c r="BP251" i="5" s="1"/>
  <c r="AZ251" i="5"/>
  <c r="AY251" i="5"/>
  <c r="AV251" i="5"/>
  <c r="BC251" i="5" s="1"/>
  <c r="AU251" i="5"/>
  <c r="BN251" i="5" s="1"/>
  <c r="CK28" i="5"/>
  <c r="CI28" i="5"/>
  <c r="CG28" i="5"/>
  <c r="CF28" i="5"/>
  <c r="CE28" i="5"/>
  <c r="CD28" i="5"/>
  <c r="CA28" i="5"/>
  <c r="CC28" i="5"/>
  <c r="BY28" i="5"/>
  <c r="BW28" i="5"/>
  <c r="BU28" i="5"/>
  <c r="BV28" i="5"/>
  <c r="BT28" i="5"/>
  <c r="BS28" i="5"/>
  <c r="BR28" i="5"/>
  <c r="BQ28" i="5"/>
  <c r="BM28" i="5"/>
  <c r="BK28" i="5"/>
  <c r="BJ28" i="5"/>
  <c r="BI28" i="5"/>
  <c r="BH28" i="5"/>
  <c r="BG28" i="5"/>
  <c r="BE28" i="5"/>
  <c r="BD28" i="5"/>
  <c r="BF28" i="5"/>
  <c r="BA28" i="5"/>
  <c r="BP28" i="5" s="1"/>
  <c r="AZ28" i="5"/>
  <c r="AY28" i="5"/>
  <c r="AV28" i="5"/>
  <c r="BO28" i="5" s="1"/>
  <c r="AU28" i="5"/>
  <c r="BB28" i="5" s="1"/>
  <c r="CK92" i="5"/>
  <c r="CI92" i="5"/>
  <c r="CG92" i="5"/>
  <c r="CF92" i="5"/>
  <c r="CE92" i="5"/>
  <c r="CD92" i="5"/>
  <c r="CC92" i="5"/>
  <c r="CA92" i="5"/>
  <c r="BY92" i="5"/>
  <c r="BU92" i="5"/>
  <c r="BW92" i="5"/>
  <c r="BV92" i="5"/>
  <c r="BT92" i="5"/>
  <c r="BS92" i="5"/>
  <c r="BR92" i="5"/>
  <c r="BQ92" i="5"/>
  <c r="BM92" i="5"/>
  <c r="BK92" i="5"/>
  <c r="BJ92" i="5"/>
  <c r="BI92" i="5"/>
  <c r="BH92" i="5"/>
  <c r="BE92" i="5"/>
  <c r="BD92" i="5"/>
  <c r="BG92" i="5"/>
  <c r="BF92" i="5"/>
  <c r="BA92" i="5"/>
  <c r="BP92" i="5" s="1"/>
  <c r="AZ92" i="5"/>
  <c r="AY92" i="5"/>
  <c r="AV92" i="5"/>
  <c r="BC92" i="5" s="1"/>
  <c r="AU92" i="5"/>
  <c r="BB92" i="5" s="1"/>
  <c r="CK156" i="5"/>
  <c r="CI156" i="5"/>
  <c r="CJ156" i="5"/>
  <c r="CG156" i="5"/>
  <c r="CF156" i="5"/>
  <c r="CH156" i="5"/>
  <c r="CE156" i="5"/>
  <c r="CD156" i="5"/>
  <c r="CC156" i="5"/>
  <c r="CA156" i="5"/>
  <c r="BZ156" i="5"/>
  <c r="BY156" i="5"/>
  <c r="BX156" i="5"/>
  <c r="BU156" i="5"/>
  <c r="BW156" i="5"/>
  <c r="BV156" i="5"/>
  <c r="BT156" i="5"/>
  <c r="BS156" i="5"/>
  <c r="BR156" i="5"/>
  <c r="BQ156" i="5"/>
  <c r="BM156" i="5"/>
  <c r="BK156" i="5"/>
  <c r="BJ156" i="5"/>
  <c r="BI156" i="5"/>
  <c r="BL156" i="5"/>
  <c r="BH156" i="5"/>
  <c r="BE156" i="5"/>
  <c r="BD156" i="5"/>
  <c r="BG156" i="5"/>
  <c r="BF156" i="5"/>
  <c r="BA156" i="5"/>
  <c r="BP156" i="5" s="1"/>
  <c r="AZ156" i="5"/>
  <c r="AY156" i="5"/>
  <c r="AU156" i="5"/>
  <c r="BN156" i="5" s="1"/>
  <c r="AV156" i="5"/>
  <c r="BO156" i="5" s="1"/>
  <c r="CK220" i="5"/>
  <c r="CI220" i="5"/>
  <c r="CG220" i="5"/>
  <c r="CF220" i="5"/>
  <c r="CE220" i="5"/>
  <c r="CD220" i="5"/>
  <c r="CC220" i="5"/>
  <c r="CA220" i="5"/>
  <c r="BY220" i="5"/>
  <c r="BU220" i="5"/>
  <c r="BW220" i="5"/>
  <c r="BV220" i="5"/>
  <c r="BT220" i="5"/>
  <c r="BS220" i="5"/>
  <c r="BR220" i="5"/>
  <c r="BQ220" i="5"/>
  <c r="BM220" i="5"/>
  <c r="BK220" i="5"/>
  <c r="BJ220" i="5"/>
  <c r="BI220" i="5"/>
  <c r="BH220" i="5"/>
  <c r="BE220" i="5"/>
  <c r="BD220" i="5"/>
  <c r="BG220" i="5"/>
  <c r="BF220" i="5"/>
  <c r="BA220" i="5"/>
  <c r="BP220" i="5" s="1"/>
  <c r="AZ220" i="5"/>
  <c r="AY220" i="5"/>
  <c r="AU220" i="5"/>
  <c r="BB220" i="5" s="1"/>
  <c r="AV220" i="5"/>
  <c r="BO220" i="5" s="1"/>
  <c r="CK197" i="5"/>
  <c r="CG197" i="5"/>
  <c r="CI197" i="5"/>
  <c r="CF197" i="5"/>
  <c r="CE197" i="5"/>
  <c r="CD197" i="5"/>
  <c r="CC197" i="5"/>
  <c r="CA197" i="5"/>
  <c r="BY197" i="5"/>
  <c r="BV197" i="5"/>
  <c r="BU197" i="5"/>
  <c r="BW197" i="5"/>
  <c r="BT197" i="5"/>
  <c r="BS197" i="5"/>
  <c r="BQ197" i="5"/>
  <c r="BR197" i="5"/>
  <c r="BK197" i="5"/>
  <c r="BJ197" i="5"/>
  <c r="BM197" i="5"/>
  <c r="BI197" i="5"/>
  <c r="BH197" i="5"/>
  <c r="BF197" i="5"/>
  <c r="BE197" i="5"/>
  <c r="BD197" i="5"/>
  <c r="BG197" i="5"/>
  <c r="BA197" i="5"/>
  <c r="BP197" i="5" s="1"/>
  <c r="AZ197" i="5"/>
  <c r="AY197" i="5"/>
  <c r="AV197" i="5"/>
  <c r="BC197" i="5" s="1"/>
  <c r="AU197" i="5"/>
  <c r="BB197" i="5" s="1"/>
  <c r="CK7" i="5"/>
  <c r="CH7" i="5"/>
  <c r="CJ7" i="5"/>
  <c r="CI7" i="5"/>
  <c r="CE7" i="5"/>
  <c r="CG7" i="5"/>
  <c r="CF7" i="5"/>
  <c r="CD7" i="5"/>
  <c r="CC7" i="5"/>
  <c r="CA7" i="5"/>
  <c r="BX7" i="5"/>
  <c r="BW7" i="5"/>
  <c r="BZ7" i="5"/>
  <c r="BY7" i="5"/>
  <c r="BV7" i="5"/>
  <c r="BU7" i="5"/>
  <c r="BQ7" i="5"/>
  <c r="BT7" i="5"/>
  <c r="BS7" i="5"/>
  <c r="BR7" i="5"/>
  <c r="BM7" i="5"/>
  <c r="BH7" i="5"/>
  <c r="BG7" i="5"/>
  <c r="BK7" i="5"/>
  <c r="BL7" i="5"/>
  <c r="BJ7" i="5"/>
  <c r="BI7" i="5"/>
  <c r="BF7" i="5"/>
  <c r="BE7" i="5"/>
  <c r="BD7" i="5"/>
  <c r="BA7" i="5"/>
  <c r="BP7" i="5" s="1"/>
  <c r="AZ7" i="5"/>
  <c r="AY7" i="5"/>
  <c r="AU7" i="5"/>
  <c r="BB7" i="5" s="1"/>
  <c r="AV7" i="5"/>
  <c r="BC7" i="5" s="1"/>
  <c r="CK135" i="5"/>
  <c r="CI135" i="5"/>
  <c r="CF135" i="5"/>
  <c r="CG135" i="5"/>
  <c r="CE135" i="5"/>
  <c r="CD135" i="5"/>
  <c r="CC135" i="5"/>
  <c r="CA135" i="5"/>
  <c r="BY135" i="5"/>
  <c r="BV135" i="5"/>
  <c r="BU135" i="5"/>
  <c r="BW135" i="5"/>
  <c r="BT135" i="5"/>
  <c r="BS135" i="5"/>
  <c r="BR135" i="5"/>
  <c r="BQ135" i="5"/>
  <c r="BM135" i="5"/>
  <c r="BH135" i="5"/>
  <c r="BK135" i="5"/>
  <c r="BJ135" i="5"/>
  <c r="BI135" i="5"/>
  <c r="BG135" i="5"/>
  <c r="BF135" i="5"/>
  <c r="BE135" i="5"/>
  <c r="BD135" i="5"/>
  <c r="BA135" i="5"/>
  <c r="BP135" i="5" s="1"/>
  <c r="AZ135" i="5"/>
  <c r="AY135" i="5"/>
  <c r="AU135" i="5"/>
  <c r="BB135" i="5" s="1"/>
  <c r="AV135" i="5"/>
  <c r="BO135" i="5" s="1"/>
  <c r="CI32" i="5"/>
  <c r="CK32" i="5"/>
  <c r="CF32" i="5"/>
  <c r="CE32" i="5"/>
  <c r="CG32" i="5"/>
  <c r="CD32" i="5"/>
  <c r="CC32" i="5"/>
  <c r="CA32" i="5"/>
  <c r="BW32" i="5"/>
  <c r="BY32" i="5"/>
  <c r="BV32" i="5"/>
  <c r="BU32" i="5"/>
  <c r="BR32" i="5"/>
  <c r="BT32" i="5"/>
  <c r="BS32" i="5"/>
  <c r="BM32" i="5"/>
  <c r="BQ32" i="5"/>
  <c r="BI32" i="5"/>
  <c r="BH32" i="5"/>
  <c r="BK32" i="5"/>
  <c r="BJ32" i="5"/>
  <c r="BF32" i="5"/>
  <c r="BE32" i="5"/>
  <c r="BD32" i="5"/>
  <c r="BG32" i="5"/>
  <c r="AY32" i="5"/>
  <c r="BA32" i="5"/>
  <c r="BP32" i="5" s="1"/>
  <c r="AZ32" i="5"/>
  <c r="AV32" i="5"/>
  <c r="AU32" i="5"/>
  <c r="BN32" i="5" s="1"/>
  <c r="CK25" i="5"/>
  <c r="CI25" i="5"/>
  <c r="CG25" i="5"/>
  <c r="CF25" i="5"/>
  <c r="CE25" i="5"/>
  <c r="CD25" i="5"/>
  <c r="CC25" i="5"/>
  <c r="CA25" i="5"/>
  <c r="BY25" i="5"/>
  <c r="BV25" i="5"/>
  <c r="BU25" i="5"/>
  <c r="BW25" i="5"/>
  <c r="BS25" i="5"/>
  <c r="BR25" i="5"/>
  <c r="BT25" i="5"/>
  <c r="BM25" i="5"/>
  <c r="BQ25" i="5"/>
  <c r="BJ25" i="5"/>
  <c r="BI25" i="5"/>
  <c r="BH25" i="5"/>
  <c r="BG25" i="5"/>
  <c r="BK25" i="5"/>
  <c r="BF25" i="5"/>
  <c r="BE25" i="5"/>
  <c r="BD25" i="5"/>
  <c r="AZ25" i="5"/>
  <c r="AY25" i="5"/>
  <c r="BA25" i="5"/>
  <c r="BP25" i="5" s="1"/>
  <c r="AV25" i="5"/>
  <c r="BO25" i="5" s="1"/>
  <c r="AU25" i="5"/>
  <c r="BN25" i="5" s="1"/>
  <c r="CK26" i="5"/>
  <c r="CI26" i="5"/>
  <c r="CG26" i="5"/>
  <c r="CF26" i="5"/>
  <c r="CE26" i="5"/>
  <c r="CD26" i="5"/>
  <c r="CC26" i="5"/>
  <c r="CA26" i="5"/>
  <c r="BY26" i="5"/>
  <c r="BW26" i="5"/>
  <c r="BV26" i="5"/>
  <c r="BU26" i="5"/>
  <c r="BT26" i="5"/>
  <c r="BS26" i="5"/>
  <c r="BR26" i="5"/>
  <c r="BM26" i="5"/>
  <c r="BQ26" i="5"/>
  <c r="BK26" i="5"/>
  <c r="BJ26" i="5"/>
  <c r="BI26" i="5"/>
  <c r="BH26" i="5"/>
  <c r="BG26" i="5"/>
  <c r="BF26" i="5"/>
  <c r="BE26" i="5"/>
  <c r="BD26" i="5"/>
  <c r="BA26" i="5"/>
  <c r="BP26" i="5" s="1"/>
  <c r="AZ26" i="5"/>
  <c r="AY26" i="5"/>
  <c r="AV26" i="5"/>
  <c r="BO26" i="5" s="1"/>
  <c r="AU26" i="5"/>
  <c r="BB26" i="5" s="1"/>
  <c r="CK11" i="5"/>
  <c r="CI11" i="5"/>
  <c r="CG11" i="5"/>
  <c r="CE11" i="5"/>
  <c r="CF11" i="5"/>
  <c r="CD11" i="5"/>
  <c r="CC11" i="5"/>
  <c r="CA11" i="5"/>
  <c r="BY11" i="5"/>
  <c r="BW11" i="5"/>
  <c r="BV11" i="5"/>
  <c r="BU11" i="5"/>
  <c r="BT11" i="5"/>
  <c r="BS11" i="5"/>
  <c r="BR11" i="5"/>
  <c r="BQ11" i="5"/>
  <c r="BM11" i="5"/>
  <c r="BK11" i="5"/>
  <c r="BJ11" i="5"/>
  <c r="BI11" i="5"/>
  <c r="BH11" i="5"/>
  <c r="BG11" i="5"/>
  <c r="BD11" i="5"/>
  <c r="BF11" i="5"/>
  <c r="BE11" i="5"/>
  <c r="BA11" i="5"/>
  <c r="BP11" i="5" s="1"/>
  <c r="AZ11" i="5"/>
  <c r="AY11" i="5"/>
  <c r="AV11" i="5"/>
  <c r="BC11" i="5" s="1"/>
  <c r="AU11" i="5"/>
  <c r="BB11" i="5" s="1"/>
  <c r="CK205" i="5"/>
  <c r="CJ205" i="5"/>
  <c r="CI205" i="5"/>
  <c r="CF205" i="5"/>
  <c r="CG205" i="5"/>
  <c r="CH205" i="5"/>
  <c r="CE205" i="5"/>
  <c r="CD205" i="5"/>
  <c r="CC205" i="5"/>
  <c r="CA205" i="5"/>
  <c r="BZ205" i="5"/>
  <c r="BY205" i="5"/>
  <c r="BX205" i="5"/>
  <c r="BV205" i="5"/>
  <c r="BU205" i="5"/>
  <c r="BW205" i="5"/>
  <c r="BT205" i="5"/>
  <c r="BS205" i="5"/>
  <c r="BQ205" i="5"/>
  <c r="BR205" i="5"/>
  <c r="BL205" i="5"/>
  <c r="BK205" i="5"/>
  <c r="BM205" i="5"/>
  <c r="BJ205" i="5"/>
  <c r="BI205" i="5"/>
  <c r="BH205" i="5"/>
  <c r="BF205" i="5"/>
  <c r="BE205" i="5"/>
  <c r="BD205" i="5"/>
  <c r="BG205" i="5"/>
  <c r="BA205" i="5"/>
  <c r="BP205" i="5" s="1"/>
  <c r="AZ205" i="5"/>
  <c r="AY205" i="5"/>
  <c r="AV205" i="5"/>
  <c r="BC205" i="5" s="1"/>
  <c r="AU205" i="5"/>
  <c r="BB205" i="5" s="1"/>
  <c r="CJ15" i="5"/>
  <c r="CK15" i="5"/>
  <c r="CI15" i="5"/>
  <c r="CG15" i="5"/>
  <c r="CE15" i="5"/>
  <c r="CF15" i="5"/>
  <c r="CH15" i="5"/>
  <c r="CD15" i="5"/>
  <c r="CC15" i="5"/>
  <c r="CA15" i="5"/>
  <c r="BZ15" i="5"/>
  <c r="BW15" i="5"/>
  <c r="BX15" i="5"/>
  <c r="BY15" i="5"/>
  <c r="BV15" i="5"/>
  <c r="BU15" i="5"/>
  <c r="BQ15" i="5"/>
  <c r="BT15" i="5"/>
  <c r="BS15" i="5"/>
  <c r="BR15" i="5"/>
  <c r="BM15" i="5"/>
  <c r="BH15" i="5"/>
  <c r="BG15" i="5"/>
  <c r="BK15" i="5"/>
  <c r="BJ15" i="5"/>
  <c r="BL15" i="5"/>
  <c r="BI15" i="5"/>
  <c r="BF15" i="5"/>
  <c r="BE15" i="5"/>
  <c r="BD15" i="5"/>
  <c r="BA15" i="5"/>
  <c r="BP15" i="5" s="1"/>
  <c r="AZ15" i="5"/>
  <c r="AY15" i="5"/>
  <c r="AU15" i="5"/>
  <c r="BN15" i="5" s="1"/>
  <c r="AV15" i="5"/>
  <c r="BO15" i="5" s="1"/>
  <c r="CK232" i="5"/>
  <c r="CJ232" i="5"/>
  <c r="CF232" i="5"/>
  <c r="CH232" i="5"/>
  <c r="CI232" i="5"/>
  <c r="CG232" i="5"/>
  <c r="CE232" i="5"/>
  <c r="CD232" i="5"/>
  <c r="CC232" i="5"/>
  <c r="BX232" i="5"/>
  <c r="BZ232" i="5"/>
  <c r="BY232" i="5"/>
  <c r="CA232" i="5"/>
  <c r="BW232" i="5"/>
  <c r="BV232" i="5"/>
  <c r="BU232" i="5"/>
  <c r="BR232" i="5"/>
  <c r="BT232" i="5"/>
  <c r="BS232" i="5"/>
  <c r="BM232" i="5"/>
  <c r="BQ232" i="5"/>
  <c r="BI232" i="5"/>
  <c r="BH232" i="5"/>
  <c r="BL232" i="5"/>
  <c r="BK232" i="5"/>
  <c r="BJ232" i="5"/>
  <c r="BG232" i="5"/>
  <c r="BF232" i="5"/>
  <c r="BE232" i="5"/>
  <c r="BD232" i="5"/>
  <c r="AY232" i="5"/>
  <c r="BA232" i="5"/>
  <c r="BP232" i="5" s="1"/>
  <c r="AZ232" i="5"/>
  <c r="AV232" i="5"/>
  <c r="BO232" i="5" s="1"/>
  <c r="AU232" i="5"/>
  <c r="BN232" i="5" s="1"/>
  <c r="CK45" i="5"/>
  <c r="CI45" i="5"/>
  <c r="CF45" i="5"/>
  <c r="CD45" i="5"/>
  <c r="CC45" i="5"/>
  <c r="CG45" i="5"/>
  <c r="CE45" i="5"/>
  <c r="CA45" i="5"/>
  <c r="BW45" i="5"/>
  <c r="BY45" i="5"/>
  <c r="BV45" i="5"/>
  <c r="BU45" i="5"/>
  <c r="BT45" i="5"/>
  <c r="BS45" i="5"/>
  <c r="BR45" i="5"/>
  <c r="BQ45" i="5"/>
  <c r="BM45" i="5"/>
  <c r="BK45" i="5"/>
  <c r="BJ45" i="5"/>
  <c r="BI45" i="5"/>
  <c r="BH45" i="5"/>
  <c r="BG45" i="5"/>
  <c r="BF45" i="5"/>
  <c r="BE45" i="5"/>
  <c r="BD45" i="5"/>
  <c r="BA45" i="5"/>
  <c r="BP45" i="5" s="1"/>
  <c r="AZ45" i="5"/>
  <c r="AY45" i="5"/>
  <c r="AV45" i="5"/>
  <c r="BC45" i="5" s="1"/>
  <c r="AU45" i="5"/>
  <c r="BN45" i="5" s="1"/>
  <c r="CK173" i="5"/>
  <c r="CJ173" i="5"/>
  <c r="CH173" i="5"/>
  <c r="CI173" i="5"/>
  <c r="CF173" i="5"/>
  <c r="CG173" i="5"/>
  <c r="CE173" i="5"/>
  <c r="CC173" i="5"/>
  <c r="CA173" i="5"/>
  <c r="CD173" i="5"/>
  <c r="BW173" i="5"/>
  <c r="BZ173" i="5"/>
  <c r="BY173" i="5"/>
  <c r="BX173" i="5"/>
  <c r="BV173" i="5"/>
  <c r="BU173" i="5"/>
  <c r="BT173" i="5"/>
  <c r="BS173" i="5"/>
  <c r="BR173" i="5"/>
  <c r="BQ173" i="5"/>
  <c r="BM173" i="5"/>
  <c r="BL173" i="5"/>
  <c r="BK173" i="5"/>
  <c r="BJ173" i="5"/>
  <c r="BI173" i="5"/>
  <c r="BH173" i="5"/>
  <c r="BF173" i="5"/>
  <c r="BE173" i="5"/>
  <c r="BD173" i="5"/>
  <c r="BG173" i="5"/>
  <c r="BA173" i="5"/>
  <c r="AZ173" i="5"/>
  <c r="AY173" i="5"/>
  <c r="AU173" i="5"/>
  <c r="AV173" i="5"/>
  <c r="CK46" i="5"/>
  <c r="CJ46" i="5"/>
  <c r="CH46" i="5"/>
  <c r="CI46" i="5"/>
  <c r="CG46" i="5"/>
  <c r="CE46" i="5"/>
  <c r="CF46" i="5"/>
  <c r="CD46" i="5"/>
  <c r="CC46" i="5"/>
  <c r="CA46" i="5"/>
  <c r="BZ46" i="5"/>
  <c r="BW46" i="5"/>
  <c r="BX46" i="5"/>
  <c r="BY46" i="5"/>
  <c r="BV46" i="5"/>
  <c r="BU46" i="5"/>
  <c r="BT46" i="5"/>
  <c r="BS46" i="5"/>
  <c r="BR46" i="5"/>
  <c r="BQ46" i="5"/>
  <c r="BM46" i="5"/>
  <c r="BG46" i="5"/>
  <c r="BL46" i="5"/>
  <c r="BK46" i="5"/>
  <c r="BJ46" i="5"/>
  <c r="BI46" i="5"/>
  <c r="BH46" i="5"/>
  <c r="BF46" i="5"/>
  <c r="BE46" i="5"/>
  <c r="BD46" i="5"/>
  <c r="BA46" i="5"/>
  <c r="BP46" i="5" s="1"/>
  <c r="AZ46" i="5"/>
  <c r="AY46" i="5"/>
  <c r="AV46" i="5"/>
  <c r="BO46" i="5" s="1"/>
  <c r="AU46" i="5"/>
  <c r="BB46" i="5" s="1"/>
  <c r="CK174" i="5"/>
  <c r="CI174" i="5"/>
  <c r="CG174" i="5"/>
  <c r="CE174" i="5"/>
  <c r="CD174" i="5"/>
  <c r="CF174" i="5"/>
  <c r="CC174" i="5"/>
  <c r="CA174" i="5"/>
  <c r="BY174" i="5"/>
  <c r="BW174" i="5"/>
  <c r="BV174" i="5"/>
  <c r="BU174" i="5"/>
  <c r="BT174" i="5"/>
  <c r="BS174" i="5"/>
  <c r="BR174" i="5"/>
  <c r="BQ174" i="5"/>
  <c r="BM174" i="5"/>
  <c r="BK174" i="5"/>
  <c r="BJ174" i="5"/>
  <c r="BI174" i="5"/>
  <c r="BH174" i="5"/>
  <c r="BG174" i="5"/>
  <c r="BF174" i="5"/>
  <c r="BE174" i="5"/>
  <c r="BD174" i="5"/>
  <c r="BA174" i="5"/>
  <c r="BP174" i="5" s="1"/>
  <c r="AZ174" i="5"/>
  <c r="AY174" i="5"/>
  <c r="AU174" i="5"/>
  <c r="BN174" i="5" s="1"/>
  <c r="AV174" i="5"/>
  <c r="BO174" i="5" s="1"/>
  <c r="CK47" i="5"/>
  <c r="CI47" i="5"/>
  <c r="CG47" i="5"/>
  <c r="CE47" i="5"/>
  <c r="CF47" i="5"/>
  <c r="CD47" i="5"/>
  <c r="CC47" i="5"/>
  <c r="CA47" i="5"/>
  <c r="BW47" i="5"/>
  <c r="BY47" i="5"/>
  <c r="BV47" i="5"/>
  <c r="BU47" i="5"/>
  <c r="BT47" i="5"/>
  <c r="BS47" i="5"/>
  <c r="BR47" i="5"/>
  <c r="BQ47" i="5"/>
  <c r="BM47" i="5"/>
  <c r="BH47" i="5"/>
  <c r="BK47" i="5"/>
  <c r="BJ47" i="5"/>
  <c r="BI47" i="5"/>
  <c r="BF47" i="5"/>
  <c r="BE47" i="5"/>
  <c r="BD47" i="5"/>
  <c r="BG47" i="5"/>
  <c r="BA47" i="5"/>
  <c r="BP47" i="5" s="1"/>
  <c r="AZ47" i="5"/>
  <c r="AY47" i="5"/>
  <c r="AU47" i="5"/>
  <c r="BN47" i="5" s="1"/>
  <c r="AV47" i="5"/>
  <c r="BO47" i="5" s="1"/>
  <c r="CK175" i="5"/>
  <c r="CJ175" i="5"/>
  <c r="CI175" i="5"/>
  <c r="CF175" i="5"/>
  <c r="CH175" i="5"/>
  <c r="CG175" i="5"/>
  <c r="CE175" i="5"/>
  <c r="CD175" i="5"/>
  <c r="CC175" i="5"/>
  <c r="CA175" i="5"/>
  <c r="BZ175" i="5"/>
  <c r="BY175" i="5"/>
  <c r="BX175" i="5"/>
  <c r="BW175" i="5"/>
  <c r="BV175" i="5"/>
  <c r="BU175" i="5"/>
  <c r="BT175" i="5"/>
  <c r="BS175" i="5"/>
  <c r="BR175" i="5"/>
  <c r="BQ175" i="5"/>
  <c r="BH175" i="5"/>
  <c r="BL175" i="5"/>
  <c r="BM175" i="5"/>
  <c r="BK175" i="5"/>
  <c r="BJ175" i="5"/>
  <c r="BI175" i="5"/>
  <c r="BG175" i="5"/>
  <c r="BF175" i="5"/>
  <c r="BE175" i="5"/>
  <c r="BD175" i="5"/>
  <c r="BA175" i="5"/>
  <c r="BP175" i="5" s="1"/>
  <c r="AZ175" i="5"/>
  <c r="AY175" i="5"/>
  <c r="AU175" i="5"/>
  <c r="BB175" i="5" s="1"/>
  <c r="AV175" i="5"/>
  <c r="BC175" i="5" s="1"/>
  <c r="CK72" i="5"/>
  <c r="CI72" i="5"/>
  <c r="CF72" i="5"/>
  <c r="CG72" i="5"/>
  <c r="CE72" i="5"/>
  <c r="CD72" i="5"/>
  <c r="CC72" i="5"/>
  <c r="CA72" i="5"/>
  <c r="BW72" i="5"/>
  <c r="BY72" i="5"/>
  <c r="BV72" i="5"/>
  <c r="BU72" i="5"/>
  <c r="BR72" i="5"/>
  <c r="BT72" i="5"/>
  <c r="BS72" i="5"/>
  <c r="BM72" i="5"/>
  <c r="BQ72" i="5"/>
  <c r="BI72" i="5"/>
  <c r="BH72" i="5"/>
  <c r="BK72" i="5"/>
  <c r="BJ72" i="5"/>
  <c r="BF72" i="5"/>
  <c r="BE72" i="5"/>
  <c r="BD72" i="5"/>
  <c r="BG72" i="5"/>
  <c r="AY72" i="5"/>
  <c r="BA72" i="5"/>
  <c r="BP72" i="5" s="1"/>
  <c r="AZ72" i="5"/>
  <c r="AV72" i="5"/>
  <c r="BC72" i="5" s="1"/>
  <c r="AU72" i="5"/>
  <c r="BB72" i="5" s="1"/>
  <c r="CK200" i="5"/>
  <c r="CI200" i="5"/>
  <c r="CF200" i="5"/>
  <c r="CG200" i="5"/>
  <c r="CE200" i="5"/>
  <c r="CD200" i="5"/>
  <c r="CA200" i="5"/>
  <c r="CC200" i="5"/>
  <c r="BY200" i="5"/>
  <c r="BW200" i="5"/>
  <c r="BV200" i="5"/>
  <c r="BU200" i="5"/>
  <c r="BR200" i="5"/>
  <c r="BT200" i="5"/>
  <c r="BS200" i="5"/>
  <c r="BM200" i="5"/>
  <c r="BQ200" i="5"/>
  <c r="BI200" i="5"/>
  <c r="BH200" i="5"/>
  <c r="BK200" i="5"/>
  <c r="BJ200" i="5"/>
  <c r="BG200" i="5"/>
  <c r="BF200" i="5"/>
  <c r="BE200" i="5"/>
  <c r="BD200" i="5"/>
  <c r="AY200" i="5"/>
  <c r="BA200" i="5"/>
  <c r="BP200" i="5" s="1"/>
  <c r="AZ200" i="5"/>
  <c r="AV200" i="5"/>
  <c r="BO200" i="5" s="1"/>
  <c r="AU200" i="5"/>
  <c r="BB200" i="5" s="1"/>
  <c r="CK61" i="5"/>
  <c r="CI61" i="5"/>
  <c r="CG61" i="5"/>
  <c r="CF61" i="5"/>
  <c r="CE61" i="5"/>
  <c r="CD61" i="5"/>
  <c r="CC61" i="5"/>
  <c r="CA61" i="5"/>
  <c r="BW61" i="5"/>
  <c r="BY61" i="5"/>
  <c r="BV61" i="5"/>
  <c r="BU61" i="5"/>
  <c r="BT61" i="5"/>
  <c r="BS61" i="5"/>
  <c r="BR61" i="5"/>
  <c r="BQ61" i="5"/>
  <c r="BM61" i="5"/>
  <c r="BK61" i="5"/>
  <c r="BJ61" i="5"/>
  <c r="BI61" i="5"/>
  <c r="BH61" i="5"/>
  <c r="BF61" i="5"/>
  <c r="BE61" i="5"/>
  <c r="BD61" i="5"/>
  <c r="BG61" i="5"/>
  <c r="BA61" i="5"/>
  <c r="BP61" i="5" s="1"/>
  <c r="AZ61" i="5"/>
  <c r="AY61" i="5"/>
  <c r="AV61" i="5"/>
  <c r="BO61" i="5" s="1"/>
  <c r="AU61" i="5"/>
  <c r="BB61" i="5" s="1"/>
  <c r="CK125" i="5"/>
  <c r="CI125" i="5"/>
  <c r="CJ125" i="5"/>
  <c r="CH125" i="5"/>
  <c r="CG125" i="5"/>
  <c r="CF125" i="5"/>
  <c r="CE125" i="5"/>
  <c r="CD125" i="5"/>
  <c r="CC125" i="5"/>
  <c r="CA125" i="5"/>
  <c r="BW125" i="5"/>
  <c r="BZ125" i="5"/>
  <c r="BY125" i="5"/>
  <c r="BX125" i="5"/>
  <c r="BV125" i="5"/>
  <c r="BU125" i="5"/>
  <c r="BT125" i="5"/>
  <c r="BS125" i="5"/>
  <c r="BR125" i="5"/>
  <c r="BQ125" i="5"/>
  <c r="BK125" i="5"/>
  <c r="BJ125" i="5"/>
  <c r="BM125" i="5"/>
  <c r="BL125" i="5"/>
  <c r="BI125" i="5"/>
  <c r="BH125" i="5"/>
  <c r="BF125" i="5"/>
  <c r="BG125" i="5"/>
  <c r="BE125" i="5"/>
  <c r="BD125" i="5"/>
  <c r="BA125" i="5"/>
  <c r="AZ125" i="5"/>
  <c r="AY125" i="5"/>
  <c r="AV125" i="5"/>
  <c r="AU125" i="5"/>
  <c r="CK189" i="5"/>
  <c r="CI189" i="5"/>
  <c r="CG189" i="5"/>
  <c r="CF189" i="5"/>
  <c r="CE189" i="5"/>
  <c r="CD189" i="5"/>
  <c r="CC189" i="5"/>
  <c r="CA189" i="5"/>
  <c r="BY189" i="5"/>
  <c r="BV189" i="5"/>
  <c r="BU189" i="5"/>
  <c r="BW189" i="5"/>
  <c r="BT189" i="5"/>
  <c r="BS189" i="5"/>
  <c r="BQ189" i="5"/>
  <c r="BR189" i="5"/>
  <c r="BK189" i="5"/>
  <c r="BJ189" i="5"/>
  <c r="BI189" i="5"/>
  <c r="BM189" i="5"/>
  <c r="BH189" i="5"/>
  <c r="BF189" i="5"/>
  <c r="BE189" i="5"/>
  <c r="BD189" i="5"/>
  <c r="BG189" i="5"/>
  <c r="BA189" i="5"/>
  <c r="BP189" i="5" s="1"/>
  <c r="AZ189" i="5"/>
  <c r="AY189" i="5"/>
  <c r="AV189" i="5"/>
  <c r="BO189" i="5" s="1"/>
  <c r="AU189" i="5"/>
  <c r="BN189" i="5" s="1"/>
  <c r="CK253" i="5"/>
  <c r="CJ253" i="5"/>
  <c r="CI253" i="5"/>
  <c r="CG253" i="5"/>
  <c r="CH253" i="5"/>
  <c r="CF253" i="5"/>
  <c r="CE253" i="5"/>
  <c r="CD253" i="5"/>
  <c r="CC253" i="5"/>
  <c r="BZ253" i="5"/>
  <c r="BY253" i="5"/>
  <c r="BX253" i="5"/>
  <c r="CA253" i="5"/>
  <c r="BV253" i="5"/>
  <c r="BW253" i="5"/>
  <c r="BU253" i="5"/>
  <c r="BT253" i="5"/>
  <c r="BS253" i="5"/>
  <c r="BQ253" i="5"/>
  <c r="BR253" i="5"/>
  <c r="BK253" i="5"/>
  <c r="BJ253" i="5"/>
  <c r="BL253" i="5"/>
  <c r="BI253" i="5"/>
  <c r="BH253" i="5"/>
  <c r="BM253" i="5"/>
  <c r="BF253" i="5"/>
  <c r="BE253" i="5"/>
  <c r="BD253" i="5"/>
  <c r="BG253" i="5"/>
  <c r="BA253" i="5"/>
  <c r="AZ253" i="5"/>
  <c r="AY253" i="5"/>
  <c r="AV253" i="5"/>
  <c r="AU253" i="5"/>
  <c r="CK62" i="5"/>
  <c r="CK267" i="5" s="1"/>
  <c r="CI62" i="5"/>
  <c r="CI267" i="5" s="1"/>
  <c r="CG62" i="5"/>
  <c r="CG267" i="5" s="1"/>
  <c r="CE62" i="5"/>
  <c r="CE267" i="5" s="1"/>
  <c r="CD62" i="5"/>
  <c r="CD267" i="5" s="1"/>
  <c r="CC62" i="5"/>
  <c r="CC267" i="5" s="1"/>
  <c r="CF62" i="5"/>
  <c r="CF267" i="5" s="1"/>
  <c r="CA62" i="5"/>
  <c r="CA267" i="5" s="1"/>
  <c r="BY62" i="5"/>
  <c r="BY267" i="5" s="1"/>
  <c r="BW62" i="5"/>
  <c r="BW267" i="5" s="1"/>
  <c r="BV62" i="5"/>
  <c r="BV267" i="5" s="1"/>
  <c r="BU62" i="5"/>
  <c r="BU267" i="5" s="1"/>
  <c r="BT62" i="5"/>
  <c r="BT267" i="5" s="1"/>
  <c r="BS62" i="5"/>
  <c r="BS267" i="5" s="1"/>
  <c r="BR62" i="5"/>
  <c r="BR267" i="5" s="1"/>
  <c r="BQ62" i="5"/>
  <c r="BQ267" i="5" s="1"/>
  <c r="BM62" i="5"/>
  <c r="BM267" i="5" s="1"/>
  <c r="BG62" i="5"/>
  <c r="BG267" i="5" s="1"/>
  <c r="BK62" i="5"/>
  <c r="BK267" i="5" s="1"/>
  <c r="BJ62" i="5"/>
  <c r="BJ267" i="5" s="1"/>
  <c r="BI62" i="5"/>
  <c r="BI267" i="5" s="1"/>
  <c r="BH62" i="5"/>
  <c r="BH267" i="5" s="1"/>
  <c r="BF62" i="5"/>
  <c r="BF267" i="5" s="1"/>
  <c r="BE62" i="5"/>
  <c r="BE267" i="5" s="1"/>
  <c r="BD62" i="5"/>
  <c r="BD267" i="5" s="1"/>
  <c r="BA62" i="5"/>
  <c r="AZ62" i="5"/>
  <c r="AZ267" i="5" s="1"/>
  <c r="AY62" i="5"/>
  <c r="AY267" i="5" s="1"/>
  <c r="AV62" i="5"/>
  <c r="AU62" i="5"/>
  <c r="CK126" i="5"/>
  <c r="CI126" i="5"/>
  <c r="CG126" i="5"/>
  <c r="CE126" i="5"/>
  <c r="CD126" i="5"/>
  <c r="CF126" i="5"/>
  <c r="CC126" i="5"/>
  <c r="CA126" i="5"/>
  <c r="BY126" i="5"/>
  <c r="BV126" i="5"/>
  <c r="BU126" i="5"/>
  <c r="BW126" i="5"/>
  <c r="BT126" i="5"/>
  <c r="BS126" i="5"/>
  <c r="BR126" i="5"/>
  <c r="BQ126" i="5"/>
  <c r="BG126" i="5"/>
  <c r="BK126" i="5"/>
  <c r="BJ126" i="5"/>
  <c r="BM126" i="5"/>
  <c r="BI126" i="5"/>
  <c r="BH126" i="5"/>
  <c r="BF126" i="5"/>
  <c r="BE126" i="5"/>
  <c r="BD126" i="5"/>
  <c r="BA126" i="5"/>
  <c r="BP126" i="5" s="1"/>
  <c r="AZ126" i="5"/>
  <c r="AY126" i="5"/>
  <c r="AV126" i="5"/>
  <c r="BO126" i="5" s="1"/>
  <c r="AU126" i="5"/>
  <c r="BN126" i="5" s="1"/>
  <c r="CK190" i="5"/>
  <c r="CI190" i="5"/>
  <c r="CG190" i="5"/>
  <c r="CE190" i="5"/>
  <c r="CD190" i="5"/>
  <c r="CF190" i="5"/>
  <c r="CC190" i="5"/>
  <c r="CA190" i="5"/>
  <c r="BY190" i="5"/>
  <c r="BW190" i="5"/>
  <c r="BV190" i="5"/>
  <c r="BU190" i="5"/>
  <c r="BT190" i="5"/>
  <c r="BS190" i="5"/>
  <c r="BQ190" i="5"/>
  <c r="BR190" i="5"/>
  <c r="BK190" i="5"/>
  <c r="BJ190" i="5"/>
  <c r="BI190" i="5"/>
  <c r="BM190" i="5"/>
  <c r="BH190" i="5"/>
  <c r="BG190" i="5"/>
  <c r="BF190" i="5"/>
  <c r="BE190" i="5"/>
  <c r="BD190" i="5"/>
  <c r="BA190" i="5"/>
  <c r="BP190" i="5" s="1"/>
  <c r="AZ190" i="5"/>
  <c r="AY190" i="5"/>
  <c r="AU190" i="5"/>
  <c r="BN190" i="5" s="1"/>
  <c r="AV190" i="5"/>
  <c r="BC190" i="5" s="1"/>
  <c r="CK254" i="5"/>
  <c r="CI254" i="5"/>
  <c r="CG254" i="5"/>
  <c r="CE254" i="5"/>
  <c r="CD254" i="5"/>
  <c r="CF254" i="5"/>
  <c r="CC254" i="5"/>
  <c r="BY254" i="5"/>
  <c r="CA254" i="5"/>
  <c r="BW254" i="5"/>
  <c r="BV254" i="5"/>
  <c r="BU254" i="5"/>
  <c r="BT254" i="5"/>
  <c r="BS254" i="5"/>
  <c r="BQ254" i="5"/>
  <c r="BR254" i="5"/>
  <c r="BM254" i="5"/>
  <c r="BK254" i="5"/>
  <c r="BJ254" i="5"/>
  <c r="BI254" i="5"/>
  <c r="BH254" i="5"/>
  <c r="BG254" i="5"/>
  <c r="BF254" i="5"/>
  <c r="BE254" i="5"/>
  <c r="BD254" i="5"/>
  <c r="BA254" i="5"/>
  <c r="BP254" i="5" s="1"/>
  <c r="AZ254" i="5"/>
  <c r="AY254" i="5"/>
  <c r="AU254" i="5"/>
  <c r="BN254" i="5" s="1"/>
  <c r="AV254" i="5"/>
  <c r="BC254" i="5" s="1"/>
  <c r="CK63" i="5"/>
  <c r="CF63" i="5"/>
  <c r="CI63" i="5"/>
  <c r="CG63" i="5"/>
  <c r="CE63" i="5"/>
  <c r="CD63" i="5"/>
  <c r="CC63" i="5"/>
  <c r="CA63" i="5"/>
  <c r="BY63" i="5"/>
  <c r="BW63" i="5"/>
  <c r="BV63" i="5"/>
  <c r="BU63" i="5"/>
  <c r="BT63" i="5"/>
  <c r="BS63" i="5"/>
  <c r="BR63" i="5"/>
  <c r="BQ63" i="5"/>
  <c r="BM63" i="5"/>
  <c r="BH63" i="5"/>
  <c r="BK63" i="5"/>
  <c r="BJ63" i="5"/>
  <c r="BI63" i="5"/>
  <c r="BF63" i="5"/>
  <c r="BE63" i="5"/>
  <c r="BD63" i="5"/>
  <c r="BG63" i="5"/>
  <c r="BA63" i="5"/>
  <c r="AZ63" i="5"/>
  <c r="AY63" i="5"/>
  <c r="AU63" i="5"/>
  <c r="AV63" i="5"/>
  <c r="CK127" i="5"/>
  <c r="CF127" i="5"/>
  <c r="CI127" i="5"/>
  <c r="CG127" i="5"/>
  <c r="CE127" i="5"/>
  <c r="CD127" i="5"/>
  <c r="CC127" i="5"/>
  <c r="CA127" i="5"/>
  <c r="BY127" i="5"/>
  <c r="BV127" i="5"/>
  <c r="BU127" i="5"/>
  <c r="BW127" i="5"/>
  <c r="BT127" i="5"/>
  <c r="BS127" i="5"/>
  <c r="BR127" i="5"/>
  <c r="BQ127" i="5"/>
  <c r="BM127" i="5"/>
  <c r="BH127" i="5"/>
  <c r="BK127" i="5"/>
  <c r="BJ127" i="5"/>
  <c r="BI127" i="5"/>
  <c r="BG127" i="5"/>
  <c r="BF127" i="5"/>
  <c r="BE127" i="5"/>
  <c r="BD127" i="5"/>
  <c r="BA127" i="5"/>
  <c r="BP127" i="5" s="1"/>
  <c r="AZ127" i="5"/>
  <c r="AY127" i="5"/>
  <c r="AU127" i="5"/>
  <c r="BN127" i="5" s="1"/>
  <c r="AV127" i="5"/>
  <c r="BO127" i="5" s="1"/>
  <c r="CK191" i="5"/>
  <c r="CF191" i="5"/>
  <c r="CI191" i="5"/>
  <c r="CG191" i="5"/>
  <c r="CE191" i="5"/>
  <c r="CD191" i="5"/>
  <c r="CC191" i="5"/>
  <c r="CA191" i="5"/>
  <c r="BY191" i="5"/>
  <c r="BW191" i="5"/>
  <c r="BV191" i="5"/>
  <c r="BU191" i="5"/>
  <c r="BT191" i="5"/>
  <c r="BS191" i="5"/>
  <c r="BQ191" i="5"/>
  <c r="BR191" i="5"/>
  <c r="BM191" i="5"/>
  <c r="BH191" i="5"/>
  <c r="BK191" i="5"/>
  <c r="BJ191" i="5"/>
  <c r="BI191" i="5"/>
  <c r="BG191" i="5"/>
  <c r="BF191" i="5"/>
  <c r="BE191" i="5"/>
  <c r="BD191" i="5"/>
  <c r="BA191" i="5"/>
  <c r="BP191" i="5" s="1"/>
  <c r="AZ191" i="5"/>
  <c r="AY191" i="5"/>
  <c r="AU191" i="5"/>
  <c r="BN191" i="5" s="1"/>
  <c r="AV191" i="5"/>
  <c r="BO191" i="5" s="1"/>
  <c r="CK255" i="5"/>
  <c r="CF255" i="5"/>
  <c r="CI255" i="5"/>
  <c r="CG255" i="5"/>
  <c r="CE255" i="5"/>
  <c r="CD255" i="5"/>
  <c r="CC255" i="5"/>
  <c r="CA255" i="5"/>
  <c r="BY255" i="5"/>
  <c r="BW255" i="5"/>
  <c r="BV255" i="5"/>
  <c r="BU255" i="5"/>
  <c r="BT255" i="5"/>
  <c r="BS255" i="5"/>
  <c r="BQ255" i="5"/>
  <c r="BR255" i="5"/>
  <c r="BH255" i="5"/>
  <c r="BM255" i="5"/>
  <c r="BK255" i="5"/>
  <c r="BJ255" i="5"/>
  <c r="BI255" i="5"/>
  <c r="BG255" i="5"/>
  <c r="BF255" i="5"/>
  <c r="BE255" i="5"/>
  <c r="BD255" i="5"/>
  <c r="BA255" i="5"/>
  <c r="BP255" i="5" s="1"/>
  <c r="AZ255" i="5"/>
  <c r="AY255" i="5"/>
  <c r="AU255" i="5"/>
  <c r="BB255" i="5" s="1"/>
  <c r="AV255" i="5"/>
  <c r="BO255" i="5" s="1"/>
  <c r="CK88" i="5"/>
  <c r="CG88" i="5"/>
  <c r="CI88" i="5"/>
  <c r="CF88" i="5"/>
  <c r="CE88" i="5"/>
  <c r="CD88" i="5"/>
  <c r="CC88" i="5"/>
  <c r="CA88" i="5"/>
  <c r="BY88" i="5"/>
  <c r="BV88" i="5"/>
  <c r="BU88" i="5"/>
  <c r="BW88" i="5"/>
  <c r="BR88" i="5"/>
  <c r="BT88" i="5"/>
  <c r="BS88" i="5"/>
  <c r="BM88" i="5"/>
  <c r="BQ88" i="5"/>
  <c r="BI88" i="5"/>
  <c r="BH88" i="5"/>
  <c r="BK88" i="5"/>
  <c r="BJ88" i="5"/>
  <c r="BG88" i="5"/>
  <c r="BF88" i="5"/>
  <c r="BE88" i="5"/>
  <c r="BD88" i="5"/>
  <c r="AY88" i="5"/>
  <c r="BA88" i="5"/>
  <c r="BP88" i="5" s="1"/>
  <c r="AZ88" i="5"/>
  <c r="AV88" i="5"/>
  <c r="BO88" i="5" s="1"/>
  <c r="AU88" i="5"/>
  <c r="BN88" i="5" s="1"/>
  <c r="CK152" i="5"/>
  <c r="CJ152" i="5"/>
  <c r="CI152" i="5"/>
  <c r="CG152" i="5"/>
  <c r="CF152" i="5"/>
  <c r="CH152" i="5"/>
  <c r="CE152" i="5"/>
  <c r="CD152" i="5"/>
  <c r="CA152" i="5"/>
  <c r="CC152" i="5"/>
  <c r="BZ152" i="5"/>
  <c r="BY152" i="5"/>
  <c r="BX152" i="5"/>
  <c r="BV152" i="5"/>
  <c r="BU152" i="5"/>
  <c r="BW152" i="5"/>
  <c r="BR152" i="5"/>
  <c r="BT152" i="5"/>
  <c r="BS152" i="5"/>
  <c r="BM152" i="5"/>
  <c r="BQ152" i="5"/>
  <c r="BI152" i="5"/>
  <c r="BH152" i="5"/>
  <c r="BL152" i="5"/>
  <c r="BK152" i="5"/>
  <c r="BJ152" i="5"/>
  <c r="BG152" i="5"/>
  <c r="BF152" i="5"/>
  <c r="BE152" i="5"/>
  <c r="BD152" i="5"/>
  <c r="AY152" i="5"/>
  <c r="BA152" i="5"/>
  <c r="BP152" i="5" s="1"/>
  <c r="AZ152" i="5"/>
  <c r="AV152" i="5"/>
  <c r="BO152" i="5" s="1"/>
  <c r="AU152" i="5"/>
  <c r="BN152" i="5" s="1"/>
  <c r="CK216" i="5"/>
  <c r="CJ216" i="5"/>
  <c r="CG216" i="5"/>
  <c r="CF216" i="5"/>
  <c r="CI216" i="5"/>
  <c r="CH216" i="5"/>
  <c r="CE216" i="5"/>
  <c r="CD216" i="5"/>
  <c r="CA216" i="5"/>
  <c r="CC216" i="5"/>
  <c r="BX216" i="5"/>
  <c r="BZ216" i="5"/>
  <c r="BY216" i="5"/>
  <c r="BW216" i="5"/>
  <c r="BV216" i="5"/>
  <c r="BU216" i="5"/>
  <c r="BR216" i="5"/>
  <c r="BT216" i="5"/>
  <c r="BS216" i="5"/>
  <c r="BM216" i="5"/>
  <c r="BQ216" i="5"/>
  <c r="BI216" i="5"/>
  <c r="BH216" i="5"/>
  <c r="BL216" i="5"/>
  <c r="BK216" i="5"/>
  <c r="BJ216" i="5"/>
  <c r="BG216" i="5"/>
  <c r="BF216" i="5"/>
  <c r="BE216" i="5"/>
  <c r="BD216" i="5"/>
  <c r="AY216" i="5"/>
  <c r="BA216" i="5"/>
  <c r="BP216" i="5" s="1"/>
  <c r="AZ216" i="5"/>
  <c r="AV216" i="5"/>
  <c r="BO216" i="5" s="1"/>
  <c r="AU216" i="5"/>
  <c r="BN216" i="5" s="1"/>
  <c r="CK17" i="5"/>
  <c r="CI17" i="5"/>
  <c r="CG17" i="5"/>
  <c r="CF17" i="5"/>
  <c r="CE17" i="5"/>
  <c r="CD17" i="5"/>
  <c r="CC17" i="5"/>
  <c r="CA17" i="5"/>
  <c r="BY17" i="5"/>
  <c r="BV17" i="5"/>
  <c r="BW17" i="5"/>
  <c r="BU17" i="5"/>
  <c r="BS17" i="5"/>
  <c r="BR17" i="5"/>
  <c r="BT17" i="5"/>
  <c r="BM17" i="5"/>
  <c r="BQ17" i="5"/>
  <c r="BJ17" i="5"/>
  <c r="BI17" i="5"/>
  <c r="BH17" i="5"/>
  <c r="BG17" i="5"/>
  <c r="BK17" i="5"/>
  <c r="BF17" i="5"/>
  <c r="BE17" i="5"/>
  <c r="BD17" i="5"/>
  <c r="AZ17" i="5"/>
  <c r="AY17" i="5"/>
  <c r="BA17" i="5"/>
  <c r="BP17" i="5" s="1"/>
  <c r="AV17" i="5"/>
  <c r="BO17" i="5" s="1"/>
  <c r="AU17" i="5"/>
  <c r="BN17" i="5" s="1"/>
  <c r="CI81" i="5"/>
  <c r="CK81" i="5"/>
  <c r="CJ81" i="5"/>
  <c r="CG81" i="5"/>
  <c r="CH81" i="5"/>
  <c r="CF81" i="5"/>
  <c r="CE81" i="5"/>
  <c r="CD81" i="5"/>
  <c r="CA81" i="5"/>
  <c r="CC81" i="5"/>
  <c r="BX81" i="5"/>
  <c r="BZ81" i="5"/>
  <c r="BY81" i="5"/>
  <c r="BV81" i="5"/>
  <c r="BU81" i="5"/>
  <c r="BW81" i="5"/>
  <c r="BS81" i="5"/>
  <c r="BR81" i="5"/>
  <c r="BT81" i="5"/>
  <c r="BM81" i="5"/>
  <c r="BQ81" i="5"/>
  <c r="BJ81" i="5"/>
  <c r="BI81" i="5"/>
  <c r="BH81" i="5"/>
  <c r="BG81" i="5"/>
  <c r="BL81" i="5"/>
  <c r="BK81" i="5"/>
  <c r="BF81" i="5"/>
  <c r="BE81" i="5"/>
  <c r="BD81" i="5"/>
  <c r="AZ81" i="5"/>
  <c r="AY81" i="5"/>
  <c r="BA81" i="5"/>
  <c r="BP81" i="5" s="1"/>
  <c r="AV81" i="5"/>
  <c r="BC81" i="5" s="1"/>
  <c r="AU81" i="5"/>
  <c r="BB81" i="5" s="1"/>
  <c r="CK145" i="5"/>
  <c r="CG145" i="5"/>
  <c r="CF145" i="5"/>
  <c r="CI145" i="5"/>
  <c r="CE145" i="5"/>
  <c r="CD145" i="5"/>
  <c r="CA145" i="5"/>
  <c r="CC145" i="5"/>
  <c r="BY145" i="5"/>
  <c r="BV145" i="5"/>
  <c r="BU145" i="5"/>
  <c r="BW145" i="5"/>
  <c r="BS145" i="5"/>
  <c r="BR145" i="5"/>
  <c r="BT145" i="5"/>
  <c r="BQ145" i="5"/>
  <c r="BJ145" i="5"/>
  <c r="BM145" i="5"/>
  <c r="BI145" i="5"/>
  <c r="BH145" i="5"/>
  <c r="BK145" i="5"/>
  <c r="BG145" i="5"/>
  <c r="BF145" i="5"/>
  <c r="BE145" i="5"/>
  <c r="BD145" i="5"/>
  <c r="AZ145" i="5"/>
  <c r="AY145" i="5"/>
  <c r="BA145" i="5"/>
  <c r="BP145" i="5" s="1"/>
  <c r="AV145" i="5"/>
  <c r="BO145" i="5" s="1"/>
  <c r="AU145" i="5"/>
  <c r="BN145" i="5" s="1"/>
  <c r="CK209" i="5"/>
  <c r="CG209" i="5"/>
  <c r="CF209" i="5"/>
  <c r="CI209" i="5"/>
  <c r="CE209" i="5"/>
  <c r="CD209" i="5"/>
  <c r="CC209" i="5"/>
  <c r="CA209" i="5"/>
  <c r="BY209" i="5"/>
  <c r="BW209" i="5"/>
  <c r="BV209" i="5"/>
  <c r="BU209" i="5"/>
  <c r="BS209" i="5"/>
  <c r="BT209" i="5"/>
  <c r="BR209" i="5"/>
  <c r="BQ209" i="5"/>
  <c r="BJ209" i="5"/>
  <c r="BI209" i="5"/>
  <c r="BH209" i="5"/>
  <c r="BM209" i="5"/>
  <c r="BK209" i="5"/>
  <c r="BG209" i="5"/>
  <c r="BF209" i="5"/>
  <c r="BE209" i="5"/>
  <c r="BD209" i="5"/>
  <c r="AZ209" i="5"/>
  <c r="AY209" i="5"/>
  <c r="BA209" i="5"/>
  <c r="BP209" i="5" s="1"/>
  <c r="AV209" i="5"/>
  <c r="BC209" i="5" s="1"/>
  <c r="AU209" i="5"/>
  <c r="BN209" i="5" s="1"/>
  <c r="CK18" i="5"/>
  <c r="CI18" i="5"/>
  <c r="CG18" i="5"/>
  <c r="CF18" i="5"/>
  <c r="CE18" i="5"/>
  <c r="CD18" i="5"/>
  <c r="CC18" i="5"/>
  <c r="CA18" i="5"/>
  <c r="BY18" i="5"/>
  <c r="BW18" i="5"/>
  <c r="BV18" i="5"/>
  <c r="BU18" i="5"/>
  <c r="BT18" i="5"/>
  <c r="BS18" i="5"/>
  <c r="BR18" i="5"/>
  <c r="BQ18" i="5"/>
  <c r="BM18" i="5"/>
  <c r="BK18" i="5"/>
  <c r="BJ18" i="5"/>
  <c r="BI18" i="5"/>
  <c r="BH18" i="5"/>
  <c r="BG18" i="5"/>
  <c r="BF18" i="5"/>
  <c r="BE18" i="5"/>
  <c r="BD18" i="5"/>
  <c r="BA18" i="5"/>
  <c r="BP18" i="5" s="1"/>
  <c r="AZ18" i="5"/>
  <c r="AY18" i="5"/>
  <c r="AV18" i="5"/>
  <c r="BC18" i="5" s="1"/>
  <c r="AU18" i="5"/>
  <c r="BN18" i="5" s="1"/>
  <c r="CK82" i="5"/>
  <c r="CJ82" i="5"/>
  <c r="CI82" i="5"/>
  <c r="CH82" i="5"/>
  <c r="CG82" i="5"/>
  <c r="CF82" i="5"/>
  <c r="CE82" i="5"/>
  <c r="CD82" i="5"/>
  <c r="CC82" i="5"/>
  <c r="CA82" i="5"/>
  <c r="BX82" i="5"/>
  <c r="BZ82" i="5"/>
  <c r="BY82" i="5"/>
  <c r="BW82" i="5"/>
  <c r="BV82" i="5"/>
  <c r="BU82" i="5"/>
  <c r="BT82" i="5"/>
  <c r="BS82" i="5"/>
  <c r="BR82" i="5"/>
  <c r="BQ82" i="5"/>
  <c r="BK82" i="5"/>
  <c r="BJ82" i="5"/>
  <c r="BI82" i="5"/>
  <c r="BH82" i="5"/>
  <c r="BM82" i="5"/>
  <c r="BL82" i="5"/>
  <c r="BG82" i="5"/>
  <c r="BF82" i="5"/>
  <c r="BE82" i="5"/>
  <c r="BD82" i="5"/>
  <c r="BA82" i="5"/>
  <c r="BP82" i="5" s="1"/>
  <c r="AZ82" i="5"/>
  <c r="AY82" i="5"/>
  <c r="AV82" i="5"/>
  <c r="BO82" i="5" s="1"/>
  <c r="AU82" i="5"/>
  <c r="BN82" i="5" s="1"/>
  <c r="CK146" i="5"/>
  <c r="CI146" i="5"/>
  <c r="CG146" i="5"/>
  <c r="CF146" i="5"/>
  <c r="CE146" i="5"/>
  <c r="CD146" i="5"/>
  <c r="CC146" i="5"/>
  <c r="CA146" i="5"/>
  <c r="BY146" i="5"/>
  <c r="BW146" i="5"/>
  <c r="BV146" i="5"/>
  <c r="BU146" i="5"/>
  <c r="BT146" i="5"/>
  <c r="BS146" i="5"/>
  <c r="BR146" i="5"/>
  <c r="BQ146" i="5"/>
  <c r="BK146" i="5"/>
  <c r="BJ146" i="5"/>
  <c r="BM146" i="5"/>
  <c r="BI146" i="5"/>
  <c r="BH146" i="5"/>
  <c r="BG146" i="5"/>
  <c r="BF146" i="5"/>
  <c r="BE146" i="5"/>
  <c r="BD146" i="5"/>
  <c r="BA146" i="5"/>
  <c r="BP146" i="5" s="1"/>
  <c r="AZ146" i="5"/>
  <c r="AY146" i="5"/>
  <c r="AV146" i="5"/>
  <c r="BC146" i="5" s="1"/>
  <c r="AU146" i="5"/>
  <c r="BN146" i="5" s="1"/>
  <c r="CK210" i="5"/>
  <c r="CI210" i="5"/>
  <c r="CG210" i="5"/>
  <c r="CF210" i="5"/>
  <c r="CE210" i="5"/>
  <c r="CD210" i="5"/>
  <c r="CC210" i="5"/>
  <c r="CA210" i="5"/>
  <c r="BY210" i="5"/>
  <c r="BW210" i="5"/>
  <c r="BV210" i="5"/>
  <c r="BU210" i="5"/>
  <c r="BT210" i="5"/>
  <c r="BS210" i="5"/>
  <c r="BR210" i="5"/>
  <c r="BQ210" i="5"/>
  <c r="BM210" i="5"/>
  <c r="BK210" i="5"/>
  <c r="BJ210" i="5"/>
  <c r="BI210" i="5"/>
  <c r="BH210" i="5"/>
  <c r="BG210" i="5"/>
  <c r="BF210" i="5"/>
  <c r="BE210" i="5"/>
  <c r="BD210" i="5"/>
  <c r="BA210" i="5"/>
  <c r="BP210" i="5" s="1"/>
  <c r="AZ210" i="5"/>
  <c r="AY210" i="5"/>
  <c r="AV210" i="5"/>
  <c r="BC210" i="5" s="1"/>
  <c r="AU210" i="5"/>
  <c r="BN210" i="5" s="1"/>
  <c r="CK67" i="5"/>
  <c r="CF67" i="5"/>
  <c r="CI67" i="5"/>
  <c r="CE67" i="5"/>
  <c r="CD67" i="5"/>
  <c r="CG67" i="5"/>
  <c r="CA67" i="5"/>
  <c r="CC67" i="5"/>
  <c r="BY67" i="5"/>
  <c r="BW67" i="5"/>
  <c r="BV67" i="5"/>
  <c r="BU67" i="5"/>
  <c r="BT67" i="5"/>
  <c r="BS67" i="5"/>
  <c r="BR67" i="5"/>
  <c r="BQ67" i="5"/>
  <c r="BM67" i="5"/>
  <c r="BK67" i="5"/>
  <c r="BJ67" i="5"/>
  <c r="BI67" i="5"/>
  <c r="BH67" i="5"/>
  <c r="BD67" i="5"/>
  <c r="BG67" i="5"/>
  <c r="BF67" i="5"/>
  <c r="BE67" i="5"/>
  <c r="BA67" i="5"/>
  <c r="BP67" i="5" s="1"/>
  <c r="AZ67" i="5"/>
  <c r="AY67" i="5"/>
  <c r="AV67" i="5"/>
  <c r="BO67" i="5" s="1"/>
  <c r="AU67" i="5"/>
  <c r="BN67" i="5" s="1"/>
  <c r="CK131" i="5"/>
  <c r="CJ131" i="5"/>
  <c r="CH131" i="5"/>
  <c r="CF131" i="5"/>
  <c r="CI131" i="5"/>
  <c r="CG131" i="5"/>
  <c r="CE131" i="5"/>
  <c r="CD131" i="5"/>
  <c r="CC131" i="5"/>
  <c r="CA131" i="5"/>
  <c r="BZ131" i="5"/>
  <c r="BY131" i="5"/>
  <c r="BX131" i="5"/>
  <c r="BW131" i="5"/>
  <c r="BV131" i="5"/>
  <c r="BU131" i="5"/>
  <c r="BT131" i="5"/>
  <c r="BS131" i="5"/>
  <c r="BQ131" i="5"/>
  <c r="BR131" i="5"/>
  <c r="BM131" i="5"/>
  <c r="BK131" i="5"/>
  <c r="BJ131" i="5"/>
  <c r="BI131" i="5"/>
  <c r="BH131" i="5"/>
  <c r="BL131" i="5"/>
  <c r="BD131" i="5"/>
  <c r="BG131" i="5"/>
  <c r="BF131" i="5"/>
  <c r="BE131" i="5"/>
  <c r="BA131" i="5"/>
  <c r="BP131" i="5" s="1"/>
  <c r="AZ131" i="5"/>
  <c r="AY131" i="5"/>
  <c r="AV131" i="5"/>
  <c r="BC131" i="5" s="1"/>
  <c r="AU131" i="5"/>
  <c r="BN131" i="5" s="1"/>
  <c r="CK195" i="5"/>
  <c r="CI195" i="5"/>
  <c r="CF195" i="5"/>
  <c r="CG195" i="5"/>
  <c r="CE195" i="5"/>
  <c r="CD195" i="5"/>
  <c r="CC195" i="5"/>
  <c r="CA195" i="5"/>
  <c r="BY195" i="5"/>
  <c r="BW195" i="5"/>
  <c r="BV195" i="5"/>
  <c r="BU195" i="5"/>
  <c r="BT195" i="5"/>
  <c r="BS195" i="5"/>
  <c r="BQ195" i="5"/>
  <c r="BR195" i="5"/>
  <c r="BK195" i="5"/>
  <c r="BJ195" i="5"/>
  <c r="BM195" i="5"/>
  <c r="BI195" i="5"/>
  <c r="BH195" i="5"/>
  <c r="BD195" i="5"/>
  <c r="BG195" i="5"/>
  <c r="BF195" i="5"/>
  <c r="BE195" i="5"/>
  <c r="BA195" i="5"/>
  <c r="BP195" i="5" s="1"/>
  <c r="AZ195" i="5"/>
  <c r="AY195" i="5"/>
  <c r="AV195" i="5"/>
  <c r="BC195" i="5" s="1"/>
  <c r="AU195" i="5"/>
  <c r="BN195" i="5" s="1"/>
  <c r="CK2" i="5"/>
  <c r="AT261" i="5"/>
  <c r="AT262" i="5" s="1"/>
  <c r="AS261" i="5"/>
  <c r="AS262" i="5" s="1"/>
  <c r="CF2" i="5"/>
  <c r="CI2" i="5"/>
  <c r="CG2" i="5"/>
  <c r="CE2" i="5"/>
  <c r="CD2" i="5"/>
  <c r="CC2" i="5"/>
  <c r="CA2" i="5"/>
  <c r="BY2" i="5"/>
  <c r="BW2" i="5"/>
  <c r="BV2" i="5"/>
  <c r="BU2" i="5"/>
  <c r="BT2" i="5"/>
  <c r="BS2" i="5"/>
  <c r="BQ2" i="5"/>
  <c r="BR2" i="5"/>
  <c r="BK2" i="5"/>
  <c r="BJ2" i="5"/>
  <c r="BI2" i="5"/>
  <c r="BH2" i="5"/>
  <c r="BM2" i="5"/>
  <c r="BD2" i="5"/>
  <c r="BG2" i="5"/>
  <c r="BF2" i="5"/>
  <c r="BE2" i="5"/>
  <c r="BA2" i="5"/>
  <c r="BP2" i="5" s="1"/>
  <c r="AZ2" i="5"/>
  <c r="AY2" i="5"/>
  <c r="AV2" i="5"/>
  <c r="AU2" i="5"/>
  <c r="BB2" i="5" s="1"/>
  <c r="CK36" i="5"/>
  <c r="CJ36" i="5"/>
  <c r="CI36" i="5"/>
  <c r="CG36" i="5"/>
  <c r="CH36" i="5"/>
  <c r="CF36" i="5"/>
  <c r="CE36" i="5"/>
  <c r="CD36" i="5"/>
  <c r="CA36" i="5"/>
  <c r="CC36" i="5"/>
  <c r="BZ36" i="5"/>
  <c r="BY36" i="5"/>
  <c r="BX36" i="5"/>
  <c r="BW36" i="5"/>
  <c r="BU36" i="5"/>
  <c r="BV36" i="5"/>
  <c r="BT36" i="5"/>
  <c r="BS36" i="5"/>
  <c r="BR36" i="5"/>
  <c r="BQ36" i="5"/>
  <c r="BM36" i="5"/>
  <c r="BL36" i="5"/>
  <c r="BK36" i="5"/>
  <c r="BJ36" i="5"/>
  <c r="BI36" i="5"/>
  <c r="BH36" i="5"/>
  <c r="BG36" i="5"/>
  <c r="BE36" i="5"/>
  <c r="BD36" i="5"/>
  <c r="BF36" i="5"/>
  <c r="BA36" i="5"/>
  <c r="BP36" i="5" s="1"/>
  <c r="AZ36" i="5"/>
  <c r="AY36" i="5"/>
  <c r="AV36" i="5"/>
  <c r="BO36" i="5" s="1"/>
  <c r="AU36" i="5"/>
  <c r="BN36" i="5" s="1"/>
  <c r="CK100" i="5"/>
  <c r="CJ100" i="5"/>
  <c r="CI100" i="5"/>
  <c r="CH100" i="5"/>
  <c r="CG100" i="5"/>
  <c r="CF100" i="5"/>
  <c r="CE100" i="5"/>
  <c r="CD100" i="5"/>
  <c r="CA100" i="5"/>
  <c r="CC100" i="5"/>
  <c r="BZ100" i="5"/>
  <c r="BY100" i="5"/>
  <c r="BX100" i="5"/>
  <c r="BW100" i="5"/>
  <c r="BU100" i="5"/>
  <c r="BV100" i="5"/>
  <c r="BT100" i="5"/>
  <c r="BS100" i="5"/>
  <c r="BR100" i="5"/>
  <c r="BQ100" i="5"/>
  <c r="BK100" i="5"/>
  <c r="BJ100" i="5"/>
  <c r="BI100" i="5"/>
  <c r="BM100" i="5"/>
  <c r="BH100" i="5"/>
  <c r="BL100" i="5"/>
  <c r="BE100" i="5"/>
  <c r="BD100" i="5"/>
  <c r="BG100" i="5"/>
  <c r="BF100" i="5"/>
  <c r="BA100" i="5"/>
  <c r="BP100" i="5" s="1"/>
  <c r="AZ100" i="5"/>
  <c r="AY100" i="5"/>
  <c r="AV100" i="5"/>
  <c r="BO100" i="5" s="1"/>
  <c r="AU100" i="5"/>
  <c r="BN100" i="5" s="1"/>
  <c r="CK164" i="5"/>
  <c r="CI164" i="5"/>
  <c r="CG164" i="5"/>
  <c r="CF164" i="5"/>
  <c r="CE164" i="5"/>
  <c r="CD164" i="5"/>
  <c r="CC164" i="5"/>
  <c r="CA164" i="5"/>
  <c r="BY164" i="5"/>
  <c r="BW164" i="5"/>
  <c r="BU164" i="5"/>
  <c r="BV164" i="5"/>
  <c r="BT164" i="5"/>
  <c r="BS164" i="5"/>
  <c r="BQ164" i="5"/>
  <c r="BR164" i="5"/>
  <c r="BM164" i="5"/>
  <c r="BK164" i="5"/>
  <c r="BJ164" i="5"/>
  <c r="BI164" i="5"/>
  <c r="BH164" i="5"/>
  <c r="BE164" i="5"/>
  <c r="BD164" i="5"/>
  <c r="BG164" i="5"/>
  <c r="BF164" i="5"/>
  <c r="BA164" i="5"/>
  <c r="BP164" i="5" s="1"/>
  <c r="AZ164" i="5"/>
  <c r="AY164" i="5"/>
  <c r="AU164" i="5"/>
  <c r="BB164" i="5" s="1"/>
  <c r="AV164" i="5"/>
  <c r="BO164" i="5" s="1"/>
  <c r="CK228" i="5"/>
  <c r="CI228" i="5"/>
  <c r="CG228" i="5"/>
  <c r="CF228" i="5"/>
  <c r="CE228" i="5"/>
  <c r="CD228" i="5"/>
  <c r="CC228" i="5"/>
  <c r="CA228" i="5"/>
  <c r="BY228" i="5"/>
  <c r="BU228" i="5"/>
  <c r="BW228" i="5"/>
  <c r="BV228" i="5"/>
  <c r="BT228" i="5"/>
  <c r="BS228" i="5"/>
  <c r="BQ228" i="5"/>
  <c r="BR228" i="5"/>
  <c r="BM228" i="5"/>
  <c r="BK228" i="5"/>
  <c r="BJ228" i="5"/>
  <c r="BI228" i="5"/>
  <c r="BH228" i="5"/>
  <c r="BE228" i="5"/>
  <c r="BD228" i="5"/>
  <c r="BG228" i="5"/>
  <c r="BF228" i="5"/>
  <c r="BA228" i="5"/>
  <c r="BP228" i="5" s="1"/>
  <c r="AZ228" i="5"/>
  <c r="AY228" i="5"/>
  <c r="AU228" i="5"/>
  <c r="BN228" i="5" s="1"/>
  <c r="AV228" i="5"/>
  <c r="BO228" i="5" s="1"/>
  <c r="CK44" i="5"/>
  <c r="CI44" i="5"/>
  <c r="CG44" i="5"/>
  <c r="CE44" i="5"/>
  <c r="CF44" i="5"/>
  <c r="CD44" i="5"/>
  <c r="CA44" i="5"/>
  <c r="CC44" i="5"/>
  <c r="BY44" i="5"/>
  <c r="BW44" i="5"/>
  <c r="BU44" i="5"/>
  <c r="BV44" i="5"/>
  <c r="BT44" i="5"/>
  <c r="BS44" i="5"/>
  <c r="BR44" i="5"/>
  <c r="BQ44" i="5"/>
  <c r="BM44" i="5"/>
  <c r="BK44" i="5"/>
  <c r="BJ44" i="5"/>
  <c r="BI44" i="5"/>
  <c r="BH44" i="5"/>
  <c r="BG44" i="5"/>
  <c r="BE44" i="5"/>
  <c r="BD44" i="5"/>
  <c r="BF44" i="5"/>
  <c r="BA44" i="5"/>
  <c r="BP44" i="5" s="1"/>
  <c r="AZ44" i="5"/>
  <c r="AY44" i="5"/>
  <c r="AV44" i="5"/>
  <c r="BC44" i="5" s="1"/>
  <c r="AU44" i="5"/>
  <c r="BN44" i="5" s="1"/>
  <c r="CK108" i="5"/>
  <c r="CJ108" i="5"/>
  <c r="CI108" i="5"/>
  <c r="CF108" i="5"/>
  <c r="CG108" i="5"/>
  <c r="CH108" i="5"/>
  <c r="CE108" i="5"/>
  <c r="CD108" i="5"/>
  <c r="CA108" i="5"/>
  <c r="CC108" i="5"/>
  <c r="BZ108" i="5"/>
  <c r="BY108" i="5"/>
  <c r="BX108" i="5"/>
  <c r="BU108" i="5"/>
  <c r="BW108" i="5"/>
  <c r="BV108" i="5"/>
  <c r="BT108" i="5"/>
  <c r="BS108" i="5"/>
  <c r="BR108" i="5"/>
  <c r="BQ108" i="5"/>
  <c r="BL108" i="5"/>
  <c r="BM108" i="5"/>
  <c r="BK108" i="5"/>
  <c r="BJ108" i="5"/>
  <c r="BI108" i="5"/>
  <c r="BH108" i="5"/>
  <c r="BE108" i="5"/>
  <c r="BD108" i="5"/>
  <c r="BG108" i="5"/>
  <c r="BF108" i="5"/>
  <c r="BA108" i="5"/>
  <c r="BP108" i="5" s="1"/>
  <c r="AZ108" i="5"/>
  <c r="AY108" i="5"/>
  <c r="AV108" i="5"/>
  <c r="BC108" i="5" s="1"/>
  <c r="AU108" i="5"/>
  <c r="BN108" i="5" s="1"/>
  <c r="CK172" i="5"/>
  <c r="CJ172" i="5"/>
  <c r="CI172" i="5"/>
  <c r="CH172" i="5"/>
  <c r="CF172" i="5"/>
  <c r="CG172" i="5"/>
  <c r="CE172" i="5"/>
  <c r="CD172" i="5"/>
  <c r="CC172" i="5"/>
  <c r="CA172" i="5"/>
  <c r="BZ172" i="5"/>
  <c r="BY172" i="5"/>
  <c r="BX172" i="5"/>
  <c r="BU172" i="5"/>
  <c r="BW172" i="5"/>
  <c r="BV172" i="5"/>
  <c r="BT172" i="5"/>
  <c r="BS172" i="5"/>
  <c r="BQ172" i="5"/>
  <c r="BR172" i="5"/>
  <c r="BK172" i="5"/>
  <c r="BJ172" i="5"/>
  <c r="BI172" i="5"/>
  <c r="BH172" i="5"/>
  <c r="BM172" i="5"/>
  <c r="BL172" i="5"/>
  <c r="BE172" i="5"/>
  <c r="BD172" i="5"/>
  <c r="BG172" i="5"/>
  <c r="BF172" i="5"/>
  <c r="BA172" i="5"/>
  <c r="BP172" i="5" s="1"/>
  <c r="AZ172" i="5"/>
  <c r="AY172" i="5"/>
  <c r="AU172" i="5"/>
  <c r="BB172" i="5" s="1"/>
  <c r="AV172" i="5"/>
  <c r="BC172" i="5" s="1"/>
  <c r="CK236" i="5"/>
  <c r="CI236" i="5"/>
  <c r="CF236" i="5"/>
  <c r="CG236" i="5"/>
  <c r="CE236" i="5"/>
  <c r="CD236" i="5"/>
  <c r="CC236" i="5"/>
  <c r="CA236" i="5"/>
  <c r="BY236" i="5"/>
  <c r="BW236" i="5"/>
  <c r="BV236" i="5"/>
  <c r="BT236" i="5"/>
  <c r="BS236" i="5"/>
  <c r="BU236" i="5"/>
  <c r="BQ236" i="5"/>
  <c r="BR236" i="5"/>
  <c r="BK236" i="5"/>
  <c r="BJ236" i="5"/>
  <c r="BI236" i="5"/>
  <c r="BH236" i="5"/>
  <c r="BM236" i="5"/>
  <c r="BE236" i="5"/>
  <c r="BD236" i="5"/>
  <c r="BG236" i="5"/>
  <c r="BF236" i="5"/>
  <c r="BA236" i="5"/>
  <c r="BP236" i="5" s="1"/>
  <c r="AZ236" i="5"/>
  <c r="AY236" i="5"/>
  <c r="AU236" i="5"/>
  <c r="BN236" i="5" s="1"/>
  <c r="AV236" i="5"/>
  <c r="BO236" i="5" s="1"/>
  <c r="CK52" i="5"/>
  <c r="CI52" i="5"/>
  <c r="CG52" i="5"/>
  <c r="CF52" i="5"/>
  <c r="CE52" i="5"/>
  <c r="CD52" i="5"/>
  <c r="CC52" i="5"/>
  <c r="CA52" i="5"/>
  <c r="BY52" i="5"/>
  <c r="BW52" i="5"/>
  <c r="BU52" i="5"/>
  <c r="BV52" i="5"/>
  <c r="BT52" i="5"/>
  <c r="BS52" i="5"/>
  <c r="BR52" i="5"/>
  <c r="BQ52" i="5"/>
  <c r="BM52" i="5"/>
  <c r="BK52" i="5"/>
  <c r="BJ52" i="5"/>
  <c r="BI52" i="5"/>
  <c r="BH52" i="5"/>
  <c r="BG52" i="5"/>
  <c r="BE52" i="5"/>
  <c r="BD52" i="5"/>
  <c r="BF52" i="5"/>
  <c r="BA52" i="5"/>
  <c r="BP52" i="5" s="1"/>
  <c r="AZ52" i="5"/>
  <c r="AY52" i="5"/>
  <c r="AV52" i="5"/>
  <c r="BC52" i="5" s="1"/>
  <c r="AU52" i="5"/>
  <c r="BN52" i="5" s="1"/>
  <c r="CJ116" i="5"/>
  <c r="CK116" i="5"/>
  <c r="CI116" i="5"/>
  <c r="CH116" i="5"/>
  <c r="CG116" i="5"/>
  <c r="CF116" i="5"/>
  <c r="CE116" i="5"/>
  <c r="CD116" i="5"/>
  <c r="CA116" i="5"/>
  <c r="CC116" i="5"/>
  <c r="BZ116" i="5"/>
  <c r="BY116" i="5"/>
  <c r="BX116" i="5"/>
  <c r="BU116" i="5"/>
  <c r="BW116" i="5"/>
  <c r="BV116" i="5"/>
  <c r="BT116" i="5"/>
  <c r="BS116" i="5"/>
  <c r="BR116" i="5"/>
  <c r="BQ116" i="5"/>
  <c r="BK116" i="5"/>
  <c r="BJ116" i="5"/>
  <c r="BI116" i="5"/>
  <c r="BL116" i="5"/>
  <c r="BH116" i="5"/>
  <c r="BM116" i="5"/>
  <c r="BE116" i="5"/>
  <c r="BG116" i="5"/>
  <c r="BD116" i="5"/>
  <c r="BF116" i="5"/>
  <c r="BA116" i="5"/>
  <c r="BP116" i="5" s="1"/>
  <c r="AZ116" i="5"/>
  <c r="AY116" i="5"/>
  <c r="AV116" i="5"/>
  <c r="BC116" i="5" s="1"/>
  <c r="AU116" i="5"/>
  <c r="BN116" i="5" s="1"/>
  <c r="CK180" i="5"/>
  <c r="CI180" i="5"/>
  <c r="CG180" i="5"/>
  <c r="CF180" i="5"/>
  <c r="CE180" i="5"/>
  <c r="CD180" i="5"/>
  <c r="CC180" i="5"/>
  <c r="CA180" i="5"/>
  <c r="BY180" i="5"/>
  <c r="BU180" i="5"/>
  <c r="BW180" i="5"/>
  <c r="BV180" i="5"/>
  <c r="BT180" i="5"/>
  <c r="BS180" i="5"/>
  <c r="BQ180" i="5"/>
  <c r="BR180" i="5"/>
  <c r="BK180" i="5"/>
  <c r="BJ180" i="5"/>
  <c r="BI180" i="5"/>
  <c r="BH180" i="5"/>
  <c r="BM180" i="5"/>
  <c r="BE180" i="5"/>
  <c r="BD180" i="5"/>
  <c r="BG180" i="5"/>
  <c r="BF180" i="5"/>
  <c r="BA180" i="5"/>
  <c r="BP180" i="5" s="1"/>
  <c r="AZ180" i="5"/>
  <c r="AY180" i="5"/>
  <c r="AV180" i="5"/>
  <c r="BO180" i="5" s="1"/>
  <c r="AU180" i="5"/>
  <c r="BN180" i="5" s="1"/>
  <c r="CJ244" i="5"/>
  <c r="CI244" i="5"/>
  <c r="CK244" i="5"/>
  <c r="CH244" i="5"/>
  <c r="CG244" i="5"/>
  <c r="CF244" i="5"/>
  <c r="CE244" i="5"/>
  <c r="CD244" i="5"/>
  <c r="CC244" i="5"/>
  <c r="CA244" i="5"/>
  <c r="BZ244" i="5"/>
  <c r="BY244" i="5"/>
  <c r="BX244" i="5"/>
  <c r="BW244" i="5"/>
  <c r="BV244" i="5"/>
  <c r="BT244" i="5"/>
  <c r="BS244" i="5"/>
  <c r="BU244" i="5"/>
  <c r="BQ244" i="5"/>
  <c r="BR244" i="5"/>
  <c r="BK244" i="5"/>
  <c r="BJ244" i="5"/>
  <c r="BI244" i="5"/>
  <c r="BH244" i="5"/>
  <c r="BM244" i="5"/>
  <c r="BL244" i="5"/>
  <c r="BE244" i="5"/>
  <c r="BD244" i="5"/>
  <c r="BG244" i="5"/>
  <c r="BF244" i="5"/>
  <c r="BA244" i="5"/>
  <c r="BP244" i="5" s="1"/>
  <c r="AZ244" i="5"/>
  <c r="AY244" i="5"/>
  <c r="AV244" i="5"/>
  <c r="BO244" i="5" s="1"/>
  <c r="AU244" i="5"/>
  <c r="BN244" i="5" s="1"/>
  <c r="CK5" i="5"/>
  <c r="CI5" i="5"/>
  <c r="CG5" i="5"/>
  <c r="CF5" i="5"/>
  <c r="CE5" i="5"/>
  <c r="CD5" i="5"/>
  <c r="CC5" i="5"/>
  <c r="CA5" i="5"/>
  <c r="BW5" i="5"/>
  <c r="BY5" i="5"/>
  <c r="BV5" i="5"/>
  <c r="BU5" i="5"/>
  <c r="BT5" i="5"/>
  <c r="BS5" i="5"/>
  <c r="BR5" i="5"/>
  <c r="BQ5" i="5"/>
  <c r="BM5" i="5"/>
  <c r="BK5" i="5"/>
  <c r="BJ5" i="5"/>
  <c r="BI5" i="5"/>
  <c r="BH5" i="5"/>
  <c r="BG5" i="5"/>
  <c r="BF5" i="5"/>
  <c r="BE5" i="5"/>
  <c r="BD5" i="5"/>
  <c r="BA5" i="5"/>
  <c r="BP5" i="5" s="1"/>
  <c r="AZ5" i="5"/>
  <c r="AY5" i="5"/>
  <c r="AV5" i="5"/>
  <c r="BC5" i="5" s="1"/>
  <c r="AU5" i="5"/>
  <c r="BN5" i="5" s="1"/>
  <c r="CK70" i="5"/>
  <c r="CI70" i="5"/>
  <c r="CG70" i="5"/>
  <c r="CF70" i="5"/>
  <c r="CE70" i="5"/>
  <c r="CD70" i="5"/>
  <c r="CC70" i="5"/>
  <c r="CA70" i="5"/>
  <c r="BY70" i="5"/>
  <c r="BV70" i="5"/>
  <c r="BU70" i="5"/>
  <c r="BW70" i="5"/>
  <c r="BT70" i="5"/>
  <c r="BS70" i="5"/>
  <c r="BR70" i="5"/>
  <c r="BQ70" i="5"/>
  <c r="BM70" i="5"/>
  <c r="BG70" i="5"/>
  <c r="BK70" i="5"/>
  <c r="BJ70" i="5"/>
  <c r="BI70" i="5"/>
  <c r="BH70" i="5"/>
  <c r="BF70" i="5"/>
  <c r="BE70" i="5"/>
  <c r="BD70" i="5"/>
  <c r="BA70" i="5"/>
  <c r="BP70" i="5" s="1"/>
  <c r="AZ70" i="5"/>
  <c r="AY70" i="5"/>
  <c r="AV70" i="5"/>
  <c r="BO70" i="5" s="1"/>
  <c r="AU70" i="5"/>
  <c r="BN70" i="5" s="1"/>
  <c r="CK60" i="5"/>
  <c r="CI60" i="5"/>
  <c r="CG60" i="5"/>
  <c r="CF60" i="5"/>
  <c r="CE60" i="5"/>
  <c r="CD60" i="5"/>
  <c r="CC60" i="5"/>
  <c r="CA60" i="5"/>
  <c r="BY60" i="5"/>
  <c r="BW60" i="5"/>
  <c r="BU60" i="5"/>
  <c r="BV60" i="5"/>
  <c r="BT60" i="5"/>
  <c r="BS60" i="5"/>
  <c r="BR60" i="5"/>
  <c r="BQ60" i="5"/>
  <c r="BM60" i="5"/>
  <c r="BK60" i="5"/>
  <c r="BJ60" i="5"/>
  <c r="BI60" i="5"/>
  <c r="BH60" i="5"/>
  <c r="BG60" i="5"/>
  <c r="BE60" i="5"/>
  <c r="BD60" i="5"/>
  <c r="BF60" i="5"/>
  <c r="BA60" i="5"/>
  <c r="BP60" i="5" s="1"/>
  <c r="AZ60" i="5"/>
  <c r="AY60" i="5"/>
  <c r="AV60" i="5"/>
  <c r="BC60" i="5" s="1"/>
  <c r="AU60" i="5"/>
  <c r="BN60" i="5" s="1"/>
  <c r="CK124" i="5"/>
  <c r="CI124" i="5"/>
  <c r="CJ124" i="5"/>
  <c r="CH124" i="5"/>
  <c r="CG124" i="5"/>
  <c r="CF124" i="5"/>
  <c r="CE124" i="5"/>
  <c r="CD124" i="5"/>
  <c r="CC124" i="5"/>
  <c r="CA124" i="5"/>
  <c r="BZ124" i="5"/>
  <c r="BY124" i="5"/>
  <c r="BX124" i="5"/>
  <c r="BU124" i="5"/>
  <c r="BW124" i="5"/>
  <c r="BV124" i="5"/>
  <c r="BT124" i="5"/>
  <c r="BS124" i="5"/>
  <c r="BR124" i="5"/>
  <c r="BQ124" i="5"/>
  <c r="BK124" i="5"/>
  <c r="BJ124" i="5"/>
  <c r="BM124" i="5"/>
  <c r="BL124" i="5"/>
  <c r="BI124" i="5"/>
  <c r="BH124" i="5"/>
  <c r="BG124" i="5"/>
  <c r="BE124" i="5"/>
  <c r="BD124" i="5"/>
  <c r="BF124" i="5"/>
  <c r="BA124" i="5"/>
  <c r="BP124" i="5" s="1"/>
  <c r="AZ124" i="5"/>
  <c r="AY124" i="5"/>
  <c r="AV124" i="5"/>
  <c r="BC124" i="5" s="1"/>
  <c r="AU124" i="5"/>
  <c r="BB124" i="5" s="1"/>
  <c r="CK188" i="5"/>
  <c r="CI188" i="5"/>
  <c r="CJ188" i="5"/>
  <c r="CG188" i="5"/>
  <c r="CH188" i="5"/>
  <c r="CF188" i="5"/>
  <c r="CE188" i="5"/>
  <c r="CD188" i="5"/>
  <c r="CC188" i="5"/>
  <c r="CA188" i="5"/>
  <c r="BZ188" i="5"/>
  <c r="BY188" i="5"/>
  <c r="BX188" i="5"/>
  <c r="BU188" i="5"/>
  <c r="BW188" i="5"/>
  <c r="BV188" i="5"/>
  <c r="BT188" i="5"/>
  <c r="BS188" i="5"/>
  <c r="BQ188" i="5"/>
  <c r="BR188" i="5"/>
  <c r="BK188" i="5"/>
  <c r="BJ188" i="5"/>
  <c r="BI188" i="5"/>
  <c r="BM188" i="5"/>
  <c r="BL188" i="5"/>
  <c r="BH188" i="5"/>
  <c r="BE188" i="5"/>
  <c r="BD188" i="5"/>
  <c r="BG188" i="5"/>
  <c r="BF188" i="5"/>
  <c r="BA188" i="5"/>
  <c r="BP188" i="5" s="1"/>
  <c r="AZ188" i="5"/>
  <c r="AY188" i="5"/>
  <c r="AV188" i="5"/>
  <c r="BC188" i="5" s="1"/>
  <c r="AU188" i="5"/>
  <c r="BN188" i="5" s="1"/>
  <c r="CI252" i="5"/>
  <c r="CI294" i="5" s="1"/>
  <c r="CI295" i="5" s="1"/>
  <c r="CG252" i="5"/>
  <c r="CG294" i="5" s="1"/>
  <c r="CG295" i="5" s="1"/>
  <c r="CF252" i="5"/>
  <c r="CF294" i="5" s="1"/>
  <c r="CF295" i="5" s="1"/>
  <c r="CK252" i="5"/>
  <c r="CK294" i="5" s="1"/>
  <c r="CK295" i="5" s="1"/>
  <c r="CE252" i="5"/>
  <c r="CE294" i="5" s="1"/>
  <c r="CE295" i="5" s="1"/>
  <c r="CD252" i="5"/>
  <c r="CD294" i="5" s="1"/>
  <c r="CD295" i="5" s="1"/>
  <c r="CC252" i="5"/>
  <c r="CC294" i="5" s="1"/>
  <c r="CC295" i="5" s="1"/>
  <c r="CA252" i="5"/>
  <c r="CA294" i="5" s="1"/>
  <c r="CA295" i="5" s="1"/>
  <c r="BY252" i="5"/>
  <c r="BY294" i="5" s="1"/>
  <c r="BY295" i="5" s="1"/>
  <c r="BW252" i="5"/>
  <c r="BW294" i="5" s="1"/>
  <c r="BW295" i="5" s="1"/>
  <c r="BV252" i="5"/>
  <c r="BV294" i="5" s="1"/>
  <c r="BV295" i="5" s="1"/>
  <c r="BU252" i="5"/>
  <c r="BU294" i="5" s="1"/>
  <c r="BU295" i="5" s="1"/>
  <c r="BT252" i="5"/>
  <c r="BT294" i="5" s="1"/>
  <c r="BT295" i="5" s="1"/>
  <c r="BS252" i="5"/>
  <c r="BS294" i="5" s="1"/>
  <c r="BS295" i="5" s="1"/>
  <c r="BQ252" i="5"/>
  <c r="BQ294" i="5" s="1"/>
  <c r="BQ295" i="5" s="1"/>
  <c r="BR252" i="5"/>
  <c r="BR294" i="5" s="1"/>
  <c r="BR295" i="5" s="1"/>
  <c r="BK252" i="5"/>
  <c r="BK294" i="5" s="1"/>
  <c r="BK295" i="5" s="1"/>
  <c r="BJ252" i="5"/>
  <c r="BJ294" i="5" s="1"/>
  <c r="BJ295" i="5" s="1"/>
  <c r="BI252" i="5"/>
  <c r="BI294" i="5" s="1"/>
  <c r="BI295" i="5" s="1"/>
  <c r="BH252" i="5"/>
  <c r="BH294" i="5" s="1"/>
  <c r="BH295" i="5" s="1"/>
  <c r="BM252" i="5"/>
  <c r="BM294" i="5" s="1"/>
  <c r="BM295" i="5" s="1"/>
  <c r="BE252" i="5"/>
  <c r="BE294" i="5" s="1"/>
  <c r="BE295" i="5" s="1"/>
  <c r="BD252" i="5"/>
  <c r="BD294" i="5" s="1"/>
  <c r="BD295" i="5" s="1"/>
  <c r="BG252" i="5"/>
  <c r="BG294" i="5" s="1"/>
  <c r="BG295" i="5" s="1"/>
  <c r="BF252" i="5"/>
  <c r="BF294" i="5" s="1"/>
  <c r="BF295" i="5" s="1"/>
  <c r="BA252" i="5"/>
  <c r="AZ252" i="5"/>
  <c r="AZ294" i="5" s="1"/>
  <c r="AZ295" i="5" s="1"/>
  <c r="AY252" i="5"/>
  <c r="AY294" i="5" s="1"/>
  <c r="AY295" i="5" s="1"/>
  <c r="AV252" i="5"/>
  <c r="AU252" i="5"/>
  <c r="C12" i="7"/>
  <c r="C13" i="7"/>
  <c r="C14" i="7"/>
  <c r="G63" i="22" l="1"/>
  <c r="I63" i="22" s="1"/>
  <c r="G63" i="13"/>
  <c r="I63" i="13" s="1"/>
  <c r="G63" i="17"/>
  <c r="I63" i="17" s="1"/>
  <c r="G63" i="23"/>
  <c r="I63" i="23" s="1"/>
  <c r="G63" i="16"/>
  <c r="I63" i="16" s="1"/>
  <c r="G63" i="20"/>
  <c r="I63" i="20" s="1"/>
  <c r="G63" i="18"/>
  <c r="I63" i="18" s="1"/>
  <c r="G63" i="21"/>
  <c r="I63" i="21" s="1"/>
  <c r="G63" i="24"/>
  <c r="I63" i="24" s="1"/>
  <c r="G63" i="12"/>
  <c r="I63" i="12" s="1"/>
  <c r="G63" i="19"/>
  <c r="I63" i="19" s="1"/>
  <c r="G63" i="14"/>
  <c r="I63" i="14" s="1"/>
  <c r="G63" i="15"/>
  <c r="I63" i="15" s="1"/>
  <c r="BC3" i="5"/>
  <c r="AS319" i="5"/>
  <c r="AS328" i="5"/>
  <c r="L128" i="10"/>
  <c r="AY318" i="5"/>
  <c r="AV327" i="5"/>
  <c r="AY329" i="5"/>
  <c r="AV331" i="5"/>
  <c r="AY322" i="5"/>
  <c r="AY327" i="5"/>
  <c r="AY331" i="5"/>
  <c r="AV324" i="5"/>
  <c r="AV314" i="5"/>
  <c r="AV311" i="5"/>
  <c r="AV312" i="5" s="1"/>
  <c r="AV315" i="5"/>
  <c r="AY311" i="5"/>
  <c r="AY312" i="5" s="1"/>
  <c r="AV323" i="5"/>
  <c r="AY332" i="5"/>
  <c r="AV318" i="5"/>
  <c r="AV320" i="5"/>
  <c r="AY325" i="5"/>
  <c r="AY323" i="5"/>
  <c r="AY307" i="5"/>
  <c r="AY308" i="5" s="1"/>
  <c r="AV322" i="5"/>
  <c r="AV313" i="5"/>
  <c r="AV326" i="5"/>
  <c r="AV325" i="5"/>
  <c r="AY326" i="5"/>
  <c r="AV332" i="5"/>
  <c r="AV316" i="5"/>
  <c r="AY313" i="5"/>
  <c r="AV307" i="5"/>
  <c r="AV308" i="5" s="1"/>
  <c r="AV317" i="5"/>
  <c r="AY316" i="5"/>
  <c r="AV329" i="5"/>
  <c r="AY324" i="5"/>
  <c r="AY309" i="5"/>
  <c r="AY310" i="5" s="1"/>
  <c r="AY317" i="5"/>
  <c r="AY320" i="5"/>
  <c r="AV309" i="5"/>
  <c r="AV310" i="5" s="1"/>
  <c r="AY315" i="5"/>
  <c r="AY314" i="5"/>
  <c r="F44" i="23"/>
  <c r="AA11" i="24"/>
  <c r="G39" i="24"/>
  <c r="AA39" i="24" s="1"/>
  <c r="AB11" i="24"/>
  <c r="AB45" i="24" s="1"/>
  <c r="J13" i="23"/>
  <c r="H15" i="23" s="1"/>
  <c r="H16" i="23" s="1"/>
  <c r="AC10" i="23"/>
  <c r="H115" i="10"/>
  <c r="AB44" i="23"/>
  <c r="N41" i="23"/>
  <c r="J39" i="23"/>
  <c r="AA39" i="23"/>
  <c r="BN253" i="5"/>
  <c r="AU298" i="5"/>
  <c r="AU299" i="5" s="1"/>
  <c r="F10" i="24"/>
  <c r="D136" i="10"/>
  <c r="BO253" i="5"/>
  <c r="AV298" i="5"/>
  <c r="AV299" i="5" s="1"/>
  <c r="F12" i="24"/>
  <c r="F40" i="24" s="1"/>
  <c r="D138" i="10"/>
  <c r="AY298" i="5"/>
  <c r="AY299" i="5" s="1"/>
  <c r="J38" i="23"/>
  <c r="G41" i="23"/>
  <c r="AA38" i="23"/>
  <c r="AZ298" i="5"/>
  <c r="AZ299" i="5" s="1"/>
  <c r="H41" i="23"/>
  <c r="BP253" i="5"/>
  <c r="BP298" i="5" s="1"/>
  <c r="BP299" i="5" s="1"/>
  <c r="BA298" i="5"/>
  <c r="BA299" i="5" s="1"/>
  <c r="BW298" i="5"/>
  <c r="BW299" i="5" s="1"/>
  <c r="CE298" i="5"/>
  <c r="CE299" i="5" s="1"/>
  <c r="BG298" i="5"/>
  <c r="BG299" i="5" s="1"/>
  <c r="BJ298" i="5"/>
  <c r="BJ299" i="5" s="1"/>
  <c r="BV298" i="5"/>
  <c r="BV299" i="5" s="1"/>
  <c r="CF298" i="5"/>
  <c r="CF299" i="5" s="1"/>
  <c r="BD298" i="5"/>
  <c r="BD299" i="5" s="1"/>
  <c r="BK298" i="5"/>
  <c r="BK299" i="5" s="1"/>
  <c r="CA298" i="5"/>
  <c r="CA299" i="5" s="1"/>
  <c r="BE298" i="5"/>
  <c r="BE299" i="5" s="1"/>
  <c r="BR298" i="5"/>
  <c r="BR299" i="5" s="1"/>
  <c r="CG298" i="5"/>
  <c r="CG299" i="5" s="1"/>
  <c r="BF298" i="5"/>
  <c r="BF299" i="5" s="1"/>
  <c r="BQ298" i="5"/>
  <c r="BQ299" i="5" s="1"/>
  <c r="BY298" i="5"/>
  <c r="BY299" i="5" s="1"/>
  <c r="CI298" i="5"/>
  <c r="CI299" i="5" s="1"/>
  <c r="BM298" i="5"/>
  <c r="BM299" i="5" s="1"/>
  <c r="BS298" i="5"/>
  <c r="BS299" i="5" s="1"/>
  <c r="H128" i="10"/>
  <c r="E130" i="10" s="1"/>
  <c r="BH298" i="5"/>
  <c r="BH299" i="5" s="1"/>
  <c r="BT298" i="5"/>
  <c r="BT299" i="5" s="1"/>
  <c r="CC298" i="5"/>
  <c r="CC299" i="5" s="1"/>
  <c r="CK298" i="5"/>
  <c r="CK299" i="5" s="1"/>
  <c r="F75" i="24"/>
  <c r="F80" i="24" s="1"/>
  <c r="BI298" i="5"/>
  <c r="BI299" i="5" s="1"/>
  <c r="BU298" i="5"/>
  <c r="BU299" i="5" s="1"/>
  <c r="CD298" i="5"/>
  <c r="CD299" i="5" s="1"/>
  <c r="F45" i="23"/>
  <c r="F75" i="23"/>
  <c r="F80" i="23" s="1"/>
  <c r="H104" i="10"/>
  <c r="F10" i="22"/>
  <c r="D114" i="10"/>
  <c r="AB11" i="22"/>
  <c r="AB45" i="22" s="1"/>
  <c r="AA11" i="22"/>
  <c r="G39" i="22"/>
  <c r="J11" i="22"/>
  <c r="BO252" i="5"/>
  <c r="BO294" i="5" s="1"/>
  <c r="BO295" i="5" s="1"/>
  <c r="AV294" i="5"/>
  <c r="AV295" i="5" s="1"/>
  <c r="D116" i="10"/>
  <c r="F12" i="22"/>
  <c r="F40" i="22" s="1"/>
  <c r="BP252" i="5"/>
  <c r="BP294" i="5" s="1"/>
  <c r="BP295" i="5" s="1"/>
  <c r="BA294" i="5"/>
  <c r="BA295" i="5" s="1"/>
  <c r="BN252" i="5"/>
  <c r="BN294" i="5" s="1"/>
  <c r="BN295" i="5" s="1"/>
  <c r="AU294" i="5"/>
  <c r="AU295" i="5" s="1"/>
  <c r="F75" i="22"/>
  <c r="F80" i="22" s="1"/>
  <c r="BO229" i="5"/>
  <c r="AV292" i="5"/>
  <c r="AV293" i="5" s="1"/>
  <c r="BF292" i="5"/>
  <c r="BF293" i="5" s="1"/>
  <c r="BS292" i="5"/>
  <c r="BS293" i="5" s="1"/>
  <c r="CC292" i="5"/>
  <c r="CC293" i="5" s="1"/>
  <c r="F10" i="21"/>
  <c r="D103" i="10"/>
  <c r="BB229" i="5"/>
  <c r="AU292" i="5"/>
  <c r="AU293" i="5" s="1"/>
  <c r="BH292" i="5"/>
  <c r="BH293" i="5" s="1"/>
  <c r="BT292" i="5"/>
  <c r="BT293" i="5" s="1"/>
  <c r="CE292" i="5"/>
  <c r="CE293" i="5" s="1"/>
  <c r="F12" i="21"/>
  <c r="F40" i="21" s="1"/>
  <c r="D105" i="10"/>
  <c r="AY292" i="5"/>
  <c r="AY293" i="5" s="1"/>
  <c r="BI292" i="5"/>
  <c r="BI293" i="5" s="1"/>
  <c r="BW292" i="5"/>
  <c r="BW293" i="5" s="1"/>
  <c r="CF292" i="5"/>
  <c r="CF293" i="5" s="1"/>
  <c r="AZ292" i="5"/>
  <c r="AZ293" i="5" s="1"/>
  <c r="BJ292" i="5"/>
  <c r="BJ293" i="5" s="1"/>
  <c r="BU292" i="5"/>
  <c r="BU293" i="5" s="1"/>
  <c r="CG292" i="5"/>
  <c r="CG293" i="5" s="1"/>
  <c r="BP229" i="5"/>
  <c r="BP292" i="5" s="1"/>
  <c r="BP293" i="5" s="1"/>
  <c r="BA292" i="5"/>
  <c r="BA293" i="5" s="1"/>
  <c r="BK292" i="5"/>
  <c r="BK293" i="5" s="1"/>
  <c r="BV292" i="5"/>
  <c r="BV293" i="5" s="1"/>
  <c r="CI292" i="5"/>
  <c r="CI293" i="5" s="1"/>
  <c r="I39" i="21"/>
  <c r="AB39" i="21" s="1"/>
  <c r="AB45" i="21" s="1"/>
  <c r="BG292" i="5"/>
  <c r="BG293" i="5" s="1"/>
  <c r="BM292" i="5"/>
  <c r="BM293" i="5" s="1"/>
  <c r="CA292" i="5"/>
  <c r="CA293" i="5" s="1"/>
  <c r="CK292" i="5"/>
  <c r="CK293" i="5" s="1"/>
  <c r="BD292" i="5"/>
  <c r="BD293" i="5" s="1"/>
  <c r="BQ292" i="5"/>
  <c r="BQ293" i="5" s="1"/>
  <c r="BY292" i="5"/>
  <c r="BY293" i="5" s="1"/>
  <c r="BE292" i="5"/>
  <c r="BE293" i="5" s="1"/>
  <c r="BR292" i="5"/>
  <c r="BR293" i="5" s="1"/>
  <c r="CD292" i="5"/>
  <c r="CD293" i="5" s="1"/>
  <c r="AA39" i="21"/>
  <c r="H82" i="10"/>
  <c r="BP223" i="5"/>
  <c r="BP290" i="5" s="1"/>
  <c r="BP291" i="5" s="1"/>
  <c r="BA290" i="5"/>
  <c r="BA291" i="5" s="1"/>
  <c r="BM290" i="5"/>
  <c r="BM291" i="5" s="1"/>
  <c r="BV290" i="5"/>
  <c r="BV291" i="5" s="1"/>
  <c r="CE290" i="5"/>
  <c r="CE291" i="5" s="1"/>
  <c r="E92" i="10"/>
  <c r="G10" i="20"/>
  <c r="BD290" i="5"/>
  <c r="BD291" i="5" s="1"/>
  <c r="BH290" i="5"/>
  <c r="BH291" i="5" s="1"/>
  <c r="BW290" i="5"/>
  <c r="BW291" i="5" s="1"/>
  <c r="CI290" i="5"/>
  <c r="CI291" i="5" s="1"/>
  <c r="E94" i="10"/>
  <c r="G12" i="20"/>
  <c r="BE290" i="5"/>
  <c r="BE291" i="5" s="1"/>
  <c r="CG290" i="5"/>
  <c r="CG291" i="5" s="1"/>
  <c r="F10" i="20"/>
  <c r="D92" i="10"/>
  <c r="AA39" i="20"/>
  <c r="J39" i="20"/>
  <c r="BF290" i="5"/>
  <c r="BF291" i="5" s="1"/>
  <c r="BQ290" i="5"/>
  <c r="BQ291" i="5" s="1"/>
  <c r="BY290" i="5"/>
  <c r="BY291" i="5" s="1"/>
  <c r="CF290" i="5"/>
  <c r="CF291" i="5" s="1"/>
  <c r="I12" i="20"/>
  <c r="G94" i="10"/>
  <c r="M12" i="20"/>
  <c r="K94" i="10"/>
  <c r="D94" i="10"/>
  <c r="F12" i="20"/>
  <c r="F40" i="20" s="1"/>
  <c r="BC223" i="5"/>
  <c r="AV290" i="5"/>
  <c r="AV291" i="5" s="1"/>
  <c r="BG290" i="5"/>
  <c r="BG291" i="5" s="1"/>
  <c r="BR290" i="5"/>
  <c r="BR291" i="5" s="1"/>
  <c r="L12" i="20"/>
  <c r="J94" i="10"/>
  <c r="L94" i="10" s="1"/>
  <c r="BN223" i="5"/>
  <c r="BN290" i="5" s="1"/>
  <c r="BN291" i="5" s="1"/>
  <c r="AU290" i="5"/>
  <c r="AU291" i="5" s="1"/>
  <c r="BI290" i="5"/>
  <c r="BI291" i="5" s="1"/>
  <c r="BS290" i="5"/>
  <c r="BS291" i="5" s="1"/>
  <c r="CA290" i="5"/>
  <c r="CA291" i="5" s="1"/>
  <c r="CK290" i="5"/>
  <c r="CK291" i="5" s="1"/>
  <c r="AY290" i="5"/>
  <c r="AY291" i="5" s="1"/>
  <c r="BJ290" i="5"/>
  <c r="BJ291" i="5" s="1"/>
  <c r="BT290" i="5"/>
  <c r="BT291" i="5" s="1"/>
  <c r="CC290" i="5"/>
  <c r="CC291" i="5" s="1"/>
  <c r="AZ290" i="5"/>
  <c r="AZ291" i="5" s="1"/>
  <c r="BK290" i="5"/>
  <c r="BK291" i="5" s="1"/>
  <c r="BU290" i="5"/>
  <c r="BU291" i="5" s="1"/>
  <c r="CD290" i="5"/>
  <c r="CD291" i="5" s="1"/>
  <c r="F75" i="20"/>
  <c r="F80" i="20" s="1"/>
  <c r="BN222" i="5"/>
  <c r="BN288" i="5" s="1"/>
  <c r="BN289" i="5" s="1"/>
  <c r="AU288" i="5"/>
  <c r="AU289" i="5" s="1"/>
  <c r="F10" i="19"/>
  <c r="D81" i="10"/>
  <c r="F12" i="19"/>
  <c r="F40" i="19" s="1"/>
  <c r="D83" i="10"/>
  <c r="E71" i="10"/>
  <c r="BP222" i="5"/>
  <c r="BP288" i="5" s="1"/>
  <c r="BP289" i="5" s="1"/>
  <c r="BA288" i="5"/>
  <c r="BA289" i="5" s="1"/>
  <c r="BL104" i="5"/>
  <c r="G39" i="19"/>
  <c r="AB11" i="19"/>
  <c r="AB45" i="19" s="1"/>
  <c r="AA11" i="19"/>
  <c r="J11" i="19"/>
  <c r="BO222" i="5"/>
  <c r="BO288" i="5" s="1"/>
  <c r="BO289" i="5" s="1"/>
  <c r="AV288" i="5"/>
  <c r="AV289" i="5" s="1"/>
  <c r="F75" i="19"/>
  <c r="F80" i="19" s="1"/>
  <c r="G71" i="10"/>
  <c r="BN214" i="5"/>
  <c r="AU286" i="5"/>
  <c r="AU287" i="5" s="1"/>
  <c r="BH286" i="5"/>
  <c r="BH287" i="5" s="1"/>
  <c r="BT286" i="5"/>
  <c r="BT287" i="5" s="1"/>
  <c r="CD286" i="5"/>
  <c r="CD287" i="5" s="1"/>
  <c r="AT285" i="5"/>
  <c r="AY286" i="5"/>
  <c r="AY287" i="5" s="1"/>
  <c r="BI286" i="5"/>
  <c r="BI287" i="5" s="1"/>
  <c r="BU286" i="5"/>
  <c r="BU287" i="5" s="1"/>
  <c r="CE286" i="5"/>
  <c r="CE287" i="5" s="1"/>
  <c r="AZ286" i="5"/>
  <c r="AZ287" i="5" s="1"/>
  <c r="BJ286" i="5"/>
  <c r="BJ287" i="5" s="1"/>
  <c r="BV286" i="5"/>
  <c r="BV287" i="5" s="1"/>
  <c r="CG286" i="5"/>
  <c r="CG287" i="5" s="1"/>
  <c r="BP214" i="5"/>
  <c r="BP286" i="5" s="1"/>
  <c r="BP287" i="5" s="1"/>
  <c r="BA286" i="5"/>
  <c r="BA287" i="5" s="1"/>
  <c r="BK286" i="5"/>
  <c r="BK287" i="5" s="1"/>
  <c r="BW286" i="5"/>
  <c r="BW287" i="5" s="1"/>
  <c r="CI286" i="5"/>
  <c r="CI287" i="5" s="1"/>
  <c r="BD286" i="5"/>
  <c r="BD287" i="5" s="1"/>
  <c r="BM286" i="5"/>
  <c r="BM287" i="5" s="1"/>
  <c r="CA286" i="5"/>
  <c r="CA287" i="5" s="1"/>
  <c r="CK286" i="5"/>
  <c r="CK287" i="5" s="1"/>
  <c r="BE286" i="5"/>
  <c r="BE287" i="5" s="1"/>
  <c r="BQ286" i="5"/>
  <c r="BQ287" i="5" s="1"/>
  <c r="BY286" i="5"/>
  <c r="BY287" i="5" s="1"/>
  <c r="G39" i="18"/>
  <c r="AB11" i="18"/>
  <c r="AB45" i="18" s="1"/>
  <c r="J11" i="18"/>
  <c r="AA11" i="18"/>
  <c r="BF286" i="5"/>
  <c r="BF287" i="5" s="1"/>
  <c r="BR286" i="5"/>
  <c r="BR287" i="5" s="1"/>
  <c r="CC286" i="5"/>
  <c r="CC287" i="5" s="1"/>
  <c r="BO214" i="5"/>
  <c r="AV286" i="5"/>
  <c r="AV287" i="5" s="1"/>
  <c r="BG286" i="5"/>
  <c r="BG287" i="5" s="1"/>
  <c r="BS286" i="5"/>
  <c r="BS287" i="5" s="1"/>
  <c r="CF286" i="5"/>
  <c r="CF287" i="5" s="1"/>
  <c r="AS285" i="5"/>
  <c r="G41" i="17"/>
  <c r="F75" i="18"/>
  <c r="F80" i="18" s="1"/>
  <c r="BO178" i="5"/>
  <c r="AV284" i="5"/>
  <c r="BM284" i="5"/>
  <c r="BT284" i="5"/>
  <c r="CE284" i="5"/>
  <c r="N41" i="17"/>
  <c r="AY284" i="5"/>
  <c r="BH284" i="5"/>
  <c r="BU284" i="5"/>
  <c r="CF284" i="5"/>
  <c r="AZ284" i="5"/>
  <c r="BI284" i="5"/>
  <c r="BV284" i="5"/>
  <c r="CI284" i="5"/>
  <c r="BP178" i="5"/>
  <c r="BP284" i="5" s="1"/>
  <c r="BA284" i="5"/>
  <c r="BJ284" i="5"/>
  <c r="BW284" i="5"/>
  <c r="CG284" i="5"/>
  <c r="BD284" i="5"/>
  <c r="BK284" i="5"/>
  <c r="BY284" i="5"/>
  <c r="CK284" i="5"/>
  <c r="BE284" i="5"/>
  <c r="BQ284" i="5"/>
  <c r="CA284" i="5"/>
  <c r="BF284" i="5"/>
  <c r="BR284" i="5"/>
  <c r="CC284" i="5"/>
  <c r="BB178" i="5"/>
  <c r="AU284" i="5"/>
  <c r="BG284" i="5"/>
  <c r="BS284" i="5"/>
  <c r="CD284" i="5"/>
  <c r="BQ282" i="5"/>
  <c r="BB3" i="5"/>
  <c r="BZ3" i="5" s="1"/>
  <c r="CB24" i="5"/>
  <c r="BW282" i="5"/>
  <c r="J13" i="17"/>
  <c r="H15" i="17" s="1"/>
  <c r="H16" i="17" s="1"/>
  <c r="BE282" i="5"/>
  <c r="BF282" i="5"/>
  <c r="BR282" i="5"/>
  <c r="BH282" i="5"/>
  <c r="G49" i="10"/>
  <c r="AC38" i="17"/>
  <c r="J38" i="17"/>
  <c r="AA44" i="17"/>
  <c r="AC44" i="17" s="1"/>
  <c r="CI282" i="5"/>
  <c r="AY282" i="5"/>
  <c r="BI282" i="5"/>
  <c r="BT282" i="5"/>
  <c r="CA282" i="5"/>
  <c r="CK282" i="5"/>
  <c r="E49" i="10"/>
  <c r="BS282" i="5"/>
  <c r="BU282" i="5"/>
  <c r="CC282" i="5"/>
  <c r="BP173" i="5"/>
  <c r="BP282" i="5" s="1"/>
  <c r="BA282" i="5"/>
  <c r="BK282" i="5"/>
  <c r="BV282" i="5"/>
  <c r="CE282" i="5"/>
  <c r="CD282" i="5"/>
  <c r="BJ282" i="5"/>
  <c r="BG282" i="5"/>
  <c r="CG282" i="5"/>
  <c r="BN173" i="5"/>
  <c r="AU282" i="5"/>
  <c r="AZ282" i="5"/>
  <c r="BD282" i="5"/>
  <c r="BM282" i="5"/>
  <c r="BY282" i="5"/>
  <c r="CF282" i="5"/>
  <c r="BB177" i="5"/>
  <c r="BB283" i="5" s="1"/>
  <c r="AU283" i="5"/>
  <c r="BO177" i="5"/>
  <c r="BO283" i="5" s="1"/>
  <c r="AV283" i="5"/>
  <c r="BO173" i="5"/>
  <c r="AV282" i="5"/>
  <c r="BP177" i="5"/>
  <c r="BP283" i="5" s="1"/>
  <c r="BA283" i="5"/>
  <c r="F44" i="17"/>
  <c r="AT276" i="5"/>
  <c r="F12" i="16" s="1"/>
  <c r="F40" i="16" s="1"/>
  <c r="BP157" i="5"/>
  <c r="BP281" i="5" s="1"/>
  <c r="BA281" i="5"/>
  <c r="BK281" i="5"/>
  <c r="BY281" i="5"/>
  <c r="CI281" i="5"/>
  <c r="BG281" i="5"/>
  <c r="BM281" i="5"/>
  <c r="BW281" i="5"/>
  <c r="CK281" i="5"/>
  <c r="BD281" i="5"/>
  <c r="BQ281" i="5"/>
  <c r="CA281" i="5"/>
  <c r="BE281" i="5"/>
  <c r="BR281" i="5"/>
  <c r="CD281" i="5"/>
  <c r="BO157" i="5"/>
  <c r="AV281" i="5"/>
  <c r="BF281" i="5"/>
  <c r="BS281" i="5"/>
  <c r="CC281" i="5"/>
  <c r="BN157" i="5"/>
  <c r="AU281" i="5"/>
  <c r="BH281" i="5"/>
  <c r="BT281" i="5"/>
  <c r="CE281" i="5"/>
  <c r="AY281" i="5"/>
  <c r="BI281" i="5"/>
  <c r="BU281" i="5"/>
  <c r="CF281" i="5"/>
  <c r="L62" i="10"/>
  <c r="AZ281" i="5"/>
  <c r="BJ281" i="5"/>
  <c r="BV281" i="5"/>
  <c r="CG281" i="5"/>
  <c r="BD280" i="5"/>
  <c r="BJ280" i="5"/>
  <c r="BY280" i="5"/>
  <c r="CG280" i="5"/>
  <c r="BE280" i="5"/>
  <c r="BQ280" i="5"/>
  <c r="CA280" i="5"/>
  <c r="H62" i="10"/>
  <c r="F64" i="10" s="1"/>
  <c r="F65" i="10" s="1"/>
  <c r="BF280" i="5"/>
  <c r="BT280" i="5"/>
  <c r="CC280" i="5"/>
  <c r="BN129" i="5"/>
  <c r="AU280" i="5"/>
  <c r="BG280" i="5"/>
  <c r="BR280" i="5"/>
  <c r="CD280" i="5"/>
  <c r="BC129" i="5"/>
  <c r="AV280" i="5"/>
  <c r="BK280" i="5"/>
  <c r="BS280" i="5"/>
  <c r="CE280" i="5"/>
  <c r="AA39" i="17"/>
  <c r="J39" i="17"/>
  <c r="BP129" i="5"/>
  <c r="BP280" i="5" s="1"/>
  <c r="BA280" i="5"/>
  <c r="BM280" i="5"/>
  <c r="BU280" i="5"/>
  <c r="CF280" i="5"/>
  <c r="AY280" i="5"/>
  <c r="BH280" i="5"/>
  <c r="BV280" i="5"/>
  <c r="CI280" i="5"/>
  <c r="AZ280" i="5"/>
  <c r="BI280" i="5"/>
  <c r="BW280" i="5"/>
  <c r="CK280" i="5"/>
  <c r="F45" i="17"/>
  <c r="F75" i="17"/>
  <c r="F80" i="17" s="1"/>
  <c r="AY275" i="5"/>
  <c r="BL14" i="5"/>
  <c r="BL160" i="5"/>
  <c r="BL134" i="5"/>
  <c r="BX8" i="5"/>
  <c r="AS276" i="5"/>
  <c r="AZ275" i="5"/>
  <c r="G39" i="16"/>
  <c r="AB11" i="16"/>
  <c r="AB45" i="16" s="1"/>
  <c r="AA11" i="16"/>
  <c r="J11" i="16"/>
  <c r="F75" i="16"/>
  <c r="F80" i="16" s="1"/>
  <c r="CI275" i="5"/>
  <c r="BU275" i="5"/>
  <c r="BI275" i="5"/>
  <c r="BT275" i="5"/>
  <c r="BH275" i="5"/>
  <c r="BS275" i="5"/>
  <c r="BF275" i="5"/>
  <c r="BR275" i="5"/>
  <c r="BW275" i="5"/>
  <c r="CA275" i="5"/>
  <c r="BG275" i="5"/>
  <c r="BQ275" i="5"/>
  <c r="BO125" i="5"/>
  <c r="BO275" i="5" s="1"/>
  <c r="AV275" i="5"/>
  <c r="CK275" i="5"/>
  <c r="BB125" i="5"/>
  <c r="AU275" i="5"/>
  <c r="CC275" i="5"/>
  <c r="CD275" i="5"/>
  <c r="BP125" i="5"/>
  <c r="BP275" i="5" s="1"/>
  <c r="BA275" i="5"/>
  <c r="BM275" i="5"/>
  <c r="BV275" i="5"/>
  <c r="CE275" i="5"/>
  <c r="BD275" i="5"/>
  <c r="BJ275" i="5"/>
  <c r="CF275" i="5"/>
  <c r="BE275" i="5"/>
  <c r="BK275" i="5"/>
  <c r="BY275" i="5"/>
  <c r="CG275" i="5"/>
  <c r="BD274" i="5"/>
  <c r="BL274" i="5"/>
  <c r="BW274" i="5"/>
  <c r="CF274" i="5"/>
  <c r="BE274" i="5"/>
  <c r="BQ274" i="5"/>
  <c r="BY274" i="5"/>
  <c r="CG274" i="5"/>
  <c r="BG274" i="5"/>
  <c r="BM274" i="5"/>
  <c r="BZ274" i="5"/>
  <c r="CH274" i="5"/>
  <c r="BB120" i="5"/>
  <c r="AU274" i="5"/>
  <c r="BF274" i="5"/>
  <c r="BS274" i="5"/>
  <c r="BX274" i="5"/>
  <c r="CI274" i="5"/>
  <c r="BC120" i="5"/>
  <c r="AV274" i="5"/>
  <c r="BJ274" i="5"/>
  <c r="BT274" i="5"/>
  <c r="CA274" i="5"/>
  <c r="CK274" i="5"/>
  <c r="AZ274" i="5"/>
  <c r="BK274" i="5"/>
  <c r="BR274" i="5"/>
  <c r="CC274" i="5"/>
  <c r="CJ274" i="5"/>
  <c r="BP120" i="5"/>
  <c r="BP274" i="5" s="1"/>
  <c r="BA274" i="5"/>
  <c r="BH274" i="5"/>
  <c r="BU274" i="5"/>
  <c r="CD274" i="5"/>
  <c r="AY274" i="5"/>
  <c r="BI274" i="5"/>
  <c r="BV274" i="5"/>
  <c r="CE274" i="5"/>
  <c r="BL16" i="5"/>
  <c r="BN16" i="5"/>
  <c r="BZ16" i="5" s="1"/>
  <c r="CB8" i="5"/>
  <c r="BX24" i="5"/>
  <c r="BX16" i="5"/>
  <c r="BC119" i="5"/>
  <c r="BC273" i="5" s="1"/>
  <c r="AV273" i="5"/>
  <c r="BB119" i="5"/>
  <c r="BB273" i="5" s="1"/>
  <c r="AU273" i="5"/>
  <c r="BP119" i="5"/>
  <c r="BP273" i="5" s="1"/>
  <c r="BA273" i="5"/>
  <c r="BL24" i="5"/>
  <c r="AZ272" i="5"/>
  <c r="BL272" i="5"/>
  <c r="BV272" i="5"/>
  <c r="CD272" i="5"/>
  <c r="BD272" i="5"/>
  <c r="BI272" i="5"/>
  <c r="BW272" i="5"/>
  <c r="CE272" i="5"/>
  <c r="BG272" i="5"/>
  <c r="BJ272" i="5"/>
  <c r="BY272" i="5"/>
  <c r="CK272" i="5"/>
  <c r="BE272" i="5"/>
  <c r="BQ272" i="5"/>
  <c r="BZ272" i="5"/>
  <c r="CF272" i="5"/>
  <c r="BN113" i="5"/>
  <c r="AU272" i="5"/>
  <c r="BF272" i="5"/>
  <c r="BT272" i="5"/>
  <c r="BX272" i="5"/>
  <c r="CH272" i="5"/>
  <c r="BC113" i="5"/>
  <c r="AV272" i="5"/>
  <c r="BK272" i="5"/>
  <c r="BR272" i="5"/>
  <c r="CC272" i="5"/>
  <c r="CG272" i="5"/>
  <c r="BP113" i="5"/>
  <c r="BP272" i="5" s="1"/>
  <c r="BA272" i="5"/>
  <c r="BM272" i="5"/>
  <c r="BS272" i="5"/>
  <c r="CA272" i="5"/>
  <c r="CJ272" i="5"/>
  <c r="AY272" i="5"/>
  <c r="BH272" i="5"/>
  <c r="BU272" i="5"/>
  <c r="CI272" i="5"/>
  <c r="H38" i="10"/>
  <c r="BB24" i="5"/>
  <c r="BZ24" i="5" s="1"/>
  <c r="BO63" i="5"/>
  <c r="AV269" i="5"/>
  <c r="AV270" i="5" s="1"/>
  <c r="BB63" i="5"/>
  <c r="AU269" i="5"/>
  <c r="AU270" i="5" s="1"/>
  <c r="AA39" i="15"/>
  <c r="J39" i="15"/>
  <c r="AY269" i="5"/>
  <c r="AY270" i="5" s="1"/>
  <c r="AZ269" i="5"/>
  <c r="AZ270" i="5" s="1"/>
  <c r="F10" i="15"/>
  <c r="D37" i="10"/>
  <c r="BP63" i="5"/>
  <c r="CB63" i="5" s="1"/>
  <c r="BA269" i="5"/>
  <c r="BA270" i="5" s="1"/>
  <c r="F12" i="15"/>
  <c r="F40" i="15" s="1"/>
  <c r="D39" i="10"/>
  <c r="BF269" i="5"/>
  <c r="BF270" i="5" s="1"/>
  <c r="BS269" i="5"/>
  <c r="BS270" i="5" s="1"/>
  <c r="CD269" i="5"/>
  <c r="CD270" i="5" s="1"/>
  <c r="BI269" i="5"/>
  <c r="BI270" i="5" s="1"/>
  <c r="BT269" i="5"/>
  <c r="BT270" i="5" s="1"/>
  <c r="CE269" i="5"/>
  <c r="CE270" i="5" s="1"/>
  <c r="F75" i="15"/>
  <c r="F80" i="15" s="1"/>
  <c r="BJ269" i="5"/>
  <c r="BJ270" i="5" s="1"/>
  <c r="BU269" i="5"/>
  <c r="BU270" i="5" s="1"/>
  <c r="CG269" i="5"/>
  <c r="CG270" i="5" s="1"/>
  <c r="BK269" i="5"/>
  <c r="BK270" i="5" s="1"/>
  <c r="BV269" i="5"/>
  <c r="BV270" i="5" s="1"/>
  <c r="CI269" i="5"/>
  <c r="CI270" i="5" s="1"/>
  <c r="BH269" i="5"/>
  <c r="BH270" i="5" s="1"/>
  <c r="BW269" i="5"/>
  <c r="BW270" i="5" s="1"/>
  <c r="CF269" i="5"/>
  <c r="CF270" i="5" s="1"/>
  <c r="BG269" i="5"/>
  <c r="BG270" i="5" s="1"/>
  <c r="BM269" i="5"/>
  <c r="BM270" i="5" s="1"/>
  <c r="BY269" i="5"/>
  <c r="BY270" i="5" s="1"/>
  <c r="CK269" i="5"/>
  <c r="CK270" i="5" s="1"/>
  <c r="BD269" i="5"/>
  <c r="BD270" i="5" s="1"/>
  <c r="BQ269" i="5"/>
  <c r="BQ270" i="5" s="1"/>
  <c r="CA269" i="5"/>
  <c r="CA270" i="5" s="1"/>
  <c r="BE269" i="5"/>
  <c r="BE270" i="5" s="1"/>
  <c r="BR269" i="5"/>
  <c r="BR270" i="5" s="1"/>
  <c r="CC269" i="5"/>
  <c r="CC270" i="5" s="1"/>
  <c r="BN8" i="5"/>
  <c r="BZ8" i="5" s="1"/>
  <c r="AS268" i="5"/>
  <c r="F10" i="14" s="1"/>
  <c r="AT268" i="5"/>
  <c r="F12" i="14" s="1"/>
  <c r="F40" i="14" s="1"/>
  <c r="H27" i="10"/>
  <c r="AB11" i="14"/>
  <c r="AB45" i="14" s="1"/>
  <c r="J11" i="14"/>
  <c r="G39" i="14"/>
  <c r="AA11" i="14"/>
  <c r="G39" i="13"/>
  <c r="AA39" i="13" s="1"/>
  <c r="J11" i="13"/>
  <c r="AA11" i="13"/>
  <c r="BB62" i="5"/>
  <c r="BB267" i="5" s="1"/>
  <c r="AU267" i="5"/>
  <c r="BC54" i="5"/>
  <c r="AV266" i="5"/>
  <c r="BI266" i="5"/>
  <c r="BI268" i="5" s="1"/>
  <c r="BT266" i="5"/>
  <c r="BT268" i="5" s="1"/>
  <c r="CD266" i="5"/>
  <c r="CD268" i="5" s="1"/>
  <c r="BC62" i="5"/>
  <c r="BC267" i="5" s="1"/>
  <c r="AV267" i="5"/>
  <c r="AY266" i="5"/>
  <c r="AY268" i="5" s="1"/>
  <c r="BJ266" i="5"/>
  <c r="BJ268" i="5" s="1"/>
  <c r="BU266" i="5"/>
  <c r="BU268" i="5" s="1"/>
  <c r="CG266" i="5"/>
  <c r="CG268" i="5" s="1"/>
  <c r="AZ266" i="5"/>
  <c r="AZ268" i="5" s="1"/>
  <c r="BK266" i="5"/>
  <c r="BK268" i="5" s="1"/>
  <c r="BV266" i="5"/>
  <c r="BV268" i="5" s="1"/>
  <c r="CE266" i="5"/>
  <c r="CE268" i="5" s="1"/>
  <c r="BP54" i="5"/>
  <c r="BP266" i="5" s="1"/>
  <c r="BA266" i="5"/>
  <c r="BG266" i="5"/>
  <c r="BG268" i="5" s="1"/>
  <c r="BY266" i="5"/>
  <c r="BY268" i="5" s="1"/>
  <c r="CI266" i="5"/>
  <c r="CI268" i="5" s="1"/>
  <c r="BP62" i="5"/>
  <c r="BP267" i="5" s="1"/>
  <c r="BA267" i="5"/>
  <c r="BD266" i="5"/>
  <c r="BD268" i="5" s="1"/>
  <c r="BM266" i="5"/>
  <c r="BM268" i="5" s="1"/>
  <c r="BW266" i="5"/>
  <c r="BW268" i="5" s="1"/>
  <c r="CK266" i="5"/>
  <c r="CK268" i="5" s="1"/>
  <c r="BE266" i="5"/>
  <c r="BE268" i="5" s="1"/>
  <c r="BQ266" i="5"/>
  <c r="BQ268" i="5" s="1"/>
  <c r="CA266" i="5"/>
  <c r="CA268" i="5" s="1"/>
  <c r="BF266" i="5"/>
  <c r="BF268" i="5" s="1"/>
  <c r="BR266" i="5"/>
  <c r="BR268" i="5" s="1"/>
  <c r="CF266" i="5"/>
  <c r="CF268" i="5" s="1"/>
  <c r="BB54" i="5"/>
  <c r="AU266" i="5"/>
  <c r="BH266" i="5"/>
  <c r="BH268" i="5" s="1"/>
  <c r="BS266" i="5"/>
  <c r="BS268" i="5" s="1"/>
  <c r="CC266" i="5"/>
  <c r="CC268" i="5" s="1"/>
  <c r="BN14" i="5"/>
  <c r="AU263" i="5"/>
  <c r="AU264" i="5" s="1"/>
  <c r="BC14" i="5"/>
  <c r="AV263" i="5"/>
  <c r="AV264" i="5" s="1"/>
  <c r="AY263" i="5"/>
  <c r="AY264" i="5" s="1"/>
  <c r="AZ263" i="5"/>
  <c r="AZ264" i="5" s="1"/>
  <c r="BP14" i="5"/>
  <c r="BP263" i="5" s="1"/>
  <c r="BP264" i="5" s="1"/>
  <c r="BA263" i="5"/>
  <c r="BA264" i="5" s="1"/>
  <c r="F10" i="13"/>
  <c r="D15" i="10"/>
  <c r="F12" i="13"/>
  <c r="F40" i="13" s="1"/>
  <c r="D17" i="10"/>
  <c r="BJ263" i="5"/>
  <c r="BJ264" i="5" s="1"/>
  <c r="BU263" i="5"/>
  <c r="BU264" i="5" s="1"/>
  <c r="CE263" i="5"/>
  <c r="CE264" i="5" s="1"/>
  <c r="BK263" i="5"/>
  <c r="BK264" i="5" s="1"/>
  <c r="BV263" i="5"/>
  <c r="BV264" i="5" s="1"/>
  <c r="CG263" i="5"/>
  <c r="CG264" i="5" s="1"/>
  <c r="BG263" i="5"/>
  <c r="BG264" i="5" s="1"/>
  <c r="CI263" i="5"/>
  <c r="CI264" i="5" s="1"/>
  <c r="BD263" i="5"/>
  <c r="BD264" i="5" s="1"/>
  <c r="BW263" i="5"/>
  <c r="BW264" i="5" s="1"/>
  <c r="F75" i="13"/>
  <c r="F80" i="13" s="1"/>
  <c r="BE263" i="5"/>
  <c r="BE264" i="5" s="1"/>
  <c r="BQ263" i="5"/>
  <c r="BQ264" i="5" s="1"/>
  <c r="CB3" i="5"/>
  <c r="BF263" i="5"/>
  <c r="BF264" i="5" s="1"/>
  <c r="BR263" i="5"/>
  <c r="BR264" i="5" s="1"/>
  <c r="CC263" i="5"/>
  <c r="CC264" i="5" s="1"/>
  <c r="BH263" i="5"/>
  <c r="BH264" i="5" s="1"/>
  <c r="BS263" i="5"/>
  <c r="BS264" i="5" s="1"/>
  <c r="CD263" i="5"/>
  <c r="CD264" i="5" s="1"/>
  <c r="BI263" i="5"/>
  <c r="BI264" i="5" s="1"/>
  <c r="BT263" i="5"/>
  <c r="BT264" i="5" s="1"/>
  <c r="CF263" i="5"/>
  <c r="CF264" i="5" s="1"/>
  <c r="BX3" i="5"/>
  <c r="BL22" i="5"/>
  <c r="CB160" i="5"/>
  <c r="BB36" i="5"/>
  <c r="CB44" i="5"/>
  <c r="CB210" i="5"/>
  <c r="BB71" i="5"/>
  <c r="CB223" i="5"/>
  <c r="CB221" i="5"/>
  <c r="BB88" i="5"/>
  <c r="BZ88" i="5" s="1"/>
  <c r="CB198" i="5"/>
  <c r="BB176" i="5"/>
  <c r="CB216" i="5"/>
  <c r="BO86" i="5"/>
  <c r="BL8" i="5"/>
  <c r="CB102" i="5"/>
  <c r="BN90" i="5"/>
  <c r="BZ90" i="5" s="1"/>
  <c r="BB96" i="5"/>
  <c r="CB13" i="5"/>
  <c r="CB202" i="5"/>
  <c r="CB161" i="5"/>
  <c r="BL3" i="5"/>
  <c r="BB252" i="5"/>
  <c r="BO205" i="5"/>
  <c r="BN212" i="5"/>
  <c r="BZ212" i="5" s="1"/>
  <c r="BC237" i="5"/>
  <c r="CB158" i="5"/>
  <c r="CB91" i="5"/>
  <c r="BC17" i="5"/>
  <c r="CB189" i="5"/>
  <c r="BN135" i="5"/>
  <c r="BZ135" i="5" s="1"/>
  <c r="BB187" i="5"/>
  <c r="BL198" i="5"/>
  <c r="BC69" i="5"/>
  <c r="CB41" i="5"/>
  <c r="BL147" i="5"/>
  <c r="CB169" i="5"/>
  <c r="CB151" i="5"/>
  <c r="BB241" i="5"/>
  <c r="BB65" i="5"/>
  <c r="BZ65" i="5" s="1"/>
  <c r="BC192" i="5"/>
  <c r="CB22" i="5"/>
  <c r="BB100" i="5"/>
  <c r="CB136" i="5"/>
  <c r="BB22" i="5"/>
  <c r="BZ22" i="5" s="1"/>
  <c r="BC241" i="5"/>
  <c r="BC125" i="5"/>
  <c r="BC46" i="5"/>
  <c r="BO251" i="5"/>
  <c r="CB138" i="5"/>
  <c r="BO208" i="5"/>
  <c r="CB81" i="5"/>
  <c r="BB189" i="5"/>
  <c r="BZ189" i="5" s="1"/>
  <c r="CB26" i="5"/>
  <c r="CB123" i="5"/>
  <c r="CB10" i="5"/>
  <c r="BO54" i="5"/>
  <c r="BC65" i="5"/>
  <c r="BC58" i="5"/>
  <c r="CB249" i="5"/>
  <c r="BC121" i="5"/>
  <c r="CB128" i="5"/>
  <c r="BB64" i="5"/>
  <c r="BN169" i="5"/>
  <c r="BZ169" i="5" s="1"/>
  <c r="BO213" i="5"/>
  <c r="BB162" i="5"/>
  <c r="BZ162" i="5" s="1"/>
  <c r="CB196" i="5"/>
  <c r="BB163" i="5"/>
  <c r="CB31" i="5"/>
  <c r="CB149" i="5"/>
  <c r="CB88" i="5"/>
  <c r="BC84" i="5"/>
  <c r="BB58" i="5"/>
  <c r="BZ58" i="5" s="1"/>
  <c r="CB141" i="5"/>
  <c r="BB196" i="5"/>
  <c r="BZ196" i="5" s="1"/>
  <c r="BB5" i="5"/>
  <c r="BZ5" i="5" s="1"/>
  <c r="CB116" i="5"/>
  <c r="CB70" i="5"/>
  <c r="BC244" i="5"/>
  <c r="CB255" i="5"/>
  <c r="BN79" i="5"/>
  <c r="BZ79" i="5" s="1"/>
  <c r="CB77" i="5"/>
  <c r="BB250" i="5"/>
  <c r="BZ250" i="5" s="1"/>
  <c r="BN229" i="5"/>
  <c r="BC114" i="5"/>
  <c r="BC149" i="5"/>
  <c r="BB226" i="5"/>
  <c r="BN124" i="5"/>
  <c r="BB173" i="5"/>
  <c r="BC110" i="5"/>
  <c r="BN185" i="5"/>
  <c r="BZ185" i="5" s="1"/>
  <c r="BB230" i="5"/>
  <c r="BB98" i="5"/>
  <c r="BZ98" i="5" s="1"/>
  <c r="CB219" i="5"/>
  <c r="CB140" i="5"/>
  <c r="BC76" i="5"/>
  <c r="CB176" i="5"/>
  <c r="BB210" i="5"/>
  <c r="BZ210" i="5" s="1"/>
  <c r="BC173" i="5"/>
  <c r="CB247" i="5"/>
  <c r="BN110" i="5"/>
  <c r="BZ110" i="5" s="1"/>
  <c r="CB121" i="5"/>
  <c r="CB95" i="5"/>
  <c r="CB175" i="5"/>
  <c r="BB129" i="5"/>
  <c r="CB250" i="5"/>
  <c r="CB155" i="5"/>
  <c r="BN81" i="5"/>
  <c r="BB188" i="5"/>
  <c r="BN200" i="5"/>
  <c r="BZ200" i="5" s="1"/>
  <c r="BN205" i="5"/>
  <c r="BO7" i="5"/>
  <c r="BN118" i="5"/>
  <c r="CB245" i="5"/>
  <c r="BN53" i="5"/>
  <c r="BZ53" i="5" s="1"/>
  <c r="CB109" i="5"/>
  <c r="BC115" i="5"/>
  <c r="CB192" i="5"/>
  <c r="BO42" i="5"/>
  <c r="BB114" i="5"/>
  <c r="BN48" i="5"/>
  <c r="CB215" i="5"/>
  <c r="CB85" i="5"/>
  <c r="BN122" i="5"/>
  <c r="CB241" i="5"/>
  <c r="BB34" i="5"/>
  <c r="BZ34" i="5" s="1"/>
  <c r="F10" i="12"/>
  <c r="F38" i="12" s="1"/>
  <c r="D4" i="10"/>
  <c r="F12" i="12"/>
  <c r="D6" i="10"/>
  <c r="BB108" i="5"/>
  <c r="BB67" i="5"/>
  <c r="BZ67" i="5" s="1"/>
  <c r="CB153" i="5"/>
  <c r="BO257" i="5"/>
  <c r="BO122" i="5"/>
  <c r="BO169" i="5"/>
  <c r="BC211" i="5"/>
  <c r="CB98" i="5"/>
  <c r="CB114" i="5"/>
  <c r="BB94" i="5"/>
  <c r="BN147" i="5"/>
  <c r="BZ147" i="5" s="1"/>
  <c r="CB217" i="5"/>
  <c r="BB52" i="5"/>
  <c r="BZ52" i="5" s="1"/>
  <c r="BO201" i="5"/>
  <c r="BN144" i="5"/>
  <c r="BB199" i="5"/>
  <c r="BZ199" i="5" s="1"/>
  <c r="BB257" i="5"/>
  <c r="CB57" i="5"/>
  <c r="CB105" i="5"/>
  <c r="BC23" i="5"/>
  <c r="BN150" i="5"/>
  <c r="BZ150" i="5" s="1"/>
  <c r="BN161" i="5"/>
  <c r="BZ161" i="5" s="1"/>
  <c r="BO97" i="5"/>
  <c r="BB146" i="5"/>
  <c r="BZ146" i="5" s="1"/>
  <c r="CB145" i="5"/>
  <c r="BB127" i="5"/>
  <c r="BZ127" i="5" s="1"/>
  <c r="BB232" i="5"/>
  <c r="CB118" i="5"/>
  <c r="BN117" i="5"/>
  <c r="BN198" i="5"/>
  <c r="BZ198" i="5" s="1"/>
  <c r="BC51" i="5"/>
  <c r="BO258" i="5"/>
  <c r="CB194" i="5"/>
  <c r="BC64" i="5"/>
  <c r="BB103" i="5"/>
  <c r="BZ103" i="5" s="1"/>
  <c r="BB214" i="5"/>
  <c r="BO161" i="5"/>
  <c r="H5" i="10"/>
  <c r="BC36" i="5"/>
  <c r="BB123" i="5"/>
  <c r="BB201" i="5"/>
  <c r="BZ201" i="5" s="1"/>
  <c r="BO246" i="5"/>
  <c r="CB33" i="5"/>
  <c r="BC12" i="5"/>
  <c r="CB112" i="5"/>
  <c r="BC214" i="5"/>
  <c r="BB85" i="5"/>
  <c r="BZ85" i="5" s="1"/>
  <c r="G39" i="12"/>
  <c r="AB11" i="12"/>
  <c r="AB45" i="12" s="1"/>
  <c r="AA11" i="12"/>
  <c r="J11" i="12"/>
  <c r="CB180" i="5"/>
  <c r="BB116" i="5"/>
  <c r="CB172" i="5"/>
  <c r="CB188" i="5"/>
  <c r="CB60" i="5"/>
  <c r="CB100" i="5"/>
  <c r="AZ261" i="5"/>
  <c r="AZ262" i="5" s="1"/>
  <c r="CB82" i="5"/>
  <c r="CB191" i="5"/>
  <c r="BO254" i="5"/>
  <c r="BO45" i="5"/>
  <c r="BC135" i="5"/>
  <c r="BB156" i="5"/>
  <c r="BO187" i="5"/>
  <c r="BN80" i="5"/>
  <c r="BZ80" i="5" s="1"/>
  <c r="CB183" i="5"/>
  <c r="BN119" i="5"/>
  <c r="BB182" i="5"/>
  <c r="BZ182" i="5" s="1"/>
  <c r="CB111" i="5"/>
  <c r="CB75" i="5"/>
  <c r="CB224" i="5"/>
  <c r="BO243" i="5"/>
  <c r="CB179" i="5"/>
  <c r="BO130" i="5"/>
  <c r="CB66" i="5"/>
  <c r="CB76" i="5"/>
  <c r="BN249" i="5"/>
  <c r="BZ249" i="5" s="1"/>
  <c r="BC57" i="5"/>
  <c r="BN167" i="5"/>
  <c r="BZ167" i="5" s="1"/>
  <c r="CB170" i="5"/>
  <c r="BO87" i="5"/>
  <c r="BO225" i="5"/>
  <c r="CB142" i="5"/>
  <c r="CB96" i="5"/>
  <c r="BN120" i="5"/>
  <c r="CB97" i="5"/>
  <c r="CB143" i="5"/>
  <c r="CB146" i="5"/>
  <c r="CB9" i="5"/>
  <c r="CB237" i="5"/>
  <c r="CB84" i="5"/>
  <c r="CB4" i="5"/>
  <c r="CB50" i="5"/>
  <c r="CB34" i="5"/>
  <c r="BL17" i="5"/>
  <c r="CB205" i="5"/>
  <c r="CB187" i="5"/>
  <c r="CB117" i="5"/>
  <c r="CB6" i="5"/>
  <c r="CB115" i="5"/>
  <c r="CB51" i="5"/>
  <c r="CB106" i="5"/>
  <c r="CB150" i="5"/>
  <c r="CB71" i="5"/>
  <c r="CB5" i="5"/>
  <c r="CB15" i="5"/>
  <c r="CB74" i="5"/>
  <c r="CB199" i="5"/>
  <c r="CB235" i="5"/>
  <c r="CB163" i="5"/>
  <c r="CB23" i="5"/>
  <c r="CD261" i="5"/>
  <c r="CD262" i="5" s="1"/>
  <c r="CB12" i="5"/>
  <c r="CB103" i="5"/>
  <c r="CB94" i="5"/>
  <c r="CB133" i="5"/>
  <c r="BM261" i="5"/>
  <c r="BM262" i="5" s="1"/>
  <c r="BT261" i="5"/>
  <c r="BT262" i="5" s="1"/>
  <c r="CE261" i="5"/>
  <c r="CE262" i="5" s="1"/>
  <c r="CB201" i="5"/>
  <c r="CB42" i="5"/>
  <c r="CB87" i="5"/>
  <c r="CB162" i="5"/>
  <c r="BL29" i="5"/>
  <c r="CB147" i="5"/>
  <c r="F75" i="12"/>
  <c r="F80" i="12" s="1"/>
  <c r="BH261" i="5"/>
  <c r="BH262" i="5" s="1"/>
  <c r="CB190" i="5"/>
  <c r="CB7" i="5"/>
  <c r="CB182" i="5"/>
  <c r="CB239" i="5"/>
  <c r="CB218" i="5"/>
  <c r="CB166" i="5"/>
  <c r="BL164" i="5"/>
  <c r="CB209" i="5"/>
  <c r="CB152" i="5"/>
  <c r="CB47" i="5"/>
  <c r="CB213" i="5"/>
  <c r="CB220" i="5"/>
  <c r="CB238" i="5"/>
  <c r="CB256" i="5"/>
  <c r="CB225" i="5"/>
  <c r="BL168" i="5"/>
  <c r="CB248" i="5"/>
  <c r="CB233" i="5"/>
  <c r="CB228" i="5"/>
  <c r="BN72" i="5"/>
  <c r="BZ72" i="5" s="1"/>
  <c r="BO175" i="5"/>
  <c r="BL197" i="5"/>
  <c r="BB9" i="5"/>
  <c r="BZ9" i="5" s="1"/>
  <c r="BX110" i="5"/>
  <c r="BC75" i="5"/>
  <c r="BB186" i="5"/>
  <c r="BB105" i="5"/>
  <c r="BZ105" i="5" s="1"/>
  <c r="BN68" i="5"/>
  <c r="BC215" i="5"/>
  <c r="BN86" i="5"/>
  <c r="BL154" i="5"/>
  <c r="BL228" i="5"/>
  <c r="BL236" i="5"/>
  <c r="CB131" i="5"/>
  <c r="BB209" i="5"/>
  <c r="BZ209" i="5" s="1"/>
  <c r="BB145" i="5"/>
  <c r="BZ145" i="5" s="1"/>
  <c r="BX252" i="5"/>
  <c r="BX294" i="5" s="1"/>
  <c r="BX295" i="5" s="1"/>
  <c r="BB228" i="5"/>
  <c r="BZ228" i="5" s="1"/>
  <c r="BE261" i="5"/>
  <c r="BE262" i="5" s="1"/>
  <c r="BK261" i="5"/>
  <c r="BK262" i="5" s="1"/>
  <c r="BB195" i="5"/>
  <c r="BZ195" i="5" s="1"/>
  <c r="BB131" i="5"/>
  <c r="BC255" i="5"/>
  <c r="BB191" i="5"/>
  <c r="BZ191" i="5" s="1"/>
  <c r="CB254" i="5"/>
  <c r="BB253" i="5"/>
  <c r="BN46" i="5"/>
  <c r="CB11" i="5"/>
  <c r="CB251" i="5"/>
  <c r="BB59" i="5"/>
  <c r="BZ59" i="5" s="1"/>
  <c r="BO10" i="5"/>
  <c r="CB80" i="5"/>
  <c r="BC111" i="5"/>
  <c r="BX111" i="5"/>
  <c r="BB153" i="5"/>
  <c r="BZ153" i="5" s="1"/>
  <c r="BL20" i="5"/>
  <c r="CB243" i="5"/>
  <c r="CB258" i="5"/>
  <c r="CB204" i="5"/>
  <c r="BO235" i="5"/>
  <c r="CB122" i="5"/>
  <c r="CB185" i="5"/>
  <c r="BN121" i="5"/>
  <c r="BN128" i="5"/>
  <c r="BZ128" i="5" s="1"/>
  <c r="BB166" i="5"/>
  <c r="BZ166" i="5" s="1"/>
  <c r="CB37" i="5"/>
  <c r="BN170" i="5"/>
  <c r="BZ170" i="5" s="1"/>
  <c r="CB240" i="5"/>
  <c r="BN240" i="5"/>
  <c r="BL162" i="5"/>
  <c r="BN207" i="5"/>
  <c r="CB27" i="5"/>
  <c r="BC21" i="5"/>
  <c r="CB226" i="5"/>
  <c r="BO34" i="5"/>
  <c r="BB14" i="5"/>
  <c r="CB154" i="5"/>
  <c r="CB52" i="5"/>
  <c r="BB44" i="5"/>
  <c r="BZ44" i="5" s="1"/>
  <c r="CB36" i="5"/>
  <c r="BB17" i="5"/>
  <c r="BZ17" i="5" s="1"/>
  <c r="BC127" i="5"/>
  <c r="BB254" i="5"/>
  <c r="BZ254" i="5" s="1"/>
  <c r="CB61" i="5"/>
  <c r="CB72" i="5"/>
  <c r="BN26" i="5"/>
  <c r="BZ26" i="5" s="1"/>
  <c r="CB197" i="5"/>
  <c r="CB28" i="5"/>
  <c r="BB251" i="5"/>
  <c r="BN74" i="5"/>
  <c r="BZ74" i="5" s="1"/>
  <c r="BX55" i="5"/>
  <c r="CB246" i="5"/>
  <c r="BB238" i="5"/>
  <c r="BC109" i="5"/>
  <c r="BB224" i="5"/>
  <c r="BL212" i="5"/>
  <c r="CB20" i="5"/>
  <c r="BO193" i="5"/>
  <c r="BL229" i="5"/>
  <c r="BO170" i="5"/>
  <c r="BC112" i="5"/>
  <c r="BC22" i="5"/>
  <c r="BB213" i="5"/>
  <c r="BC85" i="5"/>
  <c r="BB211" i="5"/>
  <c r="BZ211" i="5" s="1"/>
  <c r="CB139" i="5"/>
  <c r="CB227" i="5"/>
  <c r="CB35" i="5"/>
  <c r="BN177" i="5"/>
  <c r="BB56" i="5"/>
  <c r="BZ56" i="5" s="1"/>
  <c r="BC104" i="5"/>
  <c r="CB206" i="5"/>
  <c r="BO131" i="5"/>
  <c r="CB124" i="5"/>
  <c r="BL5" i="5"/>
  <c r="CB244" i="5"/>
  <c r="CB108" i="5"/>
  <c r="BO210" i="5"/>
  <c r="CB17" i="5"/>
  <c r="BC63" i="5"/>
  <c r="BB126" i="5"/>
  <c r="BZ126" i="5" s="1"/>
  <c r="CB46" i="5"/>
  <c r="BC15" i="5"/>
  <c r="CB59" i="5"/>
  <c r="BB246" i="5"/>
  <c r="BC239" i="5"/>
  <c r="BN111" i="5"/>
  <c r="BZ111" i="5" s="1"/>
  <c r="BC238" i="5"/>
  <c r="BL33" i="5"/>
  <c r="BX33" i="5"/>
  <c r="CB79" i="5"/>
  <c r="CB212" i="5"/>
  <c r="CB148" i="5"/>
  <c r="BO129" i="5"/>
  <c r="BC140" i="5"/>
  <c r="BC256" i="5"/>
  <c r="CB165" i="5"/>
  <c r="CB101" i="5"/>
  <c r="BC105" i="5"/>
  <c r="BL112" i="5"/>
  <c r="CB19" i="5"/>
  <c r="BB142" i="5"/>
  <c r="BZ142" i="5" s="1"/>
  <c r="BB141" i="5"/>
  <c r="BZ141" i="5" s="1"/>
  <c r="BB139" i="5"/>
  <c r="CB195" i="5"/>
  <c r="CB127" i="5"/>
  <c r="BB190" i="5"/>
  <c r="BZ190" i="5" s="1"/>
  <c r="CB126" i="5"/>
  <c r="BN61" i="5"/>
  <c r="BZ61" i="5" s="1"/>
  <c r="BC47" i="5"/>
  <c r="BC174" i="5"/>
  <c r="BB45" i="5"/>
  <c r="BZ45" i="5" s="1"/>
  <c r="CB232" i="5"/>
  <c r="CB135" i="5"/>
  <c r="BC28" i="5"/>
  <c r="BB138" i="5"/>
  <c r="BZ138" i="5" s="1"/>
  <c r="BN73" i="5"/>
  <c r="CB144" i="5"/>
  <c r="BO80" i="5"/>
  <c r="BB245" i="5"/>
  <c r="CB181" i="5"/>
  <c r="CB53" i="5"/>
  <c r="CB69" i="5"/>
  <c r="BC20" i="5"/>
  <c r="CB130" i="5"/>
  <c r="BB193" i="5"/>
  <c r="BZ193" i="5" s="1"/>
  <c r="BC204" i="5"/>
  <c r="BO171" i="5"/>
  <c r="BC107" i="5"/>
  <c r="CB186" i="5"/>
  <c r="BC249" i="5"/>
  <c r="BL249" i="5"/>
  <c r="CB64" i="5"/>
  <c r="CB231" i="5"/>
  <c r="CB230" i="5"/>
  <c r="BB165" i="5"/>
  <c r="BZ165" i="5" s="1"/>
  <c r="BC240" i="5"/>
  <c r="BB151" i="5"/>
  <c r="BZ151" i="5" s="1"/>
  <c r="CB89" i="5"/>
  <c r="BB4" i="5"/>
  <c r="BZ4" i="5" s="1"/>
  <c r="CB99" i="5"/>
  <c r="BN49" i="5"/>
  <c r="BZ49" i="5" s="1"/>
  <c r="CB159" i="5"/>
  <c r="CB30" i="5"/>
  <c r="CB29" i="5"/>
  <c r="CB234" i="5"/>
  <c r="CB48" i="5"/>
  <c r="BO147" i="5"/>
  <c r="BN97" i="5"/>
  <c r="BZ97" i="5" s="1"/>
  <c r="BB143" i="5"/>
  <c r="BZ143" i="5" s="1"/>
  <c r="BL126" i="5"/>
  <c r="BO72" i="5"/>
  <c r="BL174" i="5"/>
  <c r="BL282" i="5" s="1"/>
  <c r="BB32" i="5"/>
  <c r="BZ32" i="5" s="1"/>
  <c r="BX32" i="5"/>
  <c r="BO92" i="5"/>
  <c r="BX183" i="5"/>
  <c r="BN54" i="5"/>
  <c r="BL77" i="5"/>
  <c r="BO224" i="5"/>
  <c r="BX12" i="5"/>
  <c r="CB171" i="5"/>
  <c r="BC185" i="5"/>
  <c r="BN57" i="5"/>
  <c r="BZ57" i="5" s="1"/>
  <c r="BC128" i="5"/>
  <c r="BC151" i="5"/>
  <c r="CB207" i="5"/>
  <c r="BC35" i="5"/>
  <c r="BN83" i="5"/>
  <c r="CB203" i="5"/>
  <c r="BL60" i="5"/>
  <c r="BX70" i="5"/>
  <c r="BB202" i="5"/>
  <c r="BO202" i="5"/>
  <c r="BC245" i="5"/>
  <c r="BO218" i="5"/>
  <c r="CB107" i="5"/>
  <c r="CB39" i="5"/>
  <c r="CB38" i="5"/>
  <c r="BX170" i="5"/>
  <c r="BN112" i="5"/>
  <c r="BZ112" i="5" s="1"/>
  <c r="BL19" i="5"/>
  <c r="BB40" i="5"/>
  <c r="BZ40" i="5" s="1"/>
  <c r="BN50" i="5"/>
  <c r="BC177" i="5"/>
  <c r="BC283" i="5" s="1"/>
  <c r="BL177" i="5"/>
  <c r="BL283" i="5" s="1"/>
  <c r="BL157" i="5"/>
  <c r="CB93" i="5"/>
  <c r="BN104" i="5"/>
  <c r="BZ104" i="5" s="1"/>
  <c r="BB203" i="5"/>
  <c r="CB134" i="5"/>
  <c r="BB18" i="5"/>
  <c r="BZ18" i="5" s="1"/>
  <c r="BX10" i="5"/>
  <c r="BX182" i="5"/>
  <c r="BB33" i="5"/>
  <c r="BZ33" i="5" s="1"/>
  <c r="CB167" i="5"/>
  <c r="CB168" i="5"/>
  <c r="CB40" i="5"/>
  <c r="CB90" i="5"/>
  <c r="BN242" i="5"/>
  <c r="BZ242" i="5" s="1"/>
  <c r="BN178" i="5"/>
  <c r="BO50" i="5"/>
  <c r="CB49" i="5"/>
  <c r="BO83" i="5"/>
  <c r="BB134" i="5"/>
  <c r="BZ134" i="5" s="1"/>
  <c r="CB164" i="5"/>
  <c r="BX164" i="5"/>
  <c r="BP261" i="5"/>
  <c r="BP262" i="5" s="1"/>
  <c r="CB2" i="5"/>
  <c r="CB92" i="5"/>
  <c r="BX92" i="5"/>
  <c r="BO52" i="5"/>
  <c r="BB236" i="5"/>
  <c r="BZ236" i="5" s="1"/>
  <c r="BC164" i="5"/>
  <c r="BN164" i="5"/>
  <c r="BZ164" i="5" s="1"/>
  <c r="BC67" i="5"/>
  <c r="BL145" i="5"/>
  <c r="BX17" i="5"/>
  <c r="BN255" i="5"/>
  <c r="BZ255" i="5" s="1"/>
  <c r="BL190" i="5"/>
  <c r="BX190" i="5"/>
  <c r="BO62" i="5"/>
  <c r="BO267" i="5" s="1"/>
  <c r="BL189" i="5"/>
  <c r="BC200" i="5"/>
  <c r="BB174" i="5"/>
  <c r="BZ174" i="5" s="1"/>
  <c r="BZ282" i="5" s="1"/>
  <c r="BL11" i="5"/>
  <c r="BO11" i="5"/>
  <c r="BN197" i="5"/>
  <c r="BZ197" i="5" s="1"/>
  <c r="BX197" i="5"/>
  <c r="BX137" i="5"/>
  <c r="BC9" i="5"/>
  <c r="BL9" i="5"/>
  <c r="BN208" i="5"/>
  <c r="BZ208" i="5" s="1"/>
  <c r="BO144" i="5"/>
  <c r="BX80" i="5"/>
  <c r="BB247" i="5"/>
  <c r="BN183" i="5"/>
  <c r="BZ183" i="5" s="1"/>
  <c r="BC118" i="5"/>
  <c r="BO118" i="5"/>
  <c r="BC117" i="5"/>
  <c r="BO117" i="5"/>
  <c r="BX53" i="5"/>
  <c r="BL237" i="5"/>
  <c r="BC199" i="5"/>
  <c r="BO199" i="5"/>
  <c r="BO60" i="5"/>
  <c r="BB70" i="5"/>
  <c r="BZ70" i="5" s="1"/>
  <c r="BO44" i="5"/>
  <c r="BO124" i="5"/>
  <c r="BC70" i="5"/>
  <c r="BO5" i="5"/>
  <c r="BO116" i="5"/>
  <c r="BN172" i="5"/>
  <c r="BO108" i="5"/>
  <c r="BO146" i="5"/>
  <c r="BL200" i="5"/>
  <c r="BN175" i="5"/>
  <c r="BX174" i="5"/>
  <c r="BX282" i="5" s="1"/>
  <c r="BC25" i="5"/>
  <c r="BL25" i="5"/>
  <c r="BN7" i="5"/>
  <c r="BO197" i="5"/>
  <c r="CB156" i="5"/>
  <c r="BC59" i="5"/>
  <c r="CB137" i="5"/>
  <c r="BO183" i="5"/>
  <c r="CB55" i="5"/>
  <c r="BL54" i="5"/>
  <c r="BB181" i="5"/>
  <c r="BZ181" i="5" s="1"/>
  <c r="BL181" i="5"/>
  <c r="BL136" i="5"/>
  <c r="BO136" i="5"/>
  <c r="BL110" i="5"/>
  <c r="BL69" i="5"/>
  <c r="CB56" i="5"/>
  <c r="BX56" i="5"/>
  <c r="CB104" i="5"/>
  <c r="BX104" i="5"/>
  <c r="BB244" i="5"/>
  <c r="BB180" i="5"/>
  <c r="BZ180" i="5" s="1"/>
  <c r="BL180" i="5"/>
  <c r="BA261" i="5"/>
  <c r="BA262" i="5" s="1"/>
  <c r="BQ261" i="5"/>
  <c r="BQ262" i="5" s="1"/>
  <c r="CA261" i="5"/>
  <c r="CA262" i="5" s="1"/>
  <c r="BL67" i="5"/>
  <c r="CB67" i="5"/>
  <c r="BC145" i="5"/>
  <c r="BC216" i="5"/>
  <c r="BC152" i="5"/>
  <c r="BC88" i="5"/>
  <c r="BC252" i="5"/>
  <c r="BC294" i="5" s="1"/>
  <c r="BC295" i="5" s="1"/>
  <c r="BO188" i="5"/>
  <c r="BL70" i="5"/>
  <c r="BX180" i="5"/>
  <c r="BO172" i="5"/>
  <c r="BX44" i="5"/>
  <c r="BI261" i="5"/>
  <c r="BI262" i="5" s="1"/>
  <c r="BS261" i="5"/>
  <c r="BS262" i="5" s="1"/>
  <c r="CC261" i="5"/>
  <c r="CC262" i="5" s="1"/>
  <c r="CK261" i="5"/>
  <c r="CK262" i="5" s="1"/>
  <c r="BX195" i="5"/>
  <c r="BX210" i="5"/>
  <c r="BX18" i="5"/>
  <c r="BL88" i="5"/>
  <c r="BC191" i="5"/>
  <c r="BN63" i="5"/>
  <c r="BC253" i="5"/>
  <c r="BC189" i="5"/>
  <c r="BC220" i="5"/>
  <c r="BN220" i="5"/>
  <c r="BZ220" i="5" s="1"/>
  <c r="BC123" i="5"/>
  <c r="BX9" i="5"/>
  <c r="BB55" i="5"/>
  <c r="BZ55" i="5" s="1"/>
  <c r="BC79" i="5"/>
  <c r="BO79" i="5"/>
  <c r="BX77" i="5"/>
  <c r="BN218" i="5"/>
  <c r="BB218" i="5"/>
  <c r="BO153" i="5"/>
  <c r="BC153" i="5"/>
  <c r="BB179" i="5"/>
  <c r="BN179" i="5"/>
  <c r="BC180" i="5"/>
  <c r="BL52" i="5"/>
  <c r="BC236" i="5"/>
  <c r="BX236" i="5"/>
  <c r="BL44" i="5"/>
  <c r="BX228" i="5"/>
  <c r="BJ261" i="5"/>
  <c r="BJ262" i="5" s="1"/>
  <c r="BL146" i="5"/>
  <c r="BO209" i="5"/>
  <c r="BO81" i="5"/>
  <c r="BL255" i="5"/>
  <c r="BX191" i="5"/>
  <c r="BL127" i="5"/>
  <c r="BO190" i="5"/>
  <c r="BC126" i="5"/>
  <c r="BX189" i="5"/>
  <c r="BC61" i="5"/>
  <c r="BL47" i="5"/>
  <c r="BC26" i="5"/>
  <c r="BX25" i="5"/>
  <c r="CB32" i="5"/>
  <c r="BN92" i="5"/>
  <c r="BZ92" i="5" s="1"/>
  <c r="BL28" i="5"/>
  <c r="BN10" i="5"/>
  <c r="BZ10" i="5" s="1"/>
  <c r="BL201" i="5"/>
  <c r="BO137" i="5"/>
  <c r="CB73" i="5"/>
  <c r="BC247" i="5"/>
  <c r="BO247" i="5"/>
  <c r="BL183" i="5"/>
  <c r="BO119" i="5"/>
  <c r="BO273" i="5" s="1"/>
  <c r="BL182" i="5"/>
  <c r="BC181" i="5"/>
  <c r="BN78" i="5"/>
  <c r="BB78" i="5"/>
  <c r="BX69" i="5"/>
  <c r="BN84" i="5"/>
  <c r="BB84" i="5"/>
  <c r="BO18" i="5"/>
  <c r="BX254" i="5"/>
  <c r="BX61" i="5"/>
  <c r="CB174" i="5"/>
  <c r="BL32" i="5"/>
  <c r="BO74" i="5"/>
  <c r="BC74" i="5"/>
  <c r="BL208" i="5"/>
  <c r="BX181" i="5"/>
  <c r="BX136" i="5"/>
  <c r="BL79" i="5"/>
  <c r="BN77" i="5"/>
  <c r="BZ77" i="5" s="1"/>
  <c r="BL6" i="5"/>
  <c r="BF261" i="5"/>
  <c r="BF262" i="5" s="1"/>
  <c r="CB252" i="5"/>
  <c r="CB294" i="5" s="1"/>
  <c r="CB295" i="5" s="1"/>
  <c r="BC100" i="5"/>
  <c r="AU261" i="5"/>
  <c r="AU262" i="5" s="1"/>
  <c r="BG261" i="5"/>
  <c r="BG262" i="5" s="1"/>
  <c r="BN2" i="5"/>
  <c r="BV261" i="5"/>
  <c r="BV262" i="5" s="1"/>
  <c r="CG261" i="5"/>
  <c r="CG262" i="5" s="1"/>
  <c r="BL195" i="5"/>
  <c r="BB82" i="5"/>
  <c r="BC82" i="5"/>
  <c r="CB18" i="5"/>
  <c r="BL209" i="5"/>
  <c r="BL63" i="5"/>
  <c r="BL254" i="5"/>
  <c r="BB47" i="5"/>
  <c r="BZ47" i="5" s="1"/>
  <c r="BB15" i="5"/>
  <c r="BL26" i="5"/>
  <c r="BB25" i="5"/>
  <c r="BZ25" i="5" s="1"/>
  <c r="BC156" i="5"/>
  <c r="BX28" i="5"/>
  <c r="BL138" i="5"/>
  <c r="BB137" i="5"/>
  <c r="BZ137" i="5" s="1"/>
  <c r="CB208" i="5"/>
  <c r="BX208" i="5"/>
  <c r="BL119" i="5"/>
  <c r="BL273" i="5" s="1"/>
  <c r="BO55" i="5"/>
  <c r="BO182" i="5"/>
  <c r="BC182" i="5"/>
  <c r="BL111" i="5"/>
  <c r="BB75" i="5"/>
  <c r="BN75" i="5"/>
  <c r="BN6" i="5"/>
  <c r="BZ6" i="5" s="1"/>
  <c r="BN69" i="5"/>
  <c r="BZ69" i="5" s="1"/>
  <c r="BC228" i="5"/>
  <c r="BX2" i="5"/>
  <c r="BU261" i="5"/>
  <c r="BU262" i="5" s="1"/>
  <c r="BO195" i="5"/>
  <c r="BX145" i="5"/>
  <c r="BX88" i="5"/>
  <c r="BB60" i="5"/>
  <c r="BZ60" i="5" s="1"/>
  <c r="BX60" i="5"/>
  <c r="BX52" i="5"/>
  <c r="CB236" i="5"/>
  <c r="AV261" i="5"/>
  <c r="AV262" i="5" s="1"/>
  <c r="BC2" i="5"/>
  <c r="BO2" i="5"/>
  <c r="BW261" i="5"/>
  <c r="BW262" i="5" s="1"/>
  <c r="CI261" i="5"/>
  <c r="CI262" i="5" s="1"/>
  <c r="BX67" i="5"/>
  <c r="BX146" i="5"/>
  <c r="BL62" i="5"/>
  <c r="BL267" i="5" s="1"/>
  <c r="BN125" i="5"/>
  <c r="CB200" i="5"/>
  <c r="BX47" i="5"/>
  <c r="CB25" i="5"/>
  <c r="BO32" i="5"/>
  <c r="BC32" i="5"/>
  <c r="BX135" i="5"/>
  <c r="BL220" i="5"/>
  <c r="BX59" i="5"/>
  <c r="BX138" i="5"/>
  <c r="BL74" i="5"/>
  <c r="BX201" i="5"/>
  <c r="BL80" i="5"/>
  <c r="BL53" i="5"/>
  <c r="BC33" i="5"/>
  <c r="BC212" i="5"/>
  <c r="BC148" i="5"/>
  <c r="BB243" i="5"/>
  <c r="BN243" i="5"/>
  <c r="BN258" i="5"/>
  <c r="BB258" i="5"/>
  <c r="BL252" i="5"/>
  <c r="BL294" i="5" s="1"/>
  <c r="BL295" i="5" s="1"/>
  <c r="BX5" i="5"/>
  <c r="AY261" i="5"/>
  <c r="AY262" i="5" s="1"/>
  <c r="BD261" i="5"/>
  <c r="BD262" i="5" s="1"/>
  <c r="BL2" i="5"/>
  <c r="BR261" i="5"/>
  <c r="BR262" i="5" s="1"/>
  <c r="BY261" i="5"/>
  <c r="BY262" i="5" s="1"/>
  <c r="CF261" i="5"/>
  <c r="CF262" i="5" s="1"/>
  <c r="BL210" i="5"/>
  <c r="BL18" i="5"/>
  <c r="BX209" i="5"/>
  <c r="BB216" i="5"/>
  <c r="BB152" i="5"/>
  <c r="BX255" i="5"/>
  <c r="BL191" i="5"/>
  <c r="BN62" i="5"/>
  <c r="CB45" i="5"/>
  <c r="BC232" i="5"/>
  <c r="BN11" i="5"/>
  <c r="BZ11" i="5" s="1"/>
  <c r="BL92" i="5"/>
  <c r="BN28" i="5"/>
  <c r="BZ28" i="5" s="1"/>
  <c r="BX74" i="5"/>
  <c r="BL10" i="5"/>
  <c r="BO73" i="5"/>
  <c r="BL55" i="5"/>
  <c r="BB136" i="5"/>
  <c r="BZ136" i="5" s="1"/>
  <c r="BX79" i="5"/>
  <c r="CB78" i="5"/>
  <c r="BO53" i="5"/>
  <c r="BL109" i="5"/>
  <c r="BB148" i="5"/>
  <c r="BC179" i="5"/>
  <c r="BB194" i="5"/>
  <c r="BZ194" i="5" s="1"/>
  <c r="BB130" i="5"/>
  <c r="BB66" i="5"/>
  <c r="BZ66" i="5" s="1"/>
  <c r="CB257" i="5"/>
  <c r="BB204" i="5"/>
  <c r="BZ204" i="5" s="1"/>
  <c r="BN171" i="5"/>
  <c r="BZ171" i="5" s="1"/>
  <c r="BC43" i="5"/>
  <c r="CA43" i="5" s="1"/>
  <c r="CA263" i="5" s="1"/>
  <c r="CA264" i="5" s="1"/>
  <c r="BX58" i="5"/>
  <c r="BX185" i="5"/>
  <c r="BX128" i="5"/>
  <c r="BO231" i="5"/>
  <c r="BC103" i="5"/>
  <c r="BC230" i="5"/>
  <c r="BC166" i="5"/>
  <c r="BC38" i="5"/>
  <c r="BC37" i="5"/>
  <c r="BL170" i="5"/>
  <c r="BN42" i="5"/>
  <c r="BZ42" i="5" s="1"/>
  <c r="BX151" i="5"/>
  <c r="BX85" i="5"/>
  <c r="BB19" i="5"/>
  <c r="BZ19" i="5" s="1"/>
  <c r="BX19" i="5"/>
  <c r="BX98" i="5"/>
  <c r="BB225" i="5"/>
  <c r="BN168" i="5"/>
  <c r="BZ168" i="5" s="1"/>
  <c r="BL40" i="5"/>
  <c r="BO40" i="5"/>
  <c r="BC141" i="5"/>
  <c r="BX196" i="5"/>
  <c r="BC4" i="5"/>
  <c r="BL227" i="5"/>
  <c r="BO227" i="5"/>
  <c r="BL35" i="5"/>
  <c r="CB242" i="5"/>
  <c r="BN184" i="5"/>
  <c r="BZ184" i="5" s="1"/>
  <c r="BL56" i="5"/>
  <c r="BO56" i="5"/>
  <c r="BO223" i="5"/>
  <c r="BC31" i="5"/>
  <c r="BC158" i="5"/>
  <c r="BO94" i="5"/>
  <c r="BL91" i="5"/>
  <c r="BO91" i="5"/>
  <c r="BC233" i="5"/>
  <c r="BC41" i="5"/>
  <c r="BL23" i="5"/>
  <c r="BC150" i="5"/>
  <c r="CB21" i="5"/>
  <c r="BC226" i="5"/>
  <c r="BL161" i="5"/>
  <c r="BX143" i="5"/>
  <c r="BL13" i="5"/>
  <c r="BX154" i="5"/>
  <c r="BN217" i="5"/>
  <c r="BB160" i="5"/>
  <c r="BZ160" i="5" s="1"/>
  <c r="BX134" i="5"/>
  <c r="BL133" i="5"/>
  <c r="BX200" i="5"/>
  <c r="BX45" i="5"/>
  <c r="BX26" i="5"/>
  <c r="BL135" i="5"/>
  <c r="BC138" i="5"/>
  <c r="BN239" i="5"/>
  <c r="BN237" i="5"/>
  <c r="BZ237" i="5" s="1"/>
  <c r="BX237" i="5"/>
  <c r="BB109" i="5"/>
  <c r="BZ109" i="5" s="1"/>
  <c r="BC78" i="5"/>
  <c r="BC77" i="5"/>
  <c r="BL153" i="5"/>
  <c r="BC198" i="5"/>
  <c r="BO6" i="5"/>
  <c r="BB20" i="5"/>
  <c r="BZ20" i="5" s="1"/>
  <c r="BL179" i="5"/>
  <c r="BC194" i="5"/>
  <c r="BL129" i="5"/>
  <c r="BB76" i="5"/>
  <c r="BB12" i="5"/>
  <c r="BZ12" i="5" s="1"/>
  <c r="BN235" i="5"/>
  <c r="BL171" i="5"/>
  <c r="BB43" i="5"/>
  <c r="BM43" i="5"/>
  <c r="BM263" i="5" s="1"/>
  <c r="BM264" i="5" s="1"/>
  <c r="CB43" i="5"/>
  <c r="BL250" i="5"/>
  <c r="BL57" i="5"/>
  <c r="BL167" i="5"/>
  <c r="BX103" i="5"/>
  <c r="BL39" i="5"/>
  <c r="BL166" i="5"/>
  <c r="BX166" i="5"/>
  <c r="BL38" i="5"/>
  <c r="BX38" i="5"/>
  <c r="BC165" i="5"/>
  <c r="BL169" i="5"/>
  <c r="BB87" i="5"/>
  <c r="BZ87" i="5" s="1"/>
  <c r="BC19" i="5"/>
  <c r="BX40" i="5"/>
  <c r="BX141" i="5"/>
  <c r="BL90" i="5"/>
  <c r="BO96" i="5"/>
  <c r="BC196" i="5"/>
  <c r="BL132" i="5"/>
  <c r="BC68" i="5"/>
  <c r="BX99" i="5"/>
  <c r="BL242" i="5"/>
  <c r="BX242" i="5"/>
  <c r="BX49" i="5"/>
  <c r="BB248" i="5"/>
  <c r="BO120" i="5"/>
  <c r="BL159" i="5"/>
  <c r="BC95" i="5"/>
  <c r="BN31" i="5"/>
  <c r="BZ31" i="5" s="1"/>
  <c r="BX31" i="5"/>
  <c r="BL158" i="5"/>
  <c r="BX158" i="5"/>
  <c r="BB30" i="5"/>
  <c r="BZ30" i="5" s="1"/>
  <c r="BC221" i="5"/>
  <c r="BC93" i="5"/>
  <c r="BB29" i="5"/>
  <c r="BZ29" i="5" s="1"/>
  <c r="BX155" i="5"/>
  <c r="BB91" i="5"/>
  <c r="BZ91" i="5" s="1"/>
  <c r="BL150" i="5"/>
  <c r="CB86" i="5"/>
  <c r="BX147" i="5"/>
  <c r="BO143" i="5"/>
  <c r="BB206" i="5"/>
  <c r="BZ206" i="5" s="1"/>
  <c r="BO14" i="5"/>
  <c r="BB13" i="5"/>
  <c r="BZ13" i="5" s="1"/>
  <c r="BC203" i="5"/>
  <c r="BB154" i="5"/>
  <c r="BZ154" i="5" s="1"/>
  <c r="BO217" i="5"/>
  <c r="BO134" i="5"/>
  <c r="BB133" i="5"/>
  <c r="BZ133" i="5" s="1"/>
  <c r="BL199" i="5"/>
  <c r="BX198" i="5"/>
  <c r="BX20" i="5"/>
  <c r="BX51" i="5"/>
  <c r="BX66" i="5"/>
  <c r="BX204" i="5"/>
  <c r="BX107" i="5"/>
  <c r="BX250" i="5"/>
  <c r="BC186" i="5"/>
  <c r="BN38" i="5"/>
  <c r="BZ38" i="5" s="1"/>
  <c r="BX165" i="5"/>
  <c r="BC178" i="5"/>
  <c r="BN221" i="5"/>
  <c r="BZ221" i="5" s="1"/>
  <c r="BN93" i="5"/>
  <c r="BZ93" i="5" s="1"/>
  <c r="BX93" i="5"/>
  <c r="BX41" i="5"/>
  <c r="BX150" i="5"/>
  <c r="BL21" i="5"/>
  <c r="CB83" i="5"/>
  <c r="BL34" i="5"/>
  <c r="BC206" i="5"/>
  <c r="BC13" i="5"/>
  <c r="BC154" i="5"/>
  <c r="BC160" i="5"/>
  <c r="BO71" i="5"/>
  <c r="BC133" i="5"/>
  <c r="BN51" i="5"/>
  <c r="BZ51" i="5" s="1"/>
  <c r="BL194" i="5"/>
  <c r="CB58" i="5"/>
  <c r="BB231" i="5"/>
  <c r="BB39" i="5"/>
  <c r="BZ39" i="5" s="1"/>
  <c r="BB102" i="5"/>
  <c r="BZ102" i="5" s="1"/>
  <c r="BB101" i="5"/>
  <c r="BZ101" i="5" s="1"/>
  <c r="BL101" i="5"/>
  <c r="BN37" i="5"/>
  <c r="BL42" i="5"/>
  <c r="BX169" i="5"/>
  <c r="BX112" i="5"/>
  <c r="BL151" i="5"/>
  <c r="BX22" i="5"/>
  <c r="BC98" i="5"/>
  <c r="BC168" i="5"/>
  <c r="BC207" i="5"/>
  <c r="BC142" i="5"/>
  <c r="BB227" i="5"/>
  <c r="BZ227" i="5" s="1"/>
  <c r="BC163" i="5"/>
  <c r="BC99" i="5"/>
  <c r="BN99" i="5"/>
  <c r="BZ99" i="5" s="1"/>
  <c r="BB35" i="5"/>
  <c r="BZ35" i="5" s="1"/>
  <c r="BC248" i="5"/>
  <c r="BC184" i="5"/>
  <c r="BB223" i="5"/>
  <c r="BB159" i="5"/>
  <c r="BZ159" i="5" s="1"/>
  <c r="BN95" i="5"/>
  <c r="BB222" i="5"/>
  <c r="BN158" i="5"/>
  <c r="BZ158" i="5" s="1"/>
  <c r="BX221" i="5"/>
  <c r="BB157" i="5"/>
  <c r="BC219" i="5"/>
  <c r="BC155" i="5"/>
  <c r="BN155" i="5"/>
  <c r="BZ155" i="5" s="1"/>
  <c r="BC27" i="5"/>
  <c r="BN27" i="5"/>
  <c r="BB234" i="5"/>
  <c r="BC106" i="5"/>
  <c r="BB215" i="5"/>
  <c r="BB23" i="5"/>
  <c r="BZ23" i="5" s="1"/>
  <c r="BB149" i="5"/>
  <c r="BB21" i="5"/>
  <c r="BZ21" i="5" s="1"/>
  <c r="BX161" i="5"/>
  <c r="BL143" i="5"/>
  <c r="BL206" i="5"/>
  <c r="BX206" i="5"/>
  <c r="BX109" i="5"/>
  <c r="BL218" i="5"/>
  <c r="BX153" i="5"/>
  <c r="BL193" i="5"/>
  <c r="BL65" i="5"/>
  <c r="BB140" i="5"/>
  <c r="BZ140" i="5" s="1"/>
  <c r="BL140" i="5"/>
  <c r="BN107" i="5"/>
  <c r="BZ107" i="5" s="1"/>
  <c r="BL58" i="5"/>
  <c r="BX249" i="5"/>
  <c r="BB256" i="5"/>
  <c r="BB192" i="5"/>
  <c r="BC167" i="5"/>
  <c r="BC39" i="5"/>
  <c r="BC102" i="5"/>
  <c r="BL105" i="5"/>
  <c r="BX87" i="5"/>
  <c r="BL85" i="5"/>
  <c r="BX211" i="5"/>
  <c r="BX162" i="5"/>
  <c r="BL142" i="5"/>
  <c r="BN89" i="5"/>
  <c r="BB132" i="5"/>
  <c r="BZ132" i="5" s="1"/>
  <c r="BX132" i="5"/>
  <c r="CB68" i="5"/>
  <c r="BX4" i="5"/>
  <c r="BL99" i="5"/>
  <c r="BB113" i="5"/>
  <c r="BO49" i="5"/>
  <c r="BL184" i="5"/>
  <c r="BC159" i="5"/>
  <c r="BL31" i="5"/>
  <c r="BC222" i="5"/>
  <c r="BC288" i="5" s="1"/>
  <c r="BC289" i="5" s="1"/>
  <c r="BC30" i="5"/>
  <c r="BC29" i="5"/>
  <c r="BN219" i="5"/>
  <c r="BL155" i="5"/>
  <c r="BC234" i="5"/>
  <c r="BB106" i="5"/>
  <c r="BN41" i="5"/>
  <c r="BZ41" i="5" s="1"/>
  <c r="BC176" i="5"/>
  <c r="BL97" i="5"/>
  <c r="BX13" i="5"/>
  <c r="BX133" i="5"/>
  <c r="BX127" i="5"/>
  <c r="BX126" i="5"/>
  <c r="BL61" i="5"/>
  <c r="BL72" i="5"/>
  <c r="BX72" i="5"/>
  <c r="BL45" i="5"/>
  <c r="BX11" i="5"/>
  <c r="BX220" i="5"/>
  <c r="BL59" i="5"/>
  <c r="BL137" i="5"/>
  <c r="BB115" i="5"/>
  <c r="BL51" i="5"/>
  <c r="BC66" i="5"/>
  <c r="BL107" i="5"/>
  <c r="BX57" i="5"/>
  <c r="BX167" i="5"/>
  <c r="BL103" i="5"/>
  <c r="BX39" i="5"/>
  <c r="BL102" i="5"/>
  <c r="BX102" i="5"/>
  <c r="BC229" i="5"/>
  <c r="BC101" i="5"/>
  <c r="BX168" i="5"/>
  <c r="BX142" i="5"/>
  <c r="BX90" i="5"/>
  <c r="BO89" i="5"/>
  <c r="BL196" i="5"/>
  <c r="BC132" i="5"/>
  <c r="BL4" i="5"/>
  <c r="BX227" i="5"/>
  <c r="BX35" i="5"/>
  <c r="BL178" i="5"/>
  <c r="BO113" i="5"/>
  <c r="CB184" i="5"/>
  <c r="BX184" i="5"/>
  <c r="BX159" i="5"/>
  <c r="BL222" i="5"/>
  <c r="BL288" i="5" s="1"/>
  <c r="BL289" i="5" s="1"/>
  <c r="BL30" i="5"/>
  <c r="BX30" i="5"/>
  <c r="BC157" i="5"/>
  <c r="BX91" i="5"/>
  <c r="BB233" i="5"/>
  <c r="BC48" i="5"/>
  <c r="BX23" i="5"/>
  <c r="BX34" i="5"/>
  <c r="BX160" i="5"/>
  <c r="CB110" i="5"/>
  <c r="BX218" i="5"/>
  <c r="BX199" i="5"/>
  <c r="BX6" i="5"/>
  <c r="BX212" i="5"/>
  <c r="BX179" i="5"/>
  <c r="BX194" i="5"/>
  <c r="CB65" i="5"/>
  <c r="BX140" i="5"/>
  <c r="BX171" i="5"/>
  <c r="BY43" i="5"/>
  <c r="BY263" i="5" s="1"/>
  <c r="BY264" i="5" s="1"/>
  <c r="BC250" i="5"/>
  <c r="BL185" i="5"/>
  <c r="BL165" i="5"/>
  <c r="BX101" i="5"/>
  <c r="BX42" i="5"/>
  <c r="BL98" i="5"/>
  <c r="BL141" i="5"/>
  <c r="BC139" i="5"/>
  <c r="BC242" i="5"/>
  <c r="BL49" i="5"/>
  <c r="BL221" i="5"/>
  <c r="BL93" i="5"/>
  <c r="BX29" i="5"/>
  <c r="BX21" i="5"/>
  <c r="BL66" i="5"/>
  <c r="CB193" i="5"/>
  <c r="BX193" i="5"/>
  <c r="BX65" i="5"/>
  <c r="BL204" i="5"/>
  <c r="BL12" i="5"/>
  <c r="BL128" i="5"/>
  <c r="BX105" i="5"/>
  <c r="BL87" i="5"/>
  <c r="BL214" i="5"/>
  <c r="BX214" i="5"/>
  <c r="BL211" i="5"/>
  <c r="CB211" i="5"/>
  <c r="BC162" i="5"/>
  <c r="BC90" i="5"/>
  <c r="CB132" i="5"/>
  <c r="BX178" i="5"/>
  <c r="BL41" i="5"/>
  <c r="BX97" i="5"/>
  <c r="D14" i="7"/>
  <c r="CB178" i="5" l="1"/>
  <c r="CB284" i="5" s="1"/>
  <c r="CB253" i="5"/>
  <c r="J41" i="17"/>
  <c r="H51" i="17" s="1"/>
  <c r="H49" i="10"/>
  <c r="BX157" i="5"/>
  <c r="BX281" i="5" s="1"/>
  <c r="CB157" i="5"/>
  <c r="CB281" i="5" s="1"/>
  <c r="AW314" i="5"/>
  <c r="AY328" i="5"/>
  <c r="AV328" i="5"/>
  <c r="AW322" i="5"/>
  <c r="AW331" i="5"/>
  <c r="AW327" i="5"/>
  <c r="AW313" i="5"/>
  <c r="AX323" i="5"/>
  <c r="J24" i="11" s="1"/>
  <c r="AX316" i="5"/>
  <c r="J17" i="11" s="1"/>
  <c r="AX332" i="5"/>
  <c r="J33" i="11" s="1"/>
  <c r="AX325" i="5"/>
  <c r="J26" i="11" s="1"/>
  <c r="AX309" i="5"/>
  <c r="AX317" i="5"/>
  <c r="J18" i="11" s="1"/>
  <c r="AX326" i="5"/>
  <c r="J27" i="11" s="1"/>
  <c r="AX327" i="5"/>
  <c r="J28" i="11" s="1"/>
  <c r="AX322" i="5"/>
  <c r="J23" i="11" s="1"/>
  <c r="AX329" i="5"/>
  <c r="J30" i="11" s="1"/>
  <c r="AX324" i="5"/>
  <c r="J25" i="11" s="1"/>
  <c r="AX314" i="5"/>
  <c r="J15" i="11" s="1"/>
  <c r="AX331" i="5"/>
  <c r="J32" i="11" s="1"/>
  <c r="AX313" i="5"/>
  <c r="J14" i="11" s="1"/>
  <c r="AX307" i="5"/>
  <c r="AX311" i="5"/>
  <c r="J12" i="11" s="1"/>
  <c r="AX318" i="5"/>
  <c r="J19" i="11" s="1"/>
  <c r="AX320" i="5"/>
  <c r="J21" i="11" s="1"/>
  <c r="AX315" i="5"/>
  <c r="J16" i="11" s="1"/>
  <c r="AZ315" i="5"/>
  <c r="AZ311" i="5"/>
  <c r="AZ332" i="5"/>
  <c r="AZ307" i="5"/>
  <c r="AZ308" i="5" s="1"/>
  <c r="AZ314" i="5"/>
  <c r="AZ322" i="5"/>
  <c r="AZ313" i="5"/>
  <c r="AZ331" i="5"/>
  <c r="AZ329" i="5"/>
  <c r="AZ324" i="5"/>
  <c r="AZ323" i="5"/>
  <c r="AZ309" i="5"/>
  <c r="AZ327" i="5"/>
  <c r="AZ326" i="5"/>
  <c r="AZ325" i="5"/>
  <c r="AZ317" i="5"/>
  <c r="AZ316" i="5"/>
  <c r="AZ320" i="5"/>
  <c r="AZ318" i="5"/>
  <c r="AV330" i="5"/>
  <c r="AW324" i="5"/>
  <c r="AW326" i="5"/>
  <c r="AY333" i="5"/>
  <c r="AY330" i="5"/>
  <c r="AW316" i="5"/>
  <c r="AY321" i="5"/>
  <c r="AY319" i="5"/>
  <c r="AW320" i="5"/>
  <c r="AW332" i="5"/>
  <c r="AW325" i="5"/>
  <c r="AW318" i="5"/>
  <c r="AV321" i="5"/>
  <c r="AV333" i="5"/>
  <c r="AW315" i="5"/>
  <c r="AW329" i="5"/>
  <c r="AW317" i="5"/>
  <c r="AW307" i="5"/>
  <c r="AW308" i="5" s="1"/>
  <c r="AV319" i="5"/>
  <c r="AW311" i="5"/>
  <c r="AW323" i="5"/>
  <c r="AW309" i="5"/>
  <c r="BX222" i="5"/>
  <c r="BX288" i="5" s="1"/>
  <c r="BX289" i="5" s="1"/>
  <c r="CB222" i="5"/>
  <c r="CB288" i="5" s="1"/>
  <c r="CB289" i="5" s="1"/>
  <c r="G15" i="23"/>
  <c r="G16" i="23" s="1"/>
  <c r="BX229" i="5"/>
  <c r="BX292" i="5" s="1"/>
  <c r="BX293" i="5" s="1"/>
  <c r="CB229" i="5"/>
  <c r="CB292" i="5" s="1"/>
  <c r="CB293" i="5" s="1"/>
  <c r="J39" i="24"/>
  <c r="J41" i="23"/>
  <c r="G51" i="23" s="1"/>
  <c r="D139" i="10"/>
  <c r="D142" i="10" s="1"/>
  <c r="BO298" i="5"/>
  <c r="BO299" i="5" s="1"/>
  <c r="BL298" i="5"/>
  <c r="BL299" i="5" s="1"/>
  <c r="G136" i="10" s="1"/>
  <c r="G15" i="17"/>
  <c r="J15" i="17" s="1"/>
  <c r="J16" i="17" s="1"/>
  <c r="L16" i="17" s="1"/>
  <c r="BY285" i="5"/>
  <c r="E138" i="10"/>
  <c r="G12" i="24"/>
  <c r="BX298" i="5"/>
  <c r="BX299" i="5" s="1"/>
  <c r="BZ298" i="5"/>
  <c r="BZ299" i="5" s="1"/>
  <c r="M12" i="24"/>
  <c r="M40" i="24" s="1"/>
  <c r="K138" i="10"/>
  <c r="I12" i="24"/>
  <c r="I40" i="24" s="1"/>
  <c r="G138" i="10"/>
  <c r="L12" i="24"/>
  <c r="J138" i="10"/>
  <c r="AC38" i="23"/>
  <c r="AA44" i="23"/>
  <c r="AC44" i="23" s="1"/>
  <c r="F38" i="24"/>
  <c r="F41" i="24" s="1"/>
  <c r="F13" i="24"/>
  <c r="F16" i="24" s="1"/>
  <c r="I136" i="10"/>
  <c r="K10" i="24"/>
  <c r="D117" i="10"/>
  <c r="D120" i="10" s="1"/>
  <c r="G10" i="24"/>
  <c r="E136" i="10"/>
  <c r="AA45" i="23"/>
  <c r="AC45" i="23" s="1"/>
  <c r="AC39" i="23"/>
  <c r="F130" i="10"/>
  <c r="F131" i="10" s="1"/>
  <c r="AC39" i="24"/>
  <c r="AA45" i="24"/>
  <c r="AC45" i="24" s="1"/>
  <c r="BC298" i="5"/>
  <c r="BC299" i="5" s="1"/>
  <c r="BN298" i="5"/>
  <c r="BN299" i="5" s="1"/>
  <c r="G130" i="10"/>
  <c r="G131" i="10" s="1"/>
  <c r="H130" i="10"/>
  <c r="H131" i="10" s="1"/>
  <c r="E131" i="10"/>
  <c r="BB298" i="5"/>
  <c r="BB299" i="5" s="1"/>
  <c r="CB298" i="5"/>
  <c r="CB299" i="5" s="1"/>
  <c r="M12" i="22"/>
  <c r="M40" i="22" s="1"/>
  <c r="K116" i="10"/>
  <c r="I114" i="10"/>
  <c r="K10" i="22"/>
  <c r="L12" i="22"/>
  <c r="J116" i="10"/>
  <c r="E114" i="10"/>
  <c r="G10" i="22"/>
  <c r="I12" i="22"/>
  <c r="I40" i="22" s="1"/>
  <c r="G116" i="10"/>
  <c r="AA39" i="22"/>
  <c r="J39" i="22"/>
  <c r="BZ252" i="5"/>
  <c r="BZ294" i="5" s="1"/>
  <c r="BZ295" i="5" s="1"/>
  <c r="BB294" i="5"/>
  <c r="BB295" i="5" s="1"/>
  <c r="E116" i="10"/>
  <c r="G12" i="22"/>
  <c r="F38" i="22"/>
  <c r="F41" i="22" s="1"/>
  <c r="F13" i="22"/>
  <c r="F16" i="22" s="1"/>
  <c r="BC292" i="5"/>
  <c r="BC293" i="5" s="1"/>
  <c r="BS285" i="5"/>
  <c r="BB290" i="5"/>
  <c r="BB291" i="5" s="1"/>
  <c r="F103" i="10" s="1"/>
  <c r="J39" i="21"/>
  <c r="D95" i="10"/>
  <c r="D98" i="10" s="1"/>
  <c r="BL290" i="5"/>
  <c r="BL291" i="5" s="1"/>
  <c r="I10" i="21" s="1"/>
  <c r="D106" i="10"/>
  <c r="D109" i="10" s="1"/>
  <c r="BB292" i="5"/>
  <c r="BB293" i="5" s="1"/>
  <c r="I12" i="21"/>
  <c r="I40" i="21" s="1"/>
  <c r="G105" i="10"/>
  <c r="G10" i="21"/>
  <c r="E103" i="10"/>
  <c r="I103" i="10"/>
  <c r="K10" i="21"/>
  <c r="F13" i="21"/>
  <c r="F16" i="21" s="1"/>
  <c r="F38" i="21"/>
  <c r="F41" i="21" s="1"/>
  <c r="M12" i="21"/>
  <c r="K105" i="10"/>
  <c r="BX290" i="5"/>
  <c r="BX291" i="5" s="1"/>
  <c r="BZ229" i="5"/>
  <c r="BZ292" i="5" s="1"/>
  <c r="BZ293" i="5" s="1"/>
  <c r="BN292" i="5"/>
  <c r="BN293" i="5" s="1"/>
  <c r="L12" i="21"/>
  <c r="J105" i="10"/>
  <c r="E105" i="10"/>
  <c r="G12" i="21"/>
  <c r="BL292" i="5"/>
  <c r="BL293" i="5" s="1"/>
  <c r="AC39" i="21"/>
  <c r="AA45" i="21"/>
  <c r="AC45" i="21" s="1"/>
  <c r="BO292" i="5"/>
  <c r="BO293" i="5" s="1"/>
  <c r="BO290" i="5"/>
  <c r="BO291" i="5" s="1"/>
  <c r="BZ290" i="5"/>
  <c r="BZ291" i="5" s="1"/>
  <c r="I10" i="20"/>
  <c r="I13" i="20" s="1"/>
  <c r="G92" i="10"/>
  <c r="G95" i="10" s="1"/>
  <c r="BC290" i="5"/>
  <c r="BC291" i="5" s="1"/>
  <c r="AA10" i="20"/>
  <c r="G38" i="20"/>
  <c r="CB290" i="5"/>
  <c r="CB291" i="5" s="1"/>
  <c r="L40" i="20"/>
  <c r="N12" i="20"/>
  <c r="E95" i="10"/>
  <c r="I92" i="10"/>
  <c r="K10" i="20"/>
  <c r="G13" i="20"/>
  <c r="G40" i="20"/>
  <c r="H12" i="20"/>
  <c r="F94" i="10"/>
  <c r="H94" i="10" s="1"/>
  <c r="M40" i="20"/>
  <c r="AC39" i="20"/>
  <c r="AA45" i="20"/>
  <c r="AC45" i="20" s="1"/>
  <c r="D84" i="10"/>
  <c r="D87" i="10" s="1"/>
  <c r="I40" i="20"/>
  <c r="F38" i="20"/>
  <c r="F41" i="20" s="1"/>
  <c r="F13" i="20"/>
  <c r="F16" i="20" s="1"/>
  <c r="H71" i="10"/>
  <c r="E83" i="10"/>
  <c r="G12" i="19"/>
  <c r="BZ222" i="5"/>
  <c r="BZ288" i="5" s="1"/>
  <c r="BZ289" i="5" s="1"/>
  <c r="BB288" i="5"/>
  <c r="BB289" i="5" s="1"/>
  <c r="I81" i="10"/>
  <c r="K10" i="19"/>
  <c r="M12" i="19"/>
  <c r="M40" i="19" s="1"/>
  <c r="K83" i="10"/>
  <c r="G10" i="19"/>
  <c r="E81" i="10"/>
  <c r="L12" i="19"/>
  <c r="J83" i="10"/>
  <c r="AA39" i="19"/>
  <c r="J39" i="19"/>
  <c r="F38" i="19"/>
  <c r="F41" i="19" s="1"/>
  <c r="F13" i="19"/>
  <c r="F16" i="19" s="1"/>
  <c r="I12" i="19"/>
  <c r="I40" i="19" s="1"/>
  <c r="G83" i="10"/>
  <c r="BI285" i="5"/>
  <c r="CB173" i="5"/>
  <c r="CB282" i="5" s="1"/>
  <c r="BV276" i="5"/>
  <c r="BQ285" i="5"/>
  <c r="BU285" i="5"/>
  <c r="BV285" i="5"/>
  <c r="AY285" i="5"/>
  <c r="E70" i="10" s="1"/>
  <c r="CE285" i="5"/>
  <c r="BX129" i="5"/>
  <c r="BX280" i="5" s="1"/>
  <c r="CK285" i="5"/>
  <c r="M12" i="18" s="1"/>
  <c r="CB129" i="5"/>
  <c r="CB280" i="5" s="1"/>
  <c r="CB214" i="5"/>
  <c r="CB286" i="5" s="1"/>
  <c r="CB287" i="5" s="1"/>
  <c r="BK285" i="5"/>
  <c r="CC285" i="5"/>
  <c r="CB125" i="5"/>
  <c r="CB275" i="5" s="1"/>
  <c r="AV285" i="5"/>
  <c r="BF276" i="5"/>
  <c r="BY276" i="5"/>
  <c r="CA276" i="5"/>
  <c r="L12" i="16" s="1"/>
  <c r="CB113" i="5"/>
  <c r="CB272" i="5" s="1"/>
  <c r="BW285" i="5"/>
  <c r="BM285" i="5"/>
  <c r="I12" i="18" s="1"/>
  <c r="I40" i="18" s="1"/>
  <c r="BT285" i="5"/>
  <c r="D50" i="10"/>
  <c r="CG285" i="5"/>
  <c r="BF285" i="5"/>
  <c r="BD285" i="5"/>
  <c r="BX177" i="5"/>
  <c r="BX283" i="5" s="1"/>
  <c r="BA285" i="5"/>
  <c r="I70" i="10" s="1"/>
  <c r="CB177" i="5"/>
  <c r="CB283" i="5" s="1"/>
  <c r="CI285" i="5"/>
  <c r="BP285" i="5"/>
  <c r="BS276" i="5"/>
  <c r="BR285" i="5"/>
  <c r="CA285" i="5"/>
  <c r="L12" i="18" s="1"/>
  <c r="BG285" i="5"/>
  <c r="AU285" i="5"/>
  <c r="BE285" i="5"/>
  <c r="CF285" i="5"/>
  <c r="BJ285" i="5"/>
  <c r="BC286" i="5"/>
  <c r="BC287" i="5" s="1"/>
  <c r="BZ214" i="5"/>
  <c r="BB286" i="5"/>
  <c r="BB287" i="5" s="1"/>
  <c r="F10" i="18"/>
  <c r="D70" i="10"/>
  <c r="BX286" i="5"/>
  <c r="BX287" i="5" s="1"/>
  <c r="BL286" i="5"/>
  <c r="BL287" i="5" s="1"/>
  <c r="D72" i="10"/>
  <c r="F12" i="18"/>
  <c r="F40" i="18" s="1"/>
  <c r="K72" i="10"/>
  <c r="AA39" i="18"/>
  <c r="J39" i="18"/>
  <c r="BO286" i="5"/>
  <c r="BO287" i="5" s="1"/>
  <c r="AZ285" i="5"/>
  <c r="BN286" i="5"/>
  <c r="BN287" i="5" s="1"/>
  <c r="CD285" i="5"/>
  <c r="BH285" i="5"/>
  <c r="BL284" i="5"/>
  <c r="BB284" i="5"/>
  <c r="BZ178" i="5"/>
  <c r="BN284" i="5"/>
  <c r="BC284" i="5"/>
  <c r="BX284" i="5"/>
  <c r="BO284" i="5"/>
  <c r="BH276" i="5"/>
  <c r="CG276" i="5"/>
  <c r="CK276" i="5"/>
  <c r="K50" i="10" s="1"/>
  <c r="AU276" i="5"/>
  <c r="BC282" i="5"/>
  <c r="BR276" i="5"/>
  <c r="J39" i="13"/>
  <c r="BB282" i="5"/>
  <c r="BZ177" i="5"/>
  <c r="BZ283" i="5" s="1"/>
  <c r="BN283" i="5"/>
  <c r="BN282" i="5"/>
  <c r="BO282" i="5"/>
  <c r="BT276" i="5"/>
  <c r="BJ276" i="5"/>
  <c r="E64" i="10"/>
  <c r="H64" i="10" s="1"/>
  <c r="H65" i="10" s="1"/>
  <c r="BE276" i="5"/>
  <c r="BL281" i="5"/>
  <c r="BO281" i="5"/>
  <c r="BC281" i="5"/>
  <c r="BN281" i="5"/>
  <c r="BZ157" i="5"/>
  <c r="BZ281" i="5" s="1"/>
  <c r="BB281" i="5"/>
  <c r="AY276" i="5"/>
  <c r="G10" i="16" s="1"/>
  <c r="CC276" i="5"/>
  <c r="BN280" i="5"/>
  <c r="AV276" i="5"/>
  <c r="CF276" i="5"/>
  <c r="BZ129" i="5"/>
  <c r="BZ280" i="5" s="1"/>
  <c r="BB280" i="5"/>
  <c r="BM276" i="5"/>
  <c r="G50" i="10" s="1"/>
  <c r="BW276" i="5"/>
  <c r="BC280" i="5"/>
  <c r="BO280" i="5"/>
  <c r="BL280" i="5"/>
  <c r="BX62" i="5"/>
  <c r="BX267" i="5" s="1"/>
  <c r="CD276" i="5"/>
  <c r="AA45" i="17"/>
  <c r="AC45" i="17" s="1"/>
  <c r="AC39" i="17"/>
  <c r="BX275" i="5"/>
  <c r="CB14" i="5"/>
  <c r="CB263" i="5" s="1"/>
  <c r="CB264" i="5" s="1"/>
  <c r="BA276" i="5"/>
  <c r="BU276" i="5"/>
  <c r="BD276" i="5"/>
  <c r="F10" i="16"/>
  <c r="D48" i="10"/>
  <c r="BZ275" i="5"/>
  <c r="BG276" i="5"/>
  <c r="AZ276" i="5"/>
  <c r="AA39" i="16"/>
  <c r="J39" i="16"/>
  <c r="BP276" i="5"/>
  <c r="BK276" i="5"/>
  <c r="CE276" i="5"/>
  <c r="CB120" i="5"/>
  <c r="CB274" i="5" s="1"/>
  <c r="BX14" i="5"/>
  <c r="BX263" i="5" s="1"/>
  <c r="BX264" i="5" s="1"/>
  <c r="CB62" i="5"/>
  <c r="CB267" i="5" s="1"/>
  <c r="CI276" i="5"/>
  <c r="BQ276" i="5"/>
  <c r="BI276" i="5"/>
  <c r="BB272" i="5"/>
  <c r="BL275" i="5"/>
  <c r="BL276" i="5" s="1"/>
  <c r="BN275" i="5"/>
  <c r="BC275" i="5"/>
  <c r="BB275" i="5"/>
  <c r="BO274" i="5"/>
  <c r="BN274" i="5"/>
  <c r="BB274" i="5"/>
  <c r="BC274" i="5"/>
  <c r="BX119" i="5"/>
  <c r="BX273" i="5" s="1"/>
  <c r="CB119" i="5"/>
  <c r="CB273" i="5" s="1"/>
  <c r="BZ119" i="5"/>
  <c r="BZ273" i="5" s="1"/>
  <c r="BN273" i="5"/>
  <c r="BC272" i="5"/>
  <c r="BO272" i="5"/>
  <c r="D28" i="10"/>
  <c r="BN272" i="5"/>
  <c r="D26" i="10"/>
  <c r="BX63" i="5"/>
  <c r="BX269" i="5" s="1"/>
  <c r="BX270" i="5" s="1"/>
  <c r="BP269" i="5"/>
  <c r="BP270" i="5" s="1"/>
  <c r="G10" i="15"/>
  <c r="E37" i="10"/>
  <c r="BB269" i="5"/>
  <c r="BB270" i="5" s="1"/>
  <c r="I12" i="15"/>
  <c r="I40" i="15" s="1"/>
  <c r="G39" i="10"/>
  <c r="D40" i="10"/>
  <c r="D43" i="10" s="1"/>
  <c r="AC39" i="15"/>
  <c r="AA45" i="15"/>
  <c r="AC45" i="15" s="1"/>
  <c r="I37" i="10"/>
  <c r="K10" i="15"/>
  <c r="L12" i="15"/>
  <c r="L40" i="15" s="1"/>
  <c r="J39" i="10"/>
  <c r="F38" i="15"/>
  <c r="F41" i="15" s="1"/>
  <c r="F13" i="15"/>
  <c r="F16" i="15" s="1"/>
  <c r="BO269" i="5"/>
  <c r="BO270" i="5" s="1"/>
  <c r="M12" i="15"/>
  <c r="K39" i="10"/>
  <c r="E39" i="10"/>
  <c r="G12" i="15"/>
  <c r="BL269" i="5"/>
  <c r="BL270" i="5" s="1"/>
  <c r="CB269" i="5"/>
  <c r="CB270" i="5" s="1"/>
  <c r="D18" i="10"/>
  <c r="D21" i="10" s="1"/>
  <c r="BZ63" i="5"/>
  <c r="BZ269" i="5" s="1"/>
  <c r="BZ270" i="5" s="1"/>
  <c r="BN269" i="5"/>
  <c r="BN270" i="5" s="1"/>
  <c r="BC269" i="5"/>
  <c r="BC270" i="5" s="1"/>
  <c r="CB54" i="5"/>
  <c r="CB266" i="5" s="1"/>
  <c r="AU268" i="5"/>
  <c r="BX54" i="5"/>
  <c r="BX266" i="5" s="1"/>
  <c r="AV268" i="5"/>
  <c r="K28" i="10"/>
  <c r="M12" i="14"/>
  <c r="M40" i="14" s="1"/>
  <c r="BA268" i="5"/>
  <c r="AA39" i="14"/>
  <c r="J39" i="14"/>
  <c r="G28" i="10"/>
  <c r="I12" i="14"/>
  <c r="I40" i="14" s="1"/>
  <c r="G10" i="14"/>
  <c r="E26" i="10"/>
  <c r="J28" i="10"/>
  <c r="L12" i="14"/>
  <c r="G12" i="14"/>
  <c r="E28" i="10"/>
  <c r="F38" i="14"/>
  <c r="F41" i="14" s="1"/>
  <c r="F13" i="14"/>
  <c r="F16" i="14" s="1"/>
  <c r="BP268" i="5"/>
  <c r="BL266" i="5"/>
  <c r="BL268" i="5" s="1"/>
  <c r="BO266" i="5"/>
  <c r="BO268" i="5" s="1"/>
  <c r="BZ62" i="5"/>
  <c r="BZ267" i="5" s="1"/>
  <c r="BN267" i="5"/>
  <c r="BB266" i="5"/>
  <c r="BB268" i="5" s="1"/>
  <c r="BC266" i="5"/>
  <c r="BC268" i="5" s="1"/>
  <c r="BZ54" i="5"/>
  <c r="BZ266" i="5" s="1"/>
  <c r="BN266" i="5"/>
  <c r="BO263" i="5"/>
  <c r="BO264" i="5" s="1"/>
  <c r="E17" i="10"/>
  <c r="G12" i="13"/>
  <c r="G40" i="13" s="1"/>
  <c r="G10" i="13"/>
  <c r="E15" i="10"/>
  <c r="BC263" i="5"/>
  <c r="BC264" i="5" s="1"/>
  <c r="I12" i="13"/>
  <c r="I40" i="13" s="1"/>
  <c r="G17" i="10"/>
  <c r="BL263" i="5"/>
  <c r="BL264" i="5" s="1"/>
  <c r="F38" i="13"/>
  <c r="F41" i="13" s="1"/>
  <c r="F13" i="13"/>
  <c r="F16" i="13" s="1"/>
  <c r="AC39" i="13"/>
  <c r="AA45" i="13"/>
  <c r="AC45" i="13" s="1"/>
  <c r="I15" i="10"/>
  <c r="K10" i="13"/>
  <c r="L12" i="13"/>
  <c r="J17" i="10"/>
  <c r="BZ14" i="5"/>
  <c r="BZ263" i="5" s="1"/>
  <c r="BZ264" i="5" s="1"/>
  <c r="BB263" i="5"/>
  <c r="BB264" i="5" s="1"/>
  <c r="BN263" i="5"/>
  <c r="BN264" i="5" s="1"/>
  <c r="D7" i="10"/>
  <c r="D10" i="10" s="1"/>
  <c r="K6" i="10"/>
  <c r="M12" i="12"/>
  <c r="M40" i="12" s="1"/>
  <c r="J6" i="10"/>
  <c r="L12" i="12"/>
  <c r="I4" i="10"/>
  <c r="K10" i="12"/>
  <c r="G6" i="10"/>
  <c r="I12" i="12"/>
  <c r="I40" i="12" s="1"/>
  <c r="G10" i="12"/>
  <c r="E4" i="10"/>
  <c r="G12" i="12"/>
  <c r="E6" i="10"/>
  <c r="F13" i="12"/>
  <c r="F16" i="12" s="1"/>
  <c r="F40" i="12"/>
  <c r="F41" i="12" s="1"/>
  <c r="J39" i="12"/>
  <c r="AA39" i="12"/>
  <c r="CB261" i="5"/>
  <c r="CB262" i="5" s="1"/>
  <c r="BZ179" i="5"/>
  <c r="BL261" i="5"/>
  <c r="BL262" i="5" s="1"/>
  <c r="BX261" i="5"/>
  <c r="BX262" i="5" s="1"/>
  <c r="BB261" i="5"/>
  <c r="BB262" i="5" s="1"/>
  <c r="BN261" i="5"/>
  <c r="BN262" i="5" s="1"/>
  <c r="BZ2" i="5"/>
  <c r="BZ261" i="5" s="1"/>
  <c r="BZ262" i="5" s="1"/>
  <c r="BO261" i="5"/>
  <c r="BO262" i="5" s="1"/>
  <c r="BZ218" i="5"/>
  <c r="BC261" i="5"/>
  <c r="BC262" i="5" s="1"/>
  <c r="AB10" i="9"/>
  <c r="AX308" i="5" l="1"/>
  <c r="J8" i="11"/>
  <c r="AX310" i="5"/>
  <c r="J11" i="11" s="1"/>
  <c r="J10" i="11"/>
  <c r="G51" i="17"/>
  <c r="J51" i="17" s="1"/>
  <c r="J52" i="17" s="1"/>
  <c r="J56" i="17" s="1"/>
  <c r="J60" i="17" s="1"/>
  <c r="K44" i="17" s="1"/>
  <c r="I51" i="17"/>
  <c r="I43" i="17" s="1"/>
  <c r="AX333" i="5"/>
  <c r="J34" i="11" s="1"/>
  <c r="AX319" i="5"/>
  <c r="J20" i="11" s="1"/>
  <c r="AW312" i="5"/>
  <c r="AW330" i="5"/>
  <c r="BA327" i="5"/>
  <c r="M28" i="11" s="1"/>
  <c r="BA316" i="5"/>
  <c r="M17" i="11" s="1"/>
  <c r="AW319" i="5"/>
  <c r="AZ321" i="5"/>
  <c r="AX321" i="5"/>
  <c r="J22" i="11" s="1"/>
  <c r="AX328" i="5"/>
  <c r="J29" i="11" s="1"/>
  <c r="AW333" i="5"/>
  <c r="AW310" i="5"/>
  <c r="AZ310" i="5"/>
  <c r="AW328" i="5"/>
  <c r="BA313" i="5"/>
  <c r="M14" i="11" s="1"/>
  <c r="BA326" i="5"/>
  <c r="M27" i="11" s="1"/>
  <c r="AZ333" i="5"/>
  <c r="BA324" i="5"/>
  <c r="M25" i="11" s="1"/>
  <c r="AZ319" i="5"/>
  <c r="AX312" i="5"/>
  <c r="J13" i="11" s="1"/>
  <c r="BA315" i="5"/>
  <c r="M16" i="11" s="1"/>
  <c r="BA325" i="5"/>
  <c r="M26" i="11" s="1"/>
  <c r="BA322" i="5"/>
  <c r="M23" i="11" s="1"/>
  <c r="BA309" i="5"/>
  <c r="AW321" i="5"/>
  <c r="BA311" i="5"/>
  <c r="M12" i="11" s="1"/>
  <c r="BA317" i="5"/>
  <c r="M18" i="11" s="1"/>
  <c r="BA332" i="5"/>
  <c r="M33" i="11" s="1"/>
  <c r="BA320" i="5"/>
  <c r="M21" i="11" s="1"/>
  <c r="BA314" i="5"/>
  <c r="M15" i="11" s="1"/>
  <c r="AZ312" i="5"/>
  <c r="BA318" i="5"/>
  <c r="M19" i="11" s="1"/>
  <c r="BA307" i="5"/>
  <c r="BA329" i="5"/>
  <c r="M30" i="11" s="1"/>
  <c r="BA331" i="5"/>
  <c r="M32" i="11" s="1"/>
  <c r="BA323" i="5"/>
  <c r="M24" i="11" s="1"/>
  <c r="AZ330" i="5"/>
  <c r="AZ328" i="5"/>
  <c r="AX330" i="5"/>
  <c r="J31" i="11" s="1"/>
  <c r="J15" i="23"/>
  <c r="J16" i="23" s="1"/>
  <c r="L16" i="23" s="1"/>
  <c r="I15" i="23"/>
  <c r="I16" i="23" s="1"/>
  <c r="K10" i="18"/>
  <c r="G16" i="17"/>
  <c r="J65" i="10"/>
  <c r="I15" i="17"/>
  <c r="I16" i="17" s="1"/>
  <c r="J50" i="10"/>
  <c r="L50" i="10" s="1"/>
  <c r="I51" i="23"/>
  <c r="H51" i="23"/>
  <c r="L138" i="10"/>
  <c r="I10" i="24"/>
  <c r="I13" i="24" s="1"/>
  <c r="F136" i="10"/>
  <c r="H136" i="10" s="1"/>
  <c r="H10" i="24"/>
  <c r="F43" i="24"/>
  <c r="F44" i="24"/>
  <c r="F45" i="24"/>
  <c r="G43" i="23"/>
  <c r="J43" i="23" s="1"/>
  <c r="G52" i="23"/>
  <c r="G56" i="23" s="1"/>
  <c r="G60" i="23" s="1"/>
  <c r="J51" i="23"/>
  <c r="J52" i="23" s="1"/>
  <c r="J56" i="23" s="1"/>
  <c r="J60" i="23" s="1"/>
  <c r="E139" i="10"/>
  <c r="L10" i="24"/>
  <c r="J136" i="10"/>
  <c r="AA10" i="24"/>
  <c r="G13" i="24"/>
  <c r="G38" i="24"/>
  <c r="G40" i="24"/>
  <c r="F138" i="10"/>
  <c r="H138" i="10" s="1"/>
  <c r="H12" i="24"/>
  <c r="H40" i="24" s="1"/>
  <c r="L40" i="24"/>
  <c r="N40" i="24" s="1"/>
  <c r="N12" i="24"/>
  <c r="G139" i="10"/>
  <c r="L116" i="10"/>
  <c r="H12" i="22"/>
  <c r="H40" i="22" s="1"/>
  <c r="F116" i="10"/>
  <c r="H116" i="10" s="1"/>
  <c r="G40" i="22"/>
  <c r="G38" i="22"/>
  <c r="AA10" i="22"/>
  <c r="G13" i="22"/>
  <c r="F114" i="10"/>
  <c r="H10" i="22"/>
  <c r="E117" i="10"/>
  <c r="L10" i="22"/>
  <c r="J114" i="10"/>
  <c r="N12" i="22"/>
  <c r="L40" i="22"/>
  <c r="N40" i="22" s="1"/>
  <c r="I10" i="22"/>
  <c r="G114" i="10"/>
  <c r="G117" i="10" s="1"/>
  <c r="AA45" i="22"/>
  <c r="AC45" i="22" s="1"/>
  <c r="AC39" i="22"/>
  <c r="F43" i="22"/>
  <c r="F44" i="22"/>
  <c r="F45" i="22"/>
  <c r="H10" i="21"/>
  <c r="J10" i="21" s="1"/>
  <c r="G103" i="10"/>
  <c r="G106" i="10" s="1"/>
  <c r="L83" i="10"/>
  <c r="L10" i="21"/>
  <c r="L13" i="21" s="1"/>
  <c r="J103" i="10"/>
  <c r="G40" i="21"/>
  <c r="E106" i="10"/>
  <c r="L105" i="10"/>
  <c r="AA10" i="21"/>
  <c r="G38" i="21"/>
  <c r="G13" i="21"/>
  <c r="N12" i="21"/>
  <c r="L40" i="21"/>
  <c r="M40" i="21"/>
  <c r="H12" i="21"/>
  <c r="H40" i="21" s="1"/>
  <c r="F105" i="10"/>
  <c r="F106" i="10" s="1"/>
  <c r="F43" i="21"/>
  <c r="F45" i="21"/>
  <c r="F44" i="21"/>
  <c r="I38" i="21"/>
  <c r="I13" i="21"/>
  <c r="N40" i="20"/>
  <c r="L10" i="20"/>
  <c r="J92" i="10"/>
  <c r="F43" i="20"/>
  <c r="F44" i="20"/>
  <c r="F45" i="20"/>
  <c r="G41" i="20"/>
  <c r="AA38" i="20"/>
  <c r="H40" i="20"/>
  <c r="J40" i="20" s="1"/>
  <c r="J12" i="20"/>
  <c r="F92" i="10"/>
  <c r="H92" i="10" s="1"/>
  <c r="H10" i="20"/>
  <c r="H13" i="20" s="1"/>
  <c r="I38" i="20"/>
  <c r="H12" i="19"/>
  <c r="H40" i="19" s="1"/>
  <c r="F83" i="10"/>
  <c r="H83" i="10" s="1"/>
  <c r="F43" i="19"/>
  <c r="F44" i="19"/>
  <c r="F45" i="19"/>
  <c r="G81" i="10"/>
  <c r="G84" i="10" s="1"/>
  <c r="I10" i="19"/>
  <c r="AA45" i="19"/>
  <c r="AC45" i="19" s="1"/>
  <c r="AC39" i="19"/>
  <c r="L40" i="19"/>
  <c r="N40" i="19" s="1"/>
  <c r="N12" i="19"/>
  <c r="E84" i="10"/>
  <c r="G13" i="19"/>
  <c r="G40" i="19"/>
  <c r="F81" i="10"/>
  <c r="H10" i="19"/>
  <c r="AA10" i="19"/>
  <c r="G38" i="19"/>
  <c r="G72" i="10"/>
  <c r="M12" i="16"/>
  <c r="N12" i="16" s="1"/>
  <c r="G64" i="10"/>
  <c r="G65" i="10" s="1"/>
  <c r="G10" i="18"/>
  <c r="G38" i="18" s="1"/>
  <c r="CB285" i="5"/>
  <c r="D51" i="10"/>
  <c r="D54" i="10" s="1"/>
  <c r="D73" i="10"/>
  <c r="D76" i="10" s="1"/>
  <c r="J72" i="10"/>
  <c r="L72" i="10" s="1"/>
  <c r="E65" i="10"/>
  <c r="AA45" i="18"/>
  <c r="AC45" i="18" s="1"/>
  <c r="AC39" i="18"/>
  <c r="M40" i="18"/>
  <c r="BB285" i="5"/>
  <c r="E72" i="10"/>
  <c r="E73" i="10" s="1"/>
  <c r="G12" i="18"/>
  <c r="F13" i="18"/>
  <c r="F16" i="18" s="1"/>
  <c r="F38" i="18"/>
  <c r="F41" i="18" s="1"/>
  <c r="N12" i="18"/>
  <c r="L40" i="18"/>
  <c r="BL285" i="5"/>
  <c r="BZ286" i="5"/>
  <c r="BZ287" i="5" s="1"/>
  <c r="BX285" i="5"/>
  <c r="BO285" i="5"/>
  <c r="BN285" i="5"/>
  <c r="BC285" i="5"/>
  <c r="CB268" i="5"/>
  <c r="BZ284" i="5"/>
  <c r="BZ285" i="5" s="1"/>
  <c r="BX276" i="5"/>
  <c r="BX268" i="5"/>
  <c r="I12" i="16"/>
  <c r="I40" i="16" s="1"/>
  <c r="BC276" i="5"/>
  <c r="H12" i="16" s="1"/>
  <c r="H40" i="16" s="1"/>
  <c r="E48" i="10"/>
  <c r="L28" i="10"/>
  <c r="I52" i="17"/>
  <c r="I56" i="17" s="1"/>
  <c r="I60" i="17" s="1"/>
  <c r="I67" i="17" s="1"/>
  <c r="I45" i="17" s="1"/>
  <c r="BZ276" i="5"/>
  <c r="L10" i="16" s="1"/>
  <c r="L38" i="16" s="1"/>
  <c r="H43" i="17"/>
  <c r="H52" i="17"/>
  <c r="H56" i="17" s="1"/>
  <c r="H60" i="17" s="1"/>
  <c r="CB276" i="5"/>
  <c r="G12" i="16"/>
  <c r="E50" i="10"/>
  <c r="L40" i="16"/>
  <c r="F38" i="16"/>
  <c r="F41" i="16" s="1"/>
  <c r="F13" i="16"/>
  <c r="F16" i="16" s="1"/>
  <c r="I48" i="10"/>
  <c r="K10" i="16"/>
  <c r="G48" i="10"/>
  <c r="G51" i="10" s="1"/>
  <c r="I10" i="16"/>
  <c r="AA10" i="16"/>
  <c r="G38" i="16"/>
  <c r="AC39" i="16"/>
  <c r="AA45" i="16"/>
  <c r="AC45" i="16" s="1"/>
  <c r="BN276" i="5"/>
  <c r="BO276" i="5"/>
  <c r="BB276" i="5"/>
  <c r="D29" i="10"/>
  <c r="D32" i="10" s="1"/>
  <c r="L39" i="10"/>
  <c r="L10" i="15"/>
  <c r="J37" i="10"/>
  <c r="F43" i="15"/>
  <c r="F44" i="15"/>
  <c r="F45" i="15"/>
  <c r="G37" i="10"/>
  <c r="G40" i="10" s="1"/>
  <c r="I10" i="15"/>
  <c r="G40" i="15"/>
  <c r="F37" i="10"/>
  <c r="H10" i="15"/>
  <c r="E40" i="10"/>
  <c r="H12" i="15"/>
  <c r="H40" i="15" s="1"/>
  <c r="F39" i="10"/>
  <c r="H39" i="10" s="1"/>
  <c r="N12" i="15"/>
  <c r="M40" i="15"/>
  <c r="N40" i="15" s="1"/>
  <c r="AA10" i="15"/>
  <c r="G38" i="15"/>
  <c r="G13" i="15"/>
  <c r="L6" i="10"/>
  <c r="BZ268" i="5"/>
  <c r="J26" i="10" s="1"/>
  <c r="H10" i="14"/>
  <c r="F26" i="10"/>
  <c r="G38" i="14"/>
  <c r="G13" i="14"/>
  <c r="AA10" i="14"/>
  <c r="F44" i="14"/>
  <c r="F43" i="14"/>
  <c r="F45" i="14"/>
  <c r="G26" i="10"/>
  <c r="G29" i="10" s="1"/>
  <c r="I10" i="14"/>
  <c r="G40" i="14"/>
  <c r="AC39" i="14"/>
  <c r="AA45" i="14"/>
  <c r="AC45" i="14" s="1"/>
  <c r="L40" i="14"/>
  <c r="N40" i="14" s="1"/>
  <c r="N12" i="14"/>
  <c r="I26" i="10"/>
  <c r="K10" i="14"/>
  <c r="H12" i="14"/>
  <c r="H40" i="14" s="1"/>
  <c r="F28" i="10"/>
  <c r="E29" i="10"/>
  <c r="BN268" i="5"/>
  <c r="L40" i="13"/>
  <c r="F15" i="10"/>
  <c r="H10" i="13"/>
  <c r="L10" i="13"/>
  <c r="J15" i="10"/>
  <c r="F17" i="10"/>
  <c r="H12" i="13"/>
  <c r="E18" i="10"/>
  <c r="G38" i="13"/>
  <c r="AA10" i="13"/>
  <c r="G13" i="13"/>
  <c r="F43" i="13"/>
  <c r="F44" i="13"/>
  <c r="F45" i="13"/>
  <c r="G15" i="10"/>
  <c r="G18" i="10" s="1"/>
  <c r="I10" i="13"/>
  <c r="F43" i="12"/>
  <c r="F44" i="12"/>
  <c r="F45" i="12"/>
  <c r="J4" i="10"/>
  <c r="L10" i="12"/>
  <c r="H10" i="12"/>
  <c r="F4" i="10"/>
  <c r="N12" i="12"/>
  <c r="L40" i="12"/>
  <c r="N40" i="12" s="1"/>
  <c r="G13" i="12"/>
  <c r="G40" i="12"/>
  <c r="G4" i="10"/>
  <c r="G7" i="10" s="1"/>
  <c r="I10" i="12"/>
  <c r="E7" i="10"/>
  <c r="AC39" i="12"/>
  <c r="AA45" i="12"/>
  <c r="AC45" i="12" s="1"/>
  <c r="H12" i="12"/>
  <c r="H40" i="12" s="1"/>
  <c r="F6" i="10"/>
  <c r="AA10" i="12"/>
  <c r="G38" i="12"/>
  <c r="AA11" i="9"/>
  <c r="AC11" i="9"/>
  <c r="AA10" i="9"/>
  <c r="BA310" i="5" l="1"/>
  <c r="M11" i="11" s="1"/>
  <c r="M10" i="11"/>
  <c r="BA308" i="5"/>
  <c r="M8" i="11"/>
  <c r="AX335" i="5"/>
  <c r="J9" i="11"/>
  <c r="G43" i="17"/>
  <c r="J43" i="17" s="1"/>
  <c r="K43" i="17" s="1"/>
  <c r="J67" i="17"/>
  <c r="M72" i="17" s="1"/>
  <c r="G52" i="17"/>
  <c r="G56" i="17" s="1"/>
  <c r="G60" i="17" s="1"/>
  <c r="G44" i="17" s="1"/>
  <c r="J44" i="17" s="1"/>
  <c r="BA333" i="5"/>
  <c r="M34" i="11" s="1"/>
  <c r="BA330" i="5"/>
  <c r="M31" i="11" s="1"/>
  <c r="BA328" i="5"/>
  <c r="M29" i="11" s="1"/>
  <c r="BA321" i="5"/>
  <c r="M22" i="11" s="1"/>
  <c r="BA319" i="5"/>
  <c r="M20" i="11" s="1"/>
  <c r="BA312" i="5"/>
  <c r="M13" i="11" s="1"/>
  <c r="J131" i="10"/>
  <c r="I38" i="24"/>
  <c r="I41" i="24" s="1"/>
  <c r="K43" i="23"/>
  <c r="F139" i="10"/>
  <c r="H139" i="10" s="1"/>
  <c r="F141" i="10" s="1"/>
  <c r="F142" i="10" s="1"/>
  <c r="I52" i="23"/>
  <c r="I56" i="23" s="1"/>
  <c r="I60" i="23" s="1"/>
  <c r="I43" i="23"/>
  <c r="H43" i="23"/>
  <c r="H52" i="23"/>
  <c r="H56" i="23" s="1"/>
  <c r="H60" i="23" s="1"/>
  <c r="J12" i="24"/>
  <c r="J40" i="24"/>
  <c r="G41" i="24"/>
  <c r="AA38" i="24"/>
  <c r="G44" i="23"/>
  <c r="J44" i="23" s="1"/>
  <c r="G67" i="23"/>
  <c r="J139" i="10"/>
  <c r="L38" i="24"/>
  <c r="L41" i="24" s="1"/>
  <c r="L13" i="24"/>
  <c r="H38" i="24"/>
  <c r="H41" i="24" s="1"/>
  <c r="H13" i="24"/>
  <c r="J13" i="24" s="1"/>
  <c r="J10" i="24"/>
  <c r="J67" i="23"/>
  <c r="K44" i="23"/>
  <c r="J40" i="22"/>
  <c r="F117" i="10"/>
  <c r="H117" i="10" s="1"/>
  <c r="E119" i="10" s="1"/>
  <c r="J10" i="22"/>
  <c r="I38" i="22"/>
  <c r="I13" i="22"/>
  <c r="H114" i="10"/>
  <c r="H38" i="21"/>
  <c r="J38" i="21" s="1"/>
  <c r="J117" i="10"/>
  <c r="AA38" i="22"/>
  <c r="G41" i="22"/>
  <c r="L38" i="22"/>
  <c r="L13" i="22"/>
  <c r="J12" i="22"/>
  <c r="H38" i="22"/>
  <c r="H41" i="22" s="1"/>
  <c r="H13" i="22"/>
  <c r="H103" i="10"/>
  <c r="J40" i="21"/>
  <c r="N40" i="21"/>
  <c r="AA10" i="18"/>
  <c r="H13" i="21"/>
  <c r="J10" i="19"/>
  <c r="H105" i="10"/>
  <c r="AA38" i="21"/>
  <c r="G41" i="21"/>
  <c r="H106" i="10"/>
  <c r="E108" i="10" s="1"/>
  <c r="J12" i="21"/>
  <c r="I41" i="21"/>
  <c r="J106" i="10"/>
  <c r="L38" i="21"/>
  <c r="J13" i="20"/>
  <c r="G15" i="20" s="1"/>
  <c r="I41" i="20"/>
  <c r="H38" i="20"/>
  <c r="J10" i="20"/>
  <c r="F95" i="10"/>
  <c r="AA44" i="20"/>
  <c r="J95" i="10"/>
  <c r="L38" i="20"/>
  <c r="L13" i="20"/>
  <c r="H81" i="10"/>
  <c r="G41" i="19"/>
  <c r="J40" i="19"/>
  <c r="M40" i="16"/>
  <c r="N40" i="16" s="1"/>
  <c r="J12" i="19"/>
  <c r="I13" i="19"/>
  <c r="I38" i="19"/>
  <c r="AA38" i="19"/>
  <c r="L10" i="19"/>
  <c r="J81" i="10"/>
  <c r="H13" i="19"/>
  <c r="H38" i="19"/>
  <c r="H41" i="19" s="1"/>
  <c r="F84" i="10"/>
  <c r="G13" i="18"/>
  <c r="N40" i="18"/>
  <c r="F43" i="18"/>
  <c r="F44" i="18"/>
  <c r="F45" i="18"/>
  <c r="F70" i="10"/>
  <c r="H10" i="18"/>
  <c r="I10" i="18"/>
  <c r="G70" i="10"/>
  <c r="G73" i="10" s="1"/>
  <c r="AA38" i="18"/>
  <c r="L10" i="18"/>
  <c r="J70" i="10"/>
  <c r="H12" i="18"/>
  <c r="H40" i="18" s="1"/>
  <c r="F72" i="10"/>
  <c r="G40" i="18"/>
  <c r="F50" i="10"/>
  <c r="H50" i="10" s="1"/>
  <c r="E51" i="10"/>
  <c r="J48" i="10"/>
  <c r="J51" i="10" s="1"/>
  <c r="I44" i="17"/>
  <c r="F18" i="10"/>
  <c r="H18" i="10" s="1"/>
  <c r="F20" i="10" s="1"/>
  <c r="F21" i="10" s="1"/>
  <c r="G67" i="17"/>
  <c r="G45" i="17" s="1"/>
  <c r="J45" i="17" s="1"/>
  <c r="K46" i="17" s="1"/>
  <c r="H44" i="17"/>
  <c r="H67" i="17"/>
  <c r="O72" i="17"/>
  <c r="K45" i="17"/>
  <c r="G72" i="17"/>
  <c r="I69" i="17"/>
  <c r="J69" i="17" s="1"/>
  <c r="G73" i="17"/>
  <c r="I73" i="17" s="1"/>
  <c r="J73" i="17" s="1"/>
  <c r="L13" i="16"/>
  <c r="G40" i="16"/>
  <c r="J40" i="16" s="1"/>
  <c r="J12" i="16"/>
  <c r="G13" i="16"/>
  <c r="AA38" i="16"/>
  <c r="F43" i="16"/>
  <c r="F44" i="16"/>
  <c r="F45" i="16"/>
  <c r="F48" i="10"/>
  <c r="H48" i="10" s="1"/>
  <c r="H10" i="16"/>
  <c r="I13" i="16"/>
  <c r="I38" i="16"/>
  <c r="L41" i="16"/>
  <c r="F29" i="10"/>
  <c r="H29" i="10" s="1"/>
  <c r="F31" i="10" s="1"/>
  <c r="F32" i="10" s="1"/>
  <c r="J10" i="15"/>
  <c r="J10" i="14"/>
  <c r="L10" i="14"/>
  <c r="L38" i="14" s="1"/>
  <c r="H37" i="10"/>
  <c r="J12" i="15"/>
  <c r="I38" i="15"/>
  <c r="I41" i="15" s="1"/>
  <c r="I13" i="15"/>
  <c r="G41" i="15"/>
  <c r="AA38" i="15"/>
  <c r="H38" i="15"/>
  <c r="H41" i="15" s="1"/>
  <c r="H13" i="15"/>
  <c r="F40" i="10"/>
  <c r="J40" i="10"/>
  <c r="J40" i="15"/>
  <c r="L38" i="15"/>
  <c r="L13" i="15"/>
  <c r="H17" i="10"/>
  <c r="J12" i="14"/>
  <c r="J29" i="10"/>
  <c r="J40" i="14"/>
  <c r="I13" i="14"/>
  <c r="I38" i="14"/>
  <c r="G41" i="14"/>
  <c r="AA38" i="14"/>
  <c r="H26" i="10"/>
  <c r="H28" i="10"/>
  <c r="H38" i="14"/>
  <c r="H41" i="14" s="1"/>
  <c r="H13" i="14"/>
  <c r="H15" i="10"/>
  <c r="J18" i="10"/>
  <c r="L38" i="13"/>
  <c r="L13" i="13"/>
  <c r="AA38" i="13"/>
  <c r="G41" i="13"/>
  <c r="H38" i="13"/>
  <c r="H13" i="13"/>
  <c r="J10" i="13"/>
  <c r="H4" i="10"/>
  <c r="I38" i="13"/>
  <c r="I13" i="13"/>
  <c r="J12" i="13"/>
  <c r="H40" i="13"/>
  <c r="J40" i="13" s="1"/>
  <c r="J10" i="12"/>
  <c r="F7" i="10"/>
  <c r="H7" i="10" s="1"/>
  <c r="F9" i="10" s="1"/>
  <c r="F10" i="10" s="1"/>
  <c r="J12" i="12"/>
  <c r="G41" i="12"/>
  <c r="AA38" i="12"/>
  <c r="H6" i="10"/>
  <c r="I13" i="12"/>
  <c r="I38" i="12"/>
  <c r="H13" i="12"/>
  <c r="H38" i="12"/>
  <c r="H41" i="12" s="1"/>
  <c r="J40" i="12"/>
  <c r="J7" i="10"/>
  <c r="L38" i="12"/>
  <c r="L13" i="12"/>
  <c r="AC10" i="9"/>
  <c r="BA335" i="5" l="1"/>
  <c r="M9" i="11"/>
  <c r="AX343" i="5"/>
  <c r="J44" i="11" s="1"/>
  <c r="J36" i="11"/>
  <c r="H68" i="17"/>
  <c r="J68" i="17" s="1"/>
  <c r="H41" i="21"/>
  <c r="H44" i="23"/>
  <c r="H67" i="23"/>
  <c r="I67" i="23"/>
  <c r="I45" i="23" s="1"/>
  <c r="I44" i="23"/>
  <c r="H15" i="24"/>
  <c r="H16" i="24" s="1"/>
  <c r="G15" i="24"/>
  <c r="J13" i="22"/>
  <c r="H15" i="22" s="1"/>
  <c r="H16" i="22" s="1"/>
  <c r="E141" i="10"/>
  <c r="J41" i="21"/>
  <c r="G51" i="21" s="1"/>
  <c r="G43" i="21" s="1"/>
  <c r="K45" i="23"/>
  <c r="I69" i="23"/>
  <c r="J69" i="23" s="1"/>
  <c r="G72" i="23"/>
  <c r="H68" i="23"/>
  <c r="J68" i="23" s="1"/>
  <c r="G73" i="23"/>
  <c r="I73" i="23" s="1"/>
  <c r="J73" i="23" s="1"/>
  <c r="O72" i="23"/>
  <c r="M72" i="23"/>
  <c r="G45" i="23"/>
  <c r="J45" i="23" s="1"/>
  <c r="K46" i="23" s="1"/>
  <c r="G75" i="23"/>
  <c r="G80" i="23" s="1"/>
  <c r="AA44" i="24"/>
  <c r="J38" i="24"/>
  <c r="J41" i="24" s="1"/>
  <c r="H51" i="24" s="1"/>
  <c r="G119" i="10"/>
  <c r="G120" i="10" s="1"/>
  <c r="E120" i="10"/>
  <c r="L41" i="22"/>
  <c r="J38" i="22"/>
  <c r="J41" i="22" s="1"/>
  <c r="H51" i="22" s="1"/>
  <c r="F119" i="10"/>
  <c r="F120" i="10" s="1"/>
  <c r="I41" i="22"/>
  <c r="AA44" i="22"/>
  <c r="J13" i="21"/>
  <c r="G15" i="21" s="1"/>
  <c r="G16" i="21" s="1"/>
  <c r="G108" i="10"/>
  <c r="G109" i="10" s="1"/>
  <c r="E109" i="10"/>
  <c r="L41" i="21"/>
  <c r="AA44" i="21"/>
  <c r="F108" i="10"/>
  <c r="F109" i="10" s="1"/>
  <c r="H15" i="20"/>
  <c r="H16" i="20" s="1"/>
  <c r="G16" i="20"/>
  <c r="I15" i="20"/>
  <c r="I16" i="20" s="1"/>
  <c r="H95" i="10"/>
  <c r="E97" i="10" s="1"/>
  <c r="H41" i="20"/>
  <c r="J38" i="20"/>
  <c r="J41" i="20" s="1"/>
  <c r="G51" i="20" s="1"/>
  <c r="L41" i="20"/>
  <c r="J13" i="19"/>
  <c r="H15" i="19" s="1"/>
  <c r="H16" i="19" s="1"/>
  <c r="J84" i="10"/>
  <c r="L13" i="19"/>
  <c r="L38" i="19"/>
  <c r="I41" i="19"/>
  <c r="H84" i="10"/>
  <c r="E86" i="10" s="1"/>
  <c r="AA44" i="19"/>
  <c r="J38" i="19"/>
  <c r="J41" i="19" s="1"/>
  <c r="F73" i="10"/>
  <c r="H73" i="10" s="1"/>
  <c r="E75" i="10" s="1"/>
  <c r="J40" i="18"/>
  <c r="J12" i="18"/>
  <c r="H13" i="18"/>
  <c r="H38" i="18"/>
  <c r="J10" i="18"/>
  <c r="AA44" i="18"/>
  <c r="J73" i="10"/>
  <c r="H70" i="10"/>
  <c r="L38" i="18"/>
  <c r="L13" i="18"/>
  <c r="G41" i="18"/>
  <c r="H72" i="10"/>
  <c r="I38" i="18"/>
  <c r="I13" i="18"/>
  <c r="J13" i="14"/>
  <c r="G15" i="14" s="1"/>
  <c r="G75" i="17"/>
  <c r="G80" i="17" s="1"/>
  <c r="H75" i="17"/>
  <c r="H80" i="17" s="1"/>
  <c r="H45" i="17"/>
  <c r="J72" i="17"/>
  <c r="J75" i="17" s="1"/>
  <c r="J80" i="17" s="1"/>
  <c r="I41" i="16"/>
  <c r="G41" i="16"/>
  <c r="L13" i="14"/>
  <c r="J10" i="16"/>
  <c r="H13" i="16"/>
  <c r="J13" i="16" s="1"/>
  <c r="H38" i="16"/>
  <c r="AA44" i="16"/>
  <c r="F51" i="10"/>
  <c r="J38" i="15"/>
  <c r="J41" i="15" s="1"/>
  <c r="J13" i="15"/>
  <c r="G15" i="15" s="1"/>
  <c r="H40" i="10"/>
  <c r="E42" i="10" s="1"/>
  <c r="AA44" i="15"/>
  <c r="L41" i="15"/>
  <c r="E31" i="10"/>
  <c r="G31" i="10" s="1"/>
  <c r="G32" i="10" s="1"/>
  <c r="AA44" i="14"/>
  <c r="J13" i="13"/>
  <c r="H15" i="13" s="1"/>
  <c r="H16" i="13" s="1"/>
  <c r="J38" i="14"/>
  <c r="J41" i="14" s="1"/>
  <c r="G51" i="14" s="1"/>
  <c r="L41" i="14"/>
  <c r="I41" i="14"/>
  <c r="L41" i="13"/>
  <c r="H41" i="13"/>
  <c r="E20" i="10"/>
  <c r="J38" i="13"/>
  <c r="J41" i="13" s="1"/>
  <c r="G51" i="13" s="1"/>
  <c r="AA44" i="13"/>
  <c r="I41" i="13"/>
  <c r="E9" i="10"/>
  <c r="E10" i="10" s="1"/>
  <c r="J13" i="12"/>
  <c r="H15" i="12" s="1"/>
  <c r="H16" i="12" s="1"/>
  <c r="I41" i="12"/>
  <c r="L41" i="12"/>
  <c r="J38" i="12"/>
  <c r="J41" i="12" s="1"/>
  <c r="H51" i="12" s="1"/>
  <c r="AA44" i="12"/>
  <c r="E73" i="9"/>
  <c r="E72" i="9"/>
  <c r="M36" i="11" l="1"/>
  <c r="BA343" i="5"/>
  <c r="M44" i="11" s="1"/>
  <c r="G15" i="22"/>
  <c r="I15" i="22" s="1"/>
  <c r="I16" i="22" s="1"/>
  <c r="H45" i="23"/>
  <c r="H75" i="23"/>
  <c r="H80" i="23" s="1"/>
  <c r="I51" i="24"/>
  <c r="I43" i="24" s="1"/>
  <c r="G51" i="24"/>
  <c r="G43" i="24" s="1"/>
  <c r="H51" i="21"/>
  <c r="H43" i="21" s="1"/>
  <c r="J72" i="23"/>
  <c r="J75" i="23" s="1"/>
  <c r="J80" i="23" s="1"/>
  <c r="G16" i="24"/>
  <c r="I15" i="24"/>
  <c r="I16" i="24" s="1"/>
  <c r="I51" i="21"/>
  <c r="I52" i="21" s="1"/>
  <c r="I56" i="21" s="1"/>
  <c r="I60" i="21" s="1"/>
  <c r="I67" i="21" s="1"/>
  <c r="G141" i="10"/>
  <c r="G142" i="10" s="1"/>
  <c r="E142" i="10"/>
  <c r="H43" i="24"/>
  <c r="H52" i="24"/>
  <c r="H56" i="24" s="1"/>
  <c r="H60" i="24" s="1"/>
  <c r="G51" i="22"/>
  <c r="G43" i="22" s="1"/>
  <c r="H52" i="22"/>
  <c r="H56" i="22" s="1"/>
  <c r="H60" i="22" s="1"/>
  <c r="H43" i="22"/>
  <c r="H119" i="10"/>
  <c r="H120" i="10" s="1"/>
  <c r="I51" i="22"/>
  <c r="G52" i="21"/>
  <c r="G56" i="21" s="1"/>
  <c r="G60" i="21" s="1"/>
  <c r="G44" i="21" s="1"/>
  <c r="H108" i="10"/>
  <c r="H109" i="10" s="1"/>
  <c r="I15" i="21"/>
  <c r="I16" i="21" s="1"/>
  <c r="H15" i="21"/>
  <c r="H16" i="21" s="1"/>
  <c r="F97" i="10"/>
  <c r="F98" i="10" s="1"/>
  <c r="I51" i="19"/>
  <c r="I43" i="19" s="1"/>
  <c r="G43" i="20"/>
  <c r="G52" i="20"/>
  <c r="G56" i="20" s="1"/>
  <c r="G60" i="20" s="1"/>
  <c r="H51" i="20"/>
  <c r="G97" i="10"/>
  <c r="G98" i="10" s="1"/>
  <c r="E98" i="10"/>
  <c r="G15" i="19"/>
  <c r="I15" i="19" s="1"/>
  <c r="I16" i="19" s="1"/>
  <c r="I51" i="20"/>
  <c r="J15" i="20"/>
  <c r="J16" i="20" s="1"/>
  <c r="F86" i="10"/>
  <c r="F87" i="10" s="1"/>
  <c r="G51" i="19"/>
  <c r="H51" i="19"/>
  <c r="L41" i="19"/>
  <c r="G86" i="10"/>
  <c r="G87" i="10" s="1"/>
  <c r="E87" i="10"/>
  <c r="F75" i="10"/>
  <c r="F76" i="10" s="1"/>
  <c r="I41" i="18"/>
  <c r="G75" i="10"/>
  <c r="G76" i="10" s="1"/>
  <c r="E76" i="10"/>
  <c r="L41" i="18"/>
  <c r="H41" i="18"/>
  <c r="J38" i="18"/>
  <c r="J41" i="18" s="1"/>
  <c r="G51" i="18" s="1"/>
  <c r="J13" i="18"/>
  <c r="H15" i="14"/>
  <c r="H16" i="14" s="1"/>
  <c r="H15" i="16"/>
  <c r="H16" i="16" s="1"/>
  <c r="G15" i="16"/>
  <c r="H41" i="16"/>
  <c r="J38" i="16"/>
  <c r="J41" i="16" s="1"/>
  <c r="I51" i="16" s="1"/>
  <c r="H51" i="10"/>
  <c r="E53" i="10" s="1"/>
  <c r="F42" i="10"/>
  <c r="F43" i="10" s="1"/>
  <c r="H15" i="15"/>
  <c r="H16" i="15" s="1"/>
  <c r="I51" i="15"/>
  <c r="I52" i="15" s="1"/>
  <c r="I56" i="15" s="1"/>
  <c r="I60" i="15" s="1"/>
  <c r="H51" i="15"/>
  <c r="H43" i="15" s="1"/>
  <c r="G51" i="15"/>
  <c r="G42" i="10"/>
  <c r="G43" i="10" s="1"/>
  <c r="E43" i="10"/>
  <c r="G16" i="15"/>
  <c r="I15" i="15"/>
  <c r="I16" i="15" s="1"/>
  <c r="E32" i="10"/>
  <c r="G15" i="13"/>
  <c r="I15" i="13" s="1"/>
  <c r="I16" i="13" s="1"/>
  <c r="I51" i="14"/>
  <c r="I52" i="14" s="1"/>
  <c r="I56" i="14" s="1"/>
  <c r="I60" i="14" s="1"/>
  <c r="H51" i="14"/>
  <c r="G43" i="14"/>
  <c r="G52" i="14"/>
  <c r="G56" i="14" s="1"/>
  <c r="G60" i="14" s="1"/>
  <c r="H31" i="10"/>
  <c r="H32" i="10" s="1"/>
  <c r="G16" i="14"/>
  <c r="I15" i="14"/>
  <c r="I16" i="14" s="1"/>
  <c r="G20" i="10"/>
  <c r="G21" i="10" s="1"/>
  <c r="E21" i="10"/>
  <c r="H51" i="13"/>
  <c r="I51" i="13"/>
  <c r="G43" i="13"/>
  <c r="G52" i="13"/>
  <c r="G56" i="13" s="1"/>
  <c r="G60" i="13" s="1"/>
  <c r="G9" i="10"/>
  <c r="G10" i="10" s="1"/>
  <c r="G15" i="12"/>
  <c r="G16" i="12" s="1"/>
  <c r="H43" i="12"/>
  <c r="H52" i="12"/>
  <c r="H56" i="12" s="1"/>
  <c r="H60" i="12" s="1"/>
  <c r="G51" i="12"/>
  <c r="I51" i="12"/>
  <c r="J79" i="9"/>
  <c r="J78" i="9"/>
  <c r="J77" i="9"/>
  <c r="G16" i="22" l="1"/>
  <c r="I52" i="24"/>
  <c r="I56" i="24" s="1"/>
  <c r="I60" i="24" s="1"/>
  <c r="I44" i="24" s="1"/>
  <c r="G52" i="24"/>
  <c r="G56" i="24" s="1"/>
  <c r="G60" i="24" s="1"/>
  <c r="G67" i="24" s="1"/>
  <c r="J15" i="24"/>
  <c r="J16" i="24" s="1"/>
  <c r="L16" i="24" s="1"/>
  <c r="J51" i="21"/>
  <c r="J52" i="21" s="1"/>
  <c r="J56" i="21" s="1"/>
  <c r="J60" i="21" s="1"/>
  <c r="J67" i="21" s="1"/>
  <c r="G73" i="21" s="1"/>
  <c r="I73" i="21" s="1"/>
  <c r="J73" i="21" s="1"/>
  <c r="J51" i="24"/>
  <c r="J52" i="24" s="1"/>
  <c r="J56" i="24" s="1"/>
  <c r="J60" i="24" s="1"/>
  <c r="J67" i="24" s="1"/>
  <c r="G72" i="24" s="1"/>
  <c r="J43" i="24"/>
  <c r="H52" i="21"/>
  <c r="H56" i="21" s="1"/>
  <c r="H60" i="21" s="1"/>
  <c r="H67" i="21" s="1"/>
  <c r="H44" i="24"/>
  <c r="H67" i="24"/>
  <c r="I44" i="21"/>
  <c r="I43" i="21"/>
  <c r="J43" i="21" s="1"/>
  <c r="H141" i="10"/>
  <c r="H142" i="10" s="1"/>
  <c r="G52" i="22"/>
  <c r="G56" i="22" s="1"/>
  <c r="G60" i="22" s="1"/>
  <c r="G67" i="22" s="1"/>
  <c r="J51" i="22"/>
  <c r="J52" i="22" s="1"/>
  <c r="J56" i="22" s="1"/>
  <c r="J60" i="22" s="1"/>
  <c r="J67" i="22" s="1"/>
  <c r="G72" i="22" s="1"/>
  <c r="J15" i="22"/>
  <c r="J16" i="22" s="1"/>
  <c r="L16" i="22" s="1"/>
  <c r="I52" i="22"/>
  <c r="I56" i="22" s="1"/>
  <c r="I60" i="22" s="1"/>
  <c r="I43" i="22"/>
  <c r="J43" i="22" s="1"/>
  <c r="H44" i="22"/>
  <c r="H67" i="22"/>
  <c r="G16" i="19"/>
  <c r="I52" i="19"/>
  <c r="I56" i="19" s="1"/>
  <c r="I60" i="19" s="1"/>
  <c r="I44" i="19" s="1"/>
  <c r="J15" i="21"/>
  <c r="J16" i="21" s="1"/>
  <c r="L16" i="21" s="1"/>
  <c r="G67" i="21"/>
  <c r="G45" i="21" s="1"/>
  <c r="I45" i="21"/>
  <c r="I52" i="20"/>
  <c r="I56" i="20" s="1"/>
  <c r="I60" i="20" s="1"/>
  <c r="I43" i="20"/>
  <c r="H97" i="10"/>
  <c r="H98" i="10" s="1"/>
  <c r="H43" i="20"/>
  <c r="H52" i="20"/>
  <c r="H56" i="20" s="1"/>
  <c r="H60" i="20" s="1"/>
  <c r="G44" i="20"/>
  <c r="G67" i="20"/>
  <c r="L16" i="20"/>
  <c r="J98" i="10"/>
  <c r="J51" i="20"/>
  <c r="J52" i="20" s="1"/>
  <c r="J56" i="20" s="1"/>
  <c r="J60" i="20" s="1"/>
  <c r="J67" i="20" s="1"/>
  <c r="J15" i="19"/>
  <c r="J16" i="19" s="1"/>
  <c r="L16" i="19" s="1"/>
  <c r="H86" i="10"/>
  <c r="H87" i="10" s="1"/>
  <c r="H52" i="19"/>
  <c r="H56" i="19" s="1"/>
  <c r="H60" i="19" s="1"/>
  <c r="H43" i="19"/>
  <c r="G43" i="19"/>
  <c r="G52" i="19"/>
  <c r="G56" i="19" s="1"/>
  <c r="G60" i="19" s="1"/>
  <c r="J51" i="19"/>
  <c r="J52" i="19" s="1"/>
  <c r="J56" i="19" s="1"/>
  <c r="J60" i="19" s="1"/>
  <c r="J67" i="19" s="1"/>
  <c r="I51" i="18"/>
  <c r="I52" i="18" s="1"/>
  <c r="I56" i="18" s="1"/>
  <c r="I60" i="18" s="1"/>
  <c r="H75" i="10"/>
  <c r="H76" i="10" s="1"/>
  <c r="G43" i="18"/>
  <c r="G52" i="18"/>
  <c r="G56" i="18" s="1"/>
  <c r="G60" i="18" s="1"/>
  <c r="H15" i="18"/>
  <c r="H16" i="18" s="1"/>
  <c r="G15" i="18"/>
  <c r="H51" i="18"/>
  <c r="F53" i="10"/>
  <c r="F54" i="10" s="1"/>
  <c r="I52" i="16"/>
  <c r="I56" i="16" s="1"/>
  <c r="I60" i="16" s="1"/>
  <c r="I43" i="16"/>
  <c r="G16" i="16"/>
  <c r="I15" i="16"/>
  <c r="I16" i="16" s="1"/>
  <c r="G53" i="10"/>
  <c r="G54" i="10" s="1"/>
  <c r="E54" i="10"/>
  <c r="G51" i="16"/>
  <c r="H51" i="16"/>
  <c r="J51" i="15"/>
  <c r="J52" i="15" s="1"/>
  <c r="J56" i="15" s="1"/>
  <c r="J60" i="15" s="1"/>
  <c r="J67" i="15" s="1"/>
  <c r="M72" i="15" s="1"/>
  <c r="H52" i="15"/>
  <c r="H56" i="15" s="1"/>
  <c r="H60" i="15" s="1"/>
  <c r="H67" i="15" s="1"/>
  <c r="J15" i="15"/>
  <c r="J16" i="15" s="1"/>
  <c r="L16" i="15" s="1"/>
  <c r="G52" i="15"/>
  <c r="G56" i="15" s="1"/>
  <c r="G60" i="15" s="1"/>
  <c r="G67" i="15" s="1"/>
  <c r="G43" i="15"/>
  <c r="I43" i="15"/>
  <c r="G16" i="13"/>
  <c r="J51" i="14"/>
  <c r="J52" i="14" s="1"/>
  <c r="J56" i="14" s="1"/>
  <c r="J60" i="14" s="1"/>
  <c r="J67" i="14" s="1"/>
  <c r="G73" i="14" s="1"/>
  <c r="I73" i="14" s="1"/>
  <c r="J73" i="14" s="1"/>
  <c r="I43" i="14"/>
  <c r="H42" i="10"/>
  <c r="H43" i="10" s="1"/>
  <c r="I67" i="15"/>
  <c r="I44" i="15"/>
  <c r="G44" i="14"/>
  <c r="G67" i="14"/>
  <c r="J15" i="14"/>
  <c r="J16" i="14" s="1"/>
  <c r="I44" i="14"/>
  <c r="I67" i="14"/>
  <c r="H52" i="14"/>
  <c r="H56" i="14" s="1"/>
  <c r="H60" i="14" s="1"/>
  <c r="H43" i="14"/>
  <c r="H20" i="10"/>
  <c r="H21" i="10" s="1"/>
  <c r="J15" i="13"/>
  <c r="J16" i="13" s="1"/>
  <c r="J21" i="10" s="1"/>
  <c r="H43" i="13"/>
  <c r="H52" i="13"/>
  <c r="H56" i="13" s="1"/>
  <c r="H60" i="13" s="1"/>
  <c r="J51" i="13"/>
  <c r="J52" i="13" s="1"/>
  <c r="J56" i="13" s="1"/>
  <c r="J60" i="13" s="1"/>
  <c r="J67" i="13" s="1"/>
  <c r="G44" i="13"/>
  <c r="G67" i="13"/>
  <c r="I52" i="13"/>
  <c r="I56" i="13" s="1"/>
  <c r="I60" i="13" s="1"/>
  <c r="I43" i="13"/>
  <c r="I15" i="12"/>
  <c r="I16" i="12" s="1"/>
  <c r="H9" i="10"/>
  <c r="H10" i="10" s="1"/>
  <c r="G52" i="12"/>
  <c r="G56" i="12" s="1"/>
  <c r="G60" i="12" s="1"/>
  <c r="G43" i="12"/>
  <c r="J51" i="12"/>
  <c r="J52" i="12" s="1"/>
  <c r="J56" i="12" s="1"/>
  <c r="J60" i="12" s="1"/>
  <c r="J67" i="12" s="1"/>
  <c r="I52" i="12"/>
  <c r="I56" i="12" s="1"/>
  <c r="I60" i="12" s="1"/>
  <c r="I43" i="12"/>
  <c r="H44" i="12"/>
  <c r="H67" i="12"/>
  <c r="H63" i="9"/>
  <c r="L16" i="13" l="1"/>
  <c r="O72" i="21"/>
  <c r="K43" i="21"/>
  <c r="J142" i="10"/>
  <c r="K43" i="24"/>
  <c r="H44" i="21"/>
  <c r="J44" i="21" s="1"/>
  <c r="K44" i="21" s="1"/>
  <c r="I67" i="24"/>
  <c r="I45" i="24" s="1"/>
  <c r="M72" i="24"/>
  <c r="H68" i="21"/>
  <c r="J68" i="21" s="1"/>
  <c r="J120" i="10"/>
  <c r="G44" i="24"/>
  <c r="J44" i="24" s="1"/>
  <c r="K44" i="24" s="1"/>
  <c r="H68" i="22"/>
  <c r="J68" i="22" s="1"/>
  <c r="O72" i="24"/>
  <c r="G73" i="24"/>
  <c r="I73" i="24" s="1"/>
  <c r="J73" i="24" s="1"/>
  <c r="M72" i="21"/>
  <c r="H68" i="24"/>
  <c r="J68" i="24" s="1"/>
  <c r="G72" i="21"/>
  <c r="H45" i="24"/>
  <c r="G45" i="24"/>
  <c r="G44" i="22"/>
  <c r="I69" i="22"/>
  <c r="J69" i="22" s="1"/>
  <c r="J109" i="10"/>
  <c r="K45" i="22"/>
  <c r="M72" i="22"/>
  <c r="O72" i="22"/>
  <c r="K43" i="22"/>
  <c r="G73" i="22"/>
  <c r="I73" i="22" s="1"/>
  <c r="J73" i="22" s="1"/>
  <c r="H45" i="22"/>
  <c r="G45" i="22"/>
  <c r="I44" i="22"/>
  <c r="I67" i="22"/>
  <c r="I67" i="19"/>
  <c r="I45" i="19" s="1"/>
  <c r="H45" i="21"/>
  <c r="J45" i="21" s="1"/>
  <c r="J43" i="20"/>
  <c r="K43" i="20" s="1"/>
  <c r="I67" i="20"/>
  <c r="I45" i="20" s="1"/>
  <c r="I44" i="20"/>
  <c r="G45" i="20"/>
  <c r="H44" i="20"/>
  <c r="H67" i="20"/>
  <c r="M72" i="20"/>
  <c r="G72" i="20"/>
  <c r="H68" i="20"/>
  <c r="J68" i="20" s="1"/>
  <c r="G73" i="20"/>
  <c r="I73" i="20" s="1"/>
  <c r="J73" i="20" s="1"/>
  <c r="O72" i="20"/>
  <c r="J87" i="10"/>
  <c r="J43" i="19"/>
  <c r="K43" i="19" s="1"/>
  <c r="H44" i="19"/>
  <c r="H67" i="19"/>
  <c r="G44" i="19"/>
  <c r="G67" i="19"/>
  <c r="G45" i="19" s="1"/>
  <c r="G72" i="19"/>
  <c r="H68" i="19"/>
  <c r="J68" i="19" s="1"/>
  <c r="G73" i="19"/>
  <c r="O72" i="19"/>
  <c r="M72" i="19"/>
  <c r="I43" i="18"/>
  <c r="I44" i="18"/>
  <c r="I67" i="18"/>
  <c r="H52" i="18"/>
  <c r="H56" i="18" s="1"/>
  <c r="H60" i="18" s="1"/>
  <c r="H43" i="18"/>
  <c r="G16" i="18"/>
  <c r="I15" i="18"/>
  <c r="I16" i="18" s="1"/>
  <c r="J51" i="18"/>
  <c r="J52" i="18" s="1"/>
  <c r="J56" i="18" s="1"/>
  <c r="J60" i="18" s="1"/>
  <c r="J67" i="18" s="1"/>
  <c r="G44" i="18"/>
  <c r="G67" i="18"/>
  <c r="J43" i="10"/>
  <c r="O72" i="14"/>
  <c r="H44" i="15"/>
  <c r="H53" i="10"/>
  <c r="H54" i="10" s="1"/>
  <c r="H68" i="15"/>
  <c r="J68" i="15" s="1"/>
  <c r="M72" i="14"/>
  <c r="G72" i="15"/>
  <c r="O72" i="15"/>
  <c r="J15" i="16"/>
  <c r="J16" i="16" s="1"/>
  <c r="H43" i="16"/>
  <c r="H52" i="16"/>
  <c r="H56" i="16" s="1"/>
  <c r="H60" i="16" s="1"/>
  <c r="G52" i="16"/>
  <c r="G56" i="16" s="1"/>
  <c r="G60" i="16" s="1"/>
  <c r="G43" i="16"/>
  <c r="J51" i="16"/>
  <c r="J52" i="16" s="1"/>
  <c r="J56" i="16" s="1"/>
  <c r="J60" i="16" s="1"/>
  <c r="J67" i="16" s="1"/>
  <c r="I44" i="16"/>
  <c r="I67" i="16"/>
  <c r="I45" i="16" s="1"/>
  <c r="G73" i="15"/>
  <c r="I73" i="15" s="1"/>
  <c r="J73" i="15" s="1"/>
  <c r="H68" i="14"/>
  <c r="J68" i="14" s="1"/>
  <c r="G44" i="15"/>
  <c r="J44" i="15" s="1"/>
  <c r="K44" i="15" s="1"/>
  <c r="J43" i="14"/>
  <c r="K43" i="14" s="1"/>
  <c r="G72" i="14"/>
  <c r="J43" i="15"/>
  <c r="K43" i="15" s="1"/>
  <c r="I45" i="15"/>
  <c r="H45" i="15"/>
  <c r="G45" i="15"/>
  <c r="I45" i="14"/>
  <c r="L16" i="14"/>
  <c r="J32" i="10"/>
  <c r="G45" i="14"/>
  <c r="H44" i="14"/>
  <c r="J44" i="14" s="1"/>
  <c r="K44" i="14" s="1"/>
  <c r="H67" i="14"/>
  <c r="J43" i="13"/>
  <c r="K43" i="13" s="1"/>
  <c r="I67" i="13"/>
  <c r="I44" i="13"/>
  <c r="G45" i="13"/>
  <c r="G72" i="13"/>
  <c r="H68" i="13"/>
  <c r="J68" i="13" s="1"/>
  <c r="M72" i="13"/>
  <c r="O72" i="13"/>
  <c r="G73" i="13"/>
  <c r="I73" i="13" s="1"/>
  <c r="J73" i="13" s="1"/>
  <c r="H44" i="13"/>
  <c r="H67" i="13"/>
  <c r="J15" i="12"/>
  <c r="J16" i="12" s="1"/>
  <c r="L16" i="12" s="1"/>
  <c r="H68" i="12"/>
  <c r="J68" i="12" s="1"/>
  <c r="G72" i="12"/>
  <c r="M72" i="12"/>
  <c r="O72" i="12"/>
  <c r="G73" i="12"/>
  <c r="H45" i="12"/>
  <c r="G44" i="12"/>
  <c r="G67" i="12"/>
  <c r="G45" i="12" s="1"/>
  <c r="I67" i="12"/>
  <c r="I44" i="12"/>
  <c r="J43" i="12"/>
  <c r="K43" i="12" s="1"/>
  <c r="K8" i="9"/>
  <c r="G75" i="21" l="1"/>
  <c r="G80" i="21" s="1"/>
  <c r="H75" i="22"/>
  <c r="H80" i="22" s="1"/>
  <c r="G75" i="24"/>
  <c r="G80" i="24" s="1"/>
  <c r="H75" i="21"/>
  <c r="H80" i="21" s="1"/>
  <c r="J45" i="24"/>
  <c r="K46" i="24" s="1"/>
  <c r="H75" i="24"/>
  <c r="H80" i="24" s="1"/>
  <c r="G75" i="22"/>
  <c r="G80" i="22" s="1"/>
  <c r="J44" i="22"/>
  <c r="K44" i="22" s="1"/>
  <c r="I45" i="22"/>
  <c r="J45" i="22" s="1"/>
  <c r="K46" i="22" s="1"/>
  <c r="G75" i="20"/>
  <c r="G80" i="20" s="1"/>
  <c r="K46" i="21"/>
  <c r="K45" i="21"/>
  <c r="H45" i="20"/>
  <c r="J45" i="20" s="1"/>
  <c r="H75" i="20"/>
  <c r="H80" i="20" s="1"/>
  <c r="J44" i="20"/>
  <c r="K44" i="20" s="1"/>
  <c r="J44" i="19"/>
  <c r="K44" i="19" s="1"/>
  <c r="G75" i="19"/>
  <c r="G80" i="19" s="1"/>
  <c r="I73" i="19"/>
  <c r="J73" i="19" s="1"/>
  <c r="H45" i="19"/>
  <c r="J45" i="19" s="1"/>
  <c r="H75" i="19"/>
  <c r="H80" i="19" s="1"/>
  <c r="J43" i="18"/>
  <c r="K43" i="18" s="1"/>
  <c r="J15" i="18"/>
  <c r="J16" i="18" s="1"/>
  <c r="H67" i="18"/>
  <c r="H44" i="18"/>
  <c r="J44" i="18" s="1"/>
  <c r="K44" i="18" s="1"/>
  <c r="G45" i="18"/>
  <c r="I45" i="18"/>
  <c r="G72" i="18"/>
  <c r="H68" i="18"/>
  <c r="J68" i="18" s="1"/>
  <c r="G73" i="18"/>
  <c r="I73" i="18" s="1"/>
  <c r="J73" i="18" s="1"/>
  <c r="O72" i="18"/>
  <c r="M72" i="18"/>
  <c r="H75" i="15"/>
  <c r="H80" i="15" s="1"/>
  <c r="G75" i="15"/>
  <c r="G80" i="15" s="1"/>
  <c r="J43" i="16"/>
  <c r="K43" i="16" s="1"/>
  <c r="L16" i="16"/>
  <c r="J54" i="10"/>
  <c r="G44" i="16"/>
  <c r="G67" i="16"/>
  <c r="H44" i="16"/>
  <c r="H67" i="16"/>
  <c r="G72" i="16"/>
  <c r="H68" i="16"/>
  <c r="J68" i="16" s="1"/>
  <c r="M72" i="16"/>
  <c r="G73" i="16"/>
  <c r="O72" i="16"/>
  <c r="G75" i="14"/>
  <c r="G80" i="14" s="1"/>
  <c r="J45" i="15"/>
  <c r="H75" i="14"/>
  <c r="H80" i="14" s="1"/>
  <c r="H45" i="14"/>
  <c r="J45" i="14" s="1"/>
  <c r="J44" i="13"/>
  <c r="K44" i="13" s="1"/>
  <c r="J10" i="10"/>
  <c r="G75" i="13"/>
  <c r="G80" i="13" s="1"/>
  <c r="H45" i="13"/>
  <c r="H75" i="13"/>
  <c r="H80" i="13" s="1"/>
  <c r="I45" i="13"/>
  <c r="H75" i="12"/>
  <c r="H80" i="12" s="1"/>
  <c r="J44" i="12"/>
  <c r="K44" i="12" s="1"/>
  <c r="G75" i="12"/>
  <c r="G80" i="12" s="1"/>
  <c r="I73" i="12"/>
  <c r="J73" i="12" s="1"/>
  <c r="I45" i="12"/>
  <c r="J45" i="12" s="1"/>
  <c r="I35" i="9"/>
  <c r="G63" i="9"/>
  <c r="I63" i="9" s="1"/>
  <c r="K45" i="24" l="1"/>
  <c r="K45" i="20"/>
  <c r="K46" i="20"/>
  <c r="K46" i="19"/>
  <c r="K45" i="19"/>
  <c r="L16" i="18"/>
  <c r="J76" i="10"/>
  <c r="G75" i="18"/>
  <c r="G80" i="18" s="1"/>
  <c r="H45" i="18"/>
  <c r="J45" i="18" s="1"/>
  <c r="H75" i="18"/>
  <c r="H80" i="18" s="1"/>
  <c r="J44" i="16"/>
  <c r="K44" i="16" s="1"/>
  <c r="H45" i="16"/>
  <c r="H75" i="16"/>
  <c r="H80" i="16" s="1"/>
  <c r="I73" i="16"/>
  <c r="J73" i="16" s="1"/>
  <c r="G45" i="16"/>
  <c r="G75" i="16"/>
  <c r="G80" i="16" s="1"/>
  <c r="K46" i="15"/>
  <c r="K45" i="15"/>
  <c r="K46" i="14"/>
  <c r="K45" i="14"/>
  <c r="J45" i="13"/>
  <c r="K46" i="12"/>
  <c r="K45" i="12"/>
  <c r="K50" i="9"/>
  <c r="K46" i="18" l="1"/>
  <c r="K45" i="18"/>
  <c r="J45" i="16"/>
  <c r="K45" i="16" s="1"/>
  <c r="K46" i="13"/>
  <c r="K45" i="13"/>
  <c r="G8" i="9"/>
  <c r="H8" i="9"/>
  <c r="M20" i="9"/>
  <c r="K46" i="16" l="1"/>
  <c r="I71" i="9"/>
  <c r="F38" i="9" l="1"/>
  <c r="N64" i="9" l="1"/>
  <c r="I40" i="9" l="1"/>
  <c r="G38" i="9"/>
  <c r="AA38" i="9" s="1"/>
  <c r="M40" i="9"/>
  <c r="L40" i="9"/>
  <c r="H40" i="9"/>
  <c r="G40" i="9"/>
  <c r="G39" i="9"/>
  <c r="AA39" i="9" l="1"/>
  <c r="AA45" i="9" s="1"/>
  <c r="AA44" i="9"/>
  <c r="N63" i="9"/>
  <c r="N62" i="9"/>
  <c r="N55" i="9"/>
  <c r="N59" i="9"/>
  <c r="M8" i="9" l="1"/>
  <c r="L8" i="9"/>
  <c r="D12" i="7" l="1"/>
  <c r="I72" i="17" l="1"/>
  <c r="I75" i="17" s="1"/>
  <c r="I80" i="17" s="1"/>
  <c r="I72" i="23"/>
  <c r="I75" i="23" s="1"/>
  <c r="I80" i="23" s="1"/>
  <c r="I72" i="22"/>
  <c r="I72" i="24"/>
  <c r="J72" i="24" s="1"/>
  <c r="I72" i="15"/>
  <c r="J72" i="15" s="1"/>
  <c r="I72" i="21"/>
  <c r="J72" i="21" s="1"/>
  <c r="I72" i="12"/>
  <c r="J72" i="12" s="1"/>
  <c r="I72" i="19"/>
  <c r="J72" i="19" s="1"/>
  <c r="I72" i="20"/>
  <c r="J72" i="20" s="1"/>
  <c r="I72" i="14"/>
  <c r="J72" i="14" s="1"/>
  <c r="I72" i="13"/>
  <c r="J72" i="13" s="1"/>
  <c r="I72" i="16"/>
  <c r="J72" i="16" s="1"/>
  <c r="I72" i="18"/>
  <c r="J72" i="18" s="1"/>
  <c r="M21" i="9"/>
  <c r="M22" i="9"/>
  <c r="M23" i="9"/>
  <c r="M24" i="9"/>
  <c r="M25" i="9"/>
  <c r="M26" i="9"/>
  <c r="M27" i="9"/>
  <c r="M28" i="9"/>
  <c r="M29" i="9"/>
  <c r="M30" i="9"/>
  <c r="M32" i="9"/>
  <c r="M33" i="9"/>
  <c r="M34" i="9"/>
  <c r="I21" i="9"/>
  <c r="I22" i="9"/>
  <c r="I23" i="9"/>
  <c r="I24" i="9"/>
  <c r="I25" i="9"/>
  <c r="I26" i="9"/>
  <c r="I27" i="9"/>
  <c r="I28" i="9"/>
  <c r="I29" i="9"/>
  <c r="I30" i="9"/>
  <c r="I32" i="9"/>
  <c r="I33" i="9"/>
  <c r="I34" i="9"/>
  <c r="I20" i="9"/>
  <c r="J72" i="22" l="1"/>
  <c r="J75" i="22" s="1"/>
  <c r="J80" i="22" s="1"/>
  <c r="I75" i="22"/>
  <c r="I80" i="22" s="1"/>
  <c r="I39" i="9"/>
  <c r="AB39" i="9" s="1"/>
  <c r="AC39" i="9" s="1"/>
  <c r="I38" i="9"/>
  <c r="J21" i="9"/>
  <c r="J23" i="9"/>
  <c r="J24" i="9"/>
  <c r="J25" i="9"/>
  <c r="J26" i="9"/>
  <c r="J27" i="9"/>
  <c r="J28" i="9"/>
  <c r="J29" i="9"/>
  <c r="C15" i="9" l="1"/>
  <c r="J8" i="9" l="1"/>
  <c r="I8" i="9"/>
  <c r="D13" i="7" l="1"/>
  <c r="AB11" i="9" s="1"/>
  <c r="AB45" i="9" s="1"/>
  <c r="AC45" i="9" s="1"/>
  <c r="I74" i="9"/>
  <c r="H21" i="9"/>
  <c r="H22" i="9"/>
  <c r="H23" i="9"/>
  <c r="H24" i="9"/>
  <c r="H25" i="9"/>
  <c r="H26" i="9"/>
  <c r="H27" i="9"/>
  <c r="H28" i="9"/>
  <c r="H29" i="9"/>
  <c r="H30" i="9"/>
  <c r="J30" i="9" s="1"/>
  <c r="H32" i="9"/>
  <c r="H33" i="9"/>
  <c r="J33" i="9" s="1"/>
  <c r="H34" i="9"/>
  <c r="J34" i="9" s="1"/>
  <c r="H35" i="9"/>
  <c r="J35" i="9" s="1"/>
  <c r="L21" i="9"/>
  <c r="L22" i="9"/>
  <c r="L23" i="9"/>
  <c r="L24" i="9"/>
  <c r="L25" i="9"/>
  <c r="L26" i="9"/>
  <c r="L27" i="9"/>
  <c r="L28" i="9"/>
  <c r="L29" i="9"/>
  <c r="L30" i="9"/>
  <c r="L32" i="9"/>
  <c r="L33" i="9"/>
  <c r="L34" i="9"/>
  <c r="L35" i="9"/>
  <c r="L20" i="9"/>
  <c r="H20" i="9"/>
  <c r="L39" i="9" l="1"/>
  <c r="H39" i="9"/>
  <c r="J22" i="9"/>
  <c r="J20" i="9"/>
  <c r="H38" i="9"/>
  <c r="L38" i="9"/>
  <c r="J32" i="9"/>
  <c r="E12" i="7"/>
  <c r="M35" i="9" s="1"/>
  <c r="M13" i="9"/>
  <c r="L13" i="9"/>
  <c r="I13" i="9"/>
  <c r="H13" i="9"/>
  <c r="G13" i="9"/>
  <c r="F13" i="9"/>
  <c r="N12" i="9"/>
  <c r="J12" i="9"/>
  <c r="J11" i="9"/>
  <c r="N10" i="9"/>
  <c r="J10" i="9"/>
  <c r="L41" i="9" l="1"/>
  <c r="M38" i="9"/>
  <c r="AB38" i="9" s="1"/>
  <c r="M39" i="9"/>
  <c r="J38" i="9"/>
  <c r="H41" i="9"/>
  <c r="N13" i="9"/>
  <c r="J13" i="9"/>
  <c r="H15" i="9" s="1"/>
  <c r="E26" i="7"/>
  <c r="E25" i="7"/>
  <c r="E24" i="7"/>
  <c r="E22" i="7"/>
  <c r="E21" i="7"/>
  <c r="E20" i="7"/>
  <c r="G15" i="9" l="1"/>
  <c r="I15" i="9" s="1"/>
  <c r="M41" i="9"/>
  <c r="AB44" i="9"/>
  <c r="AC44" i="9" s="1"/>
  <c r="AC38" i="9"/>
  <c r="E16" i="7"/>
  <c r="J15" i="9" l="1"/>
  <c r="F39" i="9" l="1"/>
  <c r="D4" i="7" l="1"/>
  <c r="D19" i="7" l="1"/>
  <c r="G4" i="7"/>
  <c r="F16" i="9"/>
  <c r="N23" i="9"/>
  <c r="N24" i="9"/>
  <c r="N25" i="9"/>
  <c r="N26" i="9"/>
  <c r="N27" i="9"/>
  <c r="N28" i="9"/>
  <c r="N30" i="9"/>
  <c r="N32" i="9"/>
  <c r="N33" i="9"/>
  <c r="N35" i="9"/>
  <c r="C38" i="9"/>
  <c r="C39" i="9"/>
  <c r="C40" i="9"/>
  <c r="F40" i="9"/>
  <c r="G50" i="9"/>
  <c r="H50" i="9"/>
  <c r="I50" i="9"/>
  <c r="J50" i="9"/>
  <c r="L50" i="9"/>
  <c r="M50" i="9"/>
  <c r="C51" i="9"/>
  <c r="F51" i="9"/>
  <c r="J54" i="9"/>
  <c r="J55" i="9"/>
  <c r="C56" i="9"/>
  <c r="J58" i="9"/>
  <c r="N58" i="9"/>
  <c r="J59" i="9"/>
  <c r="C60" i="9"/>
  <c r="J62" i="9"/>
  <c r="J64" i="9"/>
  <c r="G66" i="9"/>
  <c r="H66" i="9"/>
  <c r="I66" i="9"/>
  <c r="J66" i="9"/>
  <c r="C67" i="9"/>
  <c r="J70" i="9"/>
  <c r="J71" i="9"/>
  <c r="C75" i="9"/>
  <c r="C80" i="9"/>
  <c r="G16" i="9" l="1"/>
  <c r="H16" i="9"/>
  <c r="F52" i="9"/>
  <c r="F56" i="9" s="1"/>
  <c r="F60" i="9" s="1"/>
  <c r="F41" i="9"/>
  <c r="N39" i="9"/>
  <c r="I16" i="9"/>
  <c r="J40" i="9"/>
  <c r="J39" i="9"/>
  <c r="N29" i="9"/>
  <c r="N34" i="9"/>
  <c r="N40" i="9"/>
  <c r="I41" i="9"/>
  <c r="G41" i="9"/>
  <c r="E14" i="7"/>
  <c r="E15" i="7"/>
  <c r="E11" i="7"/>
  <c r="E10" i="7"/>
  <c r="E9" i="7"/>
  <c r="E8" i="7"/>
  <c r="E7" i="7"/>
  <c r="E6" i="7"/>
  <c r="E5" i="7"/>
  <c r="C4" i="7"/>
  <c r="CH6" i="5" l="1"/>
  <c r="CJ6" i="5" s="1"/>
  <c r="CH14" i="5"/>
  <c r="CH22" i="5"/>
  <c r="CJ22" i="5" s="1"/>
  <c r="CH30" i="5"/>
  <c r="CJ30" i="5" s="1"/>
  <c r="CH38" i="5"/>
  <c r="CJ38" i="5" s="1"/>
  <c r="CH54" i="5"/>
  <c r="CH62" i="5"/>
  <c r="CH70" i="5"/>
  <c r="CJ70" i="5" s="1"/>
  <c r="CH102" i="5"/>
  <c r="CJ102" i="5" s="1"/>
  <c r="CH110" i="5"/>
  <c r="CJ110" i="5" s="1"/>
  <c r="CH126" i="5"/>
  <c r="CH134" i="5"/>
  <c r="CJ134" i="5" s="1"/>
  <c r="CH142" i="5"/>
  <c r="CJ142" i="5" s="1"/>
  <c r="CH150" i="5"/>
  <c r="CJ150" i="5" s="1"/>
  <c r="CH158" i="5"/>
  <c r="CJ158" i="5" s="1"/>
  <c r="CH166" i="5"/>
  <c r="CJ166" i="5" s="1"/>
  <c r="CH174" i="5"/>
  <c r="CH182" i="5"/>
  <c r="CJ182" i="5" s="1"/>
  <c r="CH190" i="5"/>
  <c r="CJ190" i="5" s="1"/>
  <c r="CH198" i="5"/>
  <c r="CJ198" i="5" s="1"/>
  <c r="CH206" i="5"/>
  <c r="CJ206" i="5" s="1"/>
  <c r="CH214" i="5"/>
  <c r="CH222" i="5"/>
  <c r="CH254" i="5"/>
  <c r="CH23" i="5"/>
  <c r="CJ23" i="5" s="1"/>
  <c r="CH31" i="5"/>
  <c r="CJ31" i="5" s="1"/>
  <c r="CH39" i="5"/>
  <c r="CJ39" i="5" s="1"/>
  <c r="CH47" i="5"/>
  <c r="CJ47" i="5" s="1"/>
  <c r="CH55" i="5"/>
  <c r="CJ55" i="5" s="1"/>
  <c r="CH63" i="5"/>
  <c r="CH79" i="5"/>
  <c r="CJ79" i="5" s="1"/>
  <c r="CH87" i="5"/>
  <c r="CJ87" i="5" s="1"/>
  <c r="CH103" i="5"/>
  <c r="CJ103" i="5" s="1"/>
  <c r="CH111" i="5"/>
  <c r="CJ111" i="5" s="1"/>
  <c r="CH119" i="5"/>
  <c r="CH127" i="5"/>
  <c r="CJ127" i="5" s="1"/>
  <c r="CH135" i="5"/>
  <c r="CJ135" i="5" s="1"/>
  <c r="CH143" i="5"/>
  <c r="CJ143" i="5" s="1"/>
  <c r="CH151" i="5"/>
  <c r="CJ151" i="5" s="1"/>
  <c r="CH159" i="5"/>
  <c r="CJ159" i="5" s="1"/>
  <c r="CH167" i="5"/>
  <c r="CJ167" i="5" s="1"/>
  <c r="CH183" i="5"/>
  <c r="CJ183" i="5" s="1"/>
  <c r="CH191" i="5"/>
  <c r="CJ191" i="5" s="1"/>
  <c r="CH199" i="5"/>
  <c r="CJ199" i="5" s="1"/>
  <c r="CH255" i="5"/>
  <c r="CJ255" i="5" s="1"/>
  <c r="CH8" i="5"/>
  <c r="CJ8" i="5" s="1"/>
  <c r="CH16" i="5"/>
  <c r="CJ16" i="5" s="1"/>
  <c r="CH24" i="5"/>
  <c r="CJ24" i="5" s="1"/>
  <c r="CH32" i="5"/>
  <c r="CJ32" i="5" s="1"/>
  <c r="CH40" i="5"/>
  <c r="CJ40" i="5" s="1"/>
  <c r="CH56" i="5"/>
  <c r="CJ56" i="5" s="1"/>
  <c r="CH72" i="5"/>
  <c r="CJ72" i="5" s="1"/>
  <c r="CH80" i="5"/>
  <c r="CJ80" i="5" s="1"/>
  <c r="CH88" i="5"/>
  <c r="CJ88" i="5" s="1"/>
  <c r="CH104" i="5"/>
  <c r="CJ104" i="5" s="1"/>
  <c r="CH112" i="5"/>
  <c r="CJ112" i="5" s="1"/>
  <c r="CH128" i="5"/>
  <c r="CJ128" i="5" s="1"/>
  <c r="CH136" i="5"/>
  <c r="CJ136" i="5" s="1"/>
  <c r="CH160" i="5"/>
  <c r="CJ160" i="5" s="1"/>
  <c r="CH168" i="5"/>
  <c r="CJ168" i="5" s="1"/>
  <c r="CH184" i="5"/>
  <c r="CJ184" i="5" s="1"/>
  <c r="CH200" i="5"/>
  <c r="CJ200" i="5" s="1"/>
  <c r="CH208" i="5"/>
  <c r="CJ208" i="5" s="1"/>
  <c r="CH9" i="5"/>
  <c r="CJ9" i="5" s="1"/>
  <c r="CH17" i="5"/>
  <c r="CJ17" i="5" s="1"/>
  <c r="CH25" i="5"/>
  <c r="CJ25" i="5" s="1"/>
  <c r="CH33" i="5"/>
  <c r="CJ33" i="5" s="1"/>
  <c r="CH41" i="5"/>
  <c r="CJ41" i="5" s="1"/>
  <c r="CH49" i="5"/>
  <c r="CJ49" i="5" s="1"/>
  <c r="CH57" i="5"/>
  <c r="CJ57" i="5" s="1"/>
  <c r="CH65" i="5"/>
  <c r="CJ65" i="5" s="1"/>
  <c r="CH97" i="5"/>
  <c r="CJ97" i="5" s="1"/>
  <c r="CH105" i="5"/>
  <c r="CJ105" i="5" s="1"/>
  <c r="CH129" i="5"/>
  <c r="CH137" i="5"/>
  <c r="CJ137" i="5" s="1"/>
  <c r="CH145" i="5"/>
  <c r="CJ145" i="5" s="1"/>
  <c r="CH153" i="5"/>
  <c r="CJ153" i="5" s="1"/>
  <c r="CH161" i="5"/>
  <c r="CJ161" i="5" s="1"/>
  <c r="CH169" i="5"/>
  <c r="CJ169" i="5" s="1"/>
  <c r="CH177" i="5"/>
  <c r="CH185" i="5"/>
  <c r="CJ185" i="5" s="1"/>
  <c r="CH193" i="5"/>
  <c r="CJ193" i="5" s="1"/>
  <c r="CH201" i="5"/>
  <c r="CJ201" i="5" s="1"/>
  <c r="CH209" i="5"/>
  <c r="CJ209" i="5" s="1"/>
  <c r="CH249" i="5"/>
  <c r="CJ249" i="5" s="1"/>
  <c r="CH10" i="5"/>
  <c r="CJ10" i="5" s="1"/>
  <c r="CH18" i="5"/>
  <c r="CJ18" i="5" s="1"/>
  <c r="CH26" i="5"/>
  <c r="CJ26" i="5" s="1"/>
  <c r="CH34" i="5"/>
  <c r="CJ34" i="5" s="1"/>
  <c r="CH42" i="5"/>
  <c r="CJ42" i="5" s="1"/>
  <c r="CH58" i="5"/>
  <c r="CJ58" i="5" s="1"/>
  <c r="CH66" i="5"/>
  <c r="CJ66" i="5" s="1"/>
  <c r="CH74" i="5"/>
  <c r="CJ74" i="5" s="1"/>
  <c r="CH90" i="5"/>
  <c r="CJ90" i="5" s="1"/>
  <c r="CH98" i="5"/>
  <c r="CJ98" i="5" s="1"/>
  <c r="CH138" i="5"/>
  <c r="CJ138" i="5" s="1"/>
  <c r="CH146" i="5"/>
  <c r="CJ146" i="5" s="1"/>
  <c r="CH154" i="5"/>
  <c r="CJ154" i="5" s="1"/>
  <c r="CH162" i="5"/>
  <c r="CJ162" i="5" s="1"/>
  <c r="CH170" i="5"/>
  <c r="CJ170" i="5" s="1"/>
  <c r="CH178" i="5"/>
  <c r="CH194" i="5"/>
  <c r="CJ194" i="5" s="1"/>
  <c r="CH210" i="5"/>
  <c r="CJ210" i="5" s="1"/>
  <c r="CH218" i="5"/>
  <c r="CJ218" i="5" s="1"/>
  <c r="CH242" i="5"/>
  <c r="CJ242" i="5" s="1"/>
  <c r="CH250" i="5"/>
  <c r="CJ250" i="5" s="1"/>
  <c r="CH3" i="5"/>
  <c r="CJ3" i="5" s="1"/>
  <c r="CH11" i="5"/>
  <c r="CJ11" i="5" s="1"/>
  <c r="CH19" i="5"/>
  <c r="CJ19" i="5" s="1"/>
  <c r="CH35" i="5"/>
  <c r="CJ35" i="5" s="1"/>
  <c r="CH43" i="5"/>
  <c r="CK43" i="5" s="1"/>
  <c r="CK263" i="5" s="1"/>
  <c r="CK264" i="5" s="1"/>
  <c r="CH51" i="5"/>
  <c r="CJ51" i="5" s="1"/>
  <c r="CH59" i="5"/>
  <c r="CJ59" i="5" s="1"/>
  <c r="CH67" i="5"/>
  <c r="CJ67" i="5" s="1"/>
  <c r="CH91" i="5"/>
  <c r="CJ91" i="5" s="1"/>
  <c r="CH99" i="5"/>
  <c r="CJ99" i="5" s="1"/>
  <c r="CH107" i="5"/>
  <c r="CJ107" i="5" s="1"/>
  <c r="CH147" i="5"/>
  <c r="CJ147" i="5" s="1"/>
  <c r="CH155" i="5"/>
  <c r="CJ155" i="5" s="1"/>
  <c r="CH171" i="5"/>
  <c r="CJ171" i="5" s="1"/>
  <c r="CH179" i="5"/>
  <c r="CJ179" i="5" s="1"/>
  <c r="CH195" i="5"/>
  <c r="CJ195" i="5" s="1"/>
  <c r="CH211" i="5"/>
  <c r="CJ211" i="5" s="1"/>
  <c r="CH227" i="5"/>
  <c r="CH2" i="5"/>
  <c r="CH4" i="5"/>
  <c r="CJ4" i="5" s="1"/>
  <c r="CH12" i="5"/>
  <c r="CJ12" i="5" s="1"/>
  <c r="CH20" i="5"/>
  <c r="CJ20" i="5" s="1"/>
  <c r="CH28" i="5"/>
  <c r="CJ28" i="5" s="1"/>
  <c r="CH44" i="5"/>
  <c r="CJ44" i="5" s="1"/>
  <c r="CH52" i="5"/>
  <c r="CJ52" i="5" s="1"/>
  <c r="CH60" i="5"/>
  <c r="CJ60" i="5" s="1"/>
  <c r="CH92" i="5"/>
  <c r="CJ92" i="5" s="1"/>
  <c r="CH132" i="5"/>
  <c r="CJ132" i="5" s="1"/>
  <c r="CH140" i="5"/>
  <c r="CJ140" i="5" s="1"/>
  <c r="CH164" i="5"/>
  <c r="CJ164" i="5" s="1"/>
  <c r="CH180" i="5"/>
  <c r="CJ180" i="5" s="1"/>
  <c r="CH196" i="5"/>
  <c r="CJ196" i="5" s="1"/>
  <c r="CH204" i="5"/>
  <c r="CJ204" i="5" s="1"/>
  <c r="CH212" i="5"/>
  <c r="CJ212" i="5" s="1"/>
  <c r="CH220" i="5"/>
  <c r="CJ220" i="5" s="1"/>
  <c r="CH228" i="5"/>
  <c r="CJ228" i="5" s="1"/>
  <c r="CH5" i="5"/>
  <c r="CJ5" i="5" s="1"/>
  <c r="CH13" i="5"/>
  <c r="CJ13" i="5" s="1"/>
  <c r="CH21" i="5"/>
  <c r="CJ21" i="5" s="1"/>
  <c r="CH29" i="5"/>
  <c r="CJ29" i="5" s="1"/>
  <c r="CH45" i="5"/>
  <c r="CJ45" i="5" s="1"/>
  <c r="CH53" i="5"/>
  <c r="CJ53" i="5" s="1"/>
  <c r="CH61" i="5"/>
  <c r="CJ61" i="5" s="1"/>
  <c r="CH69" i="5"/>
  <c r="CJ69" i="5" s="1"/>
  <c r="CH77" i="5"/>
  <c r="CJ77" i="5" s="1"/>
  <c r="CH85" i="5"/>
  <c r="CJ85" i="5" s="1"/>
  <c r="CH93" i="5"/>
  <c r="CJ93" i="5" s="1"/>
  <c r="CH101" i="5"/>
  <c r="CJ101" i="5" s="1"/>
  <c r="CH109" i="5"/>
  <c r="CJ109" i="5" s="1"/>
  <c r="CH133" i="5"/>
  <c r="CJ133" i="5" s="1"/>
  <c r="CH141" i="5"/>
  <c r="CJ141" i="5" s="1"/>
  <c r="CH157" i="5"/>
  <c r="CH165" i="5"/>
  <c r="CJ165" i="5" s="1"/>
  <c r="CH181" i="5"/>
  <c r="CJ181" i="5" s="1"/>
  <c r="CH189" i="5"/>
  <c r="CJ189" i="5" s="1"/>
  <c r="CH197" i="5"/>
  <c r="CJ197" i="5" s="1"/>
  <c r="CH221" i="5"/>
  <c r="CJ221" i="5" s="1"/>
  <c r="CH229" i="5"/>
  <c r="CH237" i="5"/>
  <c r="CJ237" i="5" s="1"/>
  <c r="CH236" i="5"/>
  <c r="CJ236" i="5" s="1"/>
  <c r="CH252" i="5"/>
  <c r="F43" i="9"/>
  <c r="F44" i="9"/>
  <c r="C19" i="7"/>
  <c r="F4" i="7"/>
  <c r="J74" i="9"/>
  <c r="J41" i="9"/>
  <c r="G51" i="9" s="1"/>
  <c r="G43" i="9" s="1"/>
  <c r="E13" i="7"/>
  <c r="J16" i="9"/>
  <c r="L16" i="9" s="1"/>
  <c r="F67" i="9"/>
  <c r="F75" i="9" s="1"/>
  <c r="E4" i="7"/>
  <c r="E19" i="7" s="1"/>
  <c r="CJ254" i="5" l="1"/>
  <c r="CJ298" i="5" s="1"/>
  <c r="CJ299" i="5" s="1"/>
  <c r="CH298" i="5"/>
  <c r="CH299" i="5" s="1"/>
  <c r="CJ252" i="5"/>
  <c r="CJ294" i="5" s="1"/>
  <c r="CJ295" i="5" s="1"/>
  <c r="CH294" i="5"/>
  <c r="CH295" i="5" s="1"/>
  <c r="CJ229" i="5"/>
  <c r="CJ292" i="5" s="1"/>
  <c r="CJ293" i="5" s="1"/>
  <c r="CH292" i="5"/>
  <c r="CH293" i="5" s="1"/>
  <c r="CJ227" i="5"/>
  <c r="CJ290" i="5" s="1"/>
  <c r="CJ291" i="5" s="1"/>
  <c r="CH290" i="5"/>
  <c r="CH291" i="5" s="1"/>
  <c r="CJ222" i="5"/>
  <c r="CJ288" i="5" s="1"/>
  <c r="CJ289" i="5" s="1"/>
  <c r="CH288" i="5"/>
  <c r="CH289" i="5" s="1"/>
  <c r="CJ214" i="5"/>
  <c r="CJ286" i="5" s="1"/>
  <c r="CJ287" i="5" s="1"/>
  <c r="CH286" i="5"/>
  <c r="CH287" i="5" s="1"/>
  <c r="CJ178" i="5"/>
  <c r="CJ284" i="5" s="1"/>
  <c r="CH284" i="5"/>
  <c r="CJ177" i="5"/>
  <c r="CJ283" i="5" s="1"/>
  <c r="CH283" i="5"/>
  <c r="CJ174" i="5"/>
  <c r="CJ282" i="5" s="1"/>
  <c r="CH282" i="5"/>
  <c r="CJ157" i="5"/>
  <c r="CJ281" i="5" s="1"/>
  <c r="CH281" i="5"/>
  <c r="CJ129" i="5"/>
  <c r="CJ280" i="5" s="1"/>
  <c r="CH280" i="5"/>
  <c r="CJ126" i="5"/>
  <c r="CJ275" i="5" s="1"/>
  <c r="CH275" i="5"/>
  <c r="CJ119" i="5"/>
  <c r="CJ273" i="5" s="1"/>
  <c r="CH273" i="5"/>
  <c r="CJ63" i="5"/>
  <c r="CJ269" i="5" s="1"/>
  <c r="CJ270" i="5" s="1"/>
  <c r="CH269" i="5"/>
  <c r="CH270" i="5" s="1"/>
  <c r="CJ62" i="5"/>
  <c r="CJ267" i="5" s="1"/>
  <c r="CH267" i="5"/>
  <c r="CJ54" i="5"/>
  <c r="CJ266" i="5" s="1"/>
  <c r="CH266" i="5"/>
  <c r="M12" i="13"/>
  <c r="K17" i="10"/>
  <c r="CJ14" i="5"/>
  <c r="CJ263" i="5" s="1"/>
  <c r="CJ264" i="5" s="1"/>
  <c r="CH263" i="5"/>
  <c r="CH264" i="5" s="1"/>
  <c r="CJ2" i="5"/>
  <c r="CJ261" i="5" s="1"/>
  <c r="CJ262" i="5" s="1"/>
  <c r="CH261" i="5"/>
  <c r="CH262" i="5" s="1"/>
  <c r="F80" i="9"/>
  <c r="F45" i="9"/>
  <c r="N22" i="9"/>
  <c r="N21" i="9"/>
  <c r="H51" i="9"/>
  <c r="H43" i="9" s="1"/>
  <c r="I51" i="9"/>
  <c r="I43" i="9" s="1"/>
  <c r="M10" i="24" l="1"/>
  <c r="K136" i="10"/>
  <c r="M10" i="22"/>
  <c r="K114" i="10"/>
  <c r="M10" i="21"/>
  <c r="K103" i="10"/>
  <c r="M10" i="20"/>
  <c r="K92" i="10"/>
  <c r="M10" i="19"/>
  <c r="K81" i="10"/>
  <c r="CH285" i="5"/>
  <c r="CJ285" i="5"/>
  <c r="CH276" i="5"/>
  <c r="CJ276" i="5"/>
  <c r="M10" i="15"/>
  <c r="K37" i="10"/>
  <c r="CH268" i="5"/>
  <c r="CJ268" i="5"/>
  <c r="M10" i="13"/>
  <c r="K15" i="10"/>
  <c r="L15" i="10" s="1"/>
  <c r="L17" i="10"/>
  <c r="M40" i="13"/>
  <c r="N40" i="13" s="1"/>
  <c r="N12" i="13"/>
  <c r="M10" i="12"/>
  <c r="K4" i="10"/>
  <c r="H52" i="9"/>
  <c r="H56" i="9" s="1"/>
  <c r="H60" i="9" s="1"/>
  <c r="H44" i="9" s="1"/>
  <c r="N20" i="9"/>
  <c r="G52" i="9"/>
  <c r="G56" i="9" s="1"/>
  <c r="G60" i="9" s="1"/>
  <c r="G44" i="9" s="1"/>
  <c r="J51" i="9"/>
  <c r="J52" i="9" s="1"/>
  <c r="J56" i="9" s="1"/>
  <c r="J60" i="9" s="1"/>
  <c r="I52" i="9"/>
  <c r="I56" i="9" s="1"/>
  <c r="I60" i="9" s="1"/>
  <c r="I44" i="9" s="1"/>
  <c r="K139" i="10" l="1"/>
  <c r="L136" i="10"/>
  <c r="L139" i="10" s="1"/>
  <c r="M13" i="24"/>
  <c r="M38" i="24"/>
  <c r="AB10" i="24"/>
  <c r="AC10" i="24" s="1"/>
  <c r="N10" i="24"/>
  <c r="N13" i="24" s="1"/>
  <c r="K117" i="10"/>
  <c r="L114" i="10"/>
  <c r="L117" i="10" s="1"/>
  <c r="M13" i="22"/>
  <c r="M38" i="22"/>
  <c r="AB10" i="22"/>
  <c r="AC10" i="22" s="1"/>
  <c r="N10" i="22"/>
  <c r="N13" i="22" s="1"/>
  <c r="K106" i="10"/>
  <c r="L103" i="10"/>
  <c r="L106" i="10" s="1"/>
  <c r="AB10" i="21"/>
  <c r="AC10" i="21" s="1"/>
  <c r="M38" i="21"/>
  <c r="M13" i="21"/>
  <c r="N10" i="21"/>
  <c r="N13" i="21" s="1"/>
  <c r="K95" i="10"/>
  <c r="L92" i="10"/>
  <c r="L95" i="10" s="1"/>
  <c r="M38" i="20"/>
  <c r="M13" i="20"/>
  <c r="AB10" i="20"/>
  <c r="AC10" i="20" s="1"/>
  <c r="N10" i="20"/>
  <c r="N13" i="20" s="1"/>
  <c r="K84" i="10"/>
  <c r="L81" i="10"/>
  <c r="L84" i="10" s="1"/>
  <c r="M13" i="19"/>
  <c r="M38" i="19"/>
  <c r="AB10" i="19"/>
  <c r="AC10" i="19" s="1"/>
  <c r="N10" i="19"/>
  <c r="N13" i="19" s="1"/>
  <c r="M10" i="18"/>
  <c r="K70" i="10"/>
  <c r="M10" i="16"/>
  <c r="K48" i="10"/>
  <c r="K40" i="10"/>
  <c r="L37" i="10"/>
  <c r="L40" i="10" s="1"/>
  <c r="M13" i="15"/>
  <c r="M38" i="15"/>
  <c r="N10" i="15"/>
  <c r="N13" i="15" s="1"/>
  <c r="AB10" i="15"/>
  <c r="AC10" i="15" s="1"/>
  <c r="M10" i="14"/>
  <c r="K26" i="10"/>
  <c r="K18" i="10"/>
  <c r="L18" i="10"/>
  <c r="M38" i="13"/>
  <c r="M13" i="13"/>
  <c r="N10" i="13"/>
  <c r="N13" i="13" s="1"/>
  <c r="AB10" i="13"/>
  <c r="AC10" i="13" s="1"/>
  <c r="K7" i="10"/>
  <c r="L4" i="10"/>
  <c r="L7" i="10" s="1"/>
  <c r="M38" i="12"/>
  <c r="M13" i="12"/>
  <c r="AB10" i="12"/>
  <c r="AC10" i="12" s="1"/>
  <c r="N10" i="12"/>
  <c r="N13" i="12" s="1"/>
  <c r="N41" i="9"/>
  <c r="N38" i="9"/>
  <c r="J43" i="9"/>
  <c r="K43" i="9" s="1"/>
  <c r="I67" i="9"/>
  <c r="I45" i="9" s="1"/>
  <c r="N38" i="24" l="1"/>
  <c r="M41" i="24"/>
  <c r="AB38" i="24"/>
  <c r="M41" i="22"/>
  <c r="N41" i="22" s="1"/>
  <c r="N38" i="22"/>
  <c r="AB38" i="22"/>
  <c r="M41" i="21"/>
  <c r="AB38" i="21"/>
  <c r="N38" i="21"/>
  <c r="M41" i="20"/>
  <c r="AB38" i="20"/>
  <c r="N38" i="20"/>
  <c r="M41" i="19"/>
  <c r="AB38" i="19"/>
  <c r="N38" i="19"/>
  <c r="K73" i="10"/>
  <c r="L70" i="10"/>
  <c r="L73" i="10" s="1"/>
  <c r="M38" i="18"/>
  <c r="M13" i="18"/>
  <c r="N10" i="18"/>
  <c r="N13" i="18" s="1"/>
  <c r="AB10" i="18"/>
  <c r="AC10" i="18" s="1"/>
  <c r="K51" i="10"/>
  <c r="L48" i="10"/>
  <c r="L51" i="10" s="1"/>
  <c r="N10" i="16"/>
  <c r="N13" i="16" s="1"/>
  <c r="M38" i="16"/>
  <c r="M13" i="16"/>
  <c r="AB10" i="16"/>
  <c r="AC10" i="16" s="1"/>
  <c r="AB38" i="15"/>
  <c r="M41" i="15"/>
  <c r="N38" i="15"/>
  <c r="K29" i="10"/>
  <c r="L26" i="10"/>
  <c r="L29" i="10" s="1"/>
  <c r="N10" i="14"/>
  <c r="N13" i="14" s="1"/>
  <c r="M38" i="14"/>
  <c r="M13" i="14"/>
  <c r="AB10" i="14"/>
  <c r="AC10" i="14" s="1"/>
  <c r="M41" i="13"/>
  <c r="N38" i="13"/>
  <c r="AB38" i="13"/>
  <c r="M41" i="12"/>
  <c r="N38" i="12"/>
  <c r="AB38" i="12"/>
  <c r="J44" i="9"/>
  <c r="K44" i="9" s="1"/>
  <c r="AB44" i="24" l="1"/>
  <c r="AC44" i="24" s="1"/>
  <c r="AC38" i="24"/>
  <c r="N41" i="24"/>
  <c r="I69" i="24"/>
  <c r="AB44" i="22"/>
  <c r="AC44" i="22" s="1"/>
  <c r="AC38" i="22"/>
  <c r="AB44" i="21"/>
  <c r="AC44" i="21" s="1"/>
  <c r="AC38" i="21"/>
  <c r="I69" i="21"/>
  <c r="N41" i="21"/>
  <c r="AB44" i="20"/>
  <c r="AC44" i="20" s="1"/>
  <c r="AC38" i="20"/>
  <c r="N41" i="20"/>
  <c r="I69" i="20"/>
  <c r="AB44" i="19"/>
  <c r="AC44" i="19" s="1"/>
  <c r="AC38" i="19"/>
  <c r="N41" i="19"/>
  <c r="I69" i="19"/>
  <c r="M41" i="18"/>
  <c r="AB38" i="18"/>
  <c r="N38" i="18"/>
  <c r="M41" i="16"/>
  <c r="N38" i="16"/>
  <c r="AB38" i="16"/>
  <c r="N41" i="15"/>
  <c r="I69" i="15"/>
  <c r="AB44" i="15"/>
  <c r="AC44" i="15" s="1"/>
  <c r="AC38" i="15"/>
  <c r="M41" i="14"/>
  <c r="N38" i="14"/>
  <c r="AB38" i="14"/>
  <c r="AB44" i="13"/>
  <c r="AC44" i="13" s="1"/>
  <c r="AC38" i="13"/>
  <c r="N41" i="13"/>
  <c r="I69" i="13"/>
  <c r="AB44" i="12"/>
  <c r="AC44" i="12" s="1"/>
  <c r="AC38" i="12"/>
  <c r="N41" i="12"/>
  <c r="I69" i="12"/>
  <c r="J67" i="9"/>
  <c r="J69" i="24" l="1"/>
  <c r="J75" i="24" s="1"/>
  <c r="J80" i="24" s="1"/>
  <c r="I75" i="24"/>
  <c r="I80" i="24" s="1"/>
  <c r="J69" i="21"/>
  <c r="J75" i="21" s="1"/>
  <c r="J80" i="21" s="1"/>
  <c r="I75" i="21"/>
  <c r="I80" i="21" s="1"/>
  <c r="J69" i="20"/>
  <c r="J75" i="20" s="1"/>
  <c r="J80" i="20" s="1"/>
  <c r="I75" i="20"/>
  <c r="I80" i="20" s="1"/>
  <c r="J69" i="19"/>
  <c r="J75" i="19" s="1"/>
  <c r="J80" i="19" s="1"/>
  <c r="I75" i="19"/>
  <c r="I80" i="19" s="1"/>
  <c r="AB44" i="18"/>
  <c r="AC44" i="18" s="1"/>
  <c r="AC38" i="18"/>
  <c r="N41" i="18"/>
  <c r="I69" i="18"/>
  <c r="AB44" i="16"/>
  <c r="AC44" i="16" s="1"/>
  <c r="AC38" i="16"/>
  <c r="N41" i="16"/>
  <c r="I69" i="16"/>
  <c r="J69" i="15"/>
  <c r="J75" i="15" s="1"/>
  <c r="J80" i="15" s="1"/>
  <c r="I75" i="15"/>
  <c r="I80" i="15" s="1"/>
  <c r="AB44" i="14"/>
  <c r="AC44" i="14" s="1"/>
  <c r="AC38" i="14"/>
  <c r="N41" i="14"/>
  <c r="I69" i="14"/>
  <c r="J69" i="13"/>
  <c r="J75" i="13" s="1"/>
  <c r="J80" i="13" s="1"/>
  <c r="I75" i="13"/>
  <c r="I80" i="13" s="1"/>
  <c r="J69" i="12"/>
  <c r="J75" i="12" s="1"/>
  <c r="J80" i="12" s="1"/>
  <c r="I75" i="12"/>
  <c r="I80" i="12" s="1"/>
  <c r="G73" i="9"/>
  <c r="G72" i="9"/>
  <c r="H68" i="9"/>
  <c r="J68" i="9" s="1"/>
  <c r="I69" i="9"/>
  <c r="H67" i="9"/>
  <c r="H45" i="9" s="1"/>
  <c r="G67" i="9"/>
  <c r="G45" i="9" s="1"/>
  <c r="J69" i="18" l="1"/>
  <c r="J75" i="18" s="1"/>
  <c r="J80" i="18" s="1"/>
  <c r="I75" i="18"/>
  <c r="I80" i="18" s="1"/>
  <c r="J69" i="16"/>
  <c r="J75" i="16" s="1"/>
  <c r="J80" i="16" s="1"/>
  <c r="I75" i="16"/>
  <c r="I80" i="16" s="1"/>
  <c r="J69" i="14"/>
  <c r="J75" i="14" s="1"/>
  <c r="J80" i="14" s="1"/>
  <c r="I75" i="14"/>
  <c r="I80" i="14" s="1"/>
  <c r="H75" i="9"/>
  <c r="H80" i="9" s="1"/>
  <c r="G75" i="9"/>
  <c r="J69" i="9"/>
  <c r="J45" i="9" l="1"/>
  <c r="K45" i="9" s="1"/>
  <c r="I73" i="9"/>
  <c r="J73" i="9" s="1"/>
  <c r="O72" i="9"/>
  <c r="I72" i="9"/>
  <c r="M72" i="9"/>
  <c r="K46" i="9" l="1"/>
  <c r="I75" i="9"/>
  <c r="I80" i="9" s="1"/>
  <c r="G80" i="9"/>
  <c r="J72" i="9"/>
  <c r="J75" i="9" l="1"/>
  <c r="J80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9FF21376-BA8C-4D60-B13C-AAC44C2B644E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C67353DA-A159-4A32-B4A3-248B45883EDA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DA6CA7A4-7F8E-49FC-A438-9A3A9C2D4C3E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C3E87F66-A43B-4FCF-8EB3-DB851C212748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281AD1B3-641B-4618-B9C4-7AB79C89CB0B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286F79B5-0047-46BA-84FA-1AC285BBB689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EF13BD9E-3393-43B7-A07B-CF30F8108056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13F44862-F85C-4B23-8059-1AF37367B15A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8444855F-B36E-4AD4-AA74-7ABB548415A4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EAA70822-60E1-4231-9AA7-7F5D848377B9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AF002A03-7EED-42AA-B4C3-00DA0563D304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5502A8BB-62A1-4EBB-934A-76C0B16F878E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F6517039-00CA-49D1-84C8-5B346F3A6971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C10A87C0-9482-4F99-A800-EC855AEACB65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8A783E4-6D74-4051-B019-6CCCEE519ACC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59C93BDB-4F45-4AB0-8E88-3D598F83EB75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A021A7B6-6FDA-4E36-8B79-B6EB4394BB63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F9D40B9F-38F1-4690-9B09-2175A4E0FC91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38358DF1-FBF4-4E68-864A-81502BE9530A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8CD9B0DE-F03C-47D0-A9CB-FEC23854059B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AB4C8A74-8E21-4C4E-A1AE-A6D42AEA9A62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31822AE2-B1E6-4E52-9089-1564D3188CF9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9D35BEE5-CC5D-49F2-8464-3BD4DE848A9A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1FC1A23A-72C7-42DD-B463-6368D493154F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59CD0334-CCD1-4C75-AF57-A518B4AA81DC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4ECAF2A5-FCC4-4B3D-A3C7-F77FF82786BF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32D3ACE7-5FA2-45A9-81A9-3CBB73B06734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ABDDB374-E38C-4930-B0BF-8B639CA87F56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60A01E51-70C5-446F-B2F4-17E05AFFF6C7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88F6A721-0729-4138-AD39-31A434C69479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1093AE62-D945-477C-AE28-023631A7A951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EBDED14D-A948-4320-A084-0CD3CDAF417E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C2DC949F-61AD-482C-8C8D-7F58A0CD95FB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4A561637-318D-4E06-ABC9-B7217B28BDA9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2C1DAE90-5730-42A6-BDBF-D5BBBC6C517F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FA0CB763-DB59-4E93-9F50-6BA1A315A7A5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2C175FCD-DEDD-4208-83F9-F59077B73E42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C46E138B-8434-43FD-B930-11AA6F0671D7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8584676A-6551-4F7B-BBCB-8079F2C5C79B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32235BE4-9279-413B-8FB4-2D22F79B17E2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815CB1A3-9960-46D0-B05B-37AB9F82594B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3DADCC07-AD79-431B-9253-3729C79A660C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4AA98BB3-324C-4A9C-87AF-574699DF67EB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3A66090E-6758-4DC7-85AB-F3E83992D409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9C967223-259E-41AC-BD79-336FBD54EF79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0000000-0006-0000-0200-00000100000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00000000-0006-0000-0200-00000200000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0000000-0006-0000-0200-00000300000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0000000-0006-0000-0200-000004000000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0000000-0006-0000-0200-00000500000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0000000-0006-0000-0200-00000600000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0000000-0006-0000-0200-000007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0000000-0006-0000-0200-000008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0A843D4-16DB-40DB-A22A-E9933DF2D2C0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mfreeman</author>
  </authors>
  <commentList>
    <comment ref="C2" authorId="0" shapeId="0" xr:uid="{61B360C7-1831-4E7E-A468-C48519859818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3" authorId="0" shapeId="0" xr:uid="{5BBA9B63-A336-45AE-B74D-5AB64A1CCC9B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24" authorId="0" shapeId="0" xr:uid="{A62BCA48-363D-40B4-9DBE-27C67BCBDF51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35" authorId="0" shapeId="0" xr:uid="{0614E36F-2EC5-40BF-9FB7-1FCFAFD0CC7F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46" authorId="0" shapeId="0" xr:uid="{E812E156-0FFC-4BBB-AB39-69DB688BE44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57" authorId="0" shapeId="0" xr:uid="{EF8372D6-D762-4874-9ADD-2EA534D01D2C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68" authorId="0" shapeId="0" xr:uid="{A27F88F8-3AF6-46BF-8373-0F58DCF1279C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79" authorId="0" shapeId="0" xr:uid="{2F50755B-6958-4780-8A8F-517B140DFA77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90" authorId="0" shapeId="0" xr:uid="{48EE374D-FAFB-4E98-878A-E6D1043F5E28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01" authorId="0" shapeId="0" xr:uid="{CA0278DE-3AD7-487A-80F2-2C81CC50A0BC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12" authorId="0" shapeId="0" xr:uid="{47CD9070-D4EE-41B9-8C79-C9331A304DC5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23" authorId="0" shapeId="0" xr:uid="{1053712F-C3A2-487B-915E-0924551AF4D9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34" authorId="0" shapeId="0" xr:uid="{ED3F4C8C-D77D-4664-86CA-397CE69377FC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168C651A-D907-4188-ABC8-0C0E79FBE72D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EBF30514-AD97-4577-A54A-CB17300D399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4F41D3BB-81B3-4C7F-A304-BAD9380F532C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B0BA010A-0EA1-48E8-963B-9BA71A076B87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ABF5AC89-0A8A-4A20-894A-4886A19BCB1C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D579D13-5ED8-45BC-B08A-614150135DD2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7E3BED51-32C9-4400-BB53-47B5D91DACBB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F8C42913-A7C5-430F-A9E6-CFA9E76CFE2C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9AA96AB4-5520-413A-A019-65C9BE625D2D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5F6C52CF-D2DC-46DB-A42D-B94D5E341BBC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9FDE2E15-97C6-4718-B326-C44D35E9049B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BBC8E2E7-D3AC-498D-AAE4-FFDCC1DCBE6F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E05609A4-117F-4170-848E-22EFA197D21B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477D09DB-2BFC-419B-A1DF-92106B69CAEA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F066AFB6-870D-4F26-BE47-A93F20C70E3F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C43062D2-37F4-411F-862D-A4C61CA7C92B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67EF2A44-3E34-476D-9B8F-965B1AF5FA43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444E1A39-FD14-4302-A3E2-5958DE0DB68E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3B697BB7-4AAD-46E2-A361-D65C3B57BE35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C8B43C1E-3189-4D1B-9B81-8C56E82EB543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97CDD48D-E5EB-40CB-A5F8-F73E3E9B0C1E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79D9436A-BB03-4D8F-88CB-BF0E0EE63EDD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8DE3D7E7-9265-4122-92F6-007415D53C6C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363CEC1F-6966-47F2-8B42-7FE254974C05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754241A4-CA1C-41A1-AEC4-6959D1A93C06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AACE072-48EC-4089-98B1-A141C0E36B76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87EA0377-73AF-4A72-A866-8E8F54F243B6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2960E877-3DBF-4FC4-8CD9-9722D5482BE2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FD16A041-9E46-491E-A7FC-5404E55344CA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22EA5D1D-DBB9-4138-8F34-D53EAC4AF67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DEC03D16-E780-4DD5-AF85-9F50054A9587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B7418849-F248-4E4D-B0F3-6AFC76307455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DD3C73F1-9886-4C51-8EF6-79FD0F8C3758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2CBE232F-0DC3-48A1-B9B0-68326EEFBDAE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288A08A4-7FB0-44FB-8461-333C1496C1E2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2E054F2-1DF0-4A79-B423-6B4579D5E290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FE373096-7EE9-4CED-8B73-7CA6203B254D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42B86C4C-30F9-4C88-8E8F-662B51FD6D0B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93F2B62F-AD2B-47C4-A1F0-4FBC77FE1D32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C656739C-96F4-4723-939F-6A78A4834493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E0F9D53-4D79-4D74-9537-8452B5743036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CF8E6EA8-2897-421B-B163-9B1DC7C448E7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18CF312D-3931-4800-A67B-801267D0F38F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680F3276-CCAD-4D1B-9AAB-A536216C66E5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2E68FCB2-1C87-4AC4-A8F0-C90C3EEFC331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39F10BEB-8815-4EAB-B647-7321D6D1A99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6BB402F7-1F86-40E8-B09A-327D2F3EFF54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2AC843C6-D3DE-472E-BDAA-4BA16D7061D5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D23DCBDF-7E64-4A19-8D7D-9E415C3DB1C6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A15E715A-EE6C-478C-B6AD-886A656C933D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F88FC601-0961-4507-B7FC-07D89115C167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6F39AF6E-41E1-4601-B31D-C8FA133B1752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EADDC552-4DE1-42EA-85BB-5C35E836DBDF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9ABAC3B6-469F-4BCF-937B-C190F0407F1F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BBD3723A-B385-4773-9E71-ED1BC79CE78A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A5DF8A40-96D6-4D7B-89BD-924F62DDF357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D29F538A-D5F1-4CC8-96FF-836E04808A63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675CE67E-2CA0-4E63-91AC-0E0B2845D13F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F3175F67-222E-4895-9DFC-DB6AB70C16C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1590696D-268F-4ACC-AB67-B7D207C2F47E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8DE2FDC5-9C6C-43B0-9EE9-26A3673E3C97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26A813F6-7270-4BB6-924E-6B75191C9AF3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B45D0ABB-B7F0-4E5A-9C1D-67FC7F1F5495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C256EFF9-F648-4963-8DAA-7899BC1236EF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850C0422-133C-4446-B14B-05CF73D4C408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5902F06A-1495-436F-9609-BAF210D783CD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E6EA6B1-5CCB-423B-9966-DE471B96EC21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BF08B406-567A-483D-ADF5-77B0C3BBC406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17539BD9-FE37-43C9-B33A-5852676567D5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3F710ECA-1655-4A0C-A374-655460B8F5C6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2A30582D-BCBE-4FCB-A700-FDD52DD59386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45A81854-E23C-4DAA-83DB-07BE74ABEE14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sharedStrings.xml><?xml version="1.0" encoding="utf-8"?>
<sst xmlns="http://schemas.openxmlformats.org/spreadsheetml/2006/main" count="7812" uniqueCount="944">
  <si>
    <t>Current Year</t>
  </si>
  <si>
    <t>Budgeted Year</t>
  </si>
  <si>
    <t>FICA SSDI Rate</t>
  </si>
  <si>
    <t>FICA SSHI Rate</t>
  </si>
  <si>
    <t>Unemployment Rate</t>
  </si>
  <si>
    <t>Workers Comp Rate</t>
  </si>
  <si>
    <t>Life Insurance Rate</t>
  </si>
  <si>
    <t>Unused sick leave rate</t>
  </si>
  <si>
    <t>DHR rate</t>
  </si>
  <si>
    <t>Total Group</t>
  </si>
  <si>
    <t>Agency Benefit Information</t>
  </si>
  <si>
    <t>Total Permanent</t>
  </si>
  <si>
    <t>Full Time Health Costs</t>
  </si>
  <si>
    <t>Agency/Department:</t>
  </si>
  <si>
    <t>Agency Number:</t>
  </si>
  <si>
    <t>Fiscal Year:</t>
  </si>
  <si>
    <t>Original Request Date:</t>
  </si>
  <si>
    <t>Fund Name:</t>
  </si>
  <si>
    <t>Revision Date:</t>
  </si>
  <si>
    <t>Revision #:</t>
  </si>
  <si>
    <t>PCN</t>
  </si>
  <si>
    <t>CLASS CODE</t>
  </si>
  <si>
    <t>DESCRIPTION</t>
  </si>
  <si>
    <t>Indicator Code</t>
  </si>
  <si>
    <t>FTP</t>
  </si>
  <si>
    <t>TOTAL BENEFIT CHANGES</t>
  </si>
  <si>
    <t>Totals from Wage and Salary Report (WSR):</t>
  </si>
  <si>
    <t>Permanent Positions</t>
  </si>
  <si>
    <t>Board &amp; Group Positions</t>
  </si>
  <si>
    <t>Elected Officials &amp; Full Time Commissioners</t>
  </si>
  <si>
    <t>TOTAL FROM WSR</t>
  </si>
  <si>
    <t>ORIGINAL APPROPRIATION</t>
  </si>
  <si>
    <t>Unadjusted Over or (Under) Funded:</t>
  </si>
  <si>
    <t>Est Difference</t>
  </si>
  <si>
    <t>Adjustments to Wage &amp; Salary:</t>
  </si>
  <si>
    <t>Add Funded / Subtract Unfunded - Vacant or Authorized - Positions:</t>
  </si>
  <si>
    <t>Other Adjustments:</t>
  </si>
  <si>
    <t>Estimated Salary Needs:</t>
  </si>
  <si>
    <t>Estimated Salary and Benefits</t>
  </si>
  <si>
    <t>Adjusted Over or (Under) Funding:</t>
  </si>
  <si>
    <t>Orig. Approp</t>
  </si>
  <si>
    <t>Est. Expend</t>
  </si>
  <si>
    <t>DU</t>
  </si>
  <si>
    <t>Original Appropriation</t>
  </si>
  <si>
    <t>Total Benefit Change</t>
  </si>
  <si>
    <t xml:space="preserve"> </t>
  </si>
  <si>
    <t>Rounded Appropriation</t>
  </si>
  <si>
    <t>Appropriation Adjustments:</t>
  </si>
  <si>
    <t>Reappropriation</t>
  </si>
  <si>
    <t>Supplemental</t>
  </si>
  <si>
    <t>TOTAL APPROPRIATION</t>
  </si>
  <si>
    <t>Expenditure Adjustments:</t>
  </si>
  <si>
    <t>FTP or Fund Adjustment</t>
  </si>
  <si>
    <t>ESTIMATED EXPENDITURES</t>
  </si>
  <si>
    <t>Base Adjustments:</t>
  </si>
  <si>
    <t>Removal of One-Time Expenditures</t>
  </si>
  <si>
    <t>Base Reduction</t>
  </si>
  <si>
    <t>BASE</t>
  </si>
  <si>
    <t>Change in Health Benefit Costs</t>
  </si>
  <si>
    <t>Change in Variable Benefits Costs</t>
  </si>
  <si>
    <t>Annualization</t>
  </si>
  <si>
    <t>CEC for Elected Officials &amp; Commissioners</t>
  </si>
  <si>
    <t>PROGRAM MAINTENANCE</t>
  </si>
  <si>
    <t>Line Items:</t>
  </si>
  <si>
    <t>TOTAL REQUEST</t>
  </si>
  <si>
    <t xml:space="preserve">Transfer Between Programs </t>
  </si>
  <si>
    <t>R1</t>
  </si>
  <si>
    <t>R6</t>
  </si>
  <si>
    <t>R2</t>
  </si>
  <si>
    <t>R4</t>
  </si>
  <si>
    <t>R5</t>
  </si>
  <si>
    <t>R8</t>
  </si>
  <si>
    <t>R7</t>
  </si>
  <si>
    <t>Regular Retirement</t>
  </si>
  <si>
    <t>Police/Fire Retirement</t>
  </si>
  <si>
    <t>Former Public Safety (1985)</t>
  </si>
  <si>
    <t xml:space="preserve">Dept of Labor </t>
  </si>
  <si>
    <t>Judges Retirement</t>
  </si>
  <si>
    <t>Optional Retirement</t>
  </si>
  <si>
    <t>RETIREMENT RATES</t>
  </si>
  <si>
    <t>Part Time Health Costs</t>
  </si>
  <si>
    <t>FTI</t>
  </si>
  <si>
    <t>Budget Submission Page #</t>
  </si>
  <si>
    <t>of</t>
  </si>
  <si>
    <t>Retire Cd</t>
  </si>
  <si>
    <t>Adjustment Description / Position Title</t>
  </si>
  <si>
    <t>** MESSAGE CODES:</t>
  </si>
  <si>
    <t>1 = POSITION WITH MULTIPLE DISTRIBUTIONS</t>
  </si>
  <si>
    <t>2 = DELETED POSITION WITH ACTUAL DOLLARS</t>
  </si>
  <si>
    <t>3 = INCUMBENT IS AN UNDERFILL</t>
  </si>
  <si>
    <t>5 = SHIFT DIFFERENTIAL</t>
  </si>
  <si>
    <t>6 = MULTIPLE FILL CALCULATION</t>
  </si>
  <si>
    <t>Salary</t>
  </si>
  <si>
    <t>Variable Benefits</t>
  </si>
  <si>
    <t>Total Benefits</t>
  </si>
  <si>
    <t>Totals by Fund</t>
  </si>
  <si>
    <t>Health Benefits</t>
  </si>
  <si>
    <t>Base</t>
  </si>
  <si>
    <t xml:space="preserve">Personnel Cost Reconciliation - Relation to Zero Variance  ---&gt; </t>
  </si>
  <si>
    <t>CEC for Permanent Positions</t>
  </si>
  <si>
    <t>Elected Officials</t>
  </si>
  <si>
    <t>Permanent Position CEC Rate</t>
  </si>
  <si>
    <t>Group Position CEC Rate</t>
  </si>
  <si>
    <t>Filled</t>
  </si>
  <si>
    <t>Total</t>
  </si>
  <si>
    <t>Filled and Adjustments</t>
  </si>
  <si>
    <t>Adjustments Only</t>
  </si>
  <si>
    <t>Percent of Filled Positions</t>
  </si>
  <si>
    <t>FTP = POSITION FTE = (PAY PERIOD HOURS/80) * FTE PCT OF YEAR * POSITION DISTRIBUTION %</t>
  </si>
  <si>
    <t>FTI  = EMPLOYEE FTE = (PAY PERIOD HOURS/80)  * FTE PCT OF YEAR * POSITION DISTRIBUTION %</t>
  </si>
  <si>
    <t>orig CEC</t>
  </si>
  <si>
    <t>Luma Fund Number</t>
  </si>
  <si>
    <t>Appropriation (Budget) Unit</t>
  </si>
  <si>
    <t>Historical Fund #:</t>
  </si>
  <si>
    <t>Budgeted Division:</t>
  </si>
  <si>
    <t>Budgeted Program</t>
  </si>
  <si>
    <t>Transfer between programs</t>
  </si>
  <si>
    <t>CEC for Temp/Group Positions</t>
  </si>
  <si>
    <t>School Rate (K12 only)</t>
  </si>
  <si>
    <t>FISCAL YEAR</t>
  </si>
  <si>
    <t>AGENCY CODE</t>
  </si>
  <si>
    <t>PCN TITLE</t>
  </si>
  <si>
    <t>FUND CODE</t>
  </si>
  <si>
    <t>FUND DETAIL CODE</t>
  </si>
  <si>
    <t>BUDGET UNIT</t>
  </si>
  <si>
    <t>PCA</t>
  </si>
  <si>
    <t>INDEX CODE</t>
  </si>
  <si>
    <t>PCN DIST COUNT</t>
  </si>
  <si>
    <t>PCN CLASS CODE</t>
  </si>
  <si>
    <t>PCN PAY GRADE</t>
  </si>
  <si>
    <t>PCN STATUS CODE</t>
  </si>
  <si>
    <t>PCN TYPE CODE</t>
  </si>
  <si>
    <t>INCUMBENT COUNT</t>
  </si>
  <si>
    <t>PCN DIST PCT</t>
  </si>
  <si>
    <t>PCN FTE PCT</t>
  </si>
  <si>
    <t>PCN PP HOURS</t>
  </si>
  <si>
    <t>PCN FTP</t>
  </si>
  <si>
    <t>PCN ACTUAL REGULAR</t>
  </si>
  <si>
    <t>PCN ACTUAL OT</t>
  </si>
  <si>
    <t>PCN ACTUAL BENEFITS</t>
  </si>
  <si>
    <t>PCN ESTIMATED SALARY</t>
  </si>
  <si>
    <t>PCN ESTIMATED BENEFITS</t>
  </si>
  <si>
    <t>PCN PROJECTED SALARY</t>
  </si>
  <si>
    <t>PCN PROJECTED BENEFITS</t>
  </si>
  <si>
    <t>EMPLOYEE NAME</t>
  </si>
  <si>
    <t>LAST NAME</t>
  </si>
  <si>
    <t>FIRST NAME</t>
  </si>
  <si>
    <t>MIDDLE NAME</t>
  </si>
  <si>
    <t>INCUMBENT CLASS</t>
  </si>
  <si>
    <t>INCUMBENT PAY SCHEDULE</t>
  </si>
  <si>
    <t>PAY RATE IND</t>
  </si>
  <si>
    <t>PAY RATE</t>
  </si>
  <si>
    <t>CSS HOURS</t>
  </si>
  <si>
    <t>WORK TYPE CODE</t>
  </si>
  <si>
    <t>HEALTH ELIG IND</t>
  </si>
  <si>
    <t>SICK LEAVE ELIG IND</t>
  </si>
  <si>
    <t>UI ELIG IND</t>
  </si>
  <si>
    <t>RET OPT CODE</t>
  </si>
  <si>
    <t>INCUMBENT PP HOURS</t>
  </si>
  <si>
    <t>INCUMBENT FTE</t>
  </si>
  <si>
    <t>INCUMBENT FTI</t>
  </si>
  <si>
    <t>MSGS</t>
  </si>
  <si>
    <t>2023</t>
  </si>
  <si>
    <t>170</t>
  </si>
  <si>
    <t>0669</t>
  </si>
  <si>
    <t xml:space="preserve">PUBLIC INFO OFCR    </t>
  </si>
  <si>
    <t>0125</t>
  </si>
  <si>
    <t>00</t>
  </si>
  <si>
    <t>EDBC</t>
  </si>
  <si>
    <t>002</t>
  </si>
  <si>
    <t>05578</t>
  </si>
  <si>
    <t>L</t>
  </si>
  <si>
    <t>F</t>
  </si>
  <si>
    <t>NR</t>
  </si>
  <si>
    <t>RODINE, KRISTIN K.</t>
  </si>
  <si>
    <t>RODINE</t>
  </si>
  <si>
    <t>KRISTIN</t>
  </si>
  <si>
    <t>KARIN</t>
  </si>
  <si>
    <t xml:space="preserve">HL   </t>
  </si>
  <si>
    <t>H</t>
  </si>
  <si>
    <t>FS</t>
  </si>
  <si>
    <t>E</t>
  </si>
  <si>
    <t>N</t>
  </si>
  <si>
    <t>Y</t>
  </si>
  <si>
    <t xml:space="preserve">    </t>
  </si>
  <si>
    <t>0503</t>
  </si>
  <si>
    <t xml:space="preserve">WEB SERVICES MGR    </t>
  </si>
  <si>
    <t>15765</t>
  </si>
  <si>
    <t>STARKS  JR, BRADLEY P.</t>
  </si>
  <si>
    <t>STARKS  JR</t>
  </si>
  <si>
    <t>BRADLEY</t>
  </si>
  <si>
    <t>P</t>
  </si>
  <si>
    <t xml:space="preserve">HM   </t>
  </si>
  <si>
    <t>0420</t>
  </si>
  <si>
    <t>FINANCIAL SPECIALIST</t>
  </si>
  <si>
    <t>04245</t>
  </si>
  <si>
    <t>TRONDSON, KATHRYN M.</t>
  </si>
  <si>
    <t>TRONDSON</t>
  </si>
  <si>
    <t>KATHRYN</t>
  </si>
  <si>
    <t>MARIE</t>
  </si>
  <si>
    <t>0419</t>
  </si>
  <si>
    <t xml:space="preserve">FINANCIAL EXECUTIVE </t>
  </si>
  <si>
    <t>04240</t>
  </si>
  <si>
    <t>KONKOL, LOUIE D.</t>
  </si>
  <si>
    <t>KONKOL</t>
  </si>
  <si>
    <t>LOUIE</t>
  </si>
  <si>
    <t>D</t>
  </si>
  <si>
    <t>00000</t>
  </si>
  <si>
    <t>5139</t>
  </si>
  <si>
    <t xml:space="preserve">PUBLIC INFO SPEC    </t>
  </si>
  <si>
    <t>05582</t>
  </si>
  <si>
    <t>J</t>
  </si>
  <si>
    <t>KLEFFNER, TARA K.</t>
  </si>
  <si>
    <t>KLEFFNER</t>
  </si>
  <si>
    <t>TARA</t>
  </si>
  <si>
    <t>K</t>
  </si>
  <si>
    <t xml:space="preserve">HJ   </t>
  </si>
  <si>
    <t>5135</t>
  </si>
  <si>
    <t>COMMUNICATIONS DIREC</t>
  </si>
  <si>
    <t>001</t>
  </si>
  <si>
    <t>20124</t>
  </si>
  <si>
    <t>REYNOLDS, MAGGIE T.</t>
  </si>
  <si>
    <t>REYNOLDS</t>
  </si>
  <si>
    <t>MAGGIE</t>
  </si>
  <si>
    <t>TUESDAY</t>
  </si>
  <si>
    <t>3815</t>
  </si>
  <si>
    <t>04246</t>
  </si>
  <si>
    <t>ARNZEN, JANELL A.</t>
  </si>
  <si>
    <t>ARNZEN</t>
  </si>
  <si>
    <t>JANELL</t>
  </si>
  <si>
    <t>A</t>
  </si>
  <si>
    <t xml:space="preserve">HK   </t>
  </si>
  <si>
    <t>3805</t>
  </si>
  <si>
    <t>WOOD, DANIELLE R.</t>
  </si>
  <si>
    <t>WOOD</t>
  </si>
  <si>
    <t>DANIELLE</t>
  </si>
  <si>
    <t>RENEE</t>
  </si>
  <si>
    <t>1916</t>
  </si>
  <si>
    <t>HUMAN RESOURCE OFFIC</t>
  </si>
  <si>
    <t>05131</t>
  </si>
  <si>
    <t>O</t>
  </si>
  <si>
    <t>STUDEBAKER, ERIC J.</t>
  </si>
  <si>
    <t>STUDEBAKER</t>
  </si>
  <si>
    <t>ERIC</t>
  </si>
  <si>
    <t>41006</t>
  </si>
  <si>
    <t>1602</t>
  </si>
  <si>
    <t>EVERITT, KELLY E.</t>
  </si>
  <si>
    <t>EVERITT</t>
  </si>
  <si>
    <t>KELLY</t>
  </si>
  <si>
    <t>ERLE</t>
  </si>
  <si>
    <t>1505</t>
  </si>
  <si>
    <t xml:space="preserve">ADMIN ASST 1        </t>
  </si>
  <si>
    <t>01235</t>
  </si>
  <si>
    <t>ARSLANOGLU, LORUN L.</t>
  </si>
  <si>
    <t>ARSLANOGLU</t>
  </si>
  <si>
    <t>LORUN</t>
  </si>
  <si>
    <t>LOUISE</t>
  </si>
  <si>
    <t xml:space="preserve">HH   </t>
  </si>
  <si>
    <t>0916</t>
  </si>
  <si>
    <t>FINANCL MGMNT ANALYS</t>
  </si>
  <si>
    <t>05209</t>
  </si>
  <si>
    <t>ERNST, CARIE A.</t>
  </si>
  <si>
    <t>ERNST</t>
  </si>
  <si>
    <t>CARIE</t>
  </si>
  <si>
    <t>ANGELENE</t>
  </si>
  <si>
    <t>0001</t>
  </si>
  <si>
    <t>EDBD</t>
  </si>
  <si>
    <t>1502</t>
  </si>
  <si>
    <t>DEP STATE SUPT PUB I</t>
  </si>
  <si>
    <t>003</t>
  </si>
  <si>
    <t>30101</t>
  </si>
  <si>
    <t>WILSON, JOEL F.</t>
  </si>
  <si>
    <t>WILSON</t>
  </si>
  <si>
    <t>JOEL</t>
  </si>
  <si>
    <t>FRED</t>
  </si>
  <si>
    <t>1402</t>
  </si>
  <si>
    <t xml:space="preserve">PROGRAM SPECIALIST  </t>
  </si>
  <si>
    <t>05274</t>
  </si>
  <si>
    <t>BAGGERLY, TAYLOR K.</t>
  </si>
  <si>
    <t>BAGGERLY</t>
  </si>
  <si>
    <t>TAYLOR</t>
  </si>
  <si>
    <t>1121</t>
  </si>
  <si>
    <t xml:space="preserve">DIRECTOR            </t>
  </si>
  <si>
    <t>004</t>
  </si>
  <si>
    <t>STUDEBAKER, BETHANI S.</t>
  </si>
  <si>
    <t>BETHANI</t>
  </si>
  <si>
    <t>S</t>
  </si>
  <si>
    <t>1113</t>
  </si>
  <si>
    <t>MANAGEMENT ASSISTANT</t>
  </si>
  <si>
    <t>05272</t>
  </si>
  <si>
    <t>HUI, NATALIE P.</t>
  </si>
  <si>
    <t>HUI</t>
  </si>
  <si>
    <t>NATALIE</t>
  </si>
  <si>
    <t>PUI-YAN</t>
  </si>
  <si>
    <t>1033</t>
  </si>
  <si>
    <t>ROBERTS, TIFFANY J.</t>
  </si>
  <si>
    <t>ROBERTS</t>
  </si>
  <si>
    <t>TIFFANY</t>
  </si>
  <si>
    <t>PT</t>
  </si>
  <si>
    <t>1030</t>
  </si>
  <si>
    <t>COORDINATOR-SUPT OFF</t>
  </si>
  <si>
    <t>32125</t>
  </si>
  <si>
    <t>VOGT, DANIEL S.</t>
  </si>
  <si>
    <t>VOGT</t>
  </si>
  <si>
    <t>DANIEL</t>
  </si>
  <si>
    <t>0906</t>
  </si>
  <si>
    <t>PHILLIPS, BRANWYN C.</t>
  </si>
  <si>
    <t>PHILLIPS</t>
  </si>
  <si>
    <t>BRANWYN</t>
  </si>
  <si>
    <t>CIARA</t>
  </si>
  <si>
    <t>0905</t>
  </si>
  <si>
    <t xml:space="preserve">PROGRAM INFORMATION </t>
  </si>
  <si>
    <t>01106</t>
  </si>
  <si>
    <t xml:space="preserve">GORETOY, TANIA </t>
  </si>
  <si>
    <t>GORETOY</t>
  </si>
  <si>
    <t>TANIA</t>
  </si>
  <si>
    <t xml:space="preserve">              </t>
  </si>
  <si>
    <t>0904</t>
  </si>
  <si>
    <t>MCCOY, AARON M.</t>
  </si>
  <si>
    <t>MCCOY</t>
  </si>
  <si>
    <t>AARON</t>
  </si>
  <si>
    <t>M</t>
  </si>
  <si>
    <t>0903</t>
  </si>
  <si>
    <t>CHIEF FISCAL OFFICER</t>
  </si>
  <si>
    <t>34002</t>
  </si>
  <si>
    <t>OBERLE, JULIE A.</t>
  </si>
  <si>
    <t>OBERLE</t>
  </si>
  <si>
    <t>JULIE</t>
  </si>
  <si>
    <t>0902</t>
  </si>
  <si>
    <t>BREWER, PAMELA W.</t>
  </si>
  <si>
    <t>BREWER</t>
  </si>
  <si>
    <t>PAMELA</t>
  </si>
  <si>
    <t>W</t>
  </si>
  <si>
    <t>REICH, DEAN W.</t>
  </si>
  <si>
    <t>REICH</t>
  </si>
  <si>
    <t>DEAN</t>
  </si>
  <si>
    <t>0901</t>
  </si>
  <si>
    <t>PIRANFAR, CAROL L.</t>
  </si>
  <si>
    <t>PIRANFAR</t>
  </si>
  <si>
    <t>CAROL</t>
  </si>
  <si>
    <t>LYN</t>
  </si>
  <si>
    <t>0410</t>
  </si>
  <si>
    <t>WHITNEY, MARILYN L.</t>
  </si>
  <si>
    <t>WHITNEY</t>
  </si>
  <si>
    <t>MARILYN</t>
  </si>
  <si>
    <t>5137</t>
  </si>
  <si>
    <t xml:space="preserve">SR. DESKTOP SUPPORT </t>
  </si>
  <si>
    <t>22239</t>
  </si>
  <si>
    <t>TAPLIN, MARK S.</t>
  </si>
  <si>
    <t>TAPLIN</t>
  </si>
  <si>
    <t>MARK</t>
  </si>
  <si>
    <t>9999</t>
  </si>
  <si>
    <t xml:space="preserve">GROUP POSITION      </t>
  </si>
  <si>
    <t>90000</t>
  </si>
  <si>
    <t>NG</t>
  </si>
  <si>
    <t>0113</t>
  </si>
  <si>
    <t>SILVA, ISRAEL J.</t>
  </si>
  <si>
    <t>SILVA</t>
  </si>
  <si>
    <t>ISRAEL</t>
  </si>
  <si>
    <t>JOSEPH</t>
  </si>
  <si>
    <t>0112</t>
  </si>
  <si>
    <t>CONTRACT REVIEW OFFI</t>
  </si>
  <si>
    <t>16195</t>
  </si>
  <si>
    <t>KENNEDY, RICHARD R.</t>
  </si>
  <si>
    <t>KENNEDY</t>
  </si>
  <si>
    <t>RICHARD</t>
  </si>
  <si>
    <t>ROBERT</t>
  </si>
  <si>
    <t>0111</t>
  </si>
  <si>
    <t xml:space="preserve">CHF DEP ST SUPT PUB </t>
  </si>
  <si>
    <t>31508</t>
  </si>
  <si>
    <t>MCPHERSON, PETER J.</t>
  </si>
  <si>
    <t>MCPHERSON</t>
  </si>
  <si>
    <t>PETER</t>
  </si>
  <si>
    <t>JOHN</t>
  </si>
  <si>
    <t>0110</t>
  </si>
  <si>
    <t>STATE SUPT OF PUB. I</t>
  </si>
  <si>
    <t>30100</t>
  </si>
  <si>
    <t>YBARRA, SHERRI A.</t>
  </si>
  <si>
    <t>YBARRA</t>
  </si>
  <si>
    <t>SHERRI</t>
  </si>
  <si>
    <t>FE</t>
  </si>
  <si>
    <t>3123</t>
  </si>
  <si>
    <t xml:space="preserve">BONAS, SANDRA </t>
  </si>
  <si>
    <t>BONAS</t>
  </si>
  <si>
    <t>SANDRA</t>
  </si>
  <si>
    <t>2127</t>
  </si>
  <si>
    <t xml:space="preserve">TECH RECORDS SPEC 2 </t>
  </si>
  <si>
    <t>01103</t>
  </si>
  <si>
    <t>I</t>
  </si>
  <si>
    <t>GREENE, BENJAMIN C.</t>
  </si>
  <si>
    <t>GREENE</t>
  </si>
  <si>
    <t>BENJAMIN</t>
  </si>
  <si>
    <t>CHARLES S</t>
  </si>
  <si>
    <t xml:space="preserve">HI   </t>
  </si>
  <si>
    <t>5112</t>
  </si>
  <si>
    <t>V</t>
  </si>
  <si>
    <t>2126</t>
  </si>
  <si>
    <t>SCHWAB, ANNETTE S.</t>
  </si>
  <si>
    <t>SCHWAB</t>
  </si>
  <si>
    <t>ANNETTE</t>
  </si>
  <si>
    <t>SUE</t>
  </si>
  <si>
    <t>1902</t>
  </si>
  <si>
    <t>WINN, DIANE K.</t>
  </si>
  <si>
    <t>WINN</t>
  </si>
  <si>
    <t>DIANE</t>
  </si>
  <si>
    <t>1821</t>
  </si>
  <si>
    <t xml:space="preserve">D'SA, SHARON </t>
  </si>
  <si>
    <t>D'SA</t>
  </si>
  <si>
    <t>SHARON</t>
  </si>
  <si>
    <t>1706</t>
  </si>
  <si>
    <t>PHILLIPS, MORGAN S.</t>
  </si>
  <si>
    <t>MORGAN</t>
  </si>
  <si>
    <t>SIERRA</t>
  </si>
  <si>
    <t>1662</t>
  </si>
  <si>
    <t>KNUTZEN, MELISSA A.</t>
  </si>
  <si>
    <t>KNUTZEN</t>
  </si>
  <si>
    <t>MELISSA</t>
  </si>
  <si>
    <t>0325</t>
  </si>
  <si>
    <t>03</t>
  </si>
  <si>
    <t>2125</t>
  </si>
  <si>
    <t>JENSEN, JERRY B.</t>
  </si>
  <si>
    <t>JENSEN</t>
  </si>
  <si>
    <t>JERRY</t>
  </si>
  <si>
    <t>B</t>
  </si>
  <si>
    <t>1123</t>
  </si>
  <si>
    <t>FULBRIGHT, AMANDA S.</t>
  </si>
  <si>
    <t>FULBRIGHT</t>
  </si>
  <si>
    <t>AMANDA</t>
  </si>
  <si>
    <t>SCHUETZLE</t>
  </si>
  <si>
    <t>1122</t>
  </si>
  <si>
    <t>HENDERSON, HELEN F.</t>
  </si>
  <si>
    <t>HENDERSON</t>
  </si>
  <si>
    <t>HELEN</t>
  </si>
  <si>
    <t>FRANCES</t>
  </si>
  <si>
    <t>LACKEY, CYNTHIA L.</t>
  </si>
  <si>
    <t>LACKEY</t>
  </si>
  <si>
    <t>CYNTHIA</t>
  </si>
  <si>
    <t>04</t>
  </si>
  <si>
    <t>0411</t>
  </si>
  <si>
    <t>EDBE</t>
  </si>
  <si>
    <t>BEALS, CATHERINE D.</t>
  </si>
  <si>
    <t>BEALS</t>
  </si>
  <si>
    <t>CATHERINE</t>
  </si>
  <si>
    <t>DIDIO</t>
  </si>
  <si>
    <t>1408</t>
  </si>
  <si>
    <t>6001</t>
  </si>
  <si>
    <t>BENNETT, ANDREW D.</t>
  </si>
  <si>
    <t>BENNETT</t>
  </si>
  <si>
    <t>ANDREW</t>
  </si>
  <si>
    <t>DONALD</t>
  </si>
  <si>
    <t>0408</t>
  </si>
  <si>
    <t>KAVOURAS, PETER G.</t>
  </si>
  <si>
    <t>KAVOURAS</t>
  </si>
  <si>
    <t>GEORGE</t>
  </si>
  <si>
    <t>4003</t>
  </si>
  <si>
    <t>ASTLE, JOSEPH B.</t>
  </si>
  <si>
    <t>ASTLE</t>
  </si>
  <si>
    <t>BROCK</t>
  </si>
  <si>
    <t>0407</t>
  </si>
  <si>
    <t>BAERWALD, ANDREA L.</t>
  </si>
  <si>
    <t>BAERWALD</t>
  </si>
  <si>
    <t>ANDREA</t>
  </si>
  <si>
    <t>LYNN</t>
  </si>
  <si>
    <t>2904</t>
  </si>
  <si>
    <t xml:space="preserve">SPECIALIST-SUPT OFF </t>
  </si>
  <si>
    <t>31600</t>
  </si>
  <si>
    <t>DECHAND, ANTHONY P.</t>
  </si>
  <si>
    <t>DECHAND</t>
  </si>
  <si>
    <t>ANTHONY</t>
  </si>
  <si>
    <t>PAUL</t>
  </si>
  <si>
    <t>0406</t>
  </si>
  <si>
    <t xml:space="preserve">MARTIN, REBECCA </t>
  </si>
  <si>
    <t>MARTIN</t>
  </si>
  <si>
    <t>REBECCA</t>
  </si>
  <si>
    <t>0575</t>
  </si>
  <si>
    <t>2812</t>
  </si>
  <si>
    <t>OLSEN, LAURA M.</t>
  </si>
  <si>
    <t>OLSEN</t>
  </si>
  <si>
    <t>LAURA</t>
  </si>
  <si>
    <t>0403</t>
  </si>
  <si>
    <t xml:space="preserve">JONES, JOHANNA </t>
  </si>
  <si>
    <t>JONES</t>
  </si>
  <si>
    <t>JOHANNA</t>
  </si>
  <si>
    <t>2605</t>
  </si>
  <si>
    <t>HOYT, KAYLENE N.</t>
  </si>
  <si>
    <t>HOYT</t>
  </si>
  <si>
    <t>KAYLENE</t>
  </si>
  <si>
    <t>0402</t>
  </si>
  <si>
    <t>GIBSON, JAMIE R.</t>
  </si>
  <si>
    <t>GIBSON</t>
  </si>
  <si>
    <t>JAMIE</t>
  </si>
  <si>
    <t>RYANNE</t>
  </si>
  <si>
    <t>2505</t>
  </si>
  <si>
    <t>LARA, JULISSA L.</t>
  </si>
  <si>
    <t>LARA</t>
  </si>
  <si>
    <t>JULISSA</t>
  </si>
  <si>
    <t>0401</t>
  </si>
  <si>
    <t>CHANDLER, KEVIN M.</t>
  </si>
  <si>
    <t>CHANDLER</t>
  </si>
  <si>
    <t>KEVIN</t>
  </si>
  <si>
    <t>MICHAEL</t>
  </si>
  <si>
    <t>0445</t>
  </si>
  <si>
    <t>2415</t>
  </si>
  <si>
    <t>GRANTS/CONTRACTS PRG</t>
  </si>
  <si>
    <t>03690</t>
  </si>
  <si>
    <t>BECKER, LINDA C.</t>
  </si>
  <si>
    <t>BECKER</t>
  </si>
  <si>
    <t>LINDA</t>
  </si>
  <si>
    <t>CHRISTINE</t>
  </si>
  <si>
    <t>1663</t>
  </si>
  <si>
    <t>GAUBY, KATHERINE L.</t>
  </si>
  <si>
    <t>GAUBY</t>
  </si>
  <si>
    <t>KATHERINE</t>
  </si>
  <si>
    <t>1661</t>
  </si>
  <si>
    <t>MCKINNON, AARON D.</t>
  </si>
  <si>
    <t>MCKINNON</t>
  </si>
  <si>
    <t>1605</t>
  </si>
  <si>
    <t>010</t>
  </si>
  <si>
    <t>JAYO, THOMAS J.</t>
  </si>
  <si>
    <t>JAYO</t>
  </si>
  <si>
    <t>THOMAS</t>
  </si>
  <si>
    <t>0210</t>
  </si>
  <si>
    <t>1570</t>
  </si>
  <si>
    <t>PUGA, MARIA A.</t>
  </si>
  <si>
    <t>PUGA</t>
  </si>
  <si>
    <t>MARIA</t>
  </si>
  <si>
    <t>AVELINA</t>
  </si>
  <si>
    <t>1425</t>
  </si>
  <si>
    <t>MESSICK, TERRI L.</t>
  </si>
  <si>
    <t>MESSICK</t>
  </si>
  <si>
    <t>TERRI</t>
  </si>
  <si>
    <t>LEE</t>
  </si>
  <si>
    <t>1411</t>
  </si>
  <si>
    <t>LIKINS, RACHEL A.</t>
  </si>
  <si>
    <t>LIKINS</t>
  </si>
  <si>
    <t>RACHEL</t>
  </si>
  <si>
    <t>AMELIA</t>
  </si>
  <si>
    <t>1210</t>
  </si>
  <si>
    <t>DYER, KATERYNA V.</t>
  </si>
  <si>
    <t>DYER</t>
  </si>
  <si>
    <t>KATERYNA</t>
  </si>
  <si>
    <t>0141</t>
  </si>
  <si>
    <t>1112</t>
  </si>
  <si>
    <t>PAYTON GRAVEL, MARISSA E.</t>
  </si>
  <si>
    <t>PAYTON GRAVEL</t>
  </si>
  <si>
    <t>MARISSA</t>
  </si>
  <si>
    <t>0871</t>
  </si>
  <si>
    <t>005</t>
  </si>
  <si>
    <t>WESTPHAL, LYNDA J.</t>
  </si>
  <si>
    <t>WESTPHAL</t>
  </si>
  <si>
    <t>LYNDA</t>
  </si>
  <si>
    <t>0802</t>
  </si>
  <si>
    <t>RAHN, KYLE S.</t>
  </si>
  <si>
    <t>RAHN</t>
  </si>
  <si>
    <t>KYLE</t>
  </si>
  <si>
    <t>STEPHEN</t>
  </si>
  <si>
    <t>0667</t>
  </si>
  <si>
    <t>SHANER, KIMBERLI A.</t>
  </si>
  <si>
    <t>SHANER</t>
  </si>
  <si>
    <t>KIMBERLI</t>
  </si>
  <si>
    <t>ANNE</t>
  </si>
  <si>
    <t>0663</t>
  </si>
  <si>
    <t xml:space="preserve">MATHEWS, JILL </t>
  </si>
  <si>
    <t>MATHEWS</t>
  </si>
  <si>
    <t>JILL</t>
  </si>
  <si>
    <t>0610</t>
  </si>
  <si>
    <t>STEFFEN, VALERIE J.</t>
  </si>
  <si>
    <t>STEFFEN</t>
  </si>
  <si>
    <t>VALERIE</t>
  </si>
  <si>
    <t>JEAN</t>
  </si>
  <si>
    <t>0609</t>
  </si>
  <si>
    <t>KNOP, ALAYNA A.</t>
  </si>
  <si>
    <t>KNOP</t>
  </si>
  <si>
    <t>ALAYNA</t>
  </si>
  <si>
    <t>ANN</t>
  </si>
  <si>
    <t>0602</t>
  </si>
  <si>
    <t>ALLEN, CHRYSTAL D.</t>
  </si>
  <si>
    <t>ALLEN</t>
  </si>
  <si>
    <t>CHRYSTAL</t>
  </si>
  <si>
    <t>DAYE</t>
  </si>
  <si>
    <t>0576</t>
  </si>
  <si>
    <t>SORENSEN, LLOYD K.</t>
  </si>
  <si>
    <t>SORENSEN</t>
  </si>
  <si>
    <t>LLOYD</t>
  </si>
  <si>
    <t>2403</t>
  </si>
  <si>
    <t>0572</t>
  </si>
  <si>
    <t>STOLZMAN, ALIZABETH O.</t>
  </si>
  <si>
    <t>STOLZMAN</t>
  </si>
  <si>
    <t>ALIZABETH</t>
  </si>
  <si>
    <t>1740</t>
  </si>
  <si>
    <t>0504</t>
  </si>
  <si>
    <t xml:space="preserve">ARMAGOST, AYAKA </t>
  </si>
  <si>
    <t>ARMAGOST</t>
  </si>
  <si>
    <t>AYAKA</t>
  </si>
  <si>
    <t>6003</t>
  </si>
  <si>
    <t>LYNCH, BRIANNA R.</t>
  </si>
  <si>
    <t>LYNCH</t>
  </si>
  <si>
    <t>BRIANNA</t>
  </si>
  <si>
    <t>R</t>
  </si>
  <si>
    <t>0415</t>
  </si>
  <si>
    <t>CLEMENT TAYLOR, MICHELLE K.</t>
  </si>
  <si>
    <t>CLEMENT TAYLOR</t>
  </si>
  <si>
    <t>MICHELLE</t>
  </si>
  <si>
    <t>6002</t>
  </si>
  <si>
    <t>DRIVER, TODD E.</t>
  </si>
  <si>
    <t>DRIVER</t>
  </si>
  <si>
    <t>TODD</t>
  </si>
  <si>
    <t>EUGENE</t>
  </si>
  <si>
    <t>4811</t>
  </si>
  <si>
    <t>05</t>
  </si>
  <si>
    <t xml:space="preserve">MURRAY, PAMELA </t>
  </si>
  <si>
    <t>MURRAY</t>
  </si>
  <si>
    <t>1881</t>
  </si>
  <si>
    <t>007</t>
  </si>
  <si>
    <t>COOK, MELISSA A.</t>
  </si>
  <si>
    <t>COOK</t>
  </si>
  <si>
    <t>1861</t>
  </si>
  <si>
    <t>FORSTIE, KATHRINE L.</t>
  </si>
  <si>
    <t>FORSTIE</t>
  </si>
  <si>
    <t>KATHRINE</t>
  </si>
  <si>
    <t>LORRAINE</t>
  </si>
  <si>
    <t>0851</t>
  </si>
  <si>
    <t>GOODSELL, TERESA A.</t>
  </si>
  <si>
    <t>GOODSELL</t>
  </si>
  <si>
    <t>TERESA</t>
  </si>
  <si>
    <t>11</t>
  </si>
  <si>
    <t>19</t>
  </si>
  <si>
    <t>22</t>
  </si>
  <si>
    <t>0430</t>
  </si>
  <si>
    <t>STRICKLER, SHEENA M.</t>
  </si>
  <si>
    <t>STRICKLER</t>
  </si>
  <si>
    <t>SHEENA</t>
  </si>
  <si>
    <t>0145</t>
  </si>
  <si>
    <t>CRUMRINE, HANNAH K.</t>
  </si>
  <si>
    <t>CRUMRINE</t>
  </si>
  <si>
    <t>HANNAH</t>
  </si>
  <si>
    <t>1664</t>
  </si>
  <si>
    <t>0348</t>
  </si>
  <si>
    <t>01</t>
  </si>
  <si>
    <t>04244</t>
  </si>
  <si>
    <t xml:space="preserve">POFELSKI-ROSA, LISA </t>
  </si>
  <si>
    <t>POFELSKI-ROSA</t>
  </si>
  <si>
    <t>LISA</t>
  </si>
  <si>
    <t>0605</t>
  </si>
  <si>
    <t>1660</t>
  </si>
  <si>
    <t>PERREIRA, MICHELLE L.</t>
  </si>
  <si>
    <t>PERREIRA</t>
  </si>
  <si>
    <t>LEANNE</t>
  </si>
  <si>
    <t>1604</t>
  </si>
  <si>
    <t>006</t>
  </si>
  <si>
    <t>MCCANN, ALEXANDRA M.</t>
  </si>
  <si>
    <t>MCCANN</t>
  </si>
  <si>
    <t>ALEXANDRA</t>
  </si>
  <si>
    <t>1410</t>
  </si>
  <si>
    <t>SPOJA, WILLIAM A.</t>
  </si>
  <si>
    <t>SPOJA</t>
  </si>
  <si>
    <t>WILLIAM</t>
  </si>
  <si>
    <t>ALBERT</t>
  </si>
  <si>
    <t>0427</t>
  </si>
  <si>
    <t>0665</t>
  </si>
  <si>
    <t>DUNSTAN, SHANNON L.</t>
  </si>
  <si>
    <t>DUNSTAN</t>
  </si>
  <si>
    <t>SHANNON</t>
  </si>
  <si>
    <t>0604</t>
  </si>
  <si>
    <t>SEAMOUNT, SARAH D.</t>
  </si>
  <si>
    <t>SEAMOUNT</t>
  </si>
  <si>
    <t>SARAH</t>
  </si>
  <si>
    <t>0426</t>
  </si>
  <si>
    <t>BUNCH-WOODSON, KAILEY J.</t>
  </si>
  <si>
    <t>BUNCH-WOODSON</t>
  </si>
  <si>
    <t>KAILEY</t>
  </si>
  <si>
    <t>0425</t>
  </si>
  <si>
    <t>REKOW, STACIE L.</t>
  </si>
  <si>
    <t>REKOW</t>
  </si>
  <si>
    <t>STACIE</t>
  </si>
  <si>
    <t>0216</t>
  </si>
  <si>
    <t>SILVA, CHARLOTTE J.</t>
  </si>
  <si>
    <t>CHARLOTTE</t>
  </si>
  <si>
    <t>5114</t>
  </si>
  <si>
    <t>4002</t>
  </si>
  <si>
    <t>DEAHL, JACQUE L.</t>
  </si>
  <si>
    <t>DEAHL</t>
  </si>
  <si>
    <t>JACQUE</t>
  </si>
  <si>
    <t>4001</t>
  </si>
  <si>
    <t>HORVATH, JULINDA A.</t>
  </si>
  <si>
    <t>HORVATH</t>
  </si>
  <si>
    <t>JULINDA</t>
  </si>
  <si>
    <t>1841</t>
  </si>
  <si>
    <t>CHARTERS, SHAWN E.</t>
  </si>
  <si>
    <t>CHARTERS</t>
  </si>
  <si>
    <t>SHAWN</t>
  </si>
  <si>
    <t>0861</t>
  </si>
  <si>
    <t>KENNEDY, AARON R.</t>
  </si>
  <si>
    <t>0841</t>
  </si>
  <si>
    <t>LIBY, MARY ANN A.</t>
  </si>
  <si>
    <t>LIBY</t>
  </si>
  <si>
    <t>MARY ANN</t>
  </si>
  <si>
    <t>AZUL</t>
  </si>
  <si>
    <t>0831</t>
  </si>
  <si>
    <t>BUTLER, JENNIFER H.</t>
  </si>
  <si>
    <t>BUTLER</t>
  </si>
  <si>
    <t>JENNIFER</t>
  </si>
  <si>
    <t>HOYEM</t>
  </si>
  <si>
    <t>0821</t>
  </si>
  <si>
    <t>SHERMAN, KIM M.</t>
  </si>
  <si>
    <t>SHERMAN</t>
  </si>
  <si>
    <t>KIM</t>
  </si>
  <si>
    <t>0740</t>
  </si>
  <si>
    <t>SYKES, DOMONIQUE C.</t>
  </si>
  <si>
    <t>SYKES</t>
  </si>
  <si>
    <t>DOMONIQUE</t>
  </si>
  <si>
    <t>0660</t>
  </si>
  <si>
    <t>STEFFLER, CAMBRIA J.</t>
  </si>
  <si>
    <t>STEFFLER</t>
  </si>
  <si>
    <t>CAMBRIA</t>
  </si>
  <si>
    <t>JORDAN</t>
  </si>
  <si>
    <t>0607</t>
  </si>
  <si>
    <t>DUNHAM, JAX W.</t>
  </si>
  <si>
    <t>DUNHAM</t>
  </si>
  <si>
    <t>JAX</t>
  </si>
  <si>
    <t>07</t>
  </si>
  <si>
    <t>13</t>
  </si>
  <si>
    <t>0414</t>
  </si>
  <si>
    <t>14</t>
  </si>
  <si>
    <t>KLEINERT, PAUL D.</t>
  </si>
  <si>
    <t>KLEINERT</t>
  </si>
  <si>
    <t>0662</t>
  </si>
  <si>
    <t>95</t>
  </si>
  <si>
    <t>FEWKES, ALISA C.</t>
  </si>
  <si>
    <t>FEWKES</t>
  </si>
  <si>
    <t>ALISA</t>
  </si>
  <si>
    <t>CARIN</t>
  </si>
  <si>
    <t>0573</t>
  </si>
  <si>
    <t>STREAGLE, KARREN D.</t>
  </si>
  <si>
    <t>STREAGLE</t>
  </si>
  <si>
    <t>KARREN</t>
  </si>
  <si>
    <t>0409</t>
  </si>
  <si>
    <t>CARTER, TYSON C.</t>
  </si>
  <si>
    <t>CARTER</t>
  </si>
  <si>
    <t>TYSON</t>
  </si>
  <si>
    <t>CADE</t>
  </si>
  <si>
    <t>5001</t>
  </si>
  <si>
    <t>ENGLISH, LISA M.</t>
  </si>
  <si>
    <t>ENGLISH</t>
  </si>
  <si>
    <t>2660</t>
  </si>
  <si>
    <t>SMITH, DEBORAH V.</t>
  </si>
  <si>
    <t>SMITH</t>
  </si>
  <si>
    <t>DEBORAH</t>
  </si>
  <si>
    <t>VOELLER</t>
  </si>
  <si>
    <t>2110</t>
  </si>
  <si>
    <t>SOMMER, EMILY L.</t>
  </si>
  <si>
    <t>SOMMER</t>
  </si>
  <si>
    <t>EMILY</t>
  </si>
  <si>
    <t>LEW</t>
  </si>
  <si>
    <t>1420</t>
  </si>
  <si>
    <t>ARNOLD, BRENDA J.</t>
  </si>
  <si>
    <t>ARNOLD</t>
  </si>
  <si>
    <t>BRENDA</t>
  </si>
  <si>
    <t>0664</t>
  </si>
  <si>
    <t>COLE, RANDI G.</t>
  </si>
  <si>
    <t>COLE</t>
  </si>
  <si>
    <t>RANDI</t>
  </si>
  <si>
    <t>GREEAR</t>
  </si>
  <si>
    <t>0349</t>
  </si>
  <si>
    <t>EDBG</t>
  </si>
  <si>
    <t>0319</t>
  </si>
  <si>
    <t>0571</t>
  </si>
  <si>
    <t>TAYLOR, DANIELLE E.</t>
  </si>
  <si>
    <t>0345</t>
  </si>
  <si>
    <t>0405</t>
  </si>
  <si>
    <t>WATKINS, KATHERINE L.</t>
  </si>
  <si>
    <t>WATKINS</t>
  </si>
  <si>
    <t>0481</t>
  </si>
  <si>
    <t>54</t>
  </si>
  <si>
    <t>INC_FTI</t>
  </si>
  <si>
    <t>INDICATOR</t>
  </si>
  <si>
    <t>TOTAL_PERM_PCN_FTI</t>
  </si>
  <si>
    <t>TOTAL_ELECT_PCN_FTI</t>
  </si>
  <si>
    <t>ROWS_PER_PCN</t>
  </si>
  <si>
    <t>FTI_SALARY_SSDI</t>
  </si>
  <si>
    <t>FTI_SALARY_PERM</t>
  </si>
  <si>
    <t>FTI_SALARY_ELECT</t>
  </si>
  <si>
    <t>SALARY_CHG</t>
  </si>
  <si>
    <t>HEALTH_PERM</t>
  </si>
  <si>
    <t>HEALTH_ELECT</t>
  </si>
  <si>
    <t>SSDI</t>
  </si>
  <si>
    <t>SSHI</t>
  </si>
  <si>
    <t>RETIREMENT</t>
  </si>
  <si>
    <t>LIFE_INS</t>
  </si>
  <si>
    <t>UNEMP_INS</t>
  </si>
  <si>
    <t>DHR</t>
  </si>
  <si>
    <t>WORKERS_COMP</t>
  </si>
  <si>
    <t>SICK</t>
  </si>
  <si>
    <t>TOT_VB_PERM</t>
  </si>
  <si>
    <t>TOT_VB_ELECT</t>
  </si>
  <si>
    <t>HEALTH_PERM_BY</t>
  </si>
  <si>
    <t>HEALTH_ELECT_BY</t>
  </si>
  <si>
    <t>SSDI_BY</t>
  </si>
  <si>
    <t>SSHI_BY</t>
  </si>
  <si>
    <t>RETIREMENT_BY</t>
  </si>
  <si>
    <t>LIFE_INS_BY</t>
  </si>
  <si>
    <t>UNEMP_INS_BY</t>
  </si>
  <si>
    <t>DHR_BY</t>
  </si>
  <si>
    <t>WORKERS_COMP_BY</t>
  </si>
  <si>
    <t>SICK_BY</t>
  </si>
  <si>
    <t>TOT_VB_PERM_BY</t>
  </si>
  <si>
    <t>TOT_VB_ELECT_BY</t>
  </si>
  <si>
    <t>HEALTH_PERM_CHG</t>
  </si>
  <si>
    <t>HEALTH_ELECT_CHG</t>
  </si>
  <si>
    <t>SSDI_CHG</t>
  </si>
  <si>
    <t>SSHI_CHG</t>
  </si>
  <si>
    <t>RETIREMENT_CHG</t>
  </si>
  <si>
    <t>LIFE_INS_CHG</t>
  </si>
  <si>
    <t>UNEMP_INS_CHG</t>
  </si>
  <si>
    <t>DHR_CHG</t>
  </si>
  <si>
    <t>WORKERS_COMP_CHG</t>
  </si>
  <si>
    <t>SICK_CHG</t>
  </si>
  <si>
    <t>TOT_VB_PERM_CHG</t>
  </si>
  <si>
    <t>TOT_VB_ELECT_CHG</t>
  </si>
  <si>
    <t>Group_Salary</t>
  </si>
  <si>
    <t>Group_Ben</t>
  </si>
  <si>
    <t>col_Fund</t>
  </si>
  <si>
    <t>EDBC 0125-00</t>
  </si>
  <si>
    <t>EDBC 0125</t>
  </si>
  <si>
    <t>State Board of Education</t>
  </si>
  <si>
    <t>Department of Education</t>
  </si>
  <si>
    <t>Administration</t>
  </si>
  <si>
    <t>Indirect Cost Recovery</t>
  </si>
  <si>
    <t>0125-00</t>
  </si>
  <si>
    <t>12500</t>
  </si>
  <si>
    <t>Administration, Indirect Cost Recovery   EDBC-0125-00</t>
  </si>
  <si>
    <t>EDBD 0001-00</t>
  </si>
  <si>
    <t>EDBD 0001</t>
  </si>
  <si>
    <t>General</t>
  </si>
  <si>
    <t>0001-00</t>
  </si>
  <si>
    <t>10000</t>
  </si>
  <si>
    <t>Administration, General   EDBD-0001-00</t>
  </si>
  <si>
    <t>EDBD 0325-00</t>
  </si>
  <si>
    <t>EDBD 0325-03</t>
  </si>
  <si>
    <t>EDBD 0325-04</t>
  </si>
  <si>
    <t>EDBD 0325</t>
  </si>
  <si>
    <t>Public Instruction</t>
  </si>
  <si>
    <t>0325-00</t>
  </si>
  <si>
    <t>32500</t>
  </si>
  <si>
    <t>Administration, Public Instruction   EDBD-0325-00</t>
  </si>
  <si>
    <t>EDBE 0001-00</t>
  </si>
  <si>
    <t>EDBE 0001</t>
  </si>
  <si>
    <t>Student Services</t>
  </si>
  <si>
    <t>Student Services, General   EDBE-0001-00</t>
  </si>
  <si>
    <t>EDBE 0325-00</t>
  </si>
  <si>
    <t>EDBE 0325-05</t>
  </si>
  <si>
    <t>EDBE 0325-11</t>
  </si>
  <si>
    <t>EDBE 0325-19</t>
  </si>
  <si>
    <t>EDBE 0325-22</t>
  </si>
  <si>
    <t>EDBE 0325</t>
  </si>
  <si>
    <t>Student Services, Public Instruction   EDBE-0325-00</t>
  </si>
  <si>
    <t>EDBE 0344-00</t>
  </si>
  <si>
    <t>EDBE 0344</t>
  </si>
  <si>
    <t>American Rescue Plan</t>
  </si>
  <si>
    <t>0344-00</t>
  </si>
  <si>
    <t>34400</t>
  </si>
  <si>
    <t>Student Services, American Rescue Plan   EDBE-0344-00</t>
  </si>
  <si>
    <t>EDBE 0348-00</t>
  </si>
  <si>
    <t>EDBE 0348-01</t>
  </si>
  <si>
    <t>EDBE 0348-03</t>
  </si>
  <si>
    <t>EDBE 0348-13</t>
  </si>
  <si>
    <t>EDBE 0348-14</t>
  </si>
  <si>
    <t>EDBE 0348-95</t>
  </si>
  <si>
    <t>EDBE 0348</t>
  </si>
  <si>
    <t>Federal Grant</t>
  </si>
  <si>
    <t>0348-00</t>
  </si>
  <si>
    <t>34800</t>
  </si>
  <si>
    <t>Student Services, Federal Grant   EDBE-0348-00</t>
  </si>
  <si>
    <t>EDBE 0349-00</t>
  </si>
  <si>
    <t>EDBE 0349</t>
  </si>
  <si>
    <t>Miscellaneous Revenue</t>
  </si>
  <si>
    <t>0349-00</t>
  </si>
  <si>
    <t>34900</t>
  </si>
  <si>
    <t>Student Services, Miscellaneous Revenue   EDBE-0349-00</t>
  </si>
  <si>
    <t>EDBG 0125-00</t>
  </si>
  <si>
    <t>EDBG 0125</t>
  </si>
  <si>
    <t>Student Services, Indirect Cost Recovery   EDBG-0125-00</t>
  </si>
  <si>
    <t>EDBG 0319-00</t>
  </si>
  <si>
    <t>EDBG 0319</t>
  </si>
  <si>
    <t>Driver's Training</t>
  </si>
  <si>
    <t>0319-00</t>
  </si>
  <si>
    <t>31900</t>
  </si>
  <si>
    <t>Student Services, Driver's Training   EDBG-0319-00</t>
  </si>
  <si>
    <t>EDBG 0345-00</t>
  </si>
  <si>
    <t>EDBG 0345</t>
  </si>
  <si>
    <t>Federal COVID-19 Relief</t>
  </si>
  <si>
    <t>0345-00</t>
  </si>
  <si>
    <t>34500</t>
  </si>
  <si>
    <t>Student Services, Federal COVID-19 Relief   EDBG-0345-00</t>
  </si>
  <si>
    <t>EDBG 0481-01</t>
  </si>
  <si>
    <t>EDBG 0481</t>
  </si>
  <si>
    <t>EDBG 0481-10</t>
  </si>
  <si>
    <t>Public Schools Other Income</t>
  </si>
  <si>
    <t>0481-10</t>
  </si>
  <si>
    <t>48110</t>
  </si>
  <si>
    <t>Student Services, Public Schools Other Income   EDBG-0481-10</t>
  </si>
  <si>
    <t>EDBG 0481-54</t>
  </si>
  <si>
    <t>Cigarette, Tobacco and Lottery Income Taxes</t>
  </si>
  <si>
    <t>0481-54</t>
  </si>
  <si>
    <t>48154</t>
  </si>
  <si>
    <t>Student Services, Cigarette, Tobacco and Lottery Income Taxes   EDBG-0481-54</t>
  </si>
  <si>
    <t>Totals by Budget Unit and Fund</t>
  </si>
  <si>
    <t>Est. FY23_x000D_
Salary</t>
  </si>
  <si>
    <t>Proj. FY24_x000D_
Salary</t>
  </si>
  <si>
    <t>Actual FY 2022</t>
  </si>
  <si>
    <t>Estimate FY 2023</t>
  </si>
  <si>
    <t>Projection FY 2024</t>
  </si>
  <si>
    <t>Filled Permanent/Elected</t>
  </si>
  <si>
    <t>Fund-0001</t>
  </si>
  <si>
    <t>Fund-0125</t>
  </si>
  <si>
    <t>Fund-0319</t>
  </si>
  <si>
    <t>0325-03</t>
  </si>
  <si>
    <t>0325-04</t>
  </si>
  <si>
    <t>0325-05</t>
  </si>
  <si>
    <t>0325-11</t>
  </si>
  <si>
    <t>0325-19</t>
  </si>
  <si>
    <t>0325-22</t>
  </si>
  <si>
    <t>Fund-0325</t>
  </si>
  <si>
    <t>Fund-0345</t>
  </si>
  <si>
    <t>0348-01</t>
  </si>
  <si>
    <t>0348-03</t>
  </si>
  <si>
    <t>0348-07</t>
  </si>
  <si>
    <t>0348-13</t>
  </si>
  <si>
    <t>0348-14</t>
  </si>
  <si>
    <t>0348-95</t>
  </si>
  <si>
    <t>Fund-0348</t>
  </si>
  <si>
    <t>Fund-0349</t>
  </si>
  <si>
    <t>0481-01</t>
  </si>
  <si>
    <t>Fund-0481</t>
  </si>
  <si>
    <t>Permanent Total</t>
  </si>
  <si>
    <t>Group</t>
  </si>
  <si>
    <t>Group Total</t>
  </si>
  <si>
    <t>Agency Fund Total</t>
  </si>
  <si>
    <t>VB</t>
  </si>
  <si>
    <t>DU 10.51</t>
  </si>
  <si>
    <t>FY24 Superintendent Salary Needed</t>
  </si>
  <si>
    <t>Rounded Salary</t>
  </si>
  <si>
    <t>Rounded VB</t>
  </si>
  <si>
    <t>Rounded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</si>
</sst>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&quot;$&quot;#,##0"/>
    <numFmt numFmtId="166" formatCode="0_)"/>
    <numFmt numFmtId="167" formatCode="0.0000"/>
    <numFmt numFmtId="168" formatCode="0000;;"/>
    <numFmt numFmtId="169" formatCode="00;;"/>
    <numFmt numFmtId="170" formatCode="00000;;00000"/>
    <numFmt numFmtId="171" formatCode="0000\-00;;"/>
    <numFmt numFmtId="172" formatCode="0.00\ ;\(0.00\);0.0\ "/>
    <numFmt numFmtId="173" formatCode="#,##0.000_);[Red]\(#,##0.000\)"/>
    <numFmt numFmtId="174" formatCode="0\ ;\(0\);0\ "/>
    <numFmt numFmtId="175" formatCode="#,##0_);[Red]\(#,##0\);0\ "/>
    <numFmt numFmtId="176" formatCode="0.0%"/>
    <numFmt numFmtId="177" formatCode="#,##0.00000000_);[Red]\(#,##0.00000000\)"/>
    <numFmt numFmtId="178" formatCode="#,##0.000000000_);[Red]\(#,##0.000000000\)"/>
    <numFmt numFmtId="179" formatCode="0.00000_);[Red]\(0.00000\)"/>
    <numFmt numFmtId="180" formatCode="0.000"/>
    <numFmt numFmtId="181" formatCode="0.000000"/>
    <numFmt numFmtId="182" formatCode="0.0000_);[Red]\(0.0000\)"/>
    <numFmt numFmtId="183" formatCode="#0"/>
    <numFmt numFmtId="184" formatCode="#0.########"/>
    <numFmt numFmtId="186" formatCode="_(&quot;$&quot;* #,##0_);_(&quot;$&quot;* \(#,##0\);_(&quot;$&quot;* &quot;-&quot;??_);_(@_)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5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rgb="FF00206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Arial"/>
      <family val="2"/>
    </font>
    <font>
      <sz val="10"/>
      <color indexed="81"/>
      <name val="Tahoma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0"/>
      <name val="Helv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i/>
      <sz val="15"/>
      <color theme="1"/>
      <name val="Times New Roman"/>
      <family val="1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5E5"/>
      </patternFill>
    </fill>
    <fill>
      <patternFill patternType="solid">
        <fgColor rgb="FFB8CCE4"/>
        <bgColor indexed="64"/>
      </patternFill>
    </fill>
    <fill>
      <patternFill patternType="solid">
        <fgColor rgb="FFE6B8B8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8AE27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88700"/>
        <bgColor indexed="64"/>
      </patternFill>
    </fill>
    <fill>
      <patternFill patternType="solid">
        <fgColor rgb="FFEDDE1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/>
    <xf numFmtId="166" fontId="2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</cellStyleXfs>
  <cellXfs count="493">
    <xf numFmtId="0" fontId="0" fillId="0" borderId="0" xfId="0"/>
    <xf numFmtId="0" fontId="5" fillId="0" borderId="0" xfId="0" applyFont="1"/>
    <xf numFmtId="0" fontId="4" fillId="2" borderId="0" xfId="0" applyNumberFormat="1" applyFont="1" applyFill="1" applyAlignment="1">
      <alignment horizontal="left" vertical="top"/>
    </xf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wrapText="1"/>
    </xf>
    <xf numFmtId="164" fontId="5" fillId="0" borderId="0" xfId="0" applyNumberFormat="1" applyFont="1"/>
    <xf numFmtId="167" fontId="5" fillId="0" borderId="0" xfId="0" applyNumberFormat="1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166" fontId="8" fillId="4" borderId="6" xfId="1" applyFont="1" applyFill="1" applyBorder="1" applyAlignment="1">
      <alignment horizontal="left" vertical="center"/>
    </xf>
    <xf numFmtId="166" fontId="8" fillId="4" borderId="7" xfId="1" applyFont="1" applyFill="1" applyBorder="1" applyAlignment="1">
      <alignment horizontal="left" vertical="center"/>
    </xf>
    <xf numFmtId="168" fontId="9" fillId="4" borderId="5" xfId="7" applyNumberFormat="1" applyFont="1" applyFill="1" applyBorder="1" applyAlignment="1" applyProtection="1">
      <alignment horizontal="left" vertical="center"/>
    </xf>
    <xf numFmtId="168" fontId="10" fillId="4" borderId="7" xfId="7" applyNumberFormat="1" applyFont="1" applyFill="1" applyBorder="1" applyAlignment="1" applyProtection="1">
      <alignment horizontal="center" vertical="center"/>
    </xf>
    <xf numFmtId="166" fontId="8" fillId="4" borderId="7" xfId="1" applyFont="1" applyFill="1" applyBorder="1" applyAlignment="1">
      <alignment horizontal="right" vertical="center"/>
    </xf>
    <xf numFmtId="166" fontId="2" fillId="0" borderId="0" xfId="1" applyFont="1" applyBorder="1"/>
    <xf numFmtId="166" fontId="2" fillId="0" borderId="0" xfId="1" applyFont="1"/>
    <xf numFmtId="166" fontId="8" fillId="4" borderId="9" xfId="1" applyFont="1" applyFill="1" applyBorder="1" applyAlignment="1">
      <alignment vertical="center"/>
    </xf>
    <xf numFmtId="166" fontId="8" fillId="4" borderId="0" xfId="1" applyFont="1" applyFill="1" applyBorder="1" applyAlignment="1">
      <alignment vertical="center"/>
    </xf>
    <xf numFmtId="168" fontId="10" fillId="4" borderId="0" xfId="7" applyNumberFormat="1" applyFont="1" applyFill="1" applyBorder="1" applyAlignment="1" applyProtection="1">
      <alignment horizontal="center" vertical="center"/>
    </xf>
    <xf numFmtId="166" fontId="8" fillId="4" borderId="0" xfId="1" applyFont="1" applyFill="1" applyBorder="1" applyAlignment="1">
      <alignment horizontal="right" vertical="center"/>
    </xf>
    <xf numFmtId="0" fontId="9" fillId="4" borderId="5" xfId="7" applyFont="1" applyFill="1" applyBorder="1" applyAlignment="1" applyProtection="1">
      <alignment horizontal="left" vertical="center"/>
    </xf>
    <xf numFmtId="0" fontId="12" fillId="4" borderId="0" xfId="7" applyFont="1" applyFill="1" applyBorder="1" applyAlignment="1" applyProtection="1">
      <alignment horizontal="center" vertical="center"/>
    </xf>
    <xf numFmtId="0" fontId="12" fillId="4" borderId="0" xfId="7" applyFont="1" applyFill="1" applyBorder="1" applyAlignment="1" applyProtection="1">
      <alignment horizontal="right" vertical="center"/>
    </xf>
    <xf numFmtId="0" fontId="12" fillId="4" borderId="0" xfId="7" applyFont="1" applyFill="1" applyBorder="1" applyAlignment="1" applyProtection="1">
      <alignment vertical="center"/>
    </xf>
    <xf numFmtId="0" fontId="8" fillId="4" borderId="0" xfId="7" applyFont="1" applyFill="1" applyBorder="1" applyAlignment="1" applyProtection="1">
      <alignment vertical="center"/>
    </xf>
    <xf numFmtId="2" fontId="12" fillId="4" borderId="0" xfId="7" applyNumberFormat="1" applyFont="1" applyFill="1" applyBorder="1" applyAlignment="1" applyProtection="1">
      <alignment vertical="center"/>
    </xf>
    <xf numFmtId="14" fontId="11" fillId="4" borderId="1" xfId="7" applyNumberFormat="1" applyFont="1" applyFill="1" applyBorder="1" applyAlignment="1" applyProtection="1">
      <alignment horizontal="left" vertical="center"/>
    </xf>
    <xf numFmtId="0" fontId="8" fillId="4" borderId="0" xfId="7" applyFont="1" applyFill="1" applyBorder="1" applyAlignment="1" applyProtection="1">
      <alignment horizontal="right" vertical="center"/>
    </xf>
    <xf numFmtId="2" fontId="8" fillId="4" borderId="0" xfId="7" applyNumberFormat="1" applyFont="1" applyFill="1" applyBorder="1" applyAlignment="1" applyProtection="1">
      <alignment horizontal="right" vertical="center"/>
    </xf>
    <xf numFmtId="49" fontId="13" fillId="5" borderId="2" xfId="1" applyNumberFormat="1" applyFont="1" applyFill="1" applyBorder="1" applyAlignment="1">
      <alignment horizontal="center" vertical="center" shrinkToFit="1"/>
    </xf>
    <xf numFmtId="166" fontId="2" fillId="0" borderId="0" xfId="1" applyFont="1" applyBorder="1" applyAlignment="1"/>
    <xf numFmtId="166" fontId="2" fillId="0" borderId="0" xfId="1" applyFont="1" applyAlignment="1"/>
    <xf numFmtId="0" fontId="8" fillId="4" borderId="0" xfId="7" applyFont="1" applyFill="1" applyBorder="1" applyAlignment="1" applyProtection="1">
      <alignment horizontal="left" vertical="center"/>
    </xf>
    <xf numFmtId="0" fontId="11" fillId="4" borderId="1" xfId="7" applyNumberFormat="1" applyFont="1" applyFill="1" applyBorder="1" applyAlignment="1" applyProtection="1">
      <alignment horizontal="left" vertical="center"/>
    </xf>
    <xf numFmtId="38" fontId="12" fillId="4" borderId="0" xfId="7" applyNumberFormat="1" applyFont="1" applyFill="1" applyBorder="1" applyAlignment="1" applyProtection="1">
      <alignment vertical="center"/>
    </xf>
    <xf numFmtId="169" fontId="14" fillId="0" borderId="9" xfId="7" applyNumberFormat="1" applyFont="1" applyBorder="1" applyProtection="1"/>
    <xf numFmtId="0" fontId="14" fillId="0" borderId="1" xfId="7" applyFont="1" applyBorder="1" applyAlignment="1" applyProtection="1">
      <alignment horizontal="center"/>
    </xf>
    <xf numFmtId="0" fontId="14" fillId="0" borderId="0" xfId="7" applyFont="1" applyBorder="1" applyAlignment="1" applyProtection="1">
      <alignment horizontal="center"/>
    </xf>
    <xf numFmtId="0" fontId="14" fillId="0" borderId="0" xfId="7" applyFont="1" applyBorder="1" applyProtection="1"/>
    <xf numFmtId="170" fontId="14" fillId="0" borderId="1" xfId="7" applyNumberFormat="1" applyFont="1" applyBorder="1" applyAlignment="1" applyProtection="1">
      <alignment horizontal="center"/>
    </xf>
    <xf numFmtId="0" fontId="14" fillId="0" borderId="1" xfId="7" applyFont="1" applyBorder="1" applyAlignment="1" applyProtection="1">
      <alignment horizontal="right"/>
    </xf>
    <xf numFmtId="0" fontId="14" fillId="0" borderId="0" xfId="7" applyFont="1" applyBorder="1" applyAlignment="1" applyProtection="1">
      <alignment horizontal="right"/>
    </xf>
    <xf numFmtId="171" fontId="14" fillId="0" borderId="0" xfId="7" applyNumberFormat="1" applyFont="1" applyBorder="1" applyProtection="1"/>
    <xf numFmtId="38" fontId="14" fillId="0" borderId="0" xfId="7" applyNumberFormat="1" applyFont="1" applyBorder="1" applyProtection="1"/>
    <xf numFmtId="172" fontId="14" fillId="0" borderId="10" xfId="7" applyNumberFormat="1" applyFont="1" applyBorder="1" applyProtection="1"/>
    <xf numFmtId="168" fontId="15" fillId="0" borderId="2" xfId="7" applyNumberFormat="1" applyFont="1" applyBorder="1" applyAlignment="1" applyProtection="1">
      <alignment horizontal="center" wrapText="1"/>
    </xf>
    <xf numFmtId="172" fontId="15" fillId="0" borderId="2" xfId="7" applyNumberFormat="1" applyFont="1" applyBorder="1" applyAlignment="1" applyProtection="1">
      <alignment horizontal="center" wrapText="1"/>
    </xf>
    <xf numFmtId="38" fontId="15" fillId="0" borderId="2" xfId="7" applyNumberFormat="1" applyFont="1" applyBorder="1" applyAlignment="1" applyProtection="1">
      <alignment horizontal="center" wrapText="1"/>
    </xf>
    <xf numFmtId="166" fontId="2" fillId="0" borderId="0" xfId="1" applyFont="1" applyBorder="1" applyAlignment="1">
      <alignment wrapText="1"/>
    </xf>
    <xf numFmtId="166" fontId="2" fillId="0" borderId="0" xfId="1" applyFont="1" applyAlignment="1">
      <alignment wrapText="1"/>
    </xf>
    <xf numFmtId="0" fontId="14" fillId="0" borderId="0" xfId="7" applyFont="1" applyProtection="1"/>
    <xf numFmtId="168" fontId="15" fillId="0" borderId="6" xfId="7" applyNumberFormat="1" applyFont="1" applyBorder="1" applyAlignment="1" applyProtection="1"/>
    <xf numFmtId="40" fontId="15" fillId="3" borderId="2" xfId="7" applyNumberFormat="1" applyFont="1" applyFill="1" applyBorder="1" applyAlignment="1" applyProtection="1">
      <alignment horizontal="center"/>
    </xf>
    <xf numFmtId="168" fontId="16" fillId="3" borderId="4" xfId="7" applyNumberFormat="1" applyFont="1" applyFill="1" applyBorder="1" applyAlignment="1" applyProtection="1">
      <alignment vertical="center"/>
      <protection locked="0"/>
    </xf>
    <xf numFmtId="49" fontId="3" fillId="6" borderId="2" xfId="7" applyNumberFormat="1" applyFont="1" applyFill="1" applyBorder="1" applyAlignment="1" applyProtection="1">
      <alignment horizontal="center"/>
    </xf>
    <xf numFmtId="40" fontId="3" fillId="6" borderId="2" xfId="7" applyNumberFormat="1" applyFont="1" applyFill="1" applyBorder="1" applyAlignment="1" applyProtection="1">
      <alignment horizontal="center"/>
    </xf>
    <xf numFmtId="40" fontId="3" fillId="0" borderId="3" xfId="7" applyNumberFormat="1" applyFont="1" applyFill="1" applyBorder="1" applyAlignment="1" applyProtection="1">
      <alignment horizontal="center"/>
    </xf>
    <xf numFmtId="38" fontId="3" fillId="0" borderId="10" xfId="7" applyNumberFormat="1" applyFont="1" applyFill="1" applyBorder="1" applyProtection="1"/>
    <xf numFmtId="38" fontId="3" fillId="0" borderId="3" xfId="7" applyNumberFormat="1" applyFont="1" applyFill="1" applyBorder="1" applyProtection="1"/>
    <xf numFmtId="38" fontId="3" fillId="0" borderId="0" xfId="7" applyNumberFormat="1" applyFont="1" applyFill="1" applyBorder="1" applyProtection="1"/>
    <xf numFmtId="49" fontId="3" fillId="7" borderId="11" xfId="7" applyNumberFormat="1" applyFont="1" applyFill="1" applyBorder="1" applyAlignment="1" applyProtection="1">
      <alignment horizontal="center"/>
    </xf>
    <xf numFmtId="49" fontId="3" fillId="7" borderId="0" xfId="7" applyNumberFormat="1" applyFont="1" applyFill="1" applyBorder="1" applyAlignment="1" applyProtection="1">
      <alignment horizontal="center"/>
    </xf>
    <xf numFmtId="49" fontId="3" fillId="7" borderId="1" xfId="7" applyNumberFormat="1" applyFont="1" applyFill="1" applyBorder="1" applyAlignment="1" applyProtection="1">
      <alignment horizontal="center"/>
    </xf>
    <xf numFmtId="49" fontId="3" fillId="7" borderId="14" xfId="7" applyNumberFormat="1" applyFont="1" applyFill="1" applyBorder="1" applyAlignment="1" applyProtection="1">
      <alignment horizontal="center"/>
    </xf>
    <xf numFmtId="49" fontId="3" fillId="7" borderId="10" xfId="7" applyNumberFormat="1" applyFont="1" applyFill="1" applyBorder="1" applyAlignment="1" applyProtection="1">
      <alignment horizontal="center"/>
    </xf>
    <xf numFmtId="40" fontId="3" fillId="7" borderId="10" xfId="7" applyNumberFormat="1" applyFont="1" applyFill="1" applyBorder="1" applyAlignment="1" applyProtection="1"/>
    <xf numFmtId="168" fontId="18" fillId="8" borderId="0" xfId="7" applyNumberFormat="1" applyFont="1" applyFill="1" applyBorder="1" applyAlignment="1" applyProtection="1">
      <alignment horizontal="left" vertical="top" wrapText="1"/>
      <protection locked="0"/>
    </xf>
    <xf numFmtId="168" fontId="18" fillId="8" borderId="10" xfId="7" applyNumberFormat="1" applyFont="1" applyFill="1" applyBorder="1" applyAlignment="1" applyProtection="1">
      <alignment horizontal="left" vertical="top" wrapText="1"/>
      <protection locked="0"/>
    </xf>
    <xf numFmtId="0" fontId="14" fillId="0" borderId="2" xfId="7" applyFont="1" applyBorder="1" applyProtection="1"/>
    <xf numFmtId="0" fontId="20" fillId="0" borderId="2" xfId="7" applyFont="1" applyBorder="1" applyAlignment="1" applyProtection="1">
      <alignment horizontal="center" wrapText="1"/>
    </xf>
    <xf numFmtId="40" fontId="20" fillId="0" borderId="2" xfId="7" applyNumberFormat="1" applyFont="1" applyBorder="1" applyAlignment="1" applyProtection="1">
      <alignment horizontal="center" wrapText="1"/>
    </xf>
    <xf numFmtId="3" fontId="20" fillId="0" borderId="2" xfId="7" applyNumberFormat="1" applyFont="1" applyBorder="1" applyAlignment="1" applyProtection="1">
      <alignment horizontal="center" wrapText="1"/>
    </xf>
    <xf numFmtId="2" fontId="15" fillId="0" borderId="13" xfId="7" applyNumberFormat="1" applyFont="1" applyBorder="1" applyProtection="1"/>
    <xf numFmtId="49" fontId="3" fillId="0" borderId="15" xfId="7" applyNumberFormat="1" applyFont="1" applyBorder="1" applyAlignment="1" applyProtection="1">
      <alignment horizontal="center"/>
    </xf>
    <xf numFmtId="168" fontId="15" fillId="0" borderId="15" xfId="7" applyNumberFormat="1" applyFont="1" applyBorder="1" applyAlignment="1" applyProtection="1"/>
    <xf numFmtId="175" fontId="15" fillId="3" borderId="14" xfId="7" applyNumberFormat="1" applyFont="1" applyFill="1" applyBorder="1" applyAlignment="1" applyProtection="1">
      <alignment horizontal="center"/>
    </xf>
    <xf numFmtId="38" fontId="15" fillId="3" borderId="8" xfId="7" applyNumberFormat="1" applyFont="1" applyFill="1" applyBorder="1" applyProtection="1"/>
    <xf numFmtId="38" fontId="15" fillId="3" borderId="2" xfId="7" applyNumberFormat="1" applyFont="1" applyFill="1" applyBorder="1" applyProtection="1"/>
    <xf numFmtId="38" fontId="3" fillId="0" borderId="3" xfId="7" applyNumberFormat="1" applyFont="1" applyBorder="1" applyProtection="1"/>
    <xf numFmtId="2" fontId="15" fillId="0" borderId="3" xfId="7" applyNumberFormat="1" applyFont="1" applyBorder="1" applyProtection="1"/>
    <xf numFmtId="49" fontId="3" fillId="0" borderId="10" xfId="7" applyNumberFormat="1" applyFont="1" applyBorder="1" applyAlignment="1" applyProtection="1">
      <alignment horizontal="center"/>
    </xf>
    <xf numFmtId="168" fontId="15" fillId="0" borderId="9" xfId="7" applyNumberFormat="1" applyFont="1" applyBorder="1" applyAlignment="1" applyProtection="1"/>
    <xf numFmtId="2" fontId="3" fillId="0" borderId="3" xfId="7" applyNumberFormat="1" applyFont="1" applyBorder="1" applyProtection="1"/>
    <xf numFmtId="38" fontId="14" fillId="0" borderId="3" xfId="7" applyNumberFormat="1" applyFont="1" applyBorder="1" applyProtection="1"/>
    <xf numFmtId="0" fontId="3" fillId="6" borderId="2" xfId="7" applyFont="1" applyFill="1" applyBorder="1" applyAlignment="1" applyProtection="1">
      <alignment horizontal="center"/>
    </xf>
    <xf numFmtId="38" fontId="3" fillId="6" borderId="2" xfId="7" applyNumberFormat="1" applyFont="1" applyFill="1" applyBorder="1" applyProtection="1"/>
    <xf numFmtId="38" fontId="3" fillId="3" borderId="2" xfId="7" applyNumberFormat="1" applyFont="1" applyFill="1" applyBorder="1" applyProtection="1"/>
    <xf numFmtId="38" fontId="15" fillId="3" borderId="13" xfId="7" applyNumberFormat="1" applyFont="1" applyFill="1" applyBorder="1" applyProtection="1"/>
    <xf numFmtId="38" fontId="3" fillId="6" borderId="13" xfId="7" applyNumberFormat="1" applyFont="1" applyFill="1" applyBorder="1" applyProtection="1"/>
    <xf numFmtId="38" fontId="3" fillId="6" borderId="3" xfId="7" applyNumberFormat="1" applyFont="1" applyFill="1" applyBorder="1" applyProtection="1"/>
    <xf numFmtId="0" fontId="3" fillId="0" borderId="16" xfId="7" applyFont="1" applyBorder="1" applyProtection="1"/>
    <xf numFmtId="0" fontId="3" fillId="8" borderId="3" xfId="7" applyFont="1" applyFill="1" applyBorder="1" applyProtection="1"/>
    <xf numFmtId="0" fontId="3" fillId="8" borderId="10" xfId="7" applyFont="1" applyFill="1" applyBorder="1" applyProtection="1"/>
    <xf numFmtId="0" fontId="3" fillId="8" borderId="3" xfId="7" applyFont="1" applyFill="1" applyBorder="1" applyAlignment="1" applyProtection="1">
      <alignment horizontal="center"/>
    </xf>
    <xf numFmtId="40" fontId="3" fillId="8" borderId="3" xfId="7" applyNumberFormat="1" applyFont="1" applyFill="1" applyBorder="1" applyAlignment="1" applyProtection="1">
      <alignment horizontal="center"/>
    </xf>
    <xf numFmtId="38" fontId="15" fillId="8" borderId="3" xfId="7" applyNumberFormat="1" applyFont="1" applyFill="1" applyBorder="1" applyProtection="1"/>
    <xf numFmtId="0" fontId="3" fillId="8" borderId="9" xfId="7" applyFont="1" applyFill="1" applyBorder="1" applyProtection="1"/>
    <xf numFmtId="0" fontId="3" fillId="0" borderId="3" xfId="7" applyFont="1" applyFill="1" applyBorder="1" applyProtection="1"/>
    <xf numFmtId="0" fontId="3" fillId="0" borderId="10" xfId="7" applyFont="1" applyFill="1" applyBorder="1" applyProtection="1"/>
    <xf numFmtId="0" fontId="3" fillId="0" borderId="3" xfId="7" applyFont="1" applyFill="1" applyBorder="1" applyAlignment="1" applyProtection="1">
      <alignment horizontal="center"/>
    </xf>
    <xf numFmtId="40" fontId="20" fillId="0" borderId="13" xfId="7" applyNumberFormat="1" applyFont="1" applyBorder="1" applyAlignment="1" applyProtection="1">
      <alignment horizontal="center"/>
    </xf>
    <xf numFmtId="0" fontId="20" fillId="0" borderId="0" xfId="7" applyFont="1" applyBorder="1" applyAlignment="1" applyProtection="1">
      <alignment horizontal="center"/>
    </xf>
    <xf numFmtId="0" fontId="3" fillId="0" borderId="0" xfId="7" applyFont="1" applyFill="1" applyBorder="1" applyProtection="1"/>
    <xf numFmtId="0" fontId="14" fillId="0" borderId="0" xfId="7" applyFont="1" applyFill="1" applyBorder="1" applyProtection="1"/>
    <xf numFmtId="0" fontId="14" fillId="0" borderId="0" xfId="7" applyFont="1" applyFill="1" applyProtection="1"/>
    <xf numFmtId="168" fontId="15" fillId="0" borderId="10" xfId="7" applyNumberFormat="1" applyFont="1" applyBorder="1" applyAlignment="1" applyProtection="1"/>
    <xf numFmtId="0" fontId="3" fillId="0" borderId="3" xfId="7" applyFont="1" applyBorder="1" applyAlignment="1" applyProtection="1">
      <alignment horizontal="center"/>
    </xf>
    <xf numFmtId="0" fontId="3" fillId="0" borderId="0" xfId="7" applyFont="1" applyBorder="1" applyProtection="1"/>
    <xf numFmtId="0" fontId="3" fillId="0" borderId="10" xfId="7" applyFont="1" applyBorder="1" applyProtection="1"/>
    <xf numFmtId="0" fontId="3" fillId="0" borderId="9" xfId="7" applyFont="1" applyBorder="1" applyAlignment="1" applyProtection="1">
      <alignment horizontal="center"/>
    </xf>
    <xf numFmtId="38" fontId="15" fillId="3" borderId="3" xfId="7" applyNumberFormat="1" applyFont="1" applyFill="1" applyBorder="1" applyProtection="1"/>
    <xf numFmtId="168" fontId="3" fillId="0" borderId="9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2" fontId="3" fillId="6" borderId="2" xfId="7" applyNumberFormat="1" applyFont="1" applyFill="1" applyBorder="1" applyProtection="1"/>
    <xf numFmtId="2" fontId="15" fillId="0" borderId="2" xfId="7" applyNumberFormat="1" applyFont="1" applyBorder="1" applyProtection="1"/>
    <xf numFmtId="49" fontId="3" fillId="0" borderId="8" xfId="7" applyNumberFormat="1" applyFont="1" applyBorder="1" applyAlignment="1" applyProtection="1">
      <alignment horizontal="center"/>
    </xf>
    <xf numFmtId="168" fontId="15" fillId="0" borderId="4" xfId="7" applyNumberFormat="1" applyFont="1" applyBorder="1" applyAlignment="1" applyProtection="1"/>
    <xf numFmtId="168" fontId="15" fillId="0" borderId="8" xfId="7" applyNumberFormat="1" applyFont="1" applyBorder="1" applyAlignment="1" applyProtection="1"/>
    <xf numFmtId="0" fontId="3" fillId="0" borderId="11" xfId="7" applyFont="1" applyBorder="1" applyAlignment="1" applyProtection="1">
      <alignment horizontal="center"/>
    </xf>
    <xf numFmtId="0" fontId="3" fillId="0" borderId="1" xfId="7" applyFont="1" applyBorder="1" applyProtection="1"/>
    <xf numFmtId="0" fontId="3" fillId="0" borderId="14" xfId="7" applyFont="1" applyBorder="1" applyProtection="1"/>
    <xf numFmtId="2" fontId="14" fillId="0" borderId="0" xfId="7" applyNumberFormat="1" applyFont="1" applyProtection="1"/>
    <xf numFmtId="168" fontId="14" fillId="0" borderId="0" xfId="7" applyNumberFormat="1" applyFont="1" applyAlignment="1" applyProtection="1">
      <alignment horizontal="center"/>
    </xf>
    <xf numFmtId="170" fontId="14" fillId="0" borderId="0" xfId="7" applyNumberFormat="1" applyFont="1" applyAlignment="1" applyProtection="1">
      <alignment horizontal="center"/>
    </xf>
    <xf numFmtId="0" fontId="14" fillId="0" borderId="0" xfId="7" applyFont="1" applyAlignment="1" applyProtection="1">
      <alignment horizontal="center"/>
    </xf>
    <xf numFmtId="172" fontId="14" fillId="0" borderId="0" xfId="7" applyNumberFormat="1" applyFont="1" applyProtection="1"/>
    <xf numFmtId="38" fontId="14" fillId="0" borderId="0" xfId="7" applyNumberFormat="1" applyFont="1" applyProtection="1"/>
    <xf numFmtId="0" fontId="6" fillId="0" borderId="0" xfId="0" applyNumberFormat="1" applyFont="1" applyFill="1" applyBorder="1"/>
    <xf numFmtId="168" fontId="15" fillId="0" borderId="7" xfId="7" applyNumberFormat="1" applyFont="1" applyBorder="1" applyAlignment="1" applyProtection="1"/>
    <xf numFmtId="168" fontId="15" fillId="0" borderId="0" xfId="7" applyNumberFormat="1" applyFont="1" applyBorder="1" applyAlignment="1" applyProtection="1">
      <alignment horizontal="right"/>
    </xf>
    <xf numFmtId="175" fontId="15" fillId="0" borderId="13" xfId="7" applyNumberFormat="1" applyFont="1" applyFill="1" applyBorder="1" applyProtection="1"/>
    <xf numFmtId="0" fontId="3" fillId="0" borderId="12" xfId="7" applyFont="1" applyFill="1" applyBorder="1" applyAlignment="1" applyProtection="1">
      <alignment horizontal="center"/>
    </xf>
    <xf numFmtId="0" fontId="3" fillId="0" borderId="13" xfId="7" applyFont="1" applyFill="1" applyBorder="1" applyAlignment="1" applyProtection="1">
      <alignment horizontal="center"/>
    </xf>
    <xf numFmtId="168" fontId="15" fillId="0" borderId="1" xfId="7" applyNumberFormat="1" applyFont="1" applyFill="1" applyBorder="1" applyAlignment="1" applyProtection="1">
      <alignment horizontal="center" vertical="center" wrapText="1"/>
    </xf>
    <xf numFmtId="38" fontId="19" fillId="0" borderId="0" xfId="7" applyNumberFormat="1" applyFont="1" applyFill="1" applyBorder="1" applyAlignment="1" applyProtection="1">
      <alignment horizontal="center" vertical="center"/>
      <protection locked="0"/>
    </xf>
    <xf numFmtId="38" fontId="19" fillId="0" borderId="0" xfId="7" applyNumberFormat="1" applyFont="1" applyFill="1" applyBorder="1" applyAlignment="1" applyProtection="1">
      <alignment horizontal="center" vertical="center"/>
    </xf>
    <xf numFmtId="49" fontId="3" fillId="1" borderId="9" xfId="7" applyNumberFormat="1" applyFont="1" applyFill="1" applyBorder="1" applyAlignment="1" applyProtection="1">
      <alignment horizontal="center" vertical="center"/>
    </xf>
    <xf numFmtId="49" fontId="3" fillId="1" borderId="6" xfId="7" applyNumberFormat="1" applyFont="1" applyFill="1" applyBorder="1" applyAlignment="1" applyProtection="1">
      <alignment horizontal="center" vertical="center"/>
    </xf>
    <xf numFmtId="1" fontId="3" fillId="0" borderId="13" xfId="7" applyNumberFormat="1" applyFont="1" applyBorder="1" applyAlignment="1" applyProtection="1">
      <alignment horizontal="center" vertical="center"/>
    </xf>
    <xf numFmtId="172" fontId="3" fillId="0" borderId="13" xfId="7" applyNumberFormat="1" applyFont="1" applyBorder="1" applyAlignment="1" applyProtection="1">
      <alignment horizontal="center" vertical="center"/>
    </xf>
    <xf numFmtId="173" fontId="3" fillId="0" borderId="13" xfId="7" applyNumberFormat="1" applyFont="1" applyBorder="1" applyAlignment="1" applyProtection="1">
      <alignment horizontal="right" vertical="center"/>
    </xf>
    <xf numFmtId="38" fontId="3" fillId="0" borderId="13" xfId="7" applyNumberFormat="1" applyFont="1" applyBorder="1" applyAlignment="1" applyProtection="1">
      <alignment horizontal="right" vertical="center"/>
    </xf>
    <xf numFmtId="172" fontId="3" fillId="0" borderId="13" xfId="7" applyNumberFormat="1" applyFont="1" applyBorder="1" applyAlignment="1" applyProtection="1">
      <alignment horizontal="right" vertical="center"/>
    </xf>
    <xf numFmtId="174" fontId="3" fillId="0" borderId="13" xfId="7" applyNumberFormat="1" applyFont="1" applyBorder="1" applyAlignment="1" applyProtection="1">
      <alignment horizontal="right" vertical="center"/>
    </xf>
    <xf numFmtId="0" fontId="14" fillId="0" borderId="0" xfId="7" applyFont="1" applyBorder="1" applyAlignment="1" applyProtection="1">
      <alignment vertical="center"/>
    </xf>
    <xf numFmtId="166" fontId="2" fillId="0" borderId="0" xfId="1" applyFont="1" applyBorder="1" applyAlignment="1">
      <alignment vertical="center"/>
    </xf>
    <xf numFmtId="166" fontId="2" fillId="0" borderId="0" xfId="1" applyFont="1" applyAlignment="1">
      <alignment vertical="center"/>
    </xf>
    <xf numFmtId="1" fontId="15" fillId="0" borderId="3" xfId="7" applyNumberFormat="1" applyFont="1" applyBorder="1" applyAlignment="1" applyProtection="1">
      <alignment horizontal="center" vertical="center"/>
    </xf>
    <xf numFmtId="40" fontId="3" fillId="3" borderId="3" xfId="7" applyNumberFormat="1" applyFont="1" applyFill="1" applyBorder="1" applyAlignment="1" applyProtection="1">
      <alignment horizontal="center" vertical="center"/>
    </xf>
    <xf numFmtId="38" fontId="3" fillId="3" borderId="3" xfId="7" applyNumberFormat="1" applyFont="1" applyFill="1" applyBorder="1" applyAlignment="1" applyProtection="1">
      <alignment horizontal="right" vertical="center"/>
    </xf>
    <xf numFmtId="0" fontId="14" fillId="0" borderId="0" xfId="7" applyFont="1" applyAlignment="1" applyProtection="1">
      <alignment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49" fontId="3" fillId="1" borderId="3" xfId="7" applyNumberFormat="1" applyFont="1" applyFill="1" applyBorder="1" applyAlignment="1" applyProtection="1">
      <alignment horizontal="center" vertical="center"/>
    </xf>
    <xf numFmtId="168" fontId="15" fillId="0" borderId="6" xfId="7" applyNumberFormat="1" applyFont="1" applyBorder="1" applyAlignment="1" applyProtection="1">
      <alignment vertical="center"/>
    </xf>
    <xf numFmtId="168" fontId="15" fillId="0" borderId="5" xfId="7" applyNumberFormat="1" applyFont="1" applyBorder="1" applyAlignment="1" applyProtection="1">
      <alignment vertical="center"/>
    </xf>
    <xf numFmtId="38" fontId="15" fillId="3" borderId="2" xfId="7" applyNumberFormat="1" applyFont="1" applyFill="1" applyBorder="1" applyAlignment="1" applyProtection="1">
      <alignment horizontal="right" vertical="center"/>
    </xf>
    <xf numFmtId="1" fontId="12" fillId="0" borderId="12" xfId="7" applyNumberFormat="1" applyFont="1" applyBorder="1" applyAlignment="1" applyProtection="1">
      <alignment horizontal="right" vertical="center"/>
    </xf>
    <xf numFmtId="40" fontId="15" fillId="3" borderId="12" xfId="7" applyNumberFormat="1" applyFont="1" applyFill="1" applyBorder="1" applyAlignment="1" applyProtection="1">
      <alignment horizontal="center" vertical="center"/>
    </xf>
    <xf numFmtId="38" fontId="15" fillId="3" borderId="12" xfId="7" applyNumberFormat="1" applyFont="1" applyFill="1" applyBorder="1" applyAlignment="1" applyProtection="1">
      <alignment horizontal="right" vertical="center"/>
    </xf>
    <xf numFmtId="168" fontId="17" fillId="3" borderId="5" xfId="7" applyNumberFormat="1" applyFont="1" applyFill="1" applyBorder="1" applyAlignment="1" applyProtection="1">
      <alignment vertical="center" wrapText="1"/>
      <protection locked="0"/>
    </xf>
    <xf numFmtId="168" fontId="17" fillId="3" borderId="8" xfId="7" applyNumberFormat="1" applyFont="1" applyFill="1" applyBorder="1" applyAlignment="1" applyProtection="1">
      <alignment vertical="center" wrapText="1"/>
      <protection locked="0"/>
    </xf>
    <xf numFmtId="40" fontId="3" fillId="0" borderId="3" xfId="7" applyNumberFormat="1" applyFont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right" vertical="center"/>
    </xf>
    <xf numFmtId="176" fontId="3" fillId="0" borderId="3" xfId="6" applyNumberFormat="1" applyFont="1" applyBorder="1" applyAlignment="1" applyProtection="1">
      <alignment horizontal="right" vertical="center"/>
    </xf>
    <xf numFmtId="49" fontId="3" fillId="1" borderId="11" xfId="7" applyNumberFormat="1" applyFont="1" applyFill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left" vertical="center"/>
    </xf>
    <xf numFmtId="177" fontId="3" fillId="0" borderId="3" xfId="7" applyNumberFormat="1" applyFont="1" applyBorder="1" applyAlignment="1" applyProtection="1">
      <alignment horizontal="left" vertical="center"/>
    </xf>
    <xf numFmtId="49" fontId="3" fillId="6" borderId="2" xfId="7" applyNumberFormat="1" applyFont="1" applyFill="1" applyBorder="1" applyAlignment="1" applyProtection="1">
      <alignment vertical="center"/>
    </xf>
    <xf numFmtId="49" fontId="3" fillId="6" borderId="2" xfId="7" applyNumberFormat="1" applyFont="1" applyFill="1" applyBorder="1" applyAlignment="1" applyProtection="1">
      <alignment horizontal="center" vertical="center"/>
    </xf>
    <xf numFmtId="1" fontId="15" fillId="6" borderId="2" xfId="7" applyNumberFormat="1" applyFont="1" applyFill="1" applyBorder="1" applyAlignment="1" applyProtection="1">
      <alignment horizontal="center" vertical="center"/>
    </xf>
    <xf numFmtId="40" fontId="3" fillId="6" borderId="2" xfId="7" applyNumberFormat="1" applyFont="1" applyFill="1" applyBorder="1" applyAlignment="1" applyProtection="1">
      <alignment horizontal="center" vertical="center"/>
    </xf>
    <xf numFmtId="38" fontId="3" fillId="6" borderId="2" xfId="7" applyNumberFormat="1" applyFont="1" applyFill="1" applyBorder="1" applyAlignment="1" applyProtection="1">
      <alignment horizontal="right" vertical="center"/>
    </xf>
    <xf numFmtId="38" fontId="3" fillId="3" borderId="2" xfId="7" applyNumberFormat="1" applyFont="1" applyFill="1" applyBorder="1" applyAlignment="1" applyProtection="1">
      <alignment horizontal="right" vertical="center"/>
    </xf>
    <xf numFmtId="0" fontId="14" fillId="0" borderId="1" xfId="7" applyFont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horizontal="center" vertical="center"/>
    </xf>
    <xf numFmtId="1" fontId="15" fillId="6" borderId="12" xfId="7" applyNumberFormat="1" applyFont="1" applyFill="1" applyBorder="1" applyAlignment="1" applyProtection="1">
      <alignment horizontal="center" vertical="center"/>
    </xf>
    <xf numFmtId="40" fontId="3" fillId="6" borderId="12" xfId="7" applyNumberFormat="1" applyFont="1" applyFill="1" applyBorder="1" applyAlignment="1" applyProtection="1">
      <alignment horizontal="center" vertical="center"/>
    </xf>
    <xf numFmtId="38" fontId="3" fillId="6" borderId="12" xfId="7" applyNumberFormat="1" applyFont="1" applyFill="1" applyBorder="1" applyAlignment="1" applyProtection="1">
      <alignment horizontal="right" vertical="center"/>
    </xf>
    <xf numFmtId="38" fontId="3" fillId="3" borderId="12" xfId="7" applyNumberFormat="1" applyFont="1" applyFill="1" applyBorder="1" applyAlignment="1" applyProtection="1">
      <alignment horizontal="right" vertical="center"/>
    </xf>
    <xf numFmtId="49" fontId="3" fillId="6" borderId="1" xfId="7" applyNumberFormat="1" applyFont="1" applyFill="1" applyBorder="1" applyAlignment="1" applyProtection="1">
      <alignment horizontal="center" vertical="center"/>
    </xf>
    <xf numFmtId="49" fontId="3" fillId="6" borderId="2" xfId="7" applyNumberFormat="1" applyFont="1" applyFill="1" applyBorder="1" applyAlignment="1" applyProtection="1">
      <alignment horizontal="left" vertical="center"/>
    </xf>
    <xf numFmtId="49" fontId="3" fillId="6" borderId="12" xfId="7" applyNumberFormat="1" applyFont="1" applyFill="1" applyBorder="1" applyAlignment="1" applyProtection="1">
      <alignment horizontal="left" vertical="center"/>
    </xf>
    <xf numFmtId="49" fontId="3" fillId="6" borderId="14" xfId="7" applyNumberFormat="1" applyFont="1" applyFill="1" applyBorder="1" applyAlignment="1" applyProtection="1">
      <alignment horizontal="left" vertical="center"/>
    </xf>
    <xf numFmtId="49" fontId="3" fillId="1" borderId="10" xfId="7" applyNumberFormat="1" applyFont="1" applyFill="1" applyBorder="1" applyAlignment="1" applyProtection="1">
      <alignment horizontal="center" vertical="center"/>
    </xf>
    <xf numFmtId="1" fontId="15" fillId="0" borderId="9" xfId="7" applyNumberFormat="1" applyFont="1" applyBorder="1" applyAlignment="1" applyProtection="1">
      <alignment horizontal="center" vertical="center"/>
    </xf>
    <xf numFmtId="40" fontId="3" fillId="3" borderId="13" xfId="7" applyNumberFormat="1" applyFont="1" applyFill="1" applyBorder="1" applyAlignment="1" applyProtection="1">
      <alignment horizontal="center" vertical="center"/>
    </xf>
    <xf numFmtId="38" fontId="3" fillId="3" borderId="15" xfId="7" applyNumberFormat="1" applyFont="1" applyFill="1" applyBorder="1" applyAlignment="1" applyProtection="1">
      <alignment horizontal="right" vertical="center"/>
    </xf>
    <xf numFmtId="38" fontId="3" fillId="3" borderId="13" xfId="7" applyNumberFormat="1" applyFont="1" applyFill="1" applyBorder="1" applyAlignment="1" applyProtection="1">
      <alignment horizontal="right" vertical="center"/>
    </xf>
    <xf numFmtId="38" fontId="3" fillId="3" borderId="10" xfId="7" applyNumberFormat="1" applyFont="1" applyFill="1" applyBorder="1" applyAlignment="1" applyProtection="1">
      <alignment horizontal="right" vertical="center"/>
    </xf>
    <xf numFmtId="168" fontId="3" fillId="0" borderId="10" xfId="7" applyNumberFormat="1" applyFont="1" applyBorder="1" applyAlignment="1" applyProtection="1">
      <alignment horizontal="left" vertical="center"/>
    </xf>
    <xf numFmtId="38" fontId="15" fillId="3" borderId="14" xfId="7" applyNumberFormat="1" applyFont="1" applyFill="1" applyBorder="1" applyAlignment="1" applyProtection="1">
      <alignment horizontal="right" vertical="center"/>
    </xf>
    <xf numFmtId="1" fontId="3" fillId="0" borderId="9" xfId="7" applyNumberFormat="1" applyFont="1" applyBorder="1" applyAlignment="1" applyProtection="1">
      <alignment horizontal="center" vertical="center"/>
    </xf>
    <xf numFmtId="40" fontId="3" fillId="0" borderId="3" xfId="7" applyNumberFormat="1" applyFont="1" applyFill="1" applyBorder="1" applyAlignment="1" applyProtection="1">
      <alignment horizontal="center" vertical="center"/>
    </xf>
    <xf numFmtId="38" fontId="3" fillId="0" borderId="10" xfId="7" applyNumberFormat="1" applyFont="1" applyFill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vertical="center"/>
    </xf>
    <xf numFmtId="38" fontId="3" fillId="0" borderId="9" xfId="7" applyNumberFormat="1" applyFont="1" applyFill="1" applyBorder="1" applyAlignment="1" applyProtection="1">
      <alignment vertical="center"/>
    </xf>
    <xf numFmtId="38" fontId="3" fillId="0" borderId="10" xfId="7" applyNumberFormat="1" applyFont="1" applyBorder="1" applyAlignment="1" applyProtection="1">
      <alignment vertical="center"/>
    </xf>
    <xf numFmtId="49" fontId="3" fillId="1" borderId="0" xfId="7" applyNumberFormat="1" applyFont="1" applyFill="1" applyBorder="1" applyAlignment="1" applyProtection="1">
      <alignment horizontal="center" vertical="center"/>
    </xf>
    <xf numFmtId="1" fontId="12" fillId="0" borderId="4" xfId="7" applyNumberFormat="1" applyFont="1" applyFill="1" applyBorder="1" applyAlignment="1" applyProtection="1">
      <alignment horizontal="right" vertical="center"/>
    </xf>
    <xf numFmtId="1" fontId="12" fillId="0" borderId="11" xfId="7" applyNumberFormat="1" applyFont="1" applyFill="1" applyBorder="1" applyAlignment="1" applyProtection="1">
      <alignment horizontal="right" vertical="center"/>
    </xf>
    <xf numFmtId="40" fontId="3" fillId="3" borderId="2" xfId="7" applyNumberFormat="1" applyFont="1" applyFill="1" applyBorder="1" applyAlignment="1" applyProtection="1">
      <alignment horizontal="center" vertical="center"/>
    </xf>
    <xf numFmtId="38" fontId="15" fillId="3" borderId="8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center" vertical="center"/>
    </xf>
    <xf numFmtId="49" fontId="3" fillId="0" borderId="0" xfId="7" applyNumberFormat="1" applyFont="1" applyFill="1" applyBorder="1" applyAlignment="1" applyProtection="1">
      <alignment horizontal="center" vertical="center"/>
    </xf>
    <xf numFmtId="1" fontId="12" fillId="0" borderId="0" xfId="7" applyNumberFormat="1" applyFont="1" applyFill="1" applyBorder="1" applyAlignment="1" applyProtection="1">
      <alignment horizontal="center" vertical="center"/>
    </xf>
    <xf numFmtId="1" fontId="12" fillId="0" borderId="10" xfId="7" applyNumberFormat="1" applyFont="1" applyFill="1" applyBorder="1" applyAlignment="1" applyProtection="1">
      <alignment horizontal="center" vertical="center"/>
    </xf>
    <xf numFmtId="38" fontId="15" fillId="0" borderId="0" xfId="7" applyNumberFormat="1" applyFont="1" applyFill="1" applyBorder="1" applyAlignment="1" applyProtection="1">
      <alignment horizontal="right" vertical="center"/>
    </xf>
    <xf numFmtId="38" fontId="19" fillId="0" borderId="10" xfId="7" applyNumberFormat="1" applyFont="1" applyFill="1" applyBorder="1" applyAlignment="1" applyProtection="1">
      <alignment vertical="center" wrapText="1"/>
      <protection locked="0"/>
    </xf>
    <xf numFmtId="0" fontId="14" fillId="0" borderId="0" xfId="7" applyFont="1" applyFill="1" applyBorder="1" applyAlignment="1" applyProtection="1">
      <alignment vertical="center"/>
    </xf>
    <xf numFmtId="0" fontId="14" fillId="0" borderId="0" xfId="7" applyFont="1" applyFill="1" applyAlignment="1" applyProtection="1">
      <alignment vertical="center"/>
    </xf>
    <xf numFmtId="168" fontId="15" fillId="0" borderId="0" xfId="7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1" fontId="15" fillId="0" borderId="3" xfId="7" applyNumberFormat="1" applyFont="1" applyBorder="1" applyAlignment="1" applyProtection="1">
      <alignment horizontal="center"/>
    </xf>
    <xf numFmtId="38" fontId="3" fillId="3" borderId="3" xfId="7" applyNumberFormat="1" applyFont="1" applyFill="1" applyBorder="1" applyAlignment="1" applyProtection="1">
      <alignment horizontal="right"/>
    </xf>
    <xf numFmtId="38" fontId="15" fillId="3" borderId="3" xfId="7" applyNumberFormat="1" applyFont="1" applyFill="1" applyBorder="1" applyAlignment="1" applyProtection="1">
      <alignment horizontal="right"/>
    </xf>
    <xf numFmtId="40" fontId="15" fillId="3" borderId="3" xfId="7" applyNumberFormat="1" applyFont="1" applyFill="1" applyBorder="1" applyAlignment="1" applyProtection="1">
      <alignment horizontal="center"/>
    </xf>
    <xf numFmtId="38" fontId="15" fillId="3" borderId="3" xfId="7" applyNumberFormat="1" applyFont="1" applyFill="1" applyBorder="1" applyAlignment="1" applyProtection="1"/>
    <xf numFmtId="38" fontId="15" fillId="3" borderId="10" xfId="7" applyNumberFormat="1" applyFont="1" applyFill="1" applyBorder="1" applyAlignment="1" applyProtection="1">
      <alignment horizontal="right"/>
    </xf>
    <xf numFmtId="38" fontId="15" fillId="3" borderId="2" xfId="7" applyNumberFormat="1" applyFont="1" applyFill="1" applyBorder="1" applyAlignment="1" applyProtection="1">
      <alignment horizontal="right"/>
    </xf>
    <xf numFmtId="3" fontId="3" fillId="3" borderId="3" xfId="7" applyNumberFormat="1" applyFont="1" applyFill="1" applyBorder="1" applyProtection="1"/>
    <xf numFmtId="0" fontId="6" fillId="0" borderId="1" xfId="0" applyNumberFormat="1" applyFont="1" applyBorder="1"/>
    <xf numFmtId="164" fontId="6" fillId="3" borderId="0" xfId="0" applyNumberFormat="1" applyFont="1" applyFill="1" applyBorder="1" applyAlignment="1">
      <alignment horizontal="right" indent="4"/>
    </xf>
    <xf numFmtId="0" fontId="7" fillId="0" borderId="1" xfId="0" applyFont="1" applyBorder="1" applyAlignment="1">
      <alignment horizontal="center"/>
    </xf>
    <xf numFmtId="165" fontId="6" fillId="3" borderId="0" xfId="0" applyNumberFormat="1" applyFont="1" applyFill="1" applyBorder="1" applyAlignment="1">
      <alignment horizontal="right" indent="4"/>
    </xf>
    <xf numFmtId="165" fontId="5" fillId="3" borderId="0" xfId="0" applyNumberFormat="1" applyFont="1" applyFill="1" applyBorder="1" applyAlignment="1">
      <alignment horizontal="right" indent="4"/>
    </xf>
    <xf numFmtId="0" fontId="6" fillId="0" borderId="0" xfId="0" applyFont="1" applyFill="1"/>
    <xf numFmtId="0" fontId="6" fillId="0" borderId="0" xfId="0" applyNumberFormat="1" applyFont="1" applyFill="1" applyBorder="1" applyAlignment="1">
      <alignment horizontal="left" indent="4"/>
    </xf>
    <xf numFmtId="0" fontId="6" fillId="0" borderId="0" xfId="0" applyFont="1" applyFill="1" applyBorder="1" applyAlignment="1">
      <alignment horizontal="left" indent="4"/>
    </xf>
    <xf numFmtId="0" fontId="6" fillId="0" borderId="5" xfId="0" applyNumberFormat="1" applyFont="1" applyFill="1" applyBorder="1" applyAlignment="1">
      <alignment horizontal="left" indent="4"/>
    </xf>
    <xf numFmtId="164" fontId="6" fillId="3" borderId="5" xfId="0" applyNumberFormat="1" applyFont="1" applyFill="1" applyBorder="1" applyAlignment="1">
      <alignment horizontal="right" indent="4"/>
    </xf>
    <xf numFmtId="164" fontId="6" fillId="3" borderId="4" xfId="0" applyNumberFormat="1" applyFont="1" applyFill="1" applyBorder="1" applyAlignment="1">
      <alignment horizontal="right" indent="4"/>
    </xf>
    <xf numFmtId="0" fontId="3" fillId="9" borderId="13" xfId="7" applyFont="1" applyFill="1" applyBorder="1" applyAlignment="1" applyProtection="1">
      <alignment horizontal="center"/>
    </xf>
    <xf numFmtId="0" fontId="3" fillId="6" borderId="12" xfId="7" applyFont="1" applyFill="1" applyBorder="1" applyAlignment="1" applyProtection="1">
      <alignment horizontal="center"/>
    </xf>
    <xf numFmtId="49" fontId="3" fillId="1" borderId="12" xfId="7" applyNumberFormat="1" applyFont="1" applyFill="1" applyBorder="1" applyAlignment="1" applyProtection="1">
      <alignment horizontal="center" vertical="center"/>
    </xf>
    <xf numFmtId="168" fontId="15" fillId="11" borderId="2" xfId="7" applyNumberFormat="1" applyFont="1" applyFill="1" applyBorder="1" applyAlignment="1" applyProtection="1">
      <alignment horizontal="left" vertical="center" wrapText="1"/>
    </xf>
    <xf numFmtId="168" fontId="15" fillId="0" borderId="2" xfId="7" applyNumberFormat="1" applyFont="1" applyFill="1" applyBorder="1" applyAlignment="1" applyProtection="1">
      <alignment horizontal="left" vertical="center" wrapText="1" indent="1"/>
    </xf>
    <xf numFmtId="1" fontId="15" fillId="0" borderId="10" xfId="7" applyNumberFormat="1" applyFont="1" applyBorder="1" applyAlignment="1" applyProtection="1">
      <alignment horizontal="center" vertical="center"/>
    </xf>
    <xf numFmtId="168" fontId="3" fillId="6" borderId="8" xfId="7" applyNumberFormat="1" applyFont="1" applyFill="1" applyBorder="1" applyAlignment="1" applyProtection="1">
      <alignment vertical="center"/>
    </xf>
    <xf numFmtId="49" fontId="3" fillId="6" borderId="8" xfId="7" applyNumberFormat="1" applyFont="1" applyFill="1" applyBorder="1" applyAlignment="1" applyProtection="1">
      <alignment vertical="center"/>
    </xf>
    <xf numFmtId="168" fontId="3" fillId="6" borderId="2" xfId="7" applyNumberFormat="1" applyFont="1" applyFill="1" applyBorder="1" applyAlignment="1" applyProtection="1">
      <alignment vertical="center"/>
    </xf>
    <xf numFmtId="168" fontId="3" fillId="0" borderId="5" xfId="7" applyNumberFormat="1" applyFont="1" applyFill="1" applyBorder="1" applyAlignment="1" applyProtection="1">
      <alignment vertical="center"/>
    </xf>
    <xf numFmtId="168" fontId="15" fillId="0" borderId="5" xfId="7" applyNumberFormat="1" applyFont="1" applyFill="1" applyBorder="1" applyAlignment="1" applyProtection="1">
      <alignment horizontal="left" vertical="center" indent="1"/>
    </xf>
    <xf numFmtId="0" fontId="25" fillId="0" borderId="0" xfId="0" applyFont="1"/>
    <xf numFmtId="165" fontId="5" fillId="0" borderId="0" xfId="0" applyNumberFormat="1" applyFont="1"/>
    <xf numFmtId="0" fontId="0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15" fillId="0" borderId="4" xfId="7" applyFont="1" applyBorder="1" applyAlignment="1" applyProtection="1">
      <alignment horizontal="center" wrapText="1"/>
    </xf>
    <xf numFmtId="2" fontId="3" fillId="0" borderId="2" xfId="7" applyNumberFormat="1" applyFont="1" applyBorder="1" applyAlignment="1" applyProtection="1">
      <alignment horizontal="center" wrapText="1"/>
    </xf>
    <xf numFmtId="0" fontId="14" fillId="0" borderId="13" xfId="7" applyFont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horizontal="right" vertical="center"/>
    </xf>
    <xf numFmtId="38" fontId="15" fillId="3" borderId="4" xfId="7" applyNumberFormat="1" applyFont="1" applyFill="1" applyBorder="1" applyProtection="1"/>
    <xf numFmtId="38" fontId="3" fillId="6" borderId="8" xfId="7" applyNumberFormat="1" applyFont="1" applyFill="1" applyBorder="1" applyProtection="1"/>
    <xf numFmtId="38" fontId="3" fillId="6" borderId="15" xfId="7" applyNumberFormat="1" applyFont="1" applyFill="1" applyBorder="1" applyProtection="1"/>
    <xf numFmtId="38" fontId="15" fillId="0" borderId="0" xfId="7" applyNumberFormat="1" applyFont="1" applyFill="1" applyBorder="1" applyProtection="1"/>
    <xf numFmtId="38" fontId="3" fillId="6" borderId="9" xfId="7" applyNumberFormat="1" applyFont="1" applyFill="1" applyBorder="1" applyProtection="1"/>
    <xf numFmtId="38" fontId="3" fillId="6" borderId="4" xfId="7" applyNumberFormat="1" applyFont="1" applyFill="1" applyBorder="1" applyProtection="1"/>
    <xf numFmtId="38" fontId="15" fillId="3" borderId="5" xfId="7" applyNumberFormat="1" applyFont="1" applyFill="1" applyBorder="1" applyProtection="1"/>
    <xf numFmtId="38" fontId="3" fillId="3" borderId="13" xfId="7" applyNumberFormat="1" applyFont="1" applyFill="1" applyBorder="1" applyProtection="1"/>
    <xf numFmtId="38" fontId="15" fillId="0" borderId="3" xfId="7" applyNumberFormat="1" applyFont="1" applyFill="1" applyBorder="1" applyAlignment="1" applyProtection="1">
      <alignment horizontal="right"/>
    </xf>
    <xf numFmtId="38" fontId="15" fillId="0" borderId="11" xfId="7" applyNumberFormat="1" applyFont="1" applyFill="1" applyBorder="1" applyAlignment="1" applyProtection="1">
      <alignment horizontal="right" vertical="center"/>
    </xf>
    <xf numFmtId="38" fontId="15" fillId="0" borderId="1" xfId="7" applyNumberFormat="1" applyFont="1" applyFill="1" applyBorder="1" applyProtection="1"/>
    <xf numFmtId="40" fontId="3" fillId="0" borderId="9" xfId="7" applyNumberFormat="1" applyFont="1" applyFill="1" applyBorder="1" applyAlignment="1" applyProtection="1">
      <alignment horizontal="center"/>
    </xf>
    <xf numFmtId="40" fontId="15" fillId="3" borderId="10" xfId="7" applyNumberFormat="1" applyFont="1" applyFill="1" applyBorder="1" applyAlignment="1" applyProtection="1">
      <alignment horizontal="center"/>
    </xf>
    <xf numFmtId="40" fontId="3" fillId="0" borderId="0" xfId="7" applyNumberFormat="1" applyFont="1" applyFill="1" applyBorder="1" applyAlignment="1" applyProtection="1">
      <alignment horizontal="center"/>
    </xf>
    <xf numFmtId="38" fontId="15" fillId="3" borderId="15" xfId="7" applyNumberFormat="1" applyFont="1" applyFill="1" applyBorder="1" applyProtection="1"/>
    <xf numFmtId="38" fontId="15" fillId="3" borderId="7" xfId="7" applyNumberFormat="1" applyFont="1" applyFill="1" applyBorder="1" applyProtection="1"/>
    <xf numFmtId="38" fontId="3" fillId="6" borderId="6" xfId="7" applyNumberFormat="1" applyFont="1" applyFill="1" applyBorder="1" applyProtection="1"/>
    <xf numFmtId="40" fontId="3" fillId="6" borderId="10" xfId="7" applyNumberFormat="1" applyFont="1" applyFill="1" applyBorder="1" applyAlignment="1" applyProtection="1">
      <alignment horizontal="center"/>
    </xf>
    <xf numFmtId="0" fontId="29" fillId="0" borderId="0" xfId="0" applyFont="1" applyAlignment="1">
      <alignment horizontal="center"/>
    </xf>
    <xf numFmtId="38" fontId="15" fillId="3" borderId="4" xfId="7" applyNumberFormat="1" applyFont="1" applyFill="1" applyBorder="1" applyAlignment="1" applyProtection="1">
      <alignment horizontal="right" vertical="center"/>
    </xf>
    <xf numFmtId="38" fontId="15" fillId="0" borderId="3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left" vertical="center"/>
    </xf>
    <xf numFmtId="49" fontId="3" fillId="0" borderId="10" xfId="7" applyNumberFormat="1" applyFont="1" applyFill="1" applyBorder="1" applyAlignment="1" applyProtection="1">
      <alignment horizontal="left" vertical="center"/>
    </xf>
    <xf numFmtId="168" fontId="3" fillId="0" borderId="9" xfId="7" applyNumberFormat="1" applyFont="1" applyFill="1" applyBorder="1" applyAlignment="1" applyProtection="1">
      <alignment vertical="center"/>
    </xf>
    <xf numFmtId="168" fontId="3" fillId="0" borderId="10" xfId="7" applyNumberFormat="1" applyFont="1" applyFill="1" applyBorder="1" applyAlignment="1" applyProtection="1">
      <alignment vertical="center"/>
    </xf>
    <xf numFmtId="1" fontId="15" fillId="0" borderId="3" xfId="7" applyNumberFormat="1" applyFont="1" applyFill="1" applyBorder="1" applyAlignment="1" applyProtection="1">
      <alignment horizontal="center" vertical="center"/>
    </xf>
    <xf numFmtId="38" fontId="15" fillId="0" borderId="9" xfId="7" applyNumberFormat="1" applyFont="1" applyFill="1" applyBorder="1" applyAlignment="1" applyProtection="1">
      <alignment horizontal="right" vertical="center"/>
    </xf>
    <xf numFmtId="38" fontId="3" fillId="3" borderId="3" xfId="7" applyNumberFormat="1" applyFont="1" applyFill="1" applyBorder="1" applyProtection="1"/>
    <xf numFmtId="40" fontId="3" fillId="3" borderId="3" xfId="7" applyNumberFormat="1" applyFont="1" applyFill="1" applyBorder="1" applyAlignment="1" applyProtection="1">
      <alignment horizontal="center"/>
    </xf>
    <xf numFmtId="10" fontId="3" fillId="9" borderId="2" xfId="6" applyNumberFormat="1" applyFont="1" applyFill="1" applyBorder="1" applyAlignment="1" applyProtection="1">
      <alignment horizontal="center"/>
    </xf>
    <xf numFmtId="10" fontId="3" fillId="9" borderId="13" xfId="6" applyNumberFormat="1" applyFont="1" applyFill="1" applyBorder="1" applyAlignment="1" applyProtection="1">
      <alignment horizontal="center" vertical="center"/>
    </xf>
    <xf numFmtId="38" fontId="31" fillId="0" borderId="0" xfId="7" applyNumberFormat="1" applyFont="1" applyFill="1" applyBorder="1" applyProtection="1"/>
    <xf numFmtId="0" fontId="31" fillId="0" borderId="0" xfId="7" applyFont="1" applyBorder="1" applyProtection="1"/>
    <xf numFmtId="0" fontId="31" fillId="0" borderId="10" xfId="7" applyFont="1" applyBorder="1" applyProtection="1"/>
    <xf numFmtId="0" fontId="32" fillId="0" borderId="0" xfId="7" applyFont="1" applyBorder="1" applyProtection="1"/>
    <xf numFmtId="0" fontId="32" fillId="0" borderId="10" xfId="7" applyFont="1" applyBorder="1" applyProtection="1"/>
    <xf numFmtId="38" fontId="33" fillId="0" borderId="0" xfId="7" applyNumberFormat="1" applyFont="1" applyFill="1" applyBorder="1" applyProtection="1"/>
    <xf numFmtId="38" fontId="32" fillId="0" borderId="0" xfId="7" applyNumberFormat="1" applyFont="1" applyBorder="1" applyProtection="1"/>
    <xf numFmtId="38" fontId="32" fillId="0" borderId="0" xfId="7" applyNumberFormat="1" applyFont="1" applyFill="1" applyBorder="1" applyProtection="1"/>
    <xf numFmtId="0" fontId="32" fillId="0" borderId="0" xfId="7" applyFont="1" applyFill="1" applyBorder="1" applyProtection="1"/>
    <xf numFmtId="0" fontId="32" fillId="0" borderId="10" xfId="7" applyFont="1" applyFill="1" applyBorder="1" applyProtection="1"/>
    <xf numFmtId="38" fontId="33" fillId="0" borderId="0" xfId="7" applyNumberFormat="1" applyFont="1" applyFill="1" applyBorder="1" applyAlignment="1" applyProtection="1">
      <alignment vertical="center"/>
    </xf>
    <xf numFmtId="38" fontId="31" fillId="0" borderId="0" xfId="7" applyNumberFormat="1" applyFont="1" applyFill="1" applyBorder="1" applyAlignment="1" applyProtection="1">
      <alignment horizontal="right" indent="4"/>
    </xf>
    <xf numFmtId="38" fontId="31" fillId="0" borderId="0" xfId="7" applyNumberFormat="1" applyFont="1" applyFill="1" applyBorder="1" applyAlignment="1" applyProtection="1">
      <alignment horizontal="right" indent="3"/>
    </xf>
    <xf numFmtId="38" fontId="33" fillId="0" borderId="10" xfId="7" applyNumberFormat="1" applyFont="1" applyFill="1" applyBorder="1" applyAlignment="1" applyProtection="1">
      <alignment horizontal="right" indent="3"/>
    </xf>
    <xf numFmtId="175" fontId="31" fillId="0" borderId="0" xfId="7" applyNumberFormat="1" applyFont="1" applyBorder="1" applyProtection="1"/>
    <xf numFmtId="0" fontId="3" fillId="10" borderId="8" xfId="7" applyFont="1" applyFill="1" applyBorder="1" applyAlignment="1" applyProtection="1">
      <alignment horizontal="center" vertical="center"/>
    </xf>
    <xf numFmtId="0" fontId="34" fillId="0" borderId="2" xfId="7" applyFont="1" applyBorder="1" applyAlignment="1" applyProtection="1">
      <alignment horizontal="center" wrapText="1"/>
    </xf>
    <xf numFmtId="9" fontId="3" fillId="0" borderId="0" xfId="6" applyFont="1" applyFill="1" applyBorder="1" applyProtection="1"/>
    <xf numFmtId="9" fontId="15" fillId="0" borderId="12" xfId="6" applyFont="1" applyFill="1" applyBorder="1" applyAlignment="1" applyProtection="1">
      <alignment horizontal="right" vertical="center"/>
    </xf>
    <xf numFmtId="38" fontId="3" fillId="3" borderId="4" xfId="7" applyNumberFormat="1" applyFont="1" applyFill="1" applyBorder="1" applyProtection="1"/>
    <xf numFmtId="6" fontId="6" fillId="3" borderId="0" xfId="0" applyNumberFormat="1" applyFont="1" applyFill="1" applyBorder="1" applyAlignment="1">
      <alignment horizontal="right" indent="4"/>
    </xf>
    <xf numFmtId="6" fontId="5" fillId="3" borderId="0" xfId="0" applyNumberFormat="1" applyFont="1" applyFill="1" applyBorder="1" applyAlignment="1">
      <alignment horizontal="right" indent="4"/>
    </xf>
    <xf numFmtId="179" fontId="6" fillId="3" borderId="0" xfId="0" applyNumberFormat="1" applyFont="1" applyFill="1" applyBorder="1" applyAlignment="1">
      <alignment horizontal="right" indent="3"/>
    </xf>
    <xf numFmtId="179" fontId="6" fillId="3" borderId="8" xfId="0" applyNumberFormat="1" applyFont="1" applyFill="1" applyBorder="1" applyAlignment="1">
      <alignment horizontal="right" indent="3"/>
    </xf>
    <xf numFmtId="179" fontId="6" fillId="3" borderId="5" xfId="0" applyNumberFormat="1" applyFont="1" applyFill="1" applyBorder="1" applyAlignment="1">
      <alignment horizontal="right" indent="3"/>
    </xf>
    <xf numFmtId="0" fontId="35" fillId="0" borderId="0" xfId="0" applyFont="1"/>
    <xf numFmtId="0" fontId="25" fillId="0" borderId="6" xfId="0" applyFont="1" applyBorder="1"/>
    <xf numFmtId="9" fontId="25" fillId="5" borderId="15" xfId="0" applyNumberFormat="1" applyFont="1" applyFill="1" applyBorder="1" applyAlignment="1">
      <alignment horizontal="center"/>
    </xf>
    <xf numFmtId="180" fontId="5" fillId="0" borderId="0" xfId="0" applyNumberFormat="1" applyFont="1"/>
    <xf numFmtId="1" fontId="5" fillId="0" borderId="0" xfId="0" applyNumberFormat="1" applyFont="1"/>
    <xf numFmtId="38" fontId="3" fillId="0" borderId="13" xfId="7" applyNumberFormat="1" applyFont="1" applyFill="1" applyBorder="1" applyAlignment="1" applyProtection="1">
      <alignment horizontal="right" vertical="center"/>
    </xf>
    <xf numFmtId="38" fontId="3" fillId="0" borderId="9" xfId="7" applyNumberFormat="1" applyFont="1" applyBorder="1" applyAlignment="1" applyProtection="1">
      <alignment horizontal="right" vertical="center"/>
    </xf>
    <xf numFmtId="38" fontId="3" fillId="0" borderId="8" xfId="7" applyNumberFormat="1" applyFont="1" applyFill="1" applyBorder="1" applyAlignment="1" applyProtection="1">
      <alignment vertical="center"/>
    </xf>
    <xf numFmtId="38" fontId="3" fillId="0" borderId="2" xfId="7" applyNumberFormat="1" applyFont="1" applyFill="1" applyBorder="1" applyAlignment="1" applyProtection="1">
      <alignment vertical="center"/>
    </xf>
    <xf numFmtId="166" fontId="3" fillId="0" borderId="0" xfId="1" applyFont="1" applyBorder="1"/>
    <xf numFmtId="166" fontId="3" fillId="0" borderId="0" xfId="1" applyFont="1" applyBorder="1" applyAlignment="1"/>
    <xf numFmtId="166" fontId="3" fillId="0" borderId="0" xfId="1" applyFont="1" applyBorder="1" applyAlignment="1">
      <alignment wrapText="1"/>
    </xf>
    <xf numFmtId="166" fontId="3" fillId="0" borderId="0" xfId="1" applyFont="1" applyBorder="1" applyAlignment="1">
      <alignment vertical="center"/>
    </xf>
    <xf numFmtId="0" fontId="3" fillId="0" borderId="0" xfId="7" applyFont="1" applyBorder="1" applyAlignment="1" applyProtection="1">
      <alignment vertical="center"/>
    </xf>
    <xf numFmtId="0" fontId="3" fillId="0" borderId="0" xfId="7" applyFont="1" applyFill="1" applyBorder="1" applyAlignment="1" applyProtection="1">
      <alignment vertical="center"/>
    </xf>
    <xf numFmtId="0" fontId="3" fillId="0" borderId="9" xfId="7" applyFont="1" applyFill="1" applyBorder="1" applyAlignment="1" applyProtection="1">
      <alignment horizontal="center"/>
    </xf>
    <xf numFmtId="0" fontId="15" fillId="0" borderId="4" xfId="7" applyFont="1" applyBorder="1" applyAlignment="1" applyProtection="1">
      <alignment horizontal="center" wrapText="1"/>
    </xf>
    <xf numFmtId="166" fontId="36" fillId="0" borderId="0" xfId="1" applyFont="1" applyBorder="1" applyAlignment="1">
      <alignment horizontal="center" vertical="center"/>
    </xf>
    <xf numFmtId="38" fontId="36" fillId="0" borderId="0" xfId="7" applyNumberFormat="1" applyFont="1" applyBorder="1" applyAlignment="1" applyProtection="1">
      <alignment horizontal="center" vertical="center"/>
    </xf>
    <xf numFmtId="6" fontId="36" fillId="0" borderId="0" xfId="1" applyNumberFormat="1" applyFont="1" applyBorder="1" applyAlignment="1">
      <alignment horizontal="center" vertical="center"/>
    </xf>
    <xf numFmtId="166" fontId="38" fillId="0" borderId="0" xfId="1" applyFont="1" applyBorder="1" applyAlignment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6" fontId="36" fillId="0" borderId="0" xfId="7" applyNumberFormat="1" applyFont="1" applyBorder="1" applyAlignment="1" applyProtection="1">
      <alignment horizontal="center" vertical="center"/>
    </xf>
    <xf numFmtId="0" fontId="36" fillId="0" borderId="0" xfId="7" applyFont="1" applyFill="1" applyBorder="1" applyAlignment="1" applyProtection="1">
      <alignment horizontal="center" vertical="center"/>
    </xf>
    <xf numFmtId="9" fontId="25" fillId="13" borderId="10" xfId="0" applyNumberFormat="1" applyFont="1" applyFill="1" applyBorder="1" applyAlignment="1">
      <alignment horizontal="center"/>
    </xf>
    <xf numFmtId="0" fontId="25" fillId="0" borderId="9" xfId="0" applyFont="1" applyBorder="1"/>
    <xf numFmtId="0" fontId="39" fillId="0" borderId="7" xfId="0" applyFont="1" applyBorder="1"/>
    <xf numFmtId="9" fontId="39" fillId="0" borderId="7" xfId="0" applyNumberFormat="1" applyFont="1" applyFill="1" applyBorder="1" applyAlignment="1">
      <alignment horizontal="center"/>
    </xf>
    <xf numFmtId="0" fontId="0" fillId="0" borderId="0" xfId="0" applyBorder="1"/>
    <xf numFmtId="178" fontId="36" fillId="0" borderId="0" xfId="7" applyNumberFormat="1" applyFont="1" applyBorder="1" applyAlignment="1" applyProtection="1">
      <alignment horizontal="center" vertical="center"/>
    </xf>
    <xf numFmtId="43" fontId="36" fillId="0" borderId="0" xfId="5" applyFont="1" applyBorder="1" applyAlignment="1" applyProtection="1">
      <alignment horizontal="center" vertical="center"/>
    </xf>
    <xf numFmtId="43" fontId="36" fillId="0" borderId="0" xfId="7" applyNumberFormat="1" applyFont="1" applyBorder="1" applyAlignment="1" applyProtection="1">
      <alignment horizontal="center" vertical="center"/>
    </xf>
    <xf numFmtId="181" fontId="6" fillId="3" borderId="0" xfId="0" applyNumberFormat="1" applyFont="1" applyFill="1" applyBorder="1" applyAlignment="1">
      <alignment horizontal="right" indent="4"/>
    </xf>
    <xf numFmtId="0" fontId="42" fillId="0" borderId="0" xfId="7" applyFont="1" applyBorder="1" applyProtection="1"/>
    <xf numFmtId="0" fontId="42" fillId="0" borderId="0" xfId="7" applyFont="1" applyFill="1" applyBorder="1" applyProtection="1"/>
    <xf numFmtId="14" fontId="11" fillId="4" borderId="1" xfId="7" applyNumberFormat="1" applyFont="1" applyFill="1" applyBorder="1" applyAlignment="1" applyProtection="1">
      <alignment horizontal="center" vertical="center"/>
    </xf>
    <xf numFmtId="166" fontId="3" fillId="4" borderId="2" xfId="1" applyFont="1" applyFill="1" applyBorder="1" applyAlignment="1">
      <alignment horizontal="center" vertical="center"/>
    </xf>
    <xf numFmtId="0" fontId="3" fillId="10" borderId="4" xfId="7" applyFont="1" applyFill="1" applyBorder="1" applyAlignment="1" applyProtection="1">
      <alignment horizontal="center" vertical="center"/>
    </xf>
    <xf numFmtId="0" fontId="8" fillId="4" borderId="5" xfId="7" applyFont="1" applyFill="1" applyBorder="1" applyAlignment="1" applyProtection="1">
      <alignment horizontal="center" vertical="center"/>
    </xf>
    <xf numFmtId="175" fontId="15" fillId="3" borderId="2" xfId="7" applyNumberFormat="1" applyFont="1" applyFill="1" applyBorder="1" applyAlignment="1">
      <alignment horizontal="center" vertical="center"/>
    </xf>
    <xf numFmtId="38" fontId="3" fillId="3" borderId="3" xfId="7" quotePrefix="1" applyNumberFormat="1" applyFont="1" applyFill="1" applyBorder="1" applyProtection="1"/>
    <xf numFmtId="0" fontId="42" fillId="0" borderId="10" xfId="7" applyFont="1" applyBorder="1" applyProtection="1"/>
    <xf numFmtId="0" fontId="40" fillId="0" borderId="0" xfId="0" applyFont="1"/>
    <xf numFmtId="0" fontId="42" fillId="0" borderId="10" xfId="7" applyFont="1" applyFill="1" applyBorder="1" applyProtection="1"/>
    <xf numFmtId="38" fontId="36" fillId="0" borderId="0" xfId="7" applyNumberFormat="1" applyFont="1" applyFill="1" applyBorder="1" applyAlignment="1" applyProtection="1">
      <alignment horizontal="right" indent="3"/>
    </xf>
    <xf numFmtId="38" fontId="43" fillId="0" borderId="10" xfId="7" applyNumberFormat="1" applyFont="1" applyFill="1" applyBorder="1" applyAlignment="1" applyProtection="1">
      <alignment horizontal="right" indent="3"/>
    </xf>
    <xf numFmtId="182" fontId="5" fillId="0" borderId="0" xfId="0" applyNumberFormat="1" applyFont="1" applyAlignment="1">
      <alignment horizontal="right" indent="4"/>
    </xf>
    <xf numFmtId="182" fontId="5" fillId="0" borderId="0" xfId="0" applyNumberFormat="1" applyFont="1" applyAlignment="1">
      <alignment horizontal="right" indent="3"/>
    </xf>
    <xf numFmtId="0" fontId="44" fillId="0" borderId="0" xfId="0" applyFont="1"/>
    <xf numFmtId="0" fontId="36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3" fillId="0" borderId="9" xfId="7" applyNumberFormat="1" applyFont="1" applyBorder="1" applyAlignment="1" applyProtection="1">
      <alignment horizontal="left" indent="2"/>
    </xf>
    <xf numFmtId="0" fontId="3" fillId="0" borderId="9" xfId="7" applyFont="1" applyFill="1" applyBorder="1" applyAlignment="1" applyProtection="1">
      <alignment horizontal="center"/>
    </xf>
    <xf numFmtId="168" fontId="3" fillId="0" borderId="10" xfId="7" applyNumberFormat="1" applyFont="1" applyBorder="1" applyAlignment="1" applyProtection="1">
      <alignment horizontal="left" indent="2"/>
    </xf>
    <xf numFmtId="0" fontId="15" fillId="0" borderId="4" xfId="7" applyFont="1" applyBorder="1" applyAlignment="1" applyProtection="1">
      <alignment horizontal="center" wrapText="1"/>
    </xf>
    <xf numFmtId="168" fontId="3" fillId="0" borderId="0" xfId="7" applyNumberFormat="1" applyFont="1" applyBorder="1" applyAlignment="1" applyProtection="1">
      <alignment horizontal="left" vertic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45" fillId="14" borderId="17" xfId="0" applyFont="1" applyFill="1" applyBorder="1" applyAlignment="1">
      <alignment horizontal="center" vertical="top"/>
    </xf>
    <xf numFmtId="49" fontId="45" fillId="14" borderId="17" xfId="0" applyNumberFormat="1" applyFont="1" applyFill="1" applyBorder="1" applyAlignment="1">
      <alignment horizontal="center" vertical="top"/>
    </xf>
    <xf numFmtId="0" fontId="46" fillId="0" borderId="18" xfId="0" applyFont="1" applyBorder="1" applyAlignment="1">
      <alignment vertical="top"/>
    </xf>
    <xf numFmtId="49" fontId="0" fillId="0" borderId="18" xfId="0" applyNumberFormat="1" applyBorder="1"/>
    <xf numFmtId="0" fontId="0" fillId="0" borderId="18" xfId="0" applyBorder="1"/>
    <xf numFmtId="183" fontId="46" fillId="0" borderId="18" xfId="0" applyNumberFormat="1" applyFont="1" applyBorder="1" applyAlignment="1">
      <alignment vertical="top"/>
    </xf>
    <xf numFmtId="4" fontId="46" fillId="0" borderId="18" xfId="0" applyNumberFormat="1" applyFont="1" applyBorder="1" applyAlignment="1">
      <alignment vertical="top"/>
    </xf>
    <xf numFmtId="184" fontId="46" fillId="0" borderId="18" xfId="0" applyNumberFormat="1" applyFont="1" applyBorder="1" applyAlignment="1">
      <alignment vertical="top"/>
    </xf>
    <xf numFmtId="49" fontId="46" fillId="0" borderId="18" xfId="0" applyNumberFormat="1" applyFont="1" applyBorder="1" applyAlignment="1">
      <alignment vertical="top"/>
    </xf>
    <xf numFmtId="0" fontId="46" fillId="0" borderId="18" xfId="0" applyNumberFormat="1" applyFont="1" applyBorder="1" applyAlignment="1">
      <alignment vertical="top"/>
    </xf>
    <xf numFmtId="0" fontId="0" fillId="0" borderId="18" xfId="0" applyNumberFormat="1" applyBorder="1"/>
    <xf numFmtId="40" fontId="46" fillId="0" borderId="18" xfId="0" applyNumberFormat="1" applyFont="1" applyBorder="1" applyAlignment="1">
      <alignment vertical="top"/>
    </xf>
    <xf numFmtId="0" fontId="0" fillId="15" borderId="0" xfId="0" applyFill="1" applyAlignment="1">
      <alignment horizontal="center"/>
    </xf>
    <xf numFmtId="40" fontId="0" fillId="0" borderId="0" xfId="0" applyNumberFormat="1"/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47" fillId="0" borderId="0" xfId="0" applyFont="1"/>
    <xf numFmtId="0" fontId="48" fillId="0" borderId="0" xfId="0" applyFont="1"/>
    <xf numFmtId="40" fontId="29" fillId="20" borderId="19" xfId="0" applyNumberFormat="1" applyFont="1" applyFill="1" applyBorder="1"/>
    <xf numFmtId="0" fontId="47" fillId="21" borderId="0" xfId="0" applyFont="1" applyFill="1"/>
    <xf numFmtId="0" fontId="49" fillId="0" borderId="0" xfId="0" applyFont="1"/>
    <xf numFmtId="0" fontId="50" fillId="0" borderId="0" xfId="0" applyFont="1"/>
    <xf numFmtId="40" fontId="0" fillId="22" borderId="0" xfId="0" applyNumberFormat="1" applyFill="1"/>
    <xf numFmtId="40" fontId="0" fillId="23" borderId="0" xfId="0" applyNumberFormat="1" applyFill="1"/>
    <xf numFmtId="40" fontId="47" fillId="24" borderId="0" xfId="0" applyNumberFormat="1" applyFont="1" applyFill="1"/>
    <xf numFmtId="8" fontId="47" fillId="24" borderId="0" xfId="0" applyNumberFormat="1" applyFont="1" applyFill="1"/>
    <xf numFmtId="43" fontId="0" fillId="0" borderId="0" xfId="0" applyNumberFormat="1"/>
    <xf numFmtId="43" fontId="0" fillId="22" borderId="0" xfId="0" applyNumberFormat="1" applyFill="1"/>
    <xf numFmtId="43" fontId="0" fillId="23" borderId="0" xfId="0" applyNumberFormat="1" applyFill="1"/>
    <xf numFmtId="49" fontId="3" fillId="6" borderId="4" xfId="7" applyNumberFormat="1" applyFont="1" applyFill="1" applyBorder="1" applyAlignment="1" applyProtection="1">
      <alignment horizontal="left"/>
    </xf>
    <xf numFmtId="49" fontId="3" fillId="6" borderId="8" xfId="7" applyNumberFormat="1" applyFont="1" applyFill="1" applyBorder="1" applyAlignment="1" applyProtection="1">
      <alignment horizontal="left"/>
    </xf>
    <xf numFmtId="49" fontId="3" fillId="0" borderId="9" xfId="7" applyNumberFormat="1" applyFont="1" applyBorder="1" applyAlignment="1" applyProtection="1">
      <alignment horizontal="left"/>
    </xf>
    <xf numFmtId="49" fontId="3" fillId="0" borderId="10" xfId="7" applyNumberFormat="1" applyFont="1" applyBorder="1" applyAlignment="1" applyProtection="1">
      <alignment horizontal="left"/>
    </xf>
    <xf numFmtId="168" fontId="3" fillId="0" borderId="9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168" fontId="3" fillId="0" borderId="11" xfId="7" applyNumberFormat="1" applyFont="1" applyBorder="1" applyAlignment="1" applyProtection="1">
      <alignment horizontal="left" indent="1"/>
    </xf>
    <xf numFmtId="168" fontId="3" fillId="0" borderId="14" xfId="7" applyNumberFormat="1" applyFont="1" applyBorder="1" applyAlignment="1" applyProtection="1">
      <alignment horizontal="left" indent="1"/>
    </xf>
    <xf numFmtId="168" fontId="3" fillId="0" borderId="9" xfId="7" applyNumberFormat="1" applyFont="1" applyBorder="1" applyAlignment="1" applyProtection="1">
      <alignment horizontal="left" indent="1"/>
    </xf>
    <xf numFmtId="168" fontId="3" fillId="0" borderId="10" xfId="7" applyNumberFormat="1" applyFont="1" applyBorder="1" applyAlignment="1" applyProtection="1">
      <alignment horizontal="left" indent="1"/>
    </xf>
    <xf numFmtId="168" fontId="3" fillId="0" borderId="11" xfId="7" applyNumberFormat="1" applyFont="1" applyBorder="1" applyAlignment="1" applyProtection="1">
      <alignment horizontal="left" indent="2"/>
    </xf>
    <xf numFmtId="168" fontId="3" fillId="0" borderId="1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1"/>
    </xf>
    <xf numFmtId="168" fontId="3" fillId="0" borderId="9" xfId="7" applyNumberFormat="1" applyBorder="1" applyAlignment="1">
      <alignment horizontal="left" indent="2"/>
    </xf>
    <xf numFmtId="168" fontId="3" fillId="0" borderId="10" xfId="7" applyNumberFormat="1" applyBorder="1" applyAlignment="1">
      <alignment horizontal="left" indent="2"/>
    </xf>
    <xf numFmtId="0" fontId="3" fillId="0" borderId="11" xfId="7" applyFont="1" applyBorder="1" applyAlignment="1" applyProtection="1">
      <alignment horizontal="left" indent="2"/>
    </xf>
    <xf numFmtId="0" fontId="3" fillId="0" borderId="1" xfId="7" applyFont="1" applyBorder="1" applyAlignment="1" applyProtection="1">
      <alignment horizontal="left" indent="2"/>
    </xf>
    <xf numFmtId="0" fontId="3" fillId="8" borderId="9" xfId="7" applyFont="1" applyFill="1" applyBorder="1" applyAlignment="1" applyProtection="1">
      <alignment horizontal="center"/>
    </xf>
    <xf numFmtId="0" fontId="3" fillId="8" borderId="10" xfId="7" applyFont="1" applyFill="1" applyBorder="1" applyAlignment="1" applyProtection="1">
      <alignment horizontal="center"/>
    </xf>
    <xf numFmtId="0" fontId="3" fillId="0" borderId="9" xfId="7" applyFont="1" applyFill="1" applyBorder="1" applyAlignment="1" applyProtection="1">
      <alignment horizontal="center"/>
    </xf>
    <xf numFmtId="0" fontId="3" fillId="0" borderId="10" xfId="7" applyFont="1" applyFill="1" applyBorder="1" applyAlignment="1" applyProtection="1">
      <alignment horizontal="center"/>
    </xf>
    <xf numFmtId="168" fontId="16" fillId="3" borderId="4" xfId="7" quotePrefix="1" applyNumberFormat="1" applyFont="1" applyFill="1" applyBorder="1" applyAlignment="1" applyProtection="1">
      <alignment horizontal="left" vertical="center" indent="1"/>
      <protection locked="0"/>
    </xf>
    <xf numFmtId="168" fontId="16" fillId="3" borderId="5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8" xfId="7" applyNumberFormat="1" applyFont="1" applyFill="1" applyBorder="1" applyAlignment="1" applyProtection="1">
      <alignment horizontal="left" vertical="center" indent="1"/>
      <protection locked="0"/>
    </xf>
    <xf numFmtId="0" fontId="30" fillId="0" borderId="6" xfId="7" applyFont="1" applyBorder="1" applyAlignment="1" applyProtection="1">
      <alignment horizontal="center" vertical="center"/>
    </xf>
    <xf numFmtId="0" fontId="30" fillId="0" borderId="7" xfId="7" applyFont="1" applyBorder="1" applyAlignment="1" applyProtection="1">
      <alignment horizontal="center" vertical="center"/>
    </xf>
    <xf numFmtId="0" fontId="30" fillId="0" borderId="15" xfId="7" applyFont="1" applyBorder="1" applyAlignment="1" applyProtection="1">
      <alignment horizontal="center" vertical="center"/>
    </xf>
    <xf numFmtId="0" fontId="30" fillId="0" borderId="11" xfId="7" applyFont="1" applyBorder="1" applyAlignment="1" applyProtection="1">
      <alignment horizontal="center" vertical="center"/>
    </xf>
    <xf numFmtId="0" fontId="30" fillId="0" borderId="1" xfId="7" applyFont="1" applyBorder="1" applyAlignment="1" applyProtection="1">
      <alignment horizontal="center" vertical="center"/>
    </xf>
    <xf numFmtId="0" fontId="30" fillId="0" borderId="14" xfId="7" applyFont="1" applyBorder="1" applyAlignment="1" applyProtection="1">
      <alignment horizontal="center" vertical="center"/>
    </xf>
    <xf numFmtId="38" fontId="15" fillId="12" borderId="6" xfId="7" applyNumberFormat="1" applyFont="1" applyFill="1" applyBorder="1" applyAlignment="1" applyProtection="1">
      <alignment horizontal="center" vertical="center" wrapText="1"/>
    </xf>
    <xf numFmtId="38" fontId="15" fillId="12" borderId="7" xfId="7" applyNumberFormat="1" applyFont="1" applyFill="1" applyBorder="1" applyAlignment="1" applyProtection="1">
      <alignment horizontal="center" vertical="center" wrapText="1"/>
    </xf>
    <xf numFmtId="38" fontId="15" fillId="12" borderId="15" xfId="7" applyNumberFormat="1" applyFont="1" applyFill="1" applyBorder="1" applyAlignment="1" applyProtection="1">
      <alignment horizontal="center" vertical="center" wrapText="1"/>
    </xf>
    <xf numFmtId="38" fontId="15" fillId="12" borderId="11" xfId="7" applyNumberFormat="1" applyFont="1" applyFill="1" applyBorder="1" applyAlignment="1" applyProtection="1">
      <alignment horizontal="center" vertical="center" wrapText="1"/>
    </xf>
    <xf numFmtId="38" fontId="15" fillId="12" borderId="1" xfId="7" applyNumberFormat="1" applyFont="1" applyFill="1" applyBorder="1" applyAlignment="1" applyProtection="1">
      <alignment horizontal="center" vertical="center" wrapText="1"/>
    </xf>
    <xf numFmtId="38" fontId="15" fillId="12" borderId="14" xfId="7" applyNumberFormat="1" applyFont="1" applyFill="1" applyBorder="1" applyAlignment="1" applyProtection="1">
      <alignment horizontal="center" vertical="center" wrapText="1"/>
    </xf>
    <xf numFmtId="0" fontId="14" fillId="0" borderId="7" xfId="7" applyFont="1" applyBorder="1" applyAlignment="1" applyProtection="1">
      <alignment horizontal="center"/>
    </xf>
    <xf numFmtId="0" fontId="14" fillId="0" borderId="15" xfId="7" applyFont="1" applyBorder="1" applyAlignment="1" applyProtection="1">
      <alignment horizontal="center"/>
    </xf>
    <xf numFmtId="0" fontId="3" fillId="0" borderId="9" xfId="7" applyFont="1" applyBorder="1" applyAlignment="1" applyProtection="1">
      <alignment horizontal="left" indent="1"/>
    </xf>
    <xf numFmtId="0" fontId="3" fillId="0" borderId="0" xfId="7" applyFont="1" applyBorder="1" applyAlignment="1" applyProtection="1">
      <alignment horizontal="left" indent="1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49" fontId="3" fillId="0" borderId="9" xfId="7" applyNumberFormat="1" applyFont="1" applyBorder="1" applyAlignment="1" applyProtection="1">
      <alignment horizontal="left" vertical="center"/>
    </xf>
    <xf numFmtId="49" fontId="3" fillId="0" borderId="10" xfId="7" applyNumberFormat="1" applyFont="1" applyBorder="1" applyAlignment="1" applyProtection="1">
      <alignment horizontal="left" vertical="center"/>
    </xf>
    <xf numFmtId="168" fontId="15" fillId="0" borderId="6" xfId="7" applyNumberFormat="1" applyFont="1" applyBorder="1" applyAlignment="1" applyProtection="1">
      <alignment horizontal="center" vertical="center" wrapText="1"/>
    </xf>
    <xf numFmtId="168" fontId="15" fillId="0" borderId="15" xfId="7" applyNumberFormat="1" applyFont="1" applyBorder="1" applyAlignment="1" applyProtection="1">
      <alignment horizontal="center" vertical="center" wrapText="1"/>
    </xf>
    <xf numFmtId="168" fontId="15" fillId="0" borderId="11" xfId="7" applyNumberFormat="1" applyFont="1" applyBorder="1" applyAlignment="1" applyProtection="1">
      <alignment horizontal="center" vertical="center" wrapText="1"/>
    </xf>
    <xf numFmtId="168" fontId="15" fillId="0" borderId="14" xfId="7" applyNumberFormat="1" applyFont="1" applyBorder="1" applyAlignment="1" applyProtection="1">
      <alignment horizontal="center" vertical="center" wrapText="1"/>
    </xf>
    <xf numFmtId="0" fontId="36" fillId="0" borderId="9" xfId="7" applyFont="1" applyBorder="1" applyAlignment="1" applyProtection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168" fontId="15" fillId="0" borderId="4" xfId="7" applyNumberFormat="1" applyFont="1" applyBorder="1" applyAlignment="1" applyProtection="1">
      <alignment horizontal="center" vertical="center" wrapText="1"/>
    </xf>
    <xf numFmtId="168" fontId="15" fillId="0" borderId="1" xfId="7" applyNumberFormat="1" applyFont="1" applyBorder="1" applyAlignment="1" applyProtection="1">
      <alignment horizontal="center" vertical="center" wrapText="1"/>
    </xf>
    <xf numFmtId="168" fontId="15" fillId="0" borderId="9" xfId="7" applyNumberFormat="1" applyFont="1" applyBorder="1" applyAlignment="1" applyProtection="1">
      <alignment horizontal="left" vertical="center"/>
    </xf>
    <xf numFmtId="168" fontId="15" fillId="0" borderId="10" xfId="7" applyNumberFormat="1" applyFont="1" applyBorder="1" applyAlignment="1" applyProtection="1">
      <alignment horizontal="left" vertical="center"/>
    </xf>
    <xf numFmtId="168" fontId="3" fillId="0" borderId="1" xfId="7" applyNumberFormat="1" applyFont="1" applyFill="1" applyBorder="1" applyAlignment="1" applyProtection="1">
      <alignment horizontal="left" vertical="center" wrapText="1"/>
    </xf>
    <xf numFmtId="168" fontId="3" fillId="0" borderId="14" xfId="7" applyNumberFormat="1" applyFont="1" applyFill="1" applyBorder="1" applyAlignment="1" applyProtection="1">
      <alignment horizontal="left" vertical="center" wrapText="1"/>
    </xf>
    <xf numFmtId="0" fontId="15" fillId="0" borderId="9" xfId="7" applyFont="1" applyBorder="1" applyAlignment="1" applyProtection="1">
      <alignment horizontal="left" vertical="center"/>
    </xf>
    <xf numFmtId="0" fontId="15" fillId="0" borderId="10" xfId="7" applyFont="1" applyBorder="1" applyAlignment="1" applyProtection="1">
      <alignment horizontal="left" vertical="center"/>
    </xf>
    <xf numFmtId="0" fontId="37" fillId="0" borderId="9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 wrapText="1"/>
    </xf>
    <xf numFmtId="168" fontId="15" fillId="0" borderId="6" xfId="7" applyNumberFormat="1" applyFont="1" applyBorder="1" applyAlignment="1" applyProtection="1">
      <alignment horizontal="left" vertical="center"/>
    </xf>
    <xf numFmtId="168" fontId="15" fillId="0" borderId="7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0" fontId="11" fillId="4" borderId="4" xfId="7" applyNumberFormat="1" applyFont="1" applyFill="1" applyBorder="1" applyAlignment="1" applyProtection="1">
      <alignment horizontal="left" vertical="center" indent="2"/>
    </xf>
    <xf numFmtId="0" fontId="11" fillId="4" borderId="8" xfId="7" applyNumberFormat="1" applyFont="1" applyFill="1" applyBorder="1" applyAlignment="1" applyProtection="1">
      <alignment horizontal="left" vertical="center" indent="2"/>
    </xf>
    <xf numFmtId="49" fontId="13" fillId="5" borderId="4" xfId="1" applyNumberFormat="1" applyFont="1" applyFill="1" applyBorder="1" applyAlignment="1">
      <alignment horizontal="center" vertical="center" shrinkToFit="1"/>
    </xf>
    <xf numFmtId="49" fontId="13" fillId="5" borderId="8" xfId="1" applyNumberFormat="1" applyFont="1" applyFill="1" applyBorder="1" applyAlignment="1">
      <alignment horizontal="center" vertical="center" shrinkToFit="1"/>
    </xf>
    <xf numFmtId="49" fontId="13" fillId="5" borderId="5" xfId="1" applyNumberFormat="1" applyFont="1" applyFill="1" applyBorder="1" applyAlignment="1">
      <alignment horizontal="center" vertical="center" shrinkToFit="1"/>
    </xf>
    <xf numFmtId="0" fontId="15" fillId="0" borderId="4" xfId="7" applyFont="1" applyBorder="1" applyAlignment="1" applyProtection="1">
      <alignment horizontal="center" wrapText="1"/>
    </xf>
    <xf numFmtId="0" fontId="15" fillId="0" borderId="8" xfId="7" applyFont="1" applyBorder="1" applyAlignment="1" applyProtection="1">
      <alignment horizontal="center" wrapText="1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4" fillId="2" borderId="0" xfId="0" applyNumberFormat="1" applyFont="1" applyFill="1" applyAlignment="1">
      <alignment horizontal="left" vertical="top" wrapText="1"/>
    </xf>
    <xf numFmtId="0" fontId="25" fillId="0" borderId="0" xfId="0" applyFont="1" applyAlignment="1">
      <alignment horizontal="left" indent="1"/>
    </xf>
    <xf numFmtId="186" fontId="5" fillId="0" borderId="0" xfId="0" applyNumberFormat="1" applyFont="1"/>
    <xf numFmtId="0" fontId="5" fillId="0" borderId="6" xfId="0" applyFont="1" applyBorder="1"/>
    <xf numFmtId="0" fontId="5" fillId="0" borderId="7" xfId="0" applyFont="1" applyBorder="1"/>
    <xf numFmtId="0" fontId="5" fillId="0" borderId="15" xfId="0" applyFont="1" applyBorder="1"/>
    <xf numFmtId="0" fontId="5" fillId="0" borderId="9" xfId="0" applyFont="1" applyBorder="1"/>
    <xf numFmtId="0" fontId="5" fillId="0" borderId="0" xfId="0" applyFont="1" applyBorder="1"/>
    <xf numFmtId="0" fontId="5" fillId="0" borderId="10" xfId="0" applyFont="1" applyBorder="1"/>
    <xf numFmtId="186" fontId="5" fillId="0" borderId="11" xfId="8" applyNumberFormat="1" applyFont="1" applyBorder="1"/>
    <xf numFmtId="186" fontId="5" fillId="0" borderId="1" xfId="0" applyNumberFormat="1" applyFont="1" applyBorder="1"/>
    <xf numFmtId="186" fontId="5" fillId="0" borderId="14" xfId="0" applyNumberFormat="1" applyFont="1" applyBorder="1"/>
  </cellXfs>
  <cellStyles count="9">
    <cellStyle name="Comma" xfId="5" builtinId="3"/>
    <cellStyle name="Comma 2" xfId="2" xr:uid="{00000000-0005-0000-0000-000001000000}"/>
    <cellStyle name="Currency" xfId="8" builtinId="4"/>
    <cellStyle name="Normal" xfId="0" builtinId="0"/>
    <cellStyle name="Normal 2" xfId="3" xr:uid="{00000000-0005-0000-0000-000003000000}"/>
    <cellStyle name="Normal 3" xfId="1" xr:uid="{00000000-0005-0000-0000-000004000000}"/>
    <cellStyle name="Normal_Revised B-6" xfId="7" xr:uid="{00000000-0005-0000-0000-000005000000}"/>
    <cellStyle name="Percent" xfId="6" builtinId="5"/>
    <cellStyle name="Percent 2" xfId="4" xr:uid="{00000000-0005-0000-0000-000007000000}"/>
  </cellStyles>
  <dxfs count="12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26"/>
      <tableStyleElement type="headerRow" dxfId="1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75714-A60F-4638-8EDD-C786A5457B9A}">
  <sheetPr codeName="Sheet7">
    <pageSetUpPr fitToPage="1"/>
  </sheetPr>
  <dimension ref="A1:CP80"/>
  <sheetViews>
    <sheetView showGridLines="0" tabSelected="1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824</v>
      </c>
      <c r="E1" s="15"/>
      <c r="F1" s="15"/>
      <c r="G1" s="15"/>
      <c r="H1" s="15"/>
      <c r="I1" s="15"/>
      <c r="J1" s="15"/>
      <c r="K1" s="15"/>
      <c r="L1" s="16" t="s">
        <v>14</v>
      </c>
      <c r="M1" s="471">
        <v>170</v>
      </c>
      <c r="N1" s="472"/>
      <c r="AA1" s="365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 t="s">
        <v>825</v>
      </c>
      <c r="E2" s="21"/>
      <c r="F2" s="21"/>
      <c r="G2" s="21"/>
      <c r="H2" s="21"/>
      <c r="I2" s="21"/>
      <c r="J2" s="20"/>
      <c r="K2" s="20"/>
      <c r="L2" s="22" t="s">
        <v>111</v>
      </c>
      <c r="M2" s="473" t="s">
        <v>835</v>
      </c>
      <c r="N2" s="474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 t="s">
        <v>826</v>
      </c>
      <c r="E3" s="24"/>
      <c r="F3" s="25"/>
      <c r="G3" s="25"/>
      <c r="H3" s="25"/>
      <c r="I3" s="26"/>
      <c r="J3" s="20"/>
      <c r="K3" s="20"/>
      <c r="L3" s="22" t="s">
        <v>112</v>
      </c>
      <c r="M3" s="471" t="s">
        <v>266</v>
      </c>
      <c r="N3" s="472"/>
      <c r="AA3" s="365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71">
        <v>2024</v>
      </c>
      <c r="N4" s="472"/>
      <c r="AA4" s="365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73" t="s">
        <v>833</v>
      </c>
      <c r="J5" s="475"/>
      <c r="K5" s="475"/>
      <c r="L5" s="474"/>
      <c r="M5" s="352" t="s">
        <v>113</v>
      </c>
      <c r="N5" s="32" t="s">
        <v>834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1" t="s">
        <v>21</v>
      </c>
      <c r="C8" s="476" t="s">
        <v>22</v>
      </c>
      <c r="D8" s="477"/>
      <c r="E8" s="371" t="s">
        <v>23</v>
      </c>
      <c r="F8" s="49" t="s">
        <v>24</v>
      </c>
      <c r="G8" s="50" t="str">
        <f>"FY "&amp;'EDBD|0001-00'!FiscalYear-1&amp;" SALARY"</f>
        <v>FY 2023 SALARY</v>
      </c>
      <c r="H8" s="50" t="str">
        <f>"FY "&amp;'EDBD|0001-00'!FiscalYear-1&amp;" HEALTH BENEFITS"</f>
        <v>FY 2023 HEALTH BENEFITS</v>
      </c>
      <c r="I8" s="50" t="str">
        <f>"FY "&amp;'EDBD|0001-00'!FiscalYear-1&amp;" VAR BENEFITS"</f>
        <v>FY 2023 VAR BENEFITS</v>
      </c>
      <c r="J8" s="50" t="str">
        <f>"FY "&amp;'EDBD|0001-00'!FiscalYear-1&amp;" TOTAL"</f>
        <v>FY 2023 TOTAL</v>
      </c>
      <c r="K8" s="50" t="str">
        <f>"FY "&amp;'EDBD|0001-00'!FiscalYear&amp;" SALARY CHANGE"</f>
        <v>FY 2024 SALARY CHANGE</v>
      </c>
      <c r="L8" s="50" t="str">
        <f>"FY "&amp;'EDBD|0001-00'!FiscalYear&amp;" CHG HEALTH BENEFITS"</f>
        <v>FY 2024 CHG HEALTH BENEFITS</v>
      </c>
      <c r="M8" s="50" t="str">
        <f>"FY "&amp;'EDBD|0001-00'!FiscalYear&amp;"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7" t="s">
        <v>103</v>
      </c>
      <c r="AB8" s="467"/>
      <c r="AC8" s="467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8" t="s">
        <v>26</v>
      </c>
      <c r="D9" s="469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7" t="s">
        <v>27</v>
      </c>
      <c r="D10" s="470"/>
      <c r="E10" s="217">
        <v>1</v>
      </c>
      <c r="F10" s="288">
        <f>[0]!EDBD000100col_INC_FTI</f>
        <v>24.912500000000001</v>
      </c>
      <c r="G10" s="218">
        <f>[0]!EDBD000100col_FTI_SALARY_PERM</f>
        <v>1807334.7</v>
      </c>
      <c r="H10" s="218">
        <f>[0]!EDBD000100col_HEALTH_PERM</f>
        <v>313750</v>
      </c>
      <c r="I10" s="218">
        <f>[0]!EDBD000100col_TOT_VB_PERM</f>
        <v>371381.6774070001</v>
      </c>
      <c r="J10" s="219">
        <f>SUM(G10:I10)</f>
        <v>2492466.3774070004</v>
      </c>
      <c r="K10" s="219">
        <f>[0]!EDBD000100col_1_27TH_PP</f>
        <v>0</v>
      </c>
      <c r="L10" s="218">
        <f>[0]!EDBD000100col_HEALTH_PERM_CHG</f>
        <v>31375</v>
      </c>
      <c r="M10" s="218">
        <f>[0]!EDBD000100col_TOT_VB_PERM_CHG</f>
        <v>-12257.64984000002</v>
      </c>
      <c r="N10" s="218">
        <f>SUM(L10:M10)</f>
        <v>19117.35015999998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18100</v>
      </c>
      <c r="AB10" s="335">
        <f>ROUND(PermVarBen*CECPerm+(CECPerm*PermVarBenChg),-2)</f>
        <v>3600</v>
      </c>
      <c r="AC10" s="335">
        <f>SUM(AA10:AB10)</f>
        <v>21700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7" t="s">
        <v>28</v>
      </c>
      <c r="D11" s="470"/>
      <c r="E11" s="217">
        <v>2</v>
      </c>
      <c r="F11" s="288"/>
      <c r="G11" s="218">
        <f>[0]!EDBD000100col_Group_Salary</f>
        <v>11520</v>
      </c>
      <c r="H11" s="218">
        <v>0</v>
      </c>
      <c r="I11" s="218">
        <f>[0]!EDBD000100col_Group_Ben</f>
        <v>1021.61</v>
      </c>
      <c r="J11" s="219">
        <f>SUM(G11:I11)</f>
        <v>12541.61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100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7" t="s">
        <v>29</v>
      </c>
      <c r="D12" s="448"/>
      <c r="E12" s="217">
        <v>3</v>
      </c>
      <c r="F12" s="288">
        <f>[0]!EDBD000100col_TOTAL_ELECT_PCN_FTI</f>
        <v>1</v>
      </c>
      <c r="G12" s="218">
        <f>[0]!EDBD000100col_FTI_SALARY_ELECT</f>
        <v>117556.7</v>
      </c>
      <c r="H12" s="218">
        <f>[0]!EDBD000100col_HEALTH_ELECT</f>
        <v>12500</v>
      </c>
      <c r="I12" s="218">
        <f>[0]!EDBD000100col_TOT_VB_ELECT</f>
        <v>24288.389787</v>
      </c>
      <c r="J12" s="219">
        <f>SUM(G12:I12)</f>
        <v>154345.089787</v>
      </c>
      <c r="K12" s="268"/>
      <c r="L12" s="218">
        <f>[0]!EDBD000100col_HEALTH_ELECT_CHG</f>
        <v>1250</v>
      </c>
      <c r="M12" s="218">
        <f>[0]!EDBD000100col_TOT_VB_ELECT_CHG</f>
        <v>-846.40824000000123</v>
      </c>
      <c r="N12" s="219">
        <f>SUM(L12:M12)</f>
        <v>403.59175999999877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7" t="s">
        <v>30</v>
      </c>
      <c r="D13" s="470"/>
      <c r="E13" s="217"/>
      <c r="F13" s="220">
        <f>SUM(F10:F12)</f>
        <v>25.912500000000001</v>
      </c>
      <c r="G13" s="221">
        <f>SUM(G10:G12)</f>
        <v>1936411.4</v>
      </c>
      <c r="H13" s="221">
        <f>SUM(H10:H12)</f>
        <v>326250</v>
      </c>
      <c r="I13" s="221">
        <f>SUM(I10:I12)</f>
        <v>396691.67719400011</v>
      </c>
      <c r="J13" s="219">
        <f>SUM(G13:I13)</f>
        <v>2659353.0771940001</v>
      </c>
      <c r="K13" s="268"/>
      <c r="L13" s="219">
        <f>SUM(L10:L12)</f>
        <v>32625</v>
      </c>
      <c r="M13" s="219">
        <f>SUM(M10:M12)</f>
        <v>-13104.058080000021</v>
      </c>
      <c r="N13" s="219">
        <f>SUM(N10:N12)</f>
        <v>19520.941919999979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"&amp;'EDBD|0001-00'!FiscalYear-1</f>
        <v>FY 2023</v>
      </c>
      <c r="D15" s="158" t="s">
        <v>31</v>
      </c>
      <c r="E15" s="355">
        <v>2791800</v>
      </c>
      <c r="F15" s="55">
        <v>27.71</v>
      </c>
      <c r="G15" s="223">
        <f>IF(OrigApprop=0,0,(G13/$J$13)*OrigApprop)</f>
        <v>2032852.7990063601</v>
      </c>
      <c r="H15" s="223">
        <f>IF(OrigApprop=0,0,(H13/$J$13)*OrigApprop)</f>
        <v>342498.61660379864</v>
      </c>
      <c r="I15" s="223">
        <f>IF(G15=0,0,(I13/$J$13)*OrigApprop)</f>
        <v>416448.58438984124</v>
      </c>
      <c r="J15" s="223">
        <f>SUM(G15:I15)</f>
        <v>2791800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7" t="s">
        <v>32</v>
      </c>
      <c r="D16" s="458"/>
      <c r="E16" s="160" t="s">
        <v>33</v>
      </c>
      <c r="F16" s="161">
        <f>F15-F13</f>
        <v>1.7974999999999994</v>
      </c>
      <c r="G16" s="162">
        <f>G15-G13</f>
        <v>96441.39900636021</v>
      </c>
      <c r="H16" s="162">
        <f>H15-H13</f>
        <v>16248.61660379864</v>
      </c>
      <c r="I16" s="162">
        <f>I15-I13</f>
        <v>19756.907195841137</v>
      </c>
      <c r="J16" s="162">
        <f>J15-J13</f>
        <v>132446.92280599987</v>
      </c>
      <c r="K16" s="269"/>
      <c r="L16" s="56" t="str">
        <f>IF('EDBD|0001-00'!OrigApprop=0,"No Original Appropriation amount in DU 3.00 for this fund","Calculated "&amp;IF('EDBD|0001-00'!AdjustedTotal&gt;0,"overfunding ","underfunding ")&amp;"is "&amp;TEXT('EDBD|0001-00'!AdjustedTotal/'EDBD|0001-00'!AppropTotal,"#.0%;(#.0% );0% ;")&amp;" of Original Appropriation")</f>
        <v>Calculated overfunding is 4.7%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9" t="s">
        <v>34</v>
      </c>
      <c r="D17" s="460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61" t="s">
        <v>35</v>
      </c>
      <c r="D18" s="462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63" t="s">
        <v>37</v>
      </c>
      <c r="D37" s="464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5" t="s">
        <v>105</v>
      </c>
      <c r="AB37" s="466"/>
      <c r="AC37" s="466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7" t="str">
        <f>perm_name</f>
        <v>Permanent Positions</v>
      </c>
      <c r="D38" s="448"/>
      <c r="E38" s="189">
        <v>1</v>
      </c>
      <c r="F38" s="190">
        <f>SUMIF($E9:$E35,$E38,$F9:$F35)</f>
        <v>24.912500000000001</v>
      </c>
      <c r="G38" s="191">
        <f>SUMIF($E10:$E35,$E38,$G10:$G35)</f>
        <v>1807334.7</v>
      </c>
      <c r="H38" s="192">
        <f>SUMIF($E10:$E35,$E38,$H10:$H35)</f>
        <v>313750</v>
      </c>
      <c r="I38" s="192">
        <f>SUMIF($E10:$E35,$E38,$I10:$I35)</f>
        <v>371381.6774070001</v>
      </c>
      <c r="J38" s="192">
        <f>SUM(G38:I38)</f>
        <v>2492466.3774070004</v>
      </c>
      <c r="K38" s="166"/>
      <c r="L38" s="191">
        <f>SUMIF($E10:$E35,$E38,$L10:$L35)</f>
        <v>31375</v>
      </c>
      <c r="M38" s="192">
        <f>SUMIF($E10:$E35,$E38,$M10:$M35)</f>
        <v>-12257.64984000002</v>
      </c>
      <c r="N38" s="192">
        <f>SUM(L38:M38)</f>
        <v>19117.35015999998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18100</v>
      </c>
      <c r="AB38" s="338">
        <f>ROUND((AdjPermVB*CECPerm+AdjPermVBBY*CECPerm),-2)</f>
        <v>3600</v>
      </c>
      <c r="AC38" s="338">
        <f>SUM(AA38:AB38)</f>
        <v>21700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7" t="str">
        <f>Group_name</f>
        <v>Board &amp; Group Positions</v>
      </c>
      <c r="D39" s="448"/>
      <c r="E39" s="189">
        <v>2</v>
      </c>
      <c r="F39" s="151">
        <f>SUMIF($E9:$E35,$E39,$F9:$F35)</f>
        <v>0</v>
      </c>
      <c r="G39" s="193">
        <f>SUMIF($E10:$E35,$E39,$G10:$G35)</f>
        <v>11520</v>
      </c>
      <c r="H39" s="152">
        <f>SUMIF($E10:$E35,$E39,$H10:$H35)</f>
        <v>0</v>
      </c>
      <c r="I39" s="152">
        <f>SUMIF($E10:$E35,$E39,$I10:$I35)</f>
        <v>1021.61</v>
      </c>
      <c r="J39" s="152">
        <f>SUM(G39:I39)</f>
        <v>12541.61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100</v>
      </c>
      <c r="AB39" s="338">
        <f>ROUND(AdjGroupVB*CECGroup,-2)</f>
        <v>0</v>
      </c>
      <c r="AC39" s="338">
        <f>SUM(AA39:AB39)</f>
        <v>100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1</v>
      </c>
      <c r="G40" s="193">
        <f>SUMIF($E10:$E35,$E40,$G10:$G35)</f>
        <v>117556.7</v>
      </c>
      <c r="H40" s="152">
        <f>SUMIF($E10:$E35,$E40,$H10:$H35)</f>
        <v>12500</v>
      </c>
      <c r="I40" s="152">
        <f>SUMIF($E10:$E35,$E40,$I10:$I35)</f>
        <v>24288.389787</v>
      </c>
      <c r="J40" s="152">
        <f>SUM(G40:I40)</f>
        <v>154345.089787</v>
      </c>
      <c r="K40" s="259"/>
      <c r="L40" s="193">
        <f>SUMIF($E10:$E35,$E40,$L10:$L35)</f>
        <v>1250</v>
      </c>
      <c r="M40" s="152">
        <f>SUMIF($E10:$E35,$E40,$M10:$M35)</f>
        <v>-846.40824000000123</v>
      </c>
      <c r="N40" s="152">
        <f>SUM(L40:M40)</f>
        <v>403.59175999999877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7" t="s">
        <v>38</v>
      </c>
      <c r="D41" s="448"/>
      <c r="E41" s="189"/>
      <c r="F41" s="161">
        <f>SUM(F38:F40)</f>
        <v>25.912500000000001</v>
      </c>
      <c r="G41" s="195">
        <f>SUM($G$38:$G$40)</f>
        <v>1936411.4</v>
      </c>
      <c r="H41" s="162">
        <f>SUM($H$38:$H$40)</f>
        <v>326250</v>
      </c>
      <c r="I41" s="162">
        <f>SUM($I$38:$I$40)</f>
        <v>396691.67719400011</v>
      </c>
      <c r="J41" s="162">
        <f>SUM($J$38:$J$40)</f>
        <v>2659353.0771940001</v>
      </c>
      <c r="K41" s="259"/>
      <c r="L41" s="195">
        <f>SUM($L$38:$L$40)</f>
        <v>32625</v>
      </c>
      <c r="M41" s="162">
        <f>SUM($M$38:$M$40)</f>
        <v>-13104.058080000021</v>
      </c>
      <c r="N41" s="162">
        <f>SUM(L41:M41)</f>
        <v>19520.941919999979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9"/>
      <c r="D42" s="450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51" t="s">
        <v>39</v>
      </c>
      <c r="D43" s="452"/>
      <c r="E43" s="203" t="s">
        <v>40</v>
      </c>
      <c r="F43" s="205">
        <f>ROUND(F51-F41,2)</f>
        <v>1.8</v>
      </c>
      <c r="G43" s="206">
        <f>G51-G41</f>
        <v>96441.39900636021</v>
      </c>
      <c r="H43" s="159">
        <f>H51-H41</f>
        <v>16248.61660379864</v>
      </c>
      <c r="I43" s="159">
        <f>I51-I41</f>
        <v>19756.907195841137</v>
      </c>
      <c r="J43" s="159">
        <f>SUM(G43:I43)</f>
        <v>132446.92280599999</v>
      </c>
      <c r="K43" s="428" t="str">
        <f>IF(E51=0,"No Original Appropriation amount in DU 3.00 for this fund","Calculated "&amp;IF(J43&gt;0,"overfunding ","underfunding ")&amp;"is "&amp;TEXT(J43/J51,"#.0%;(#.0% );0%;")&amp;" of Original Appropriation")</f>
        <v>Calculated overfunding is 4.7% of Original Appropriation</v>
      </c>
      <c r="L43" s="429"/>
      <c r="M43" s="429"/>
      <c r="N43" s="430"/>
      <c r="O43"/>
      <c r="P43"/>
      <c r="Q43"/>
      <c r="R43"/>
      <c r="S43"/>
      <c r="T43"/>
      <c r="U43"/>
      <c r="V43"/>
      <c r="W43"/>
      <c r="X43"/>
      <c r="Y43"/>
      <c r="Z43" s="344"/>
      <c r="AA43" s="455" t="s">
        <v>106</v>
      </c>
      <c r="AB43" s="456"/>
      <c r="AC43" s="456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3"/>
      <c r="D44" s="454"/>
      <c r="E44" s="204" t="s">
        <v>41</v>
      </c>
      <c r="F44" s="205">
        <f>ROUND(F60-F41,2)</f>
        <v>1.8</v>
      </c>
      <c r="G44" s="206">
        <f>G60-G41</f>
        <v>96488.600000000093</v>
      </c>
      <c r="H44" s="159">
        <f>H60-H41</f>
        <v>16250</v>
      </c>
      <c r="I44" s="159">
        <f>I60-I41</f>
        <v>19708.322805999895</v>
      </c>
      <c r="J44" s="159">
        <f>SUM(G44:I44)</f>
        <v>132446.92280599999</v>
      </c>
      <c r="K44" s="428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overfunding is 4.7% of Est. Expenditures</v>
      </c>
      <c r="L44" s="429"/>
      <c r="M44" s="429"/>
      <c r="N44" s="430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1.8</v>
      </c>
      <c r="G45" s="206">
        <f>G67-G41-G63</f>
        <v>96488.600000000093</v>
      </c>
      <c r="H45" s="206">
        <f>H67-H41-H63</f>
        <v>16250</v>
      </c>
      <c r="I45" s="206">
        <f>I67-I41-I63</f>
        <v>19708.322805999895</v>
      </c>
      <c r="J45" s="159">
        <f>SUM(G45:I45)</f>
        <v>132446.92280599999</v>
      </c>
      <c r="K45" s="428" t="str">
        <f>IF(J67=0,"This fund has a $0 Base in DU 9.00",IF(J67=0,"ERROR! Verify/enter 8 series adjustments!","Calculated "&amp;IF(J45&gt;0,"overfunding ","underfunding ")&amp;"is "&amp;TEXT(J45/J67,"#.0%;(#.0% );0%;")&amp;" of the Base"))</f>
        <v>Calculated overfunding is 4.7% of the Base</v>
      </c>
      <c r="L45" s="429"/>
      <c r="M45" s="429"/>
      <c r="N45" s="430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31" t="s">
        <v>98</v>
      </c>
      <c r="F46" s="432"/>
      <c r="G46" s="432"/>
      <c r="H46" s="432"/>
      <c r="I46" s="432"/>
      <c r="J46" s="433"/>
      <c r="K46" s="437" t="str">
        <f>IF(OR(J45&lt;0,F45&lt;0),"You may not have sufficient funding or authorized FTP, and may need to make additional adjustments to finalize this form.  Please contact both your DFM and LSO analysts.","")</f>
        <v/>
      </c>
      <c r="L46" s="438"/>
      <c r="M46" s="438"/>
      <c r="N46" s="439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4"/>
      <c r="F47" s="435"/>
      <c r="G47" s="435"/>
      <c r="H47" s="435"/>
      <c r="I47" s="435"/>
      <c r="J47" s="436"/>
      <c r="K47" s="440"/>
      <c r="L47" s="441"/>
      <c r="M47" s="441"/>
      <c r="N47" s="442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3"/>
      <c r="D50" s="444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2791800</v>
      </c>
      <c r="F51" s="272">
        <f>AppropFTP</f>
        <v>27.71</v>
      </c>
      <c r="G51" s="274">
        <f>IF(E51=0,0,(G41/$J$41)*$E$51)</f>
        <v>2032852.7990063601</v>
      </c>
      <c r="H51" s="274">
        <f>IF(E51=0,0,(H41/$J$41)*$E$51)</f>
        <v>342498.61660379864</v>
      </c>
      <c r="I51" s="275">
        <f>IF(E51=0,0,(I41/$J$41)*$E$51)</f>
        <v>416448.58438984124</v>
      </c>
      <c r="J51" s="90">
        <f>SUM(G51:I51)</f>
        <v>2791800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27.71</v>
      </c>
      <c r="G52" s="79">
        <f>ROUND(G51,-2)</f>
        <v>2032900</v>
      </c>
      <c r="H52" s="79">
        <f>ROUND(H51,-2)</f>
        <v>342500</v>
      </c>
      <c r="I52" s="266">
        <f>ROUND(I51,-2)</f>
        <v>416400</v>
      </c>
      <c r="J52" s="80">
        <f>ROUND(J51,-2)</f>
        <v>2791800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5" t="s">
        <v>47</v>
      </c>
      <c r="D53" s="446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10" t="s">
        <v>48</v>
      </c>
      <c r="D54" s="411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17" t="s">
        <v>49</v>
      </c>
      <c r="D55" s="418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27.71</v>
      </c>
      <c r="G56" s="80">
        <f>SUM(G52:G55)</f>
        <v>2032900</v>
      </c>
      <c r="H56" s="80">
        <f>SUM(H52:H55)</f>
        <v>342500</v>
      </c>
      <c r="I56" s="260">
        <f>SUM(I52:I55)</f>
        <v>416400</v>
      </c>
      <c r="J56" s="80">
        <f>SUM(J52:J55)</f>
        <v>2791800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15" t="s">
        <v>51</v>
      </c>
      <c r="D57" s="419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20" t="s">
        <v>116</v>
      </c>
      <c r="D58" s="421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20" t="s">
        <v>52</v>
      </c>
      <c r="D59" s="421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27.71</v>
      </c>
      <c r="G60" s="80">
        <f>SUM(G56:G59)</f>
        <v>2032900</v>
      </c>
      <c r="H60" s="80">
        <f>SUM(H56:H59)</f>
        <v>342500</v>
      </c>
      <c r="I60" s="260">
        <f>SUM(I56:I59)</f>
        <v>416400</v>
      </c>
      <c r="J60" s="80">
        <f>SUM(J56:J59)</f>
        <v>2791800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15" t="s">
        <v>54</v>
      </c>
      <c r="D61" s="419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10" t="s">
        <v>65</v>
      </c>
      <c r="D62" s="411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10" t="s">
        <v>55</v>
      </c>
      <c r="D63" s="411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22" t="s">
        <v>56</v>
      </c>
      <c r="D64" s="423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24"/>
      <c r="D65" s="425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26"/>
      <c r="D66" s="427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27.71</v>
      </c>
      <c r="G67" s="80">
        <f>SUM(G60:G64)</f>
        <v>2032900</v>
      </c>
      <c r="H67" s="80">
        <f>SUM(H60:H64)</f>
        <v>342500</v>
      </c>
      <c r="I67" s="80">
        <f>SUM(I60:I64)</f>
        <v>416400</v>
      </c>
      <c r="J67" s="80">
        <f>SUM(J60:J64)</f>
        <v>2791800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15" t="s">
        <v>58</v>
      </c>
      <c r="D68" s="416"/>
      <c r="E68" s="112"/>
      <c r="F68" s="288"/>
      <c r="G68" s="287"/>
      <c r="H68" s="113">
        <f>IF(DUNine=0,0,ROUND(SUM(L41:L65),-2))</f>
        <v>32600</v>
      </c>
      <c r="I68" s="113"/>
      <c r="J68" s="287">
        <f>SUM(G68:I68)</f>
        <v>32600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15" t="s">
        <v>59</v>
      </c>
      <c r="D69" s="416"/>
      <c r="E69" s="112"/>
      <c r="F69" s="288"/>
      <c r="G69" s="113"/>
      <c r="H69" s="113"/>
      <c r="I69" s="113">
        <f>IF(DUNine=0,0,ROUND(SUM(M41:M64),-2))</f>
        <v>-13100</v>
      </c>
      <c r="J69" s="287">
        <f>SUM(G69:I69)</f>
        <v>-13100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8"/>
      <c r="D70" s="409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10" t="s">
        <v>60</v>
      </c>
      <c r="D71" s="411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10" t="s">
        <v>99</v>
      </c>
      <c r="D72" s="412"/>
      <c r="E72" s="290">
        <f>CECPerm</f>
        <v>0.01</v>
      </c>
      <c r="F72" s="288"/>
      <c r="G72" s="356">
        <f>IF(DUNine=0,0,IF(DUNine&lt;0,0,ROUND(AdjPermSalary*CECPerm,-2)))</f>
        <v>18100</v>
      </c>
      <c r="H72" s="287"/>
      <c r="I72" s="287">
        <f>ROUND(($G72*PermVBBY+$G72*Retire1BY),-2)</f>
        <v>3600</v>
      </c>
      <c r="J72" s="113">
        <f>SUM(G72:I72)</f>
        <v>21700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10" t="s">
        <v>117</v>
      </c>
      <c r="D73" s="412"/>
      <c r="E73" s="289">
        <f>CECGroup</f>
        <v>0.01</v>
      </c>
      <c r="F73" s="288"/>
      <c r="G73" s="356">
        <f>IF(DUNine=0,0,IF(DUNine&lt;0,0,ROUND(AdjGroupSalary*CECGroup,-2)))</f>
        <v>100</v>
      </c>
      <c r="H73" s="287"/>
      <c r="I73" s="287">
        <f>ROUND(($G73*GroupVBBY),-2)</f>
        <v>0</v>
      </c>
      <c r="J73" s="113">
        <f t="shared" si="11"/>
        <v>100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27.71</v>
      </c>
      <c r="G75" s="80">
        <f>SUM(G67:G74)</f>
        <v>2051100</v>
      </c>
      <c r="H75" s="80">
        <f>SUM(H67:H74)</f>
        <v>375100</v>
      </c>
      <c r="I75" s="80">
        <f>SUM(I67:I74)</f>
        <v>406900</v>
      </c>
      <c r="J75" s="80">
        <f>SUM(J67:K74)</f>
        <v>2833100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3" t="s">
        <v>63</v>
      </c>
      <c r="D76" s="414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6"/>
      <c r="D77" s="407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6"/>
      <c r="D78" s="407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6"/>
      <c r="D79" s="407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27.71</v>
      </c>
      <c r="G80" s="80">
        <f>SUM(G75:G79)</f>
        <v>2051100</v>
      </c>
      <c r="H80" s="80">
        <f>SUM(H75:H79)</f>
        <v>375100</v>
      </c>
      <c r="I80" s="80">
        <f>SUM(I75:I79)</f>
        <v>406900</v>
      </c>
      <c r="J80" s="80">
        <f>SUM(J75:J79)</f>
        <v>2833100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124" priority="8">
      <formula>$J$44&lt;0</formula>
    </cfRule>
  </conditionalFormatting>
  <conditionalFormatting sqref="K43">
    <cfRule type="expression" dxfId="123" priority="7">
      <formula>$J$43&lt;0</formula>
    </cfRule>
  </conditionalFormatting>
  <conditionalFormatting sqref="L16">
    <cfRule type="expression" dxfId="122" priority="6">
      <formula>$J$16&lt;0</formula>
    </cfRule>
  </conditionalFormatting>
  <conditionalFormatting sqref="K45">
    <cfRule type="expression" dxfId="121" priority="5">
      <formula>$J$44&lt;0</formula>
    </cfRule>
  </conditionalFormatting>
  <conditionalFormatting sqref="K43:N45">
    <cfRule type="containsText" dxfId="120" priority="4" operator="containsText" text="underfunding">
      <formula>NOT(ISERROR(SEARCH("underfunding",K43)))</formula>
    </cfRule>
  </conditionalFormatting>
  <conditionalFormatting sqref="K44">
    <cfRule type="expression" dxfId="119" priority="3">
      <formula>$J$44&lt;0</formula>
    </cfRule>
  </conditionalFormatting>
  <conditionalFormatting sqref="K45">
    <cfRule type="expression" dxfId="118" priority="2">
      <formula>$J$44&lt;0</formula>
    </cfRule>
  </conditionalFormatting>
  <conditionalFormatting sqref="K45">
    <cfRule type="expression" dxfId="117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FAD6BCE-5618-4FBB-8F63-D880AEB1994B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7F4B8-4571-4B57-8A78-9F457CCA1CD3}">
  <sheetPr codeName="Sheet18"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824</v>
      </c>
      <c r="E1" s="15"/>
      <c r="F1" s="15"/>
      <c r="G1" s="15"/>
      <c r="H1" s="15"/>
      <c r="I1" s="15"/>
      <c r="J1" s="15"/>
      <c r="K1" s="15"/>
      <c r="L1" s="16" t="s">
        <v>14</v>
      </c>
      <c r="M1" s="471">
        <v>170</v>
      </c>
      <c r="N1" s="472"/>
      <c r="AA1" s="365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 t="s">
        <v>825</v>
      </c>
      <c r="E2" s="21"/>
      <c r="F2" s="21"/>
      <c r="G2" s="21"/>
      <c r="H2" s="21"/>
      <c r="I2" s="21"/>
      <c r="J2" s="20"/>
      <c r="K2" s="20"/>
      <c r="L2" s="22" t="s">
        <v>111</v>
      </c>
      <c r="M2" s="473" t="s">
        <v>904</v>
      </c>
      <c r="N2" s="474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 t="s">
        <v>847</v>
      </c>
      <c r="E3" s="24"/>
      <c r="F3" s="25"/>
      <c r="G3" s="25"/>
      <c r="H3" s="25"/>
      <c r="I3" s="26"/>
      <c r="J3" s="20"/>
      <c r="K3" s="20"/>
      <c r="L3" s="22" t="s">
        <v>112</v>
      </c>
      <c r="M3" s="471" t="s">
        <v>764</v>
      </c>
      <c r="N3" s="472"/>
      <c r="AA3" s="365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71">
        <v>2024</v>
      </c>
      <c r="N4" s="472"/>
      <c r="AA4" s="365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73" t="s">
        <v>902</v>
      </c>
      <c r="J5" s="475"/>
      <c r="K5" s="475"/>
      <c r="L5" s="474"/>
      <c r="M5" s="352" t="s">
        <v>113</v>
      </c>
      <c r="N5" s="32" t="s">
        <v>903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1" t="s">
        <v>21</v>
      </c>
      <c r="C8" s="476" t="s">
        <v>22</v>
      </c>
      <c r="D8" s="477"/>
      <c r="E8" s="371" t="s">
        <v>23</v>
      </c>
      <c r="F8" s="49" t="s">
        <v>24</v>
      </c>
      <c r="G8" s="50" t="str">
        <f>"FY "&amp;'EDBG|0481-54'!FiscalYear-1&amp;" SALARY"</f>
        <v>FY 2023 SALARY</v>
      </c>
      <c r="H8" s="50" t="str">
        <f>"FY "&amp;'EDBG|0481-54'!FiscalYear-1&amp;" HEALTH BENEFITS"</f>
        <v>FY 2023 HEALTH BENEFITS</v>
      </c>
      <c r="I8" s="50" t="str">
        <f>"FY "&amp;'EDBG|0481-54'!FiscalYear-1&amp;" VAR BENEFITS"</f>
        <v>FY 2023 VAR BENEFITS</v>
      </c>
      <c r="J8" s="50" t="str">
        <f>"FY "&amp;'EDBG|0481-54'!FiscalYear-1&amp;" TOTAL"</f>
        <v>FY 2023 TOTAL</v>
      </c>
      <c r="K8" s="50" t="str">
        <f>"FY "&amp;'EDBG|0481-54'!FiscalYear&amp;" SALARY CHANGE"</f>
        <v>FY 2024 SALARY CHANGE</v>
      </c>
      <c r="L8" s="50" t="str">
        <f>"FY "&amp;'EDBG|0481-54'!FiscalYear&amp;" CHG HEALTH BENEFITS"</f>
        <v>FY 2024 CHG HEALTH BENEFITS</v>
      </c>
      <c r="M8" s="50" t="str">
        <f>"FY "&amp;'EDBG|0481-54'!FiscalYear&amp;"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7" t="s">
        <v>103</v>
      </c>
      <c r="AB8" s="467"/>
      <c r="AC8" s="467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8" t="s">
        <v>26</v>
      </c>
      <c r="D9" s="469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7" t="s">
        <v>27</v>
      </c>
      <c r="D10" s="470"/>
      <c r="E10" s="217">
        <v>1</v>
      </c>
      <c r="F10" s="288">
        <f>[0]!EDBG048154col_INC_FTI</f>
        <v>0.2</v>
      </c>
      <c r="G10" s="218">
        <f>[0]!EDBG048154col_FTI_SALARY_PERM</f>
        <v>10735.91</v>
      </c>
      <c r="H10" s="218">
        <f>[0]!EDBG048154col_HEALTH_PERM</f>
        <v>2500</v>
      </c>
      <c r="I10" s="218">
        <f>[0]!EDBG048154col_TOT_VB_PERM</f>
        <v>2218.1463651000004</v>
      </c>
      <c r="J10" s="219">
        <f>SUM(G10:I10)</f>
        <v>15454.056365100001</v>
      </c>
      <c r="K10" s="219">
        <f>[0]!EDBG048154col_1_27TH_PP</f>
        <v>0</v>
      </c>
      <c r="L10" s="218">
        <f>[0]!EDBG048154col_HEALTH_PERM_CHG</f>
        <v>250</v>
      </c>
      <c r="M10" s="218">
        <f>[0]!EDBG048154col_TOT_VB_PERM_CHG</f>
        <v>-77.298552000000115</v>
      </c>
      <c r="N10" s="218">
        <f>SUM(L10:M10)</f>
        <v>172.70144799999989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100</v>
      </c>
      <c r="AB10" s="335">
        <f>ROUND(PermVarBen*CECPerm+(CECPerm*PermVarBenChg),-2)</f>
        <v>0</v>
      </c>
      <c r="AC10" s="335">
        <f>SUM(AA10:AB10)</f>
        <v>100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7" t="s">
        <v>28</v>
      </c>
      <c r="D11" s="470"/>
      <c r="E11" s="217">
        <v>2</v>
      </c>
      <c r="F11" s="288"/>
      <c r="G11" s="218">
        <f>[0]!EDBG048154col_Group_Salary</f>
        <v>0</v>
      </c>
      <c r="H11" s="218">
        <v>0</v>
      </c>
      <c r="I11" s="218">
        <f>[0]!EDBG048154col_Group_Ben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7" t="s">
        <v>29</v>
      </c>
      <c r="D12" s="448"/>
      <c r="E12" s="217">
        <v>3</v>
      </c>
      <c r="F12" s="288">
        <f>[0]!EDBG048154col_TOTAL_ELECT_PCN_FTI</f>
        <v>0</v>
      </c>
      <c r="G12" s="218">
        <f>[0]!EDBG048154col_FTI_SALARY_ELECT</f>
        <v>0</v>
      </c>
      <c r="H12" s="218">
        <f>[0]!EDBG048154col_HEALTH_ELECT</f>
        <v>0</v>
      </c>
      <c r="I12" s="218">
        <f>[0]!EDBG048154col_TOT_VB_ELECT</f>
        <v>0</v>
      </c>
      <c r="J12" s="219">
        <f>SUM(G12:I12)</f>
        <v>0</v>
      </c>
      <c r="K12" s="268"/>
      <c r="L12" s="218">
        <f>[0]!EDBG048154col_HEALTH_ELECT_CHG</f>
        <v>0</v>
      </c>
      <c r="M12" s="218">
        <f>[0]!EDBG048154col_TOT_VB_ELECT_CHG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7" t="s">
        <v>30</v>
      </c>
      <c r="D13" s="470"/>
      <c r="E13" s="217"/>
      <c r="F13" s="220">
        <f>SUM(F10:F12)</f>
        <v>0.2</v>
      </c>
      <c r="G13" s="221">
        <f>SUM(G10:G12)</f>
        <v>10735.91</v>
      </c>
      <c r="H13" s="221">
        <f>SUM(H10:H12)</f>
        <v>2500</v>
      </c>
      <c r="I13" s="221">
        <f>SUM(I10:I12)</f>
        <v>2218.1463651000004</v>
      </c>
      <c r="J13" s="219">
        <f>SUM(G13:I13)</f>
        <v>15454.056365100001</v>
      </c>
      <c r="K13" s="268"/>
      <c r="L13" s="219">
        <f>SUM(L10:L12)</f>
        <v>250</v>
      </c>
      <c r="M13" s="219">
        <f>SUM(M10:M12)</f>
        <v>-77.298552000000115</v>
      </c>
      <c r="N13" s="219">
        <f>SUM(N10:N12)</f>
        <v>172.70144799999989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"&amp;'EDBG|0481-54'!FiscalYear-1</f>
        <v>FY 2023</v>
      </c>
      <c r="D15" s="158" t="s">
        <v>31</v>
      </c>
      <c r="E15" s="355">
        <v>108000</v>
      </c>
      <c r="F15" s="55">
        <v>0.68</v>
      </c>
      <c r="G15" s="223">
        <f>IF(OrigApprop=0,0,(G13/$J$13)*OrigApprop)</f>
        <v>75027.439567158406</v>
      </c>
      <c r="H15" s="223">
        <f>IF(OrigApprop=0,0,(H13/$J$13)*OrigApprop)</f>
        <v>17471.141143870991</v>
      </c>
      <c r="I15" s="223">
        <f>IF(G15=0,0,(I13/$J$13)*OrigApprop)</f>
        <v>15501.419288970601</v>
      </c>
      <c r="J15" s="223">
        <f>SUM(G15:I15)</f>
        <v>108000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7" t="s">
        <v>32</v>
      </c>
      <c r="D16" s="458"/>
      <c r="E16" s="160" t="s">
        <v>33</v>
      </c>
      <c r="F16" s="161">
        <f>F15-F13</f>
        <v>0.48000000000000004</v>
      </c>
      <c r="G16" s="162">
        <f>G15-G13</f>
        <v>64291.529567158403</v>
      </c>
      <c r="H16" s="162">
        <f>H15-H13</f>
        <v>14971.141143870991</v>
      </c>
      <c r="I16" s="162">
        <f>I15-I13</f>
        <v>13283.272923870602</v>
      </c>
      <c r="J16" s="162">
        <f>J15-J13</f>
        <v>92545.943634900003</v>
      </c>
      <c r="K16" s="269"/>
      <c r="L16" s="56" t="str">
        <f>IF('EDBG|0481-54'!OrigApprop=0,"No Original Appropriation amount in DU 3.00 for this fund","Calculated "&amp;IF('EDBG|0481-54'!AdjustedTotal&gt;0,"overfunding ","underfunding ")&amp;"is "&amp;TEXT('EDBG|0481-54'!AdjustedTotal/'EDBG|0481-54'!AppropTotal,"#.0%;(#.0% );0% ;")&amp;" of Original Appropriation")</f>
        <v>Calculated overfunding is 85.7%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9" t="s">
        <v>34</v>
      </c>
      <c r="D17" s="460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61" t="s">
        <v>35</v>
      </c>
      <c r="D18" s="462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63" t="s">
        <v>37</v>
      </c>
      <c r="D37" s="464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5" t="s">
        <v>105</v>
      </c>
      <c r="AB37" s="466"/>
      <c r="AC37" s="466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7" t="str">
        <f>perm_name</f>
        <v>Permanent Positions</v>
      </c>
      <c r="D38" s="448"/>
      <c r="E38" s="189">
        <v>1</v>
      </c>
      <c r="F38" s="190">
        <f>SUMIF($E9:$E35,$E38,$F9:$F35)</f>
        <v>0.2</v>
      </c>
      <c r="G38" s="191">
        <f>SUMIF($E10:$E35,$E38,$G10:$G35)</f>
        <v>10735.91</v>
      </c>
      <c r="H38" s="192">
        <f>SUMIF($E10:$E35,$E38,$H10:$H35)</f>
        <v>2500</v>
      </c>
      <c r="I38" s="192">
        <f>SUMIF($E10:$E35,$E38,$I10:$I35)</f>
        <v>2218.1463651000004</v>
      </c>
      <c r="J38" s="192">
        <f>SUM(G38:I38)</f>
        <v>15454.056365100001</v>
      </c>
      <c r="K38" s="166"/>
      <c r="L38" s="191">
        <f>SUMIF($E10:$E35,$E38,$L10:$L35)</f>
        <v>250</v>
      </c>
      <c r="M38" s="192">
        <f>SUMIF($E10:$E35,$E38,$M10:$M35)</f>
        <v>-77.298552000000115</v>
      </c>
      <c r="N38" s="192">
        <f>SUM(L38:M38)</f>
        <v>172.70144799999989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100</v>
      </c>
      <c r="AB38" s="338">
        <f>ROUND((AdjPermVB*CECPerm+AdjPermVBBY*CECPerm),-2)</f>
        <v>0</v>
      </c>
      <c r="AC38" s="338">
        <f>SUM(AA38:AB38)</f>
        <v>100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7" t="str">
        <f>Group_name</f>
        <v>Board &amp; Group Positions</v>
      </c>
      <c r="D39" s="448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7" t="s">
        <v>38</v>
      </c>
      <c r="D41" s="448"/>
      <c r="E41" s="189"/>
      <c r="F41" s="161">
        <f>SUM(F38:F40)</f>
        <v>0.2</v>
      </c>
      <c r="G41" s="195">
        <f>SUM($G$38:$G$40)</f>
        <v>10735.91</v>
      </c>
      <c r="H41" s="162">
        <f>SUM($H$38:$H$40)</f>
        <v>2500</v>
      </c>
      <c r="I41" s="162">
        <f>SUM($I$38:$I$40)</f>
        <v>2218.1463651000004</v>
      </c>
      <c r="J41" s="162">
        <f>SUM($J$38:$J$40)</f>
        <v>15454.056365100001</v>
      </c>
      <c r="K41" s="259"/>
      <c r="L41" s="195">
        <f>SUM($L$38:$L$40)</f>
        <v>250</v>
      </c>
      <c r="M41" s="162">
        <f>SUM($M$38:$M$40)</f>
        <v>-77.298552000000115</v>
      </c>
      <c r="N41" s="162">
        <f>SUM(L41:M41)</f>
        <v>172.70144799999989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9"/>
      <c r="D42" s="450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51" t="s">
        <v>39</v>
      </c>
      <c r="D43" s="452"/>
      <c r="E43" s="203" t="s">
        <v>40</v>
      </c>
      <c r="F43" s="205">
        <f>ROUND(F51-F41,2)</f>
        <v>0.48</v>
      </c>
      <c r="G43" s="206">
        <f>G51-G41</f>
        <v>64291.529567158403</v>
      </c>
      <c r="H43" s="159">
        <f>H51-H41</f>
        <v>14971.141143870991</v>
      </c>
      <c r="I43" s="159">
        <f>I51-I41</f>
        <v>13283.272923870602</v>
      </c>
      <c r="J43" s="159">
        <f>SUM(G43:I43)</f>
        <v>92545.943634900003</v>
      </c>
      <c r="K43" s="428" t="str">
        <f>IF(E51=0,"No Original Appropriation amount in DU 3.00 for this fund","Calculated "&amp;IF(J43&gt;0,"overfunding ","underfunding ")&amp;"is "&amp;TEXT(J43/J51,"#.0%;(#.0% );0%;")&amp;" of Original Appropriation")</f>
        <v>Calculated overfunding is 85.7% of Original Appropriation</v>
      </c>
      <c r="L43" s="429"/>
      <c r="M43" s="429"/>
      <c r="N43" s="430"/>
      <c r="O43"/>
      <c r="P43"/>
      <c r="Q43"/>
      <c r="R43"/>
      <c r="S43"/>
      <c r="T43"/>
      <c r="U43"/>
      <c r="V43"/>
      <c r="W43"/>
      <c r="X43"/>
      <c r="Y43"/>
      <c r="Z43" s="344"/>
      <c r="AA43" s="455" t="s">
        <v>106</v>
      </c>
      <c r="AB43" s="456"/>
      <c r="AC43" s="456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3"/>
      <c r="D44" s="454"/>
      <c r="E44" s="204" t="s">
        <v>41</v>
      </c>
      <c r="F44" s="205">
        <f>ROUND(F60-F41,2)</f>
        <v>0.48</v>
      </c>
      <c r="G44" s="206">
        <f>G60-G41</f>
        <v>64264.09</v>
      </c>
      <c r="H44" s="159">
        <f>H60-H41</f>
        <v>15000</v>
      </c>
      <c r="I44" s="159">
        <f>I60-I41</f>
        <v>13281.853634899999</v>
      </c>
      <c r="J44" s="159">
        <f>SUM(G44:I44)</f>
        <v>92545.943634900003</v>
      </c>
      <c r="K44" s="428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overfunding is 85.7% of Est. Expenditures</v>
      </c>
      <c r="L44" s="429"/>
      <c r="M44" s="429"/>
      <c r="N44" s="430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0.48</v>
      </c>
      <c r="G45" s="206">
        <f>G67-G41-G63</f>
        <v>64264.09</v>
      </c>
      <c r="H45" s="206">
        <f>H67-H41-H63</f>
        <v>15000</v>
      </c>
      <c r="I45" s="206">
        <f>I67-I41-I63</f>
        <v>13281.853634899999</v>
      </c>
      <c r="J45" s="159">
        <f>SUM(G45:I45)</f>
        <v>92545.943634900003</v>
      </c>
      <c r="K45" s="428" t="str">
        <f>IF(J67=0,"This fund has a $0 Base in DU 9.00",IF(J67=0,"ERROR! Verify/enter 8 series adjustments!","Calculated "&amp;IF(J45&gt;0,"overfunding ","underfunding ")&amp;"is "&amp;TEXT(J45/J67,"#.0%;(#.0% );0%;")&amp;" of the Base"))</f>
        <v>Calculated overfunding is 85.7% of the Base</v>
      </c>
      <c r="L45" s="429"/>
      <c r="M45" s="429"/>
      <c r="N45" s="430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31" t="s">
        <v>98</v>
      </c>
      <c r="F46" s="432"/>
      <c r="G46" s="432"/>
      <c r="H46" s="432"/>
      <c r="I46" s="432"/>
      <c r="J46" s="433"/>
      <c r="K46" s="437" t="str">
        <f>IF(OR(J45&lt;0,F45&lt;0),"You may not have sufficient funding or authorized FTP, and may need to make additional adjustments to finalize this form.  Please contact both your DFM and LSO analysts.","")</f>
        <v/>
      </c>
      <c r="L46" s="438"/>
      <c r="M46" s="438"/>
      <c r="N46" s="439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4"/>
      <c r="F47" s="435"/>
      <c r="G47" s="435"/>
      <c r="H47" s="435"/>
      <c r="I47" s="435"/>
      <c r="J47" s="436"/>
      <c r="K47" s="440"/>
      <c r="L47" s="441"/>
      <c r="M47" s="441"/>
      <c r="N47" s="442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3"/>
      <c r="D50" s="444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108000</v>
      </c>
      <c r="F51" s="272">
        <f>AppropFTP</f>
        <v>0.68</v>
      </c>
      <c r="G51" s="274">
        <f>IF(E51=0,0,(G41/$J$41)*$E$51)</f>
        <v>75027.439567158406</v>
      </c>
      <c r="H51" s="274">
        <f>IF(E51=0,0,(H41/$J$41)*$E$51)</f>
        <v>17471.141143870991</v>
      </c>
      <c r="I51" s="275">
        <f>IF(E51=0,0,(I41/$J$41)*$E$51)</f>
        <v>15501.419288970601</v>
      </c>
      <c r="J51" s="90">
        <f>SUM(G51:I51)</f>
        <v>108000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0.68</v>
      </c>
      <c r="G52" s="79">
        <f>ROUND(G51,-2)</f>
        <v>75000</v>
      </c>
      <c r="H52" s="79">
        <f>ROUND(H51,-2)</f>
        <v>17500</v>
      </c>
      <c r="I52" s="266">
        <f>ROUND(I51,-2)</f>
        <v>15500</v>
      </c>
      <c r="J52" s="80">
        <f>ROUND(J51,-2)</f>
        <v>108000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5" t="s">
        <v>47</v>
      </c>
      <c r="D53" s="446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10" t="s">
        <v>48</v>
      </c>
      <c r="D54" s="411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17" t="s">
        <v>49</v>
      </c>
      <c r="D55" s="418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0.68</v>
      </c>
      <c r="G56" s="80">
        <f>SUM(G52:G55)</f>
        <v>75000</v>
      </c>
      <c r="H56" s="80">
        <f>SUM(H52:H55)</f>
        <v>17500</v>
      </c>
      <c r="I56" s="260">
        <f>SUM(I52:I55)</f>
        <v>15500</v>
      </c>
      <c r="J56" s="80">
        <f>SUM(J52:J55)</f>
        <v>108000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15" t="s">
        <v>51</v>
      </c>
      <c r="D57" s="419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20" t="s">
        <v>116</v>
      </c>
      <c r="D58" s="421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20" t="s">
        <v>52</v>
      </c>
      <c r="D59" s="421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0.68</v>
      </c>
      <c r="G60" s="80">
        <f>SUM(G56:G59)</f>
        <v>75000</v>
      </c>
      <c r="H60" s="80">
        <f>SUM(H56:H59)</f>
        <v>17500</v>
      </c>
      <c r="I60" s="260">
        <f>SUM(I56:I59)</f>
        <v>15500</v>
      </c>
      <c r="J60" s="80">
        <f>SUM(J56:J59)</f>
        <v>108000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15" t="s">
        <v>54</v>
      </c>
      <c r="D61" s="419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10" t="s">
        <v>65</v>
      </c>
      <c r="D62" s="411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10" t="s">
        <v>55</v>
      </c>
      <c r="D63" s="411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22" t="s">
        <v>56</v>
      </c>
      <c r="D64" s="423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24"/>
      <c r="D65" s="425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26"/>
      <c r="D66" s="427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0.68</v>
      </c>
      <c r="G67" s="80">
        <f>SUM(G60:G64)</f>
        <v>75000</v>
      </c>
      <c r="H67" s="80">
        <f>SUM(H60:H64)</f>
        <v>17500</v>
      </c>
      <c r="I67" s="80">
        <f>SUM(I60:I64)</f>
        <v>15500</v>
      </c>
      <c r="J67" s="80">
        <f>SUM(J60:J64)</f>
        <v>108000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15" t="s">
        <v>58</v>
      </c>
      <c r="D68" s="416"/>
      <c r="E68" s="112"/>
      <c r="F68" s="288"/>
      <c r="G68" s="287"/>
      <c r="H68" s="113">
        <f>IF(DUNine=0,0,ROUND(SUM(L41:L65),-2))</f>
        <v>300</v>
      </c>
      <c r="I68" s="113"/>
      <c r="J68" s="287">
        <f>SUM(G68:I68)</f>
        <v>300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15" t="s">
        <v>59</v>
      </c>
      <c r="D69" s="416"/>
      <c r="E69" s="112"/>
      <c r="F69" s="288"/>
      <c r="G69" s="113"/>
      <c r="H69" s="113"/>
      <c r="I69" s="113">
        <f>IF(DUNine=0,0,ROUND(SUM(M41:M64),-2))</f>
        <v>-100</v>
      </c>
      <c r="J69" s="287">
        <f>SUM(G69:I69)</f>
        <v>-100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8"/>
      <c r="D70" s="409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10" t="s">
        <v>60</v>
      </c>
      <c r="D71" s="411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10" t="s">
        <v>99</v>
      </c>
      <c r="D72" s="412"/>
      <c r="E72" s="290">
        <f>CECPerm</f>
        <v>0.01</v>
      </c>
      <c r="F72" s="288"/>
      <c r="G72" s="356">
        <f>IF(DUNine=0,0,IF(DUNine&lt;0,0,ROUND(AdjPermSalary*CECPerm,-2)))</f>
        <v>100</v>
      </c>
      <c r="H72" s="287"/>
      <c r="I72" s="287">
        <f>ROUND(($G72*PermVBBY+$G72*Retire1BY),-2)</f>
        <v>0</v>
      </c>
      <c r="J72" s="113">
        <f>SUM(G72:I72)</f>
        <v>100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10" t="s">
        <v>117</v>
      </c>
      <c r="D73" s="412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0.68</v>
      </c>
      <c r="G75" s="80">
        <f>SUM(G67:G74)</f>
        <v>75100</v>
      </c>
      <c r="H75" s="80">
        <f>SUM(H67:H74)</f>
        <v>17800</v>
      </c>
      <c r="I75" s="80">
        <f>SUM(I67:I74)</f>
        <v>15400</v>
      </c>
      <c r="J75" s="80">
        <f>SUM(J67:K74)</f>
        <v>108300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3" t="s">
        <v>63</v>
      </c>
      <c r="D76" s="414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6"/>
      <c r="D77" s="407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6"/>
      <c r="D78" s="407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6"/>
      <c r="D79" s="407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0.68</v>
      </c>
      <c r="G80" s="80">
        <f>SUM(G75:G79)</f>
        <v>75100</v>
      </c>
      <c r="H80" s="80">
        <f>SUM(H75:H79)</f>
        <v>17800</v>
      </c>
      <c r="I80" s="80">
        <f>SUM(I75:I79)</f>
        <v>15400</v>
      </c>
      <c r="J80" s="80">
        <f>SUM(J75:J79)</f>
        <v>108300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52" priority="8">
      <formula>$J$44&lt;0</formula>
    </cfRule>
  </conditionalFormatting>
  <conditionalFormatting sqref="K43">
    <cfRule type="expression" dxfId="51" priority="7">
      <formula>$J$43&lt;0</formula>
    </cfRule>
  </conditionalFormatting>
  <conditionalFormatting sqref="L16">
    <cfRule type="expression" dxfId="50" priority="6">
      <formula>$J$16&lt;0</formula>
    </cfRule>
  </conditionalFormatting>
  <conditionalFormatting sqref="K45">
    <cfRule type="expression" dxfId="49" priority="5">
      <formula>$J$44&lt;0</formula>
    </cfRule>
  </conditionalFormatting>
  <conditionalFormatting sqref="K43:N45">
    <cfRule type="containsText" dxfId="48" priority="4" operator="containsText" text="underfunding">
      <formula>NOT(ISERROR(SEARCH("underfunding",K43)))</formula>
    </cfRule>
  </conditionalFormatting>
  <conditionalFormatting sqref="K44">
    <cfRule type="expression" dxfId="47" priority="3">
      <formula>$J$44&lt;0</formula>
    </cfRule>
  </conditionalFormatting>
  <conditionalFormatting sqref="K45">
    <cfRule type="expression" dxfId="46" priority="2">
      <formula>$J$44&lt;0</formula>
    </cfRule>
  </conditionalFormatting>
  <conditionalFormatting sqref="K45">
    <cfRule type="expression" dxfId="45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8036F2B-1654-4866-9723-73FD3E239094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6803B-2220-4D4A-B459-1D1011E58092}">
  <sheetPr codeName="Sheet11">
    <pageSetUpPr fitToPage="1"/>
  </sheetPr>
  <dimension ref="A1:CP80"/>
  <sheetViews>
    <sheetView showGridLines="0" topLeftCell="A40" zoomScaleNormal="100" workbookViewId="0">
      <selection activeCell="G10" sqref="G10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824</v>
      </c>
      <c r="E1" s="15"/>
      <c r="F1" s="15"/>
      <c r="G1" s="15"/>
      <c r="H1" s="15"/>
      <c r="I1" s="15"/>
      <c r="J1" s="15"/>
      <c r="K1" s="15"/>
      <c r="L1" s="16" t="s">
        <v>14</v>
      </c>
      <c r="M1" s="471">
        <v>170</v>
      </c>
      <c r="N1" s="472"/>
      <c r="AA1" s="365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 t="s">
        <v>825</v>
      </c>
      <c r="E2" s="21"/>
      <c r="F2" s="21"/>
      <c r="G2" s="21"/>
      <c r="H2" s="21"/>
      <c r="I2" s="21"/>
      <c r="J2" s="20"/>
      <c r="K2" s="20"/>
      <c r="L2" s="22" t="s">
        <v>111</v>
      </c>
      <c r="M2" s="473" t="s">
        <v>860</v>
      </c>
      <c r="N2" s="474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 t="s">
        <v>847</v>
      </c>
      <c r="E3" s="24"/>
      <c r="F3" s="25"/>
      <c r="G3" s="25"/>
      <c r="H3" s="25"/>
      <c r="I3" s="26"/>
      <c r="J3" s="20"/>
      <c r="K3" s="20"/>
      <c r="L3" s="22" t="s">
        <v>112</v>
      </c>
      <c r="M3" s="471" t="s">
        <v>439</v>
      </c>
      <c r="N3" s="472"/>
      <c r="AA3" s="365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71">
        <v>2024</v>
      </c>
      <c r="N4" s="472"/>
      <c r="AA4" s="365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73" t="s">
        <v>858</v>
      </c>
      <c r="J5" s="475"/>
      <c r="K5" s="475"/>
      <c r="L5" s="474"/>
      <c r="M5" s="352" t="s">
        <v>113</v>
      </c>
      <c r="N5" s="32" t="s">
        <v>859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1" t="s">
        <v>21</v>
      </c>
      <c r="C8" s="476" t="s">
        <v>22</v>
      </c>
      <c r="D8" s="477"/>
      <c r="E8" s="371" t="s">
        <v>23</v>
      </c>
      <c r="F8" s="49" t="s">
        <v>24</v>
      </c>
      <c r="G8" s="50" t="str">
        <f>"FY "&amp;'EDBE|0344-00'!FiscalYear-1&amp;" SALARY"</f>
        <v>FY 2023 SALARY</v>
      </c>
      <c r="H8" s="50" t="str">
        <f>"FY "&amp;'EDBE|0344-00'!FiscalYear-1&amp;" HEALTH BENEFITS"</f>
        <v>FY 2023 HEALTH BENEFITS</v>
      </c>
      <c r="I8" s="50" t="str">
        <f>"FY "&amp;'EDBE|0344-00'!FiscalYear-1&amp;" VAR BENEFITS"</f>
        <v>FY 2023 VAR BENEFITS</v>
      </c>
      <c r="J8" s="50" t="str">
        <f>"FY "&amp;'EDBE|0344-00'!FiscalYear-1&amp;" TOTAL"</f>
        <v>FY 2023 TOTAL</v>
      </c>
      <c r="K8" s="50" t="str">
        <f>"FY "&amp;'EDBE|0344-00'!FiscalYear&amp;" SALARY CHANGE"</f>
        <v>FY 2024 SALARY CHANGE</v>
      </c>
      <c r="L8" s="50" t="str">
        <f>"FY "&amp;'EDBE|0344-00'!FiscalYear&amp;" CHG HEALTH BENEFITS"</f>
        <v>FY 2024 CHG HEALTH BENEFITS</v>
      </c>
      <c r="M8" s="50" t="str">
        <f>"FY "&amp;'EDBE|0344-00'!FiscalYear&amp;"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7" t="s">
        <v>103</v>
      </c>
      <c r="AB8" s="467"/>
      <c r="AC8" s="467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8" t="s">
        <v>26</v>
      </c>
      <c r="D9" s="469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7" t="s">
        <v>27</v>
      </c>
      <c r="D10" s="470"/>
      <c r="E10" s="217">
        <v>1</v>
      </c>
      <c r="F10" s="288">
        <f>[0]!EDBE034400col_INC_FTI</f>
        <v>0</v>
      </c>
      <c r="G10" s="218">
        <f>[0]!EDBE034400col_FTI_SALARY_PERM</f>
        <v>0</v>
      </c>
      <c r="H10" s="218">
        <f>[0]!EDBE034400col_HEALTH_PERM</f>
        <v>0</v>
      </c>
      <c r="I10" s="218">
        <f>[0]!EDBE034400col_TOT_VB_PERM</f>
        <v>0</v>
      </c>
      <c r="J10" s="219">
        <f>SUM(G10:I10)</f>
        <v>0</v>
      </c>
      <c r="K10" s="219">
        <f>[0]!EDBE034400col_1_27TH_PP</f>
        <v>0</v>
      </c>
      <c r="L10" s="218">
        <f>[0]!EDBE034400col_HEALTH_PERM_CHG</f>
        <v>0</v>
      </c>
      <c r="M10" s="218">
        <f>[0]!EDBE034400col_TOT_VB_PERM_CHG</f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7" t="s">
        <v>28</v>
      </c>
      <c r="D11" s="470"/>
      <c r="E11" s="217">
        <v>2</v>
      </c>
      <c r="F11" s="288"/>
      <c r="G11" s="218">
        <f>[0]!EDBE034400col_Group_Salary</f>
        <v>0</v>
      </c>
      <c r="H11" s="218">
        <v>0</v>
      </c>
      <c r="I11" s="218">
        <f>[0]!EDBE034400col_Group_Ben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7" t="s">
        <v>29</v>
      </c>
      <c r="D12" s="448"/>
      <c r="E12" s="217">
        <v>3</v>
      </c>
      <c r="F12" s="288">
        <f>[0]!EDBE034400col_TOTAL_ELECT_PCN_FTI</f>
        <v>0</v>
      </c>
      <c r="G12" s="218">
        <f>[0]!EDBE034400col_FTI_SALARY_ELECT</f>
        <v>0</v>
      </c>
      <c r="H12" s="218">
        <f>[0]!EDBE034400col_HEALTH_ELECT</f>
        <v>0</v>
      </c>
      <c r="I12" s="218">
        <f>[0]!EDBE034400col_TOT_VB_ELECT</f>
        <v>0</v>
      </c>
      <c r="J12" s="219">
        <f>SUM(G12:I12)</f>
        <v>0</v>
      </c>
      <c r="K12" s="268"/>
      <c r="L12" s="218">
        <f>[0]!EDBE034400col_HEALTH_ELECT_CHG</f>
        <v>0</v>
      </c>
      <c r="M12" s="218">
        <f>[0]!EDBE034400col_TOT_VB_ELECT_CHG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7" t="s">
        <v>30</v>
      </c>
      <c r="D13" s="470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"&amp;'EDBE|0344-00'!FiscalYear-1</f>
        <v>FY 2023</v>
      </c>
      <c r="D15" s="158" t="s">
        <v>31</v>
      </c>
      <c r="E15" s="355">
        <v>478000</v>
      </c>
      <c r="F15" s="55">
        <v>0</v>
      </c>
      <c r="G15" s="223" t="e">
        <f>IF(OrigApprop=0,0,(G13/$J$13)*OrigApprop)</f>
        <v>#DIV/0!</v>
      </c>
      <c r="H15" s="223" t="e">
        <f>IF(OrigApprop=0,0,(H13/$J$13)*OrigApprop)</f>
        <v>#DIV/0!</v>
      </c>
      <c r="I15" s="223" t="e">
        <f>IF(G15=0,0,(I13/$J$13)*OrigApprop)</f>
        <v>#DIV/0!</v>
      </c>
      <c r="J15" s="223" t="e">
        <f>SUM(G15:I15)</f>
        <v>#DIV/0!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7" t="s">
        <v>32</v>
      </c>
      <c r="D16" s="458"/>
      <c r="E16" s="160" t="s">
        <v>33</v>
      </c>
      <c r="F16" s="161">
        <f>F15-F13</f>
        <v>0</v>
      </c>
      <c r="G16" s="162" t="e">
        <f>G15-G13</f>
        <v>#DIV/0!</v>
      </c>
      <c r="H16" s="162" t="e">
        <f>H15-H13</f>
        <v>#DIV/0!</v>
      </c>
      <c r="I16" s="162" t="e">
        <f>I15-I13</f>
        <v>#DIV/0!</v>
      </c>
      <c r="J16" s="162" t="e">
        <f>J15-J13</f>
        <v>#DIV/0!</v>
      </c>
      <c r="K16" s="269"/>
      <c r="L16" s="56" t="e">
        <f>IF('EDBE|0344-00'!OrigApprop=0,"No Original Appropriation amount in DU 3.00 for this fund","Calculated "&amp;IF('EDBE|0344-00'!AdjustedTotal&gt;0,"overfunding ","underfunding ")&amp;"is "&amp;TEXT('EDBE|0344-00'!AdjustedTotal/'EDBE|0344-00'!AppropTotal,"#.0%;(#.0% );0% ;")&amp;" of Original Appropriation")</f>
        <v>#DIV/0!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9" t="s">
        <v>34</v>
      </c>
      <c r="D17" s="460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61" t="s">
        <v>35</v>
      </c>
      <c r="D18" s="462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63" t="s">
        <v>37</v>
      </c>
      <c r="D37" s="464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5" t="s">
        <v>105</v>
      </c>
      <c r="AB37" s="466"/>
      <c r="AC37" s="466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7" t="str">
        <f>perm_name</f>
        <v>Permanent Positions</v>
      </c>
      <c r="D38" s="448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7" t="str">
        <f>Group_name</f>
        <v>Board &amp; Group Positions</v>
      </c>
      <c r="D39" s="448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7" t="s">
        <v>38</v>
      </c>
      <c r="D41" s="448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9"/>
      <c r="D42" s="450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51" t="s">
        <v>39</v>
      </c>
      <c r="D43" s="452"/>
      <c r="E43" s="203" t="s">
        <v>40</v>
      </c>
      <c r="F43" s="205">
        <f>ROUND(F51-F41,2)</f>
        <v>0</v>
      </c>
      <c r="G43" s="206" t="e">
        <f>G51-G41</f>
        <v>#DIV/0!</v>
      </c>
      <c r="H43" s="159" t="e">
        <f>H51-H41</f>
        <v>#DIV/0!</v>
      </c>
      <c r="I43" s="159" t="e">
        <f>I51-I41</f>
        <v>#DIV/0!</v>
      </c>
      <c r="J43" s="159" t="e">
        <f>SUM(G43:I43)</f>
        <v>#DIV/0!</v>
      </c>
      <c r="K43" s="428" t="e">
        <f>IF(E51=0,"No Original Appropriation amount in DU 3.00 for this fund","Calculated "&amp;IF(J43&gt;0,"overfunding ","underfunding ")&amp;"is "&amp;TEXT(J43/J51,"#.0%;(#.0% );0%;")&amp;" of Original Appropriation")</f>
        <v>#DIV/0!</v>
      </c>
      <c r="L43" s="429"/>
      <c r="M43" s="429"/>
      <c r="N43" s="430"/>
      <c r="O43"/>
      <c r="P43"/>
      <c r="Q43"/>
      <c r="R43"/>
      <c r="S43"/>
      <c r="T43"/>
      <c r="U43"/>
      <c r="V43"/>
      <c r="W43"/>
      <c r="X43"/>
      <c r="Y43"/>
      <c r="Z43" s="344"/>
      <c r="AA43" s="455" t="s">
        <v>106</v>
      </c>
      <c r="AB43" s="456"/>
      <c r="AC43" s="456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3"/>
      <c r="D44" s="454"/>
      <c r="E44" s="204" t="s">
        <v>41</v>
      </c>
      <c r="F44" s="205">
        <f>ROUND(F60-F41,2)</f>
        <v>0</v>
      </c>
      <c r="G44" s="206" t="e">
        <f>G60-G41</f>
        <v>#DIV/0!</v>
      </c>
      <c r="H44" s="159" t="e">
        <f>H60-H41</f>
        <v>#DIV/0!</v>
      </c>
      <c r="I44" s="159" t="e">
        <f>I60-I41</f>
        <v>#DIV/0!</v>
      </c>
      <c r="J44" s="159" t="e">
        <f>SUM(G44:I44)</f>
        <v>#DIV/0!</v>
      </c>
      <c r="K44" s="428" t="e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#DIV/0!</v>
      </c>
      <c r="L44" s="429"/>
      <c r="M44" s="429"/>
      <c r="N44" s="430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0</v>
      </c>
      <c r="G45" s="206" t="e">
        <f>G67-G41-G63</f>
        <v>#DIV/0!</v>
      </c>
      <c r="H45" s="206" t="e">
        <f>H67-H41-H63</f>
        <v>#DIV/0!</v>
      </c>
      <c r="I45" s="206" t="e">
        <f>I67-I41-I63</f>
        <v>#DIV/0!</v>
      </c>
      <c r="J45" s="159" t="e">
        <f>SUM(G45:I45)</f>
        <v>#DIV/0!</v>
      </c>
      <c r="K45" s="428" t="e">
        <f>IF(J67=0,"This fund has a $0 Base in DU 9.00",IF(J67=0,"ERROR! Verify/enter 8 series adjustments!","Calculated "&amp;IF(J45&gt;0,"overfunding ","underfunding ")&amp;"is "&amp;TEXT(J45/J67,"#.0%;(#.0% );0%;")&amp;" of the Base"))</f>
        <v>#DIV/0!</v>
      </c>
      <c r="L45" s="429"/>
      <c r="M45" s="429"/>
      <c r="N45" s="430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31" t="s">
        <v>98</v>
      </c>
      <c r="F46" s="432"/>
      <c r="G46" s="432"/>
      <c r="H46" s="432"/>
      <c r="I46" s="432"/>
      <c r="J46" s="433"/>
      <c r="K46" s="437" t="e">
        <f>IF(OR(J45&lt;0,F45&lt;0),"You may not have sufficient funding or authorized FTP, and may need to make additional adjustments to finalize this form.  Please contact both your DFM and LSO analysts.","")</f>
        <v>#DIV/0!</v>
      </c>
      <c r="L46" s="438"/>
      <c r="M46" s="438"/>
      <c r="N46" s="439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4"/>
      <c r="F47" s="435"/>
      <c r="G47" s="435"/>
      <c r="H47" s="435"/>
      <c r="I47" s="435"/>
      <c r="J47" s="436"/>
      <c r="K47" s="440"/>
      <c r="L47" s="441"/>
      <c r="M47" s="441"/>
      <c r="N47" s="442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3"/>
      <c r="D50" s="444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478000</v>
      </c>
      <c r="F51" s="272">
        <f>AppropFTP</f>
        <v>0</v>
      </c>
      <c r="G51" s="274" t="e">
        <f>IF(E51=0,0,(G41/$J$41)*$E$51)</f>
        <v>#DIV/0!</v>
      </c>
      <c r="H51" s="274" t="e">
        <f>IF(E51=0,0,(H41/$J$41)*$E$51)</f>
        <v>#DIV/0!</v>
      </c>
      <c r="I51" s="275" t="e">
        <f>IF(E51=0,0,(I41/$J$41)*$E$51)</f>
        <v>#DIV/0!</v>
      </c>
      <c r="J51" s="90" t="e">
        <f>SUM(G51:I51)</f>
        <v>#DIV/0!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0</v>
      </c>
      <c r="G52" s="79" t="e">
        <f>ROUND(G51,-2)</f>
        <v>#DIV/0!</v>
      </c>
      <c r="H52" s="79" t="e">
        <f>ROUND(H51,-2)</f>
        <v>#DIV/0!</v>
      </c>
      <c r="I52" s="266" t="e">
        <f>ROUND(I51,-2)</f>
        <v>#DIV/0!</v>
      </c>
      <c r="J52" s="80" t="e">
        <f>ROUND(J51,-2)</f>
        <v>#DIV/0!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5" t="s">
        <v>47</v>
      </c>
      <c r="D53" s="446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10" t="s">
        <v>48</v>
      </c>
      <c r="D54" s="411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17" t="s">
        <v>49</v>
      </c>
      <c r="D55" s="418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0</v>
      </c>
      <c r="G56" s="80" t="e">
        <f>SUM(G52:G55)</f>
        <v>#DIV/0!</v>
      </c>
      <c r="H56" s="80" t="e">
        <f>SUM(H52:H55)</f>
        <v>#DIV/0!</v>
      </c>
      <c r="I56" s="260" t="e">
        <f>SUM(I52:I55)</f>
        <v>#DIV/0!</v>
      </c>
      <c r="J56" s="80" t="e">
        <f>SUM(J52:J55)</f>
        <v>#DIV/0!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15" t="s">
        <v>51</v>
      </c>
      <c r="D57" s="419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20" t="s">
        <v>116</v>
      </c>
      <c r="D58" s="421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20" t="s">
        <v>52</v>
      </c>
      <c r="D59" s="421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0</v>
      </c>
      <c r="G60" s="80" t="e">
        <f>SUM(G56:G59)</f>
        <v>#DIV/0!</v>
      </c>
      <c r="H60" s="80" t="e">
        <f>SUM(H56:H59)</f>
        <v>#DIV/0!</v>
      </c>
      <c r="I60" s="260" t="e">
        <f>SUM(I56:I59)</f>
        <v>#DIV/0!</v>
      </c>
      <c r="J60" s="80" t="e">
        <f>SUM(J56:J59)</f>
        <v>#DIV/0!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15" t="s">
        <v>54</v>
      </c>
      <c r="D61" s="419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10" t="s">
        <v>65</v>
      </c>
      <c r="D62" s="411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10" t="s">
        <v>55</v>
      </c>
      <c r="D63" s="411"/>
      <c r="E63" s="102"/>
      <c r="F63" s="58">
        <v>0</v>
      </c>
      <c r="G63" s="89">
        <f>ROUND((OneTimePC_Total-H63)/(1+(PermVB+Retire1)),-2)</f>
        <v>-396200</v>
      </c>
      <c r="H63" s="89">
        <f>ROUND(IF(AND(F63&lt;0,OneTimePC_Total&lt;0),F63*Health,0),-2)</f>
        <v>0</v>
      </c>
      <c r="I63" s="310">
        <f>OneTimePC_Total-G63-H63</f>
        <v>-81800</v>
      </c>
      <c r="J63" s="89">
        <v>-478000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22" t="s">
        <v>56</v>
      </c>
      <c r="D64" s="423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24"/>
      <c r="D65" s="425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26"/>
      <c r="D66" s="427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0</v>
      </c>
      <c r="G67" s="80" t="e">
        <f>SUM(G60:G64)</f>
        <v>#DIV/0!</v>
      </c>
      <c r="H67" s="80" t="e">
        <f>SUM(H60:H64)</f>
        <v>#DIV/0!</v>
      </c>
      <c r="I67" s="80" t="e">
        <f>SUM(I60:I64)</f>
        <v>#DIV/0!</v>
      </c>
      <c r="J67" s="80" t="e">
        <f>SUM(J60:J64)</f>
        <v>#DIV/0!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15" t="s">
        <v>58</v>
      </c>
      <c r="D68" s="416"/>
      <c r="E68" s="112"/>
      <c r="F68" s="288"/>
      <c r="G68" s="287"/>
      <c r="H68" s="113" t="e">
        <f>IF(DUNine=0,0,ROUND(SUM(L41:L65),-2))</f>
        <v>#DIV/0!</v>
      </c>
      <c r="I68" s="113"/>
      <c r="J68" s="287" t="e">
        <f>SUM(G68:I68)</f>
        <v>#DIV/0!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15" t="s">
        <v>59</v>
      </c>
      <c r="D69" s="416"/>
      <c r="E69" s="112"/>
      <c r="F69" s="288"/>
      <c r="G69" s="113"/>
      <c r="H69" s="113"/>
      <c r="I69" s="113" t="e">
        <f>IF(DUNine=0,0,ROUND(SUM(M41:M64),-2))</f>
        <v>#DIV/0!</v>
      </c>
      <c r="J69" s="287" t="e">
        <f>SUM(G69:I69)</f>
        <v>#DIV/0!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8"/>
      <c r="D70" s="409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10" t="s">
        <v>60</v>
      </c>
      <c r="D71" s="411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10" t="s">
        <v>99</v>
      </c>
      <c r="D72" s="412"/>
      <c r="E72" s="290">
        <f>CECPerm</f>
        <v>0.01</v>
      </c>
      <c r="F72" s="288"/>
      <c r="G72" s="356" t="e">
        <f>IF(DUNine=0,0,IF(DUNine&lt;0,0,ROUND(AdjPermSalary*CECPerm,-2)))</f>
        <v>#DIV/0!</v>
      </c>
      <c r="H72" s="287"/>
      <c r="I72" s="287" t="e">
        <f>ROUND(($G72*PermVBBY+$G72*Retire1BY),-2)</f>
        <v>#DIV/0!</v>
      </c>
      <c r="J72" s="113" t="e">
        <f>SUM(G72:I72)</f>
        <v>#DIV/0!</v>
      </c>
      <c r="K72" s="296"/>
      <c r="L72" s="298"/>
      <c r="M72" s="350" t="e">
        <f>IF(DUNine=0,0,IF(((#REF!-G39-G40)*E72)&lt;0,0,ROUND(((#REF!-G39-G40)*E72),-2)))</f>
        <v>#DIV/0!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#DIV/0!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10" t="s">
        <v>117</v>
      </c>
      <c r="D73" s="412"/>
      <c r="E73" s="289">
        <f>CECGroup</f>
        <v>0.01</v>
      </c>
      <c r="F73" s="288"/>
      <c r="G73" s="356" t="e">
        <f>IF(DUNine=0,0,IF(DUNine&lt;0,0,ROUND(AdjGroupSalary*CECGroup,-2)))</f>
        <v>#DIV/0!</v>
      </c>
      <c r="H73" s="287"/>
      <c r="I73" s="287" t="e">
        <f>ROUND(($G73*GroupVBBY),-2)</f>
        <v>#DIV/0!</v>
      </c>
      <c r="J73" s="113" t="e">
        <f t="shared" si="11"/>
        <v>#DIV/0!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0</v>
      </c>
      <c r="G75" s="80" t="e">
        <f>SUM(G67:G74)</f>
        <v>#DIV/0!</v>
      </c>
      <c r="H75" s="80" t="e">
        <f>SUM(H67:H74)</f>
        <v>#DIV/0!</v>
      </c>
      <c r="I75" s="80" t="e">
        <f>SUM(I67:I74)</f>
        <v>#DIV/0!</v>
      </c>
      <c r="J75" s="80" t="e">
        <f>SUM(J67:K74)</f>
        <v>#DIV/0!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3" t="s">
        <v>63</v>
      </c>
      <c r="D76" s="414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6"/>
      <c r="D77" s="407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6"/>
      <c r="D78" s="407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6"/>
      <c r="D79" s="407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0</v>
      </c>
      <c r="G80" s="80" t="e">
        <f>SUM(G75:G79)</f>
        <v>#DIV/0!</v>
      </c>
      <c r="H80" s="80" t="e">
        <f>SUM(H75:H79)</f>
        <v>#DIV/0!</v>
      </c>
      <c r="I80" s="80" t="e">
        <f>SUM(I75:I79)</f>
        <v>#DIV/0!</v>
      </c>
      <c r="J80" s="80" t="e">
        <f>SUM(J75:J79)</f>
        <v>#DIV/0!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44" priority="8">
      <formula>$J$44&lt;0</formula>
    </cfRule>
  </conditionalFormatting>
  <conditionalFormatting sqref="K43">
    <cfRule type="expression" dxfId="43" priority="7">
      <formula>$J$43&lt;0</formula>
    </cfRule>
  </conditionalFormatting>
  <conditionalFormatting sqref="L16">
    <cfRule type="expression" dxfId="42" priority="6">
      <formula>$J$16&lt;0</formula>
    </cfRule>
  </conditionalFormatting>
  <conditionalFormatting sqref="K45">
    <cfRule type="expression" dxfId="41" priority="5">
      <formula>$J$44&lt;0</formula>
    </cfRule>
  </conditionalFormatting>
  <conditionalFormatting sqref="K43:N45">
    <cfRule type="containsText" dxfId="40" priority="4" operator="containsText" text="underfunding">
      <formula>NOT(ISERROR(SEARCH("underfunding",K43)))</formula>
    </cfRule>
  </conditionalFormatting>
  <conditionalFormatting sqref="K44">
    <cfRule type="expression" dxfId="39" priority="3">
      <formula>$J$44&lt;0</formula>
    </cfRule>
  </conditionalFormatting>
  <conditionalFormatting sqref="K45">
    <cfRule type="expression" dxfId="38" priority="2">
      <formula>$J$44&lt;0</formula>
    </cfRule>
  </conditionalFormatting>
  <conditionalFormatting sqref="K45">
    <cfRule type="expression" dxfId="37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1F5EC29-A290-4127-AE11-D33044F5777C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7E34B-04D8-4ECC-BD10-AC2574390B6A}">
  <sheetPr codeName="Sheet16">
    <pageSetUpPr fitToPage="1"/>
  </sheetPr>
  <dimension ref="A1:CP80"/>
  <sheetViews>
    <sheetView showGridLines="0" topLeftCell="A46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824</v>
      </c>
      <c r="E1" s="15"/>
      <c r="F1" s="15"/>
      <c r="G1" s="15"/>
      <c r="H1" s="15"/>
      <c r="I1" s="15"/>
      <c r="J1" s="15"/>
      <c r="K1" s="15"/>
      <c r="L1" s="16" t="s">
        <v>14</v>
      </c>
      <c r="M1" s="471">
        <v>170</v>
      </c>
      <c r="N1" s="472"/>
      <c r="AA1" s="365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 t="s">
        <v>825</v>
      </c>
      <c r="E2" s="21"/>
      <c r="F2" s="21"/>
      <c r="G2" s="21"/>
      <c r="H2" s="21"/>
      <c r="I2" s="21"/>
      <c r="J2" s="20"/>
      <c r="K2" s="20"/>
      <c r="L2" s="22" t="s">
        <v>111</v>
      </c>
      <c r="M2" s="473" t="s">
        <v>892</v>
      </c>
      <c r="N2" s="474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 t="s">
        <v>847</v>
      </c>
      <c r="E3" s="24"/>
      <c r="F3" s="25"/>
      <c r="G3" s="25"/>
      <c r="H3" s="25"/>
      <c r="I3" s="26"/>
      <c r="J3" s="20"/>
      <c r="K3" s="20"/>
      <c r="L3" s="22" t="s">
        <v>112</v>
      </c>
      <c r="M3" s="471" t="s">
        <v>764</v>
      </c>
      <c r="N3" s="472"/>
      <c r="AA3" s="365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71">
        <v>2024</v>
      </c>
      <c r="N4" s="472"/>
      <c r="AA4" s="365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73" t="s">
        <v>890</v>
      </c>
      <c r="J5" s="475"/>
      <c r="K5" s="475"/>
      <c r="L5" s="474"/>
      <c r="M5" s="352" t="s">
        <v>113</v>
      </c>
      <c r="N5" s="32" t="s">
        <v>891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1" t="s">
        <v>21</v>
      </c>
      <c r="C8" s="476" t="s">
        <v>22</v>
      </c>
      <c r="D8" s="477"/>
      <c r="E8" s="371" t="s">
        <v>23</v>
      </c>
      <c r="F8" s="49" t="s">
        <v>24</v>
      </c>
      <c r="G8" s="50" t="str">
        <f>"FY "&amp;'EDBG|0345-00'!FiscalYear-1&amp;" SALARY"</f>
        <v>FY 2023 SALARY</v>
      </c>
      <c r="H8" s="50" t="str">
        <f>"FY "&amp;'EDBG|0345-00'!FiscalYear-1&amp;" HEALTH BENEFITS"</f>
        <v>FY 2023 HEALTH BENEFITS</v>
      </c>
      <c r="I8" s="50" t="str">
        <f>"FY "&amp;'EDBG|0345-00'!FiscalYear-1&amp;" VAR BENEFITS"</f>
        <v>FY 2023 VAR BENEFITS</v>
      </c>
      <c r="J8" s="50" t="str">
        <f>"FY "&amp;'EDBG|0345-00'!FiscalYear-1&amp;" TOTAL"</f>
        <v>FY 2023 TOTAL</v>
      </c>
      <c r="K8" s="50" t="str">
        <f>"FY "&amp;'EDBG|0345-00'!FiscalYear&amp;" SALARY CHANGE"</f>
        <v>FY 2024 SALARY CHANGE</v>
      </c>
      <c r="L8" s="50" t="str">
        <f>"FY "&amp;'EDBG|0345-00'!FiscalYear&amp;" CHG HEALTH BENEFITS"</f>
        <v>FY 2024 CHG HEALTH BENEFITS</v>
      </c>
      <c r="M8" s="50" t="str">
        <f>"FY "&amp;'EDBG|0345-00'!FiscalYear&amp;"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7" t="s">
        <v>103</v>
      </c>
      <c r="AB8" s="467"/>
      <c r="AC8" s="467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8" t="s">
        <v>26</v>
      </c>
      <c r="D9" s="469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7" t="s">
        <v>27</v>
      </c>
      <c r="D10" s="470"/>
      <c r="E10" s="217">
        <v>1</v>
      </c>
      <c r="F10" s="288">
        <f>[0]!EDBG034500col_INC_FTI</f>
        <v>3.55</v>
      </c>
      <c r="G10" s="218">
        <f>[0]!EDBG034500col_FTI_SALARY_PERM</f>
        <v>242132.8</v>
      </c>
      <c r="H10" s="218">
        <f>[0]!EDBG034500col_HEALTH_PERM</f>
        <v>44375</v>
      </c>
      <c r="I10" s="218">
        <f>[0]!EDBG034500col_TOT_VB_PERM</f>
        <v>50027.057807999998</v>
      </c>
      <c r="J10" s="219">
        <f>SUM(G10:I10)</f>
        <v>336534.857808</v>
      </c>
      <c r="K10" s="219">
        <f>[0]!EDBG034500col_1_27TH_PP</f>
        <v>0</v>
      </c>
      <c r="L10" s="218">
        <f>[0]!EDBG034500col_HEALTH_PERM_CHG</f>
        <v>4437.5</v>
      </c>
      <c r="M10" s="218">
        <f>[0]!EDBG034500col_TOT_VB_PERM_CHG</f>
        <v>-1743.3561600000023</v>
      </c>
      <c r="N10" s="218">
        <f>SUM(L10:M10)</f>
        <v>2694.1438399999979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2400</v>
      </c>
      <c r="AB10" s="335">
        <f>ROUND(PermVarBen*CECPerm+(CECPerm*PermVarBenChg),-2)</f>
        <v>500</v>
      </c>
      <c r="AC10" s="335">
        <f>SUM(AA10:AB10)</f>
        <v>2900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7" t="s">
        <v>28</v>
      </c>
      <c r="D11" s="470"/>
      <c r="E11" s="217">
        <v>2</v>
      </c>
      <c r="F11" s="288"/>
      <c r="G11" s="218">
        <f>[0]!EDBG034500col_Group_Salary</f>
        <v>0</v>
      </c>
      <c r="H11" s="218">
        <v>0</v>
      </c>
      <c r="I11" s="218">
        <f>[0]!EDBG034500col_Group_Ben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7" t="s">
        <v>29</v>
      </c>
      <c r="D12" s="448"/>
      <c r="E12" s="217">
        <v>3</v>
      </c>
      <c r="F12" s="288">
        <f>[0]!EDBG034500col_TOTAL_ELECT_PCN_FTI</f>
        <v>0</v>
      </c>
      <c r="G12" s="218">
        <f>[0]!EDBG034500col_FTI_SALARY_ELECT</f>
        <v>0</v>
      </c>
      <c r="H12" s="218">
        <f>[0]!EDBG034500col_HEALTH_ELECT</f>
        <v>0</v>
      </c>
      <c r="I12" s="218">
        <f>[0]!EDBG034500col_TOT_VB_ELECT</f>
        <v>0</v>
      </c>
      <c r="J12" s="219">
        <f>SUM(G12:I12)</f>
        <v>0</v>
      </c>
      <c r="K12" s="268"/>
      <c r="L12" s="218">
        <f>[0]!EDBG034500col_HEALTH_ELECT_CHG</f>
        <v>0</v>
      </c>
      <c r="M12" s="218">
        <f>[0]!EDBG034500col_TOT_VB_ELECT_CHG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7" t="s">
        <v>30</v>
      </c>
      <c r="D13" s="470"/>
      <c r="E13" s="217"/>
      <c r="F13" s="220">
        <f>SUM(F10:F12)</f>
        <v>3.55</v>
      </c>
      <c r="G13" s="221">
        <f>SUM(G10:G12)</f>
        <v>242132.8</v>
      </c>
      <c r="H13" s="221">
        <f>SUM(H10:H12)</f>
        <v>44375</v>
      </c>
      <c r="I13" s="221">
        <f>SUM(I10:I12)</f>
        <v>50027.057807999998</v>
      </c>
      <c r="J13" s="219">
        <f>SUM(G13:I13)</f>
        <v>336534.857808</v>
      </c>
      <c r="K13" s="268"/>
      <c r="L13" s="219">
        <f>SUM(L10:L12)</f>
        <v>4437.5</v>
      </c>
      <c r="M13" s="219">
        <f>SUM(M10:M12)</f>
        <v>-1743.3561600000023</v>
      </c>
      <c r="N13" s="219">
        <f>SUM(N10:N12)</f>
        <v>2694.1438399999979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"&amp;'EDBG|0345-00'!FiscalYear-1</f>
        <v>FY 2023</v>
      </c>
      <c r="D15" s="158" t="s">
        <v>31</v>
      </c>
      <c r="E15" s="355">
        <v>150000</v>
      </c>
      <c r="F15" s="55">
        <v>0</v>
      </c>
      <c r="G15" s="223">
        <f>IF(OrigApprop=0,0,(G13/$J$13)*OrigApprop)</f>
        <v>107923.20366623433</v>
      </c>
      <c r="H15" s="223">
        <f>IF(OrigApprop=0,0,(H13/$J$13)*OrigApprop)</f>
        <v>19778.783224284976</v>
      </c>
      <c r="I15" s="223">
        <f>IF(G15=0,0,(I13/$J$13)*OrigApprop)</f>
        <v>22298.013109480675</v>
      </c>
      <c r="J15" s="223">
        <f>SUM(G15:I15)</f>
        <v>149999.99999999997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7" t="s">
        <v>32</v>
      </c>
      <c r="D16" s="458"/>
      <c r="E16" s="160" t="s">
        <v>33</v>
      </c>
      <c r="F16" s="161">
        <f>F15-F13</f>
        <v>-3.55</v>
      </c>
      <c r="G16" s="162">
        <f>G15-G13</f>
        <v>-134209.59633376566</v>
      </c>
      <c r="H16" s="162">
        <f>H15-H13</f>
        <v>-24596.216775715024</v>
      </c>
      <c r="I16" s="162">
        <f>I15-I13</f>
        <v>-27729.044698519323</v>
      </c>
      <c r="J16" s="162">
        <f>J15-J13</f>
        <v>-186534.85780800003</v>
      </c>
      <c r="K16" s="269"/>
      <c r="L16" s="56" t="str">
        <f>IF('EDBG|0345-00'!OrigApprop=0,"No Original Appropriation amount in DU 3.00 for this fund","Calculated "&amp;IF('EDBG|0345-00'!AdjustedTotal&gt;0,"overfunding ","underfunding ")&amp;"is "&amp;TEXT('EDBG|0345-00'!AdjustedTotal/'EDBG|0345-00'!AppropTotal,"#.0%;(#.0% );0% ;")&amp;" of Original Appropriation")</f>
        <v>Calculated underfunding is (124.4% )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9" t="s">
        <v>34</v>
      </c>
      <c r="D17" s="460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61" t="s">
        <v>35</v>
      </c>
      <c r="D18" s="462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63" t="s">
        <v>37</v>
      </c>
      <c r="D37" s="464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5" t="s">
        <v>105</v>
      </c>
      <c r="AB37" s="466"/>
      <c r="AC37" s="466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7" t="str">
        <f>perm_name</f>
        <v>Permanent Positions</v>
      </c>
      <c r="D38" s="448"/>
      <c r="E38" s="189">
        <v>1</v>
      </c>
      <c r="F38" s="190">
        <f>SUMIF($E9:$E35,$E38,$F9:$F35)</f>
        <v>3.55</v>
      </c>
      <c r="G38" s="191">
        <f>SUMIF($E10:$E35,$E38,$G10:$G35)</f>
        <v>242132.8</v>
      </c>
      <c r="H38" s="192">
        <f>SUMIF($E10:$E35,$E38,$H10:$H35)</f>
        <v>44375</v>
      </c>
      <c r="I38" s="192">
        <f>SUMIF($E10:$E35,$E38,$I10:$I35)</f>
        <v>50027.057807999998</v>
      </c>
      <c r="J38" s="192">
        <f>SUM(G38:I38)</f>
        <v>336534.857808</v>
      </c>
      <c r="K38" s="166"/>
      <c r="L38" s="191">
        <f>SUMIF($E10:$E35,$E38,$L10:$L35)</f>
        <v>4437.5</v>
      </c>
      <c r="M38" s="192">
        <f>SUMIF($E10:$E35,$E38,$M10:$M35)</f>
        <v>-1743.3561600000023</v>
      </c>
      <c r="N38" s="192">
        <f>SUM(L38:M38)</f>
        <v>2694.1438399999979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2400</v>
      </c>
      <c r="AB38" s="338">
        <f>ROUND((AdjPermVB*CECPerm+AdjPermVBBY*CECPerm),-2)</f>
        <v>500</v>
      </c>
      <c r="AC38" s="338">
        <f>SUM(AA38:AB38)</f>
        <v>2900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7" t="str">
        <f>Group_name</f>
        <v>Board &amp; Group Positions</v>
      </c>
      <c r="D39" s="448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7" t="s">
        <v>38</v>
      </c>
      <c r="D41" s="448"/>
      <c r="E41" s="189"/>
      <c r="F41" s="161">
        <f>SUM(F38:F40)</f>
        <v>3.55</v>
      </c>
      <c r="G41" s="195">
        <f>SUM($G$38:$G$40)</f>
        <v>242132.8</v>
      </c>
      <c r="H41" s="162">
        <f>SUM($H$38:$H$40)</f>
        <v>44375</v>
      </c>
      <c r="I41" s="162">
        <f>SUM($I$38:$I$40)</f>
        <v>50027.057807999998</v>
      </c>
      <c r="J41" s="162">
        <f>SUM($J$38:$J$40)</f>
        <v>336534.857808</v>
      </c>
      <c r="K41" s="259"/>
      <c r="L41" s="195">
        <f>SUM($L$38:$L$40)</f>
        <v>4437.5</v>
      </c>
      <c r="M41" s="162">
        <f>SUM($M$38:$M$40)</f>
        <v>-1743.3561600000023</v>
      </c>
      <c r="N41" s="162">
        <f>SUM(L41:M41)</f>
        <v>2694.1438399999979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9"/>
      <c r="D42" s="450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51" t="s">
        <v>39</v>
      </c>
      <c r="D43" s="452"/>
      <c r="E43" s="203" t="s">
        <v>40</v>
      </c>
      <c r="F43" s="205">
        <f>ROUND(F51-F41,2)</f>
        <v>-3.55</v>
      </c>
      <c r="G43" s="206">
        <f>G51-G41</f>
        <v>-134209.59633376566</v>
      </c>
      <c r="H43" s="159">
        <f>H51-H41</f>
        <v>-24596.216775715024</v>
      </c>
      <c r="I43" s="159">
        <f>I51-I41</f>
        <v>-27729.044698519323</v>
      </c>
      <c r="J43" s="159">
        <f>SUM(G43:I43)</f>
        <v>-186534.857808</v>
      </c>
      <c r="K43" s="428" t="str">
        <f>IF(E51=0,"No Original Appropriation amount in DU 3.00 for this fund","Calculated "&amp;IF(J43&gt;0,"overfunding ","underfunding ")&amp;"is "&amp;TEXT(J43/J51,"#.0%;(#.0% );0%;")&amp;" of Original Appropriation")</f>
        <v>Calculated underfunding is (124.4% ) of Original Appropriation</v>
      </c>
      <c r="L43" s="429"/>
      <c r="M43" s="429"/>
      <c r="N43" s="430"/>
      <c r="O43"/>
      <c r="P43"/>
      <c r="Q43"/>
      <c r="R43"/>
      <c r="S43"/>
      <c r="T43"/>
      <c r="U43"/>
      <c r="V43"/>
      <c r="W43"/>
      <c r="X43"/>
      <c r="Y43"/>
      <c r="Z43" s="344"/>
      <c r="AA43" s="455" t="s">
        <v>106</v>
      </c>
      <c r="AB43" s="456"/>
      <c r="AC43" s="456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3"/>
      <c r="D44" s="454"/>
      <c r="E44" s="204" t="s">
        <v>41</v>
      </c>
      <c r="F44" s="205">
        <f>ROUND(F60-F41,2)</f>
        <v>-3.55</v>
      </c>
      <c r="G44" s="206">
        <f>G60-G41</f>
        <v>-134232.79999999999</v>
      </c>
      <c r="H44" s="159">
        <f>H60-H41</f>
        <v>-24575</v>
      </c>
      <c r="I44" s="159">
        <f>I60-I41</f>
        <v>-27727.057807999998</v>
      </c>
      <c r="J44" s="159">
        <f>SUM(G44:I44)</f>
        <v>-186534.857808</v>
      </c>
      <c r="K44" s="428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underfunding is (124.4% ) of Est. Expenditures</v>
      </c>
      <c r="L44" s="429"/>
      <c r="M44" s="429"/>
      <c r="N44" s="430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-3.55</v>
      </c>
      <c r="G45" s="206">
        <f>G67-G41-G63</f>
        <v>-134232.79999999999</v>
      </c>
      <c r="H45" s="206">
        <f>H67-H41-H63</f>
        <v>-24575</v>
      </c>
      <c r="I45" s="206">
        <f>I67-I41-I63</f>
        <v>-27727.057807999998</v>
      </c>
      <c r="J45" s="159">
        <f>SUM(G45:I45)</f>
        <v>-186534.857808</v>
      </c>
      <c r="K45" s="428" t="str">
        <f>IF(J67=0,"This fund has a $0 Base in DU 9.00",IF(J67=0,"ERROR! Verify/enter 8 series adjustments!","Calculated "&amp;IF(J45&gt;0,"overfunding ","underfunding ")&amp;"is "&amp;TEXT(J45/J67,"#.0%;(#.0% );0%;")&amp;" of the Base"))</f>
        <v>This fund has a $0 Base in DU 9.00</v>
      </c>
      <c r="L45" s="429"/>
      <c r="M45" s="429"/>
      <c r="N45" s="430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31" t="s">
        <v>98</v>
      </c>
      <c r="F46" s="432"/>
      <c r="G46" s="432"/>
      <c r="H46" s="432"/>
      <c r="I46" s="432"/>
      <c r="J46" s="433"/>
      <c r="K46" s="437" t="str">
        <f>IF(OR(J45&lt;0,F45&lt;0),"You may not have sufficient funding or authorized FTP, and may need to make additional adjustments to finalize this form.  Please contact both your DFM and LSO analysts.","")</f>
        <v>You may not have sufficient funding or authorized FTP, and may need to make additional adjustments to finalize this form.  Please contact both your DFM and LSO analysts.</v>
      </c>
      <c r="L46" s="438"/>
      <c r="M46" s="438"/>
      <c r="N46" s="439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4"/>
      <c r="F47" s="435"/>
      <c r="G47" s="435"/>
      <c r="H47" s="435"/>
      <c r="I47" s="435"/>
      <c r="J47" s="436"/>
      <c r="K47" s="440"/>
      <c r="L47" s="441"/>
      <c r="M47" s="441"/>
      <c r="N47" s="442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3"/>
      <c r="D50" s="444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150000</v>
      </c>
      <c r="F51" s="272">
        <f>AppropFTP</f>
        <v>0</v>
      </c>
      <c r="G51" s="274">
        <f>IF(E51=0,0,(G41/$J$41)*$E$51)</f>
        <v>107923.20366623433</v>
      </c>
      <c r="H51" s="274">
        <f>IF(E51=0,0,(H41/$J$41)*$E$51)</f>
        <v>19778.783224284976</v>
      </c>
      <c r="I51" s="275">
        <f>IF(E51=0,0,(I41/$J$41)*$E$51)</f>
        <v>22298.013109480675</v>
      </c>
      <c r="J51" s="90">
        <f>SUM(G51:I51)</f>
        <v>149999.99999999997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0</v>
      </c>
      <c r="G52" s="79">
        <f>ROUND(G51,-2)</f>
        <v>107900</v>
      </c>
      <c r="H52" s="79">
        <f>ROUND(H51,-2)</f>
        <v>19800</v>
      </c>
      <c r="I52" s="266">
        <f>ROUND(I51,-2)</f>
        <v>22300</v>
      </c>
      <c r="J52" s="80">
        <f>ROUND(J51,-2)</f>
        <v>150000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5" t="s">
        <v>47</v>
      </c>
      <c r="D53" s="446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10" t="s">
        <v>48</v>
      </c>
      <c r="D54" s="411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17" t="s">
        <v>49</v>
      </c>
      <c r="D55" s="418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0</v>
      </c>
      <c r="G56" s="80">
        <f>SUM(G52:G55)</f>
        <v>107900</v>
      </c>
      <c r="H56" s="80">
        <f>SUM(H52:H55)</f>
        <v>19800</v>
      </c>
      <c r="I56" s="260">
        <f>SUM(I52:I55)</f>
        <v>22300</v>
      </c>
      <c r="J56" s="80">
        <f>SUM(J52:J55)</f>
        <v>150000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15" t="s">
        <v>51</v>
      </c>
      <c r="D57" s="419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20" t="s">
        <v>116</v>
      </c>
      <c r="D58" s="421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20" t="s">
        <v>52</v>
      </c>
      <c r="D59" s="421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0</v>
      </c>
      <c r="G60" s="80">
        <f>SUM(G56:G59)</f>
        <v>107900</v>
      </c>
      <c r="H60" s="80">
        <f>SUM(H56:H59)</f>
        <v>19800</v>
      </c>
      <c r="I60" s="260">
        <f>SUM(I56:I59)</f>
        <v>22300</v>
      </c>
      <c r="J60" s="80">
        <f>SUM(J56:J59)</f>
        <v>150000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15" t="s">
        <v>54</v>
      </c>
      <c r="D61" s="419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10" t="s">
        <v>65</v>
      </c>
      <c r="D62" s="411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10" t="s">
        <v>55</v>
      </c>
      <c r="D63" s="411"/>
      <c r="E63" s="102"/>
      <c r="F63" s="58">
        <v>0</v>
      </c>
      <c r="G63" s="89">
        <f>ROUND((OneTimePC_Total-H63)/(1+(PermVB+Retire1)),-2)</f>
        <v>-124300</v>
      </c>
      <c r="H63" s="89">
        <f>ROUND(IF(AND(F63&lt;0,OneTimePC_Total&lt;0),F63*Health,0),-2)</f>
        <v>0</v>
      </c>
      <c r="I63" s="310">
        <f>OneTimePC_Total-G63-H63</f>
        <v>-25700</v>
      </c>
      <c r="J63" s="89">
        <v>-150000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22" t="s">
        <v>56</v>
      </c>
      <c r="D64" s="423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24"/>
      <c r="D65" s="425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26"/>
      <c r="D66" s="427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0</v>
      </c>
      <c r="G67" s="80">
        <f>SUM(G60:G64)</f>
        <v>-16400</v>
      </c>
      <c r="H67" s="80">
        <f>SUM(H60:H64)</f>
        <v>19800</v>
      </c>
      <c r="I67" s="80">
        <f>SUM(I60:I64)</f>
        <v>-3400</v>
      </c>
      <c r="J67" s="80">
        <f>SUM(J60:J64)</f>
        <v>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15" t="s">
        <v>58</v>
      </c>
      <c r="D68" s="416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15" t="s">
        <v>59</v>
      </c>
      <c r="D69" s="416"/>
      <c r="E69" s="112"/>
      <c r="F69" s="288"/>
      <c r="G69" s="113"/>
      <c r="H69" s="113"/>
      <c r="I69" s="113">
        <f>IF(DUNine=0,0,ROUND(SUM(M41:M64),-2))</f>
        <v>0</v>
      </c>
      <c r="J69" s="287">
        <f>SUM(G69:I69)</f>
        <v>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8"/>
      <c r="D70" s="409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10" t="s">
        <v>60</v>
      </c>
      <c r="D71" s="411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10" t="s">
        <v>99</v>
      </c>
      <c r="D72" s="412"/>
      <c r="E72" s="290">
        <f>CECPerm</f>
        <v>0.01</v>
      </c>
      <c r="F72" s="288"/>
      <c r="G72" s="356">
        <f>IF(DUNine=0,0,IF(DUNine&lt;0,0,ROUND(AdjPermSalary*CECPerm,-2)))</f>
        <v>0</v>
      </c>
      <c r="H72" s="287"/>
      <c r="I72" s="287">
        <f>ROUND(($G72*PermVBBY+$G72*Retire1BY),-2)</f>
        <v>0</v>
      </c>
      <c r="J72" s="113">
        <f>SUM(G72:I72)</f>
        <v>0</v>
      </c>
      <c r="K72" s="296"/>
      <c r="L72" s="298"/>
      <c r="M72" s="350">
        <f>IF(DUNine=0,0,IF(((#REF!-G39-G40)*E72)&lt;0,0,ROUND(((#REF!-G39-G40)*E72),-2)))</f>
        <v>0</v>
      </c>
      <c r="N72" s="359"/>
      <c r="O72" s="358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0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10" t="s">
        <v>117</v>
      </c>
      <c r="D73" s="412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0</v>
      </c>
      <c r="G75" s="80">
        <f>SUM(G67:G74)</f>
        <v>-16400</v>
      </c>
      <c r="H75" s="80">
        <f>SUM(H67:H74)</f>
        <v>19800</v>
      </c>
      <c r="I75" s="80">
        <f>SUM(I67:I74)</f>
        <v>-3400</v>
      </c>
      <c r="J75" s="80">
        <f>SUM(J67:K74)</f>
        <v>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3" t="s">
        <v>63</v>
      </c>
      <c r="D76" s="414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6"/>
      <c r="D77" s="407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6"/>
      <c r="D78" s="407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6"/>
      <c r="D79" s="407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0</v>
      </c>
      <c r="G80" s="80">
        <f>SUM(G75:G79)</f>
        <v>-16400</v>
      </c>
      <c r="H80" s="80">
        <f>SUM(H75:H79)</f>
        <v>19800</v>
      </c>
      <c r="I80" s="80">
        <f>SUM(I75:I79)</f>
        <v>-3400</v>
      </c>
      <c r="J80" s="80">
        <f>SUM(J75:J79)</f>
        <v>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36" priority="8">
      <formula>$J$44&lt;0</formula>
    </cfRule>
  </conditionalFormatting>
  <conditionalFormatting sqref="K43">
    <cfRule type="expression" dxfId="35" priority="7">
      <formula>$J$43&lt;0</formula>
    </cfRule>
  </conditionalFormatting>
  <conditionalFormatting sqref="L16">
    <cfRule type="expression" dxfId="34" priority="6">
      <formula>$J$16&lt;0</formula>
    </cfRule>
  </conditionalFormatting>
  <conditionalFormatting sqref="K45">
    <cfRule type="expression" dxfId="33" priority="5">
      <formula>$J$44&lt;0</formula>
    </cfRule>
  </conditionalFormatting>
  <conditionalFormatting sqref="K43:N45">
    <cfRule type="containsText" dxfId="32" priority="4" operator="containsText" text="underfunding">
      <formula>NOT(ISERROR(SEARCH("underfunding",K43)))</formula>
    </cfRule>
  </conditionalFormatting>
  <conditionalFormatting sqref="K44">
    <cfRule type="expression" dxfId="31" priority="3">
      <formula>$J$44&lt;0</formula>
    </cfRule>
  </conditionalFormatting>
  <conditionalFormatting sqref="K45">
    <cfRule type="expression" dxfId="30" priority="2">
      <formula>$J$44&lt;0</formula>
    </cfRule>
  </conditionalFormatting>
  <conditionalFormatting sqref="K45">
    <cfRule type="expression" dxfId="29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5D0926A-F7B9-4D6B-AFB6-66E0D45DC7AD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E70A8-C00B-41A3-90AE-EE6CE3EF1BFA}">
  <sheetPr codeName="Sheet12"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824</v>
      </c>
      <c r="E1" s="15"/>
      <c r="F1" s="15"/>
      <c r="G1" s="15"/>
      <c r="H1" s="15"/>
      <c r="I1" s="15"/>
      <c r="J1" s="15"/>
      <c r="K1" s="15"/>
      <c r="L1" s="16" t="s">
        <v>14</v>
      </c>
      <c r="M1" s="471">
        <v>170</v>
      </c>
      <c r="N1" s="472"/>
      <c r="AA1" s="365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 t="s">
        <v>825</v>
      </c>
      <c r="E2" s="21"/>
      <c r="F2" s="21"/>
      <c r="G2" s="21"/>
      <c r="H2" s="21"/>
      <c r="I2" s="21"/>
      <c r="J2" s="20"/>
      <c r="K2" s="20"/>
      <c r="L2" s="22" t="s">
        <v>111</v>
      </c>
      <c r="M2" s="473" t="s">
        <v>871</v>
      </c>
      <c r="N2" s="474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 t="s">
        <v>847</v>
      </c>
      <c r="E3" s="24"/>
      <c r="F3" s="25"/>
      <c r="G3" s="25"/>
      <c r="H3" s="25"/>
      <c r="I3" s="26"/>
      <c r="J3" s="20"/>
      <c r="K3" s="20"/>
      <c r="L3" s="22" t="s">
        <v>112</v>
      </c>
      <c r="M3" s="471" t="s">
        <v>439</v>
      </c>
      <c r="N3" s="472"/>
      <c r="AA3" s="365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71">
        <v>2024</v>
      </c>
      <c r="N4" s="472"/>
      <c r="AA4" s="365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73" t="s">
        <v>869</v>
      </c>
      <c r="J5" s="475"/>
      <c r="K5" s="475"/>
      <c r="L5" s="474"/>
      <c r="M5" s="352" t="s">
        <v>113</v>
      </c>
      <c r="N5" s="32" t="s">
        <v>870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1" t="s">
        <v>21</v>
      </c>
      <c r="C8" s="476" t="s">
        <v>22</v>
      </c>
      <c r="D8" s="477"/>
      <c r="E8" s="371" t="s">
        <v>23</v>
      </c>
      <c r="F8" s="49" t="s">
        <v>24</v>
      </c>
      <c r="G8" s="50" t="str">
        <f>"FY "&amp;'EDBE|0348-00'!FiscalYear-1&amp;" SALARY"</f>
        <v>FY 2023 SALARY</v>
      </c>
      <c r="H8" s="50" t="str">
        <f>"FY "&amp;'EDBE|0348-00'!FiscalYear-1&amp;" HEALTH BENEFITS"</f>
        <v>FY 2023 HEALTH BENEFITS</v>
      </c>
      <c r="I8" s="50" t="str">
        <f>"FY "&amp;'EDBE|0348-00'!FiscalYear-1&amp;" VAR BENEFITS"</f>
        <v>FY 2023 VAR BENEFITS</v>
      </c>
      <c r="J8" s="50" t="str">
        <f>"FY "&amp;'EDBE|0348-00'!FiscalYear-1&amp;" TOTAL"</f>
        <v>FY 2023 TOTAL</v>
      </c>
      <c r="K8" s="50" t="str">
        <f>"FY "&amp;'EDBE|0348-00'!FiscalYear&amp;" SALARY CHANGE"</f>
        <v>FY 2024 SALARY CHANGE</v>
      </c>
      <c r="L8" s="50" t="str">
        <f>"FY "&amp;'EDBE|0348-00'!FiscalYear&amp;" CHG HEALTH BENEFITS"</f>
        <v>FY 2024 CHG HEALTH BENEFITS</v>
      </c>
      <c r="M8" s="50" t="str">
        <f>"FY "&amp;'EDBE|0348-00'!FiscalYear&amp;"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7" t="s">
        <v>103</v>
      </c>
      <c r="AB8" s="467"/>
      <c r="AC8" s="467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8" t="s">
        <v>26</v>
      </c>
      <c r="D9" s="469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7" t="s">
        <v>27</v>
      </c>
      <c r="D10" s="470"/>
      <c r="E10" s="217">
        <v>1</v>
      </c>
      <c r="F10" s="288">
        <f>[0]!EDBE034800col_INC_FTI</f>
        <v>41.22</v>
      </c>
      <c r="G10" s="218">
        <f>[0]!EDBE034800col_FTI_SALARY_PERM</f>
        <v>2916723.42</v>
      </c>
      <c r="H10" s="218">
        <f>[0]!EDBE034800col_HEALTH_PERM</f>
        <v>515250</v>
      </c>
      <c r="I10" s="218">
        <f>[0]!EDBE034800col_TOT_VB_PERM</f>
        <v>602624.22580619995</v>
      </c>
      <c r="J10" s="219">
        <f>SUM(G10:I10)</f>
        <v>4034597.6458061999</v>
      </c>
      <c r="K10" s="219">
        <f>[0]!EDBE034800col_1_27TH_PP</f>
        <v>0</v>
      </c>
      <c r="L10" s="218">
        <f>[0]!EDBE034800col_HEALTH_PERM_CHG</f>
        <v>51525</v>
      </c>
      <c r="M10" s="218">
        <f>[0]!EDBE034800col_TOT_VB_PERM_CHG</f>
        <v>-21000.408624000032</v>
      </c>
      <c r="N10" s="218">
        <f>SUM(L10:M10)</f>
        <v>30524.591375999968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29200</v>
      </c>
      <c r="AB10" s="335">
        <f>ROUND(PermVarBen*CECPerm+(CECPerm*PermVarBenChg),-2)</f>
        <v>5800</v>
      </c>
      <c r="AC10" s="335">
        <f>SUM(AA10:AB10)</f>
        <v>35000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7" t="s">
        <v>28</v>
      </c>
      <c r="D11" s="470"/>
      <c r="E11" s="217">
        <v>2</v>
      </c>
      <c r="F11" s="288"/>
      <c r="G11" s="218">
        <f>[0]!EDBE034800col_Group_Salary</f>
        <v>0</v>
      </c>
      <c r="H11" s="218">
        <v>0</v>
      </c>
      <c r="I11" s="218">
        <f>[0]!EDBE034800col_Group_Ben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7" t="s">
        <v>29</v>
      </c>
      <c r="D12" s="448"/>
      <c r="E12" s="217">
        <v>3</v>
      </c>
      <c r="F12" s="288">
        <f>[0]!EDBE034800col_TOTAL_ELECT_PCN_FTI</f>
        <v>0</v>
      </c>
      <c r="G12" s="218">
        <f>[0]!EDBE034800col_FTI_SALARY_ELECT</f>
        <v>0</v>
      </c>
      <c r="H12" s="218">
        <f>[0]!EDBE034800col_HEALTH_ELECT</f>
        <v>0</v>
      </c>
      <c r="I12" s="218">
        <f>[0]!EDBE034800col_TOT_VB_ELECT</f>
        <v>0</v>
      </c>
      <c r="J12" s="219">
        <f>SUM(G12:I12)</f>
        <v>0</v>
      </c>
      <c r="K12" s="268"/>
      <c r="L12" s="218">
        <f>[0]!EDBE034800col_HEALTH_ELECT_CHG</f>
        <v>0</v>
      </c>
      <c r="M12" s="218">
        <f>[0]!EDBE034800col_TOT_VB_ELECT_CHG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7" t="s">
        <v>30</v>
      </c>
      <c r="D13" s="470"/>
      <c r="E13" s="217"/>
      <c r="F13" s="220">
        <f>SUM(F10:F12)</f>
        <v>41.22</v>
      </c>
      <c r="G13" s="221">
        <f>SUM(G10:G12)</f>
        <v>2916723.42</v>
      </c>
      <c r="H13" s="221">
        <f>SUM(H10:H12)</f>
        <v>515250</v>
      </c>
      <c r="I13" s="221">
        <f>SUM(I10:I12)</f>
        <v>602624.22580619995</v>
      </c>
      <c r="J13" s="219">
        <f>SUM(G13:I13)</f>
        <v>4034597.6458061999</v>
      </c>
      <c r="K13" s="268"/>
      <c r="L13" s="219">
        <f>SUM(L10:L12)</f>
        <v>51525</v>
      </c>
      <c r="M13" s="219">
        <f>SUM(M10:M12)</f>
        <v>-21000.408624000032</v>
      </c>
      <c r="N13" s="219">
        <f>SUM(N10:N12)</f>
        <v>30524.591375999968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"&amp;'EDBE|0348-00'!FiscalYear-1</f>
        <v>FY 2023</v>
      </c>
      <c r="D15" s="158" t="s">
        <v>31</v>
      </c>
      <c r="E15" s="355">
        <v>4774100</v>
      </c>
      <c r="F15" s="55">
        <v>49.62</v>
      </c>
      <c r="G15" s="223">
        <f>IF(OrigApprop=0,0,(G13/$J$13)*OrigApprop)</f>
        <v>3451330.3436579825</v>
      </c>
      <c r="H15" s="223">
        <f>IF(OrigApprop=0,0,(H13/$J$13)*OrigApprop)</f>
        <v>609690.2940388415</v>
      </c>
      <c r="I15" s="223">
        <f>IF(G15=0,0,(I13/$J$13)*OrigApprop)</f>
        <v>713079.36230317573</v>
      </c>
      <c r="J15" s="223">
        <f>SUM(G15:I15)</f>
        <v>4774100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7" t="s">
        <v>32</v>
      </c>
      <c r="D16" s="458"/>
      <c r="E16" s="160" t="s">
        <v>33</v>
      </c>
      <c r="F16" s="161">
        <f>F15-F13</f>
        <v>8.3999999999999986</v>
      </c>
      <c r="G16" s="162">
        <f>G15-G13</f>
        <v>534606.92365798261</v>
      </c>
      <c r="H16" s="162">
        <f>H15-H13</f>
        <v>94440.294038841501</v>
      </c>
      <c r="I16" s="162">
        <f>I15-I13</f>
        <v>110455.13649697579</v>
      </c>
      <c r="J16" s="162">
        <f>J15-J13</f>
        <v>739502.35419380013</v>
      </c>
      <c r="K16" s="269"/>
      <c r="L16" s="56" t="str">
        <f>IF('EDBE|0348-00'!OrigApprop=0,"No Original Appropriation amount in DU 3.00 for this fund","Calculated "&amp;IF('EDBE|0348-00'!AdjustedTotal&gt;0,"overfunding ","underfunding ")&amp;"is "&amp;TEXT('EDBE|0348-00'!AdjustedTotal/'EDBE|0348-00'!AppropTotal,"#.0%;(#.0% );0% ;")&amp;" of Original Appropriation")</f>
        <v>Calculated overfunding is 15.5%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9" t="s">
        <v>34</v>
      </c>
      <c r="D17" s="460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61" t="s">
        <v>35</v>
      </c>
      <c r="D18" s="462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63" t="s">
        <v>37</v>
      </c>
      <c r="D37" s="464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5" t="s">
        <v>105</v>
      </c>
      <c r="AB37" s="466"/>
      <c r="AC37" s="466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7" t="str">
        <f>perm_name</f>
        <v>Permanent Positions</v>
      </c>
      <c r="D38" s="448"/>
      <c r="E38" s="189">
        <v>1</v>
      </c>
      <c r="F38" s="190">
        <f>SUMIF($E9:$E35,$E38,$F9:$F35)</f>
        <v>41.22</v>
      </c>
      <c r="G38" s="191">
        <f>SUMIF($E10:$E35,$E38,$G10:$G35)</f>
        <v>2916723.42</v>
      </c>
      <c r="H38" s="192">
        <f>SUMIF($E10:$E35,$E38,$H10:$H35)</f>
        <v>515250</v>
      </c>
      <c r="I38" s="192">
        <f>SUMIF($E10:$E35,$E38,$I10:$I35)</f>
        <v>602624.22580619995</v>
      </c>
      <c r="J38" s="192">
        <f>SUM(G38:I38)</f>
        <v>4034597.6458061999</v>
      </c>
      <c r="K38" s="166"/>
      <c r="L38" s="191">
        <f>SUMIF($E10:$E35,$E38,$L10:$L35)</f>
        <v>51525</v>
      </c>
      <c r="M38" s="192">
        <f>SUMIF($E10:$E35,$E38,$M10:$M35)</f>
        <v>-21000.408624000032</v>
      </c>
      <c r="N38" s="192">
        <f>SUM(L38:M38)</f>
        <v>30524.591375999968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29200</v>
      </c>
      <c r="AB38" s="338">
        <f>ROUND((AdjPermVB*CECPerm+AdjPermVBBY*CECPerm),-2)</f>
        <v>5800</v>
      </c>
      <c r="AC38" s="338">
        <f>SUM(AA38:AB38)</f>
        <v>35000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7" t="str">
        <f>Group_name</f>
        <v>Board &amp; Group Positions</v>
      </c>
      <c r="D39" s="448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7" t="s">
        <v>38</v>
      </c>
      <c r="D41" s="448"/>
      <c r="E41" s="189"/>
      <c r="F41" s="161">
        <f>SUM(F38:F40)</f>
        <v>41.22</v>
      </c>
      <c r="G41" s="195">
        <f>SUM($G$38:$G$40)</f>
        <v>2916723.42</v>
      </c>
      <c r="H41" s="162">
        <f>SUM($H$38:$H$40)</f>
        <v>515250</v>
      </c>
      <c r="I41" s="162">
        <f>SUM($I$38:$I$40)</f>
        <v>602624.22580619995</v>
      </c>
      <c r="J41" s="162">
        <f>SUM($J$38:$J$40)</f>
        <v>4034597.6458061999</v>
      </c>
      <c r="K41" s="259"/>
      <c r="L41" s="195">
        <f>SUM($L$38:$L$40)</f>
        <v>51525</v>
      </c>
      <c r="M41" s="162">
        <f>SUM($M$38:$M$40)</f>
        <v>-21000.408624000032</v>
      </c>
      <c r="N41" s="162">
        <f>SUM(L41:M41)</f>
        <v>30524.591375999968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9"/>
      <c r="D42" s="450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51" t="s">
        <v>39</v>
      </c>
      <c r="D43" s="452"/>
      <c r="E43" s="203" t="s">
        <v>40</v>
      </c>
      <c r="F43" s="205">
        <f>ROUND(F51-F41,2)</f>
        <v>8.4</v>
      </c>
      <c r="G43" s="206">
        <f>G51-G41</f>
        <v>534606.92365798261</v>
      </c>
      <c r="H43" s="159">
        <f>H51-H41</f>
        <v>94440.294038841501</v>
      </c>
      <c r="I43" s="159">
        <f>I51-I41</f>
        <v>110455.13649697579</v>
      </c>
      <c r="J43" s="159">
        <f>SUM(G43:I43)</f>
        <v>739502.3541937999</v>
      </c>
      <c r="K43" s="428" t="str">
        <f>IF(E51=0,"No Original Appropriation amount in DU 3.00 for this fund","Calculated "&amp;IF(J43&gt;0,"overfunding ","underfunding ")&amp;"is "&amp;TEXT(J43/J51,"#.0%;(#.0% );0%;")&amp;" of Original Appropriation")</f>
        <v>Calculated overfunding is 15.5% of Original Appropriation</v>
      </c>
      <c r="L43" s="429"/>
      <c r="M43" s="429"/>
      <c r="N43" s="430"/>
      <c r="O43"/>
      <c r="P43"/>
      <c r="Q43"/>
      <c r="R43"/>
      <c r="S43"/>
      <c r="T43"/>
      <c r="U43"/>
      <c r="V43"/>
      <c r="W43"/>
      <c r="X43"/>
      <c r="Y43"/>
      <c r="Z43" s="344"/>
      <c r="AA43" s="455" t="s">
        <v>106</v>
      </c>
      <c r="AB43" s="456"/>
      <c r="AC43" s="456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3"/>
      <c r="D44" s="454"/>
      <c r="E44" s="204" t="s">
        <v>41</v>
      </c>
      <c r="F44" s="205">
        <f>ROUND(F60-F41,2)</f>
        <v>8.4</v>
      </c>
      <c r="G44" s="206">
        <f>G60-G41</f>
        <v>534576.58000000007</v>
      </c>
      <c r="H44" s="159">
        <f>H60-H41</f>
        <v>94450</v>
      </c>
      <c r="I44" s="159">
        <f>I60-I41</f>
        <v>110475.77419380005</v>
      </c>
      <c r="J44" s="159">
        <f>SUM(G44:I44)</f>
        <v>739502.35419380013</v>
      </c>
      <c r="K44" s="428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overfunding is 15.5% of Est. Expenditures</v>
      </c>
      <c r="L44" s="429"/>
      <c r="M44" s="429"/>
      <c r="N44" s="430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8.4</v>
      </c>
      <c r="G45" s="206">
        <f>G67-G41-G63</f>
        <v>534576.58000000007</v>
      </c>
      <c r="H45" s="206">
        <f>H67-H41-H63</f>
        <v>94450</v>
      </c>
      <c r="I45" s="206">
        <f>I67-I41-I63</f>
        <v>110475.77419380005</v>
      </c>
      <c r="J45" s="159">
        <f>SUM(G45:I45)</f>
        <v>739502.35419380013</v>
      </c>
      <c r="K45" s="428" t="str">
        <f>IF(J67=0,"This fund has a $0 Base in DU 9.00",IF(J67=0,"ERROR! Verify/enter 8 series adjustments!","Calculated "&amp;IF(J45&gt;0,"overfunding ","underfunding ")&amp;"is "&amp;TEXT(J45/J67,"#.0%;(#.0% );0%;")&amp;" of the Base"))</f>
        <v>Calculated overfunding is 15.5% of the Base</v>
      </c>
      <c r="L45" s="429"/>
      <c r="M45" s="429"/>
      <c r="N45" s="430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31" t="s">
        <v>98</v>
      </c>
      <c r="F46" s="432"/>
      <c r="G46" s="432"/>
      <c r="H46" s="432"/>
      <c r="I46" s="432"/>
      <c r="J46" s="433"/>
      <c r="K46" s="437" t="str">
        <f>IF(OR(J45&lt;0,F45&lt;0),"You may not have sufficient funding or authorized FTP, and may need to make additional adjustments to finalize this form.  Please contact both your DFM and LSO analysts.","")</f>
        <v/>
      </c>
      <c r="L46" s="438"/>
      <c r="M46" s="438"/>
      <c r="N46" s="439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4"/>
      <c r="F47" s="435"/>
      <c r="G47" s="435"/>
      <c r="H47" s="435"/>
      <c r="I47" s="435"/>
      <c r="J47" s="436"/>
      <c r="K47" s="440"/>
      <c r="L47" s="441"/>
      <c r="M47" s="441"/>
      <c r="N47" s="442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3"/>
      <c r="D50" s="444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4774100</v>
      </c>
      <c r="F51" s="272">
        <f>AppropFTP</f>
        <v>49.62</v>
      </c>
      <c r="G51" s="274">
        <f>IF(E51=0,0,(G41/$J$41)*$E$51)</f>
        <v>3451330.3436579825</v>
      </c>
      <c r="H51" s="274">
        <f>IF(E51=0,0,(H41/$J$41)*$E$51)</f>
        <v>609690.2940388415</v>
      </c>
      <c r="I51" s="275">
        <f>IF(E51=0,0,(I41/$J$41)*$E$51)</f>
        <v>713079.36230317573</v>
      </c>
      <c r="J51" s="90">
        <f>SUM(G51:I51)</f>
        <v>4774100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49.62</v>
      </c>
      <c r="G52" s="79">
        <f>ROUND(G51,-2)</f>
        <v>3451300</v>
      </c>
      <c r="H52" s="79">
        <f>ROUND(H51,-2)</f>
        <v>609700</v>
      </c>
      <c r="I52" s="266">
        <f>ROUND(I51,-2)</f>
        <v>713100</v>
      </c>
      <c r="J52" s="80">
        <f>ROUND(J51,-2)</f>
        <v>4774100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5" t="s">
        <v>47</v>
      </c>
      <c r="D53" s="446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10" t="s">
        <v>48</v>
      </c>
      <c r="D54" s="411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17" t="s">
        <v>49</v>
      </c>
      <c r="D55" s="418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49.62</v>
      </c>
      <c r="G56" s="80">
        <f>SUM(G52:G55)</f>
        <v>3451300</v>
      </c>
      <c r="H56" s="80">
        <f>SUM(H52:H55)</f>
        <v>609700</v>
      </c>
      <c r="I56" s="260">
        <f>SUM(I52:I55)</f>
        <v>713100</v>
      </c>
      <c r="J56" s="80">
        <f>SUM(J52:J55)</f>
        <v>4774100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15" t="s">
        <v>51</v>
      </c>
      <c r="D57" s="419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20" t="s">
        <v>116</v>
      </c>
      <c r="D58" s="421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20" t="s">
        <v>52</v>
      </c>
      <c r="D59" s="421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49.62</v>
      </c>
      <c r="G60" s="80">
        <f>SUM(G56:G59)</f>
        <v>3451300</v>
      </c>
      <c r="H60" s="80">
        <f>SUM(H56:H59)</f>
        <v>609700</v>
      </c>
      <c r="I60" s="260">
        <f>SUM(I56:I59)</f>
        <v>713100</v>
      </c>
      <c r="J60" s="80">
        <f>SUM(J56:J59)</f>
        <v>4774100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15" t="s">
        <v>54</v>
      </c>
      <c r="D61" s="419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10" t="s">
        <v>65</v>
      </c>
      <c r="D62" s="411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10" t="s">
        <v>55</v>
      </c>
      <c r="D63" s="411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22" t="s">
        <v>56</v>
      </c>
      <c r="D64" s="423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24"/>
      <c r="D65" s="425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26"/>
      <c r="D66" s="427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49.62</v>
      </c>
      <c r="G67" s="80">
        <f>SUM(G60:G64)</f>
        <v>3451300</v>
      </c>
      <c r="H67" s="80">
        <f>SUM(H60:H64)</f>
        <v>609700</v>
      </c>
      <c r="I67" s="80">
        <f>SUM(I60:I64)</f>
        <v>713100</v>
      </c>
      <c r="J67" s="80">
        <f>SUM(J60:J64)</f>
        <v>4774100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15" t="s">
        <v>58</v>
      </c>
      <c r="D68" s="416"/>
      <c r="E68" s="112"/>
      <c r="F68" s="288"/>
      <c r="G68" s="287"/>
      <c r="H68" s="113">
        <f>IF(DUNine=0,0,ROUND(SUM(L41:L65),-2))</f>
        <v>51500</v>
      </c>
      <c r="I68" s="113"/>
      <c r="J68" s="287">
        <f>SUM(G68:I68)</f>
        <v>51500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15" t="s">
        <v>59</v>
      </c>
      <c r="D69" s="416"/>
      <c r="E69" s="112"/>
      <c r="F69" s="288"/>
      <c r="G69" s="113"/>
      <c r="H69" s="113"/>
      <c r="I69" s="113">
        <f>IF(DUNine=0,0,ROUND(SUM(M41:M64),-2))</f>
        <v>-21000</v>
      </c>
      <c r="J69" s="287">
        <f>SUM(G69:I69)</f>
        <v>-21000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8"/>
      <c r="D70" s="409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10" t="s">
        <v>60</v>
      </c>
      <c r="D71" s="411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10" t="s">
        <v>99</v>
      </c>
      <c r="D72" s="412"/>
      <c r="E72" s="290">
        <f>CECPerm</f>
        <v>0.01</v>
      </c>
      <c r="F72" s="288"/>
      <c r="G72" s="356">
        <f>IF(DUNine=0,0,IF(DUNine&lt;0,0,ROUND(AdjPermSalary*CECPerm,-2)))</f>
        <v>29200</v>
      </c>
      <c r="H72" s="287"/>
      <c r="I72" s="287">
        <f>ROUND(($G72*PermVBBY+$G72*Retire1BY),-2)</f>
        <v>5800</v>
      </c>
      <c r="J72" s="113">
        <f>SUM(G72:I72)</f>
        <v>35000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10" t="s">
        <v>117</v>
      </c>
      <c r="D73" s="412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49.62</v>
      </c>
      <c r="G75" s="80">
        <f>SUM(G67:G74)</f>
        <v>3480500</v>
      </c>
      <c r="H75" s="80">
        <f>SUM(H67:H74)</f>
        <v>661200</v>
      </c>
      <c r="I75" s="80">
        <f>SUM(I67:I74)</f>
        <v>697900</v>
      </c>
      <c r="J75" s="80">
        <f>SUM(J67:K74)</f>
        <v>4839600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3" t="s">
        <v>63</v>
      </c>
      <c r="D76" s="414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6"/>
      <c r="D77" s="407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6"/>
      <c r="D78" s="407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6"/>
      <c r="D79" s="407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49.62</v>
      </c>
      <c r="G80" s="80">
        <f>SUM(G75:G79)</f>
        <v>3480500</v>
      </c>
      <c r="H80" s="80">
        <f>SUM(H75:H79)</f>
        <v>661200</v>
      </c>
      <c r="I80" s="80">
        <f>SUM(I75:I79)</f>
        <v>697900</v>
      </c>
      <c r="J80" s="80">
        <f>SUM(J75:J79)</f>
        <v>4839600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28" priority="8">
      <formula>$J$44&lt;0</formula>
    </cfRule>
  </conditionalFormatting>
  <conditionalFormatting sqref="K43">
    <cfRule type="expression" dxfId="27" priority="7">
      <formula>$J$43&lt;0</formula>
    </cfRule>
  </conditionalFormatting>
  <conditionalFormatting sqref="L16">
    <cfRule type="expression" dxfId="26" priority="6">
      <formula>$J$16&lt;0</formula>
    </cfRule>
  </conditionalFormatting>
  <conditionalFormatting sqref="K45">
    <cfRule type="expression" dxfId="25" priority="5">
      <formula>$J$44&lt;0</formula>
    </cfRule>
  </conditionalFormatting>
  <conditionalFormatting sqref="K43:N45">
    <cfRule type="containsText" dxfId="24" priority="4" operator="containsText" text="underfunding">
      <formula>NOT(ISERROR(SEARCH("underfunding",K43)))</formula>
    </cfRule>
  </conditionalFormatting>
  <conditionalFormatting sqref="K44">
    <cfRule type="expression" dxfId="23" priority="3">
      <formula>$J$44&lt;0</formula>
    </cfRule>
  </conditionalFormatting>
  <conditionalFormatting sqref="K45">
    <cfRule type="expression" dxfId="22" priority="2">
      <formula>$J$44&lt;0</formula>
    </cfRule>
  </conditionalFormatting>
  <conditionalFormatting sqref="K45">
    <cfRule type="expression" dxfId="21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036811D-6C7D-49FA-98B1-B6262C61F6EC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NV343"/>
  <sheetViews>
    <sheetView workbookViewId="0">
      <pane xSplit="3" ySplit="1" topLeftCell="X27" activePane="bottomRight" state="frozen"/>
      <selection pane="topRight" activeCell="D1" sqref="D1"/>
      <selection pane="bottomLeft" activeCell="A2" sqref="A2"/>
      <selection pane="bottomRight" activeCell="AN43" sqref="AN43"/>
    </sheetView>
  </sheetViews>
  <sheetFormatPr defaultRowHeight="15" x14ac:dyDescent="0.25"/>
  <cols>
    <col min="45" max="53" width="15.7109375" customWidth="1"/>
    <col min="54" max="54" width="12.140625" bestFit="1" customWidth="1"/>
    <col min="55" max="55" width="11" bestFit="1" customWidth="1"/>
    <col min="56" max="56" width="12.140625" bestFit="1" customWidth="1"/>
    <col min="57" max="57" width="11" bestFit="1" customWidth="1"/>
    <col min="58" max="58" width="12.140625" bestFit="1" customWidth="1"/>
    <col min="59" max="59" width="11" bestFit="1" customWidth="1"/>
    <col min="60" max="61" width="9.5703125" bestFit="1" customWidth="1"/>
    <col min="62" max="62" width="10.85546875" bestFit="1" customWidth="1"/>
    <col min="63" max="63" width="9.5703125" bestFit="1" customWidth="1"/>
    <col min="64" max="64" width="12.140625" bestFit="1" customWidth="1"/>
    <col min="65" max="65" width="11" bestFit="1" customWidth="1"/>
    <col min="66" max="66" width="12.140625" bestFit="1" customWidth="1"/>
    <col min="67" max="67" width="11" bestFit="1" customWidth="1"/>
    <col min="68" max="68" width="12.140625" bestFit="1" customWidth="1"/>
    <col min="69" max="69" width="11" bestFit="1" customWidth="1"/>
    <col min="70" max="70" width="12.140625" bestFit="1" customWidth="1"/>
    <col min="71" max="71" width="11" bestFit="1" customWidth="1"/>
    <col min="72" max="73" width="9.5703125" bestFit="1" customWidth="1"/>
    <col min="74" max="74" width="10.85546875" bestFit="1" customWidth="1"/>
    <col min="75" max="75" width="9.5703125" bestFit="1" customWidth="1"/>
    <col min="76" max="76" width="12.140625" bestFit="1" customWidth="1"/>
    <col min="77" max="78" width="11" bestFit="1" customWidth="1"/>
    <col min="79" max="79" width="9.85546875" bestFit="1" customWidth="1"/>
    <col min="80" max="81" width="9.5703125" bestFit="1" customWidth="1"/>
    <col min="82" max="82" width="11.7109375" bestFit="1" customWidth="1"/>
    <col min="83" max="85" width="9.5703125" bestFit="1" customWidth="1"/>
    <col min="86" max="86" width="9.7109375" bestFit="1" customWidth="1"/>
    <col min="87" max="87" width="9.5703125" bestFit="1" customWidth="1"/>
    <col min="88" max="88" width="11.7109375" bestFit="1" customWidth="1"/>
    <col min="89" max="89" width="9.5703125" bestFit="1" customWidth="1"/>
    <col min="90" max="90" width="11" bestFit="1" customWidth="1"/>
    <col min="91" max="91" width="9.85546875" bestFit="1" customWidth="1"/>
  </cols>
  <sheetData>
    <row r="1" spans="1:92" ht="12.75" customHeight="1" thickBot="1" x14ac:dyDescent="0.3">
      <c r="A1" s="375" t="s">
        <v>119</v>
      </c>
      <c r="B1" s="375" t="s">
        <v>120</v>
      </c>
      <c r="C1" s="375" t="s">
        <v>20</v>
      </c>
      <c r="D1" s="375" t="s">
        <v>121</v>
      </c>
      <c r="E1" s="375" t="s">
        <v>122</v>
      </c>
      <c r="F1" s="376" t="s">
        <v>123</v>
      </c>
      <c r="G1" s="375" t="s">
        <v>124</v>
      </c>
      <c r="H1" s="375" t="s">
        <v>125</v>
      </c>
      <c r="I1" s="375" t="s">
        <v>126</v>
      </c>
      <c r="J1" s="375" t="s">
        <v>127</v>
      </c>
      <c r="K1" s="375" t="s">
        <v>128</v>
      </c>
      <c r="L1" s="375" t="s">
        <v>129</v>
      </c>
      <c r="M1" s="375" t="s">
        <v>130</v>
      </c>
      <c r="N1" s="375" t="s">
        <v>131</v>
      </c>
      <c r="O1" s="375" t="s">
        <v>132</v>
      </c>
      <c r="P1" s="375" t="s">
        <v>133</v>
      </c>
      <c r="Q1" s="375" t="s">
        <v>134</v>
      </c>
      <c r="R1" s="375" t="s">
        <v>135</v>
      </c>
      <c r="S1" s="375" t="s">
        <v>136</v>
      </c>
      <c r="T1" s="375" t="s">
        <v>137</v>
      </c>
      <c r="U1" s="375" t="s">
        <v>138</v>
      </c>
      <c r="V1" s="375" t="s">
        <v>139</v>
      </c>
      <c r="W1" s="375" t="s">
        <v>140</v>
      </c>
      <c r="X1" s="375" t="s">
        <v>141</v>
      </c>
      <c r="Y1" s="375" t="s">
        <v>142</v>
      </c>
      <c r="Z1" s="375" t="s">
        <v>143</v>
      </c>
      <c r="AA1" s="375" t="s">
        <v>144</v>
      </c>
      <c r="AB1" s="375" t="s">
        <v>145</v>
      </c>
      <c r="AC1" s="375" t="s">
        <v>146</v>
      </c>
      <c r="AD1" s="375" t="s">
        <v>147</v>
      </c>
      <c r="AE1" s="375" t="s">
        <v>148</v>
      </c>
      <c r="AF1" s="375" t="s">
        <v>149</v>
      </c>
      <c r="AG1" s="375" t="s">
        <v>150</v>
      </c>
      <c r="AH1" s="375" t="s">
        <v>151</v>
      </c>
      <c r="AI1" s="375" t="s">
        <v>152</v>
      </c>
      <c r="AJ1" s="375" t="s">
        <v>153</v>
      </c>
      <c r="AK1" s="375" t="s">
        <v>154</v>
      </c>
      <c r="AL1" s="375" t="s">
        <v>155</v>
      </c>
      <c r="AM1" s="375" t="s">
        <v>156</v>
      </c>
      <c r="AN1" s="375" t="s">
        <v>157</v>
      </c>
      <c r="AO1" s="375" t="s">
        <v>158</v>
      </c>
      <c r="AP1" s="375" t="s">
        <v>159</v>
      </c>
      <c r="AQ1" s="375" t="s">
        <v>160</v>
      </c>
      <c r="AR1" s="375" t="s">
        <v>161</v>
      </c>
      <c r="AS1" s="387" t="s">
        <v>774</v>
      </c>
      <c r="AT1" s="387" t="s">
        <v>775</v>
      </c>
      <c r="AU1" s="387" t="s">
        <v>776</v>
      </c>
      <c r="AV1" s="387" t="s">
        <v>777</v>
      </c>
      <c r="AW1" s="387" t="s">
        <v>778</v>
      </c>
      <c r="AX1" s="387" t="s">
        <v>779</v>
      </c>
      <c r="AY1" s="387" t="s">
        <v>780</v>
      </c>
      <c r="AZ1" s="387" t="s">
        <v>781</v>
      </c>
      <c r="BA1" s="389" t="s">
        <v>782</v>
      </c>
      <c r="BB1" s="390" t="s">
        <v>783</v>
      </c>
      <c r="BC1" s="390" t="s">
        <v>784</v>
      </c>
      <c r="BD1" s="390" t="s">
        <v>785</v>
      </c>
      <c r="BE1" s="390" t="s">
        <v>786</v>
      </c>
      <c r="BF1" s="390" t="s">
        <v>787</v>
      </c>
      <c r="BG1" s="390" t="s">
        <v>788</v>
      </c>
      <c r="BH1" s="390" t="s">
        <v>789</v>
      </c>
      <c r="BI1" s="390" t="s">
        <v>790</v>
      </c>
      <c r="BJ1" s="390" t="s">
        <v>791</v>
      </c>
      <c r="BK1" s="390" t="s">
        <v>792</v>
      </c>
      <c r="BL1" s="391" t="s">
        <v>793</v>
      </c>
      <c r="BM1" s="391" t="s">
        <v>794</v>
      </c>
      <c r="BN1" s="390" t="s">
        <v>795</v>
      </c>
      <c r="BO1" s="390" t="s">
        <v>796</v>
      </c>
      <c r="BP1" s="390" t="s">
        <v>797</v>
      </c>
      <c r="BQ1" s="390" t="s">
        <v>798</v>
      </c>
      <c r="BR1" s="390" t="s">
        <v>799</v>
      </c>
      <c r="BS1" s="390" t="s">
        <v>800</v>
      </c>
      <c r="BT1" s="390" t="s">
        <v>801</v>
      </c>
      <c r="BU1" s="390" t="s">
        <v>802</v>
      </c>
      <c r="BV1" s="390" t="s">
        <v>803</v>
      </c>
      <c r="BW1" s="390" t="s">
        <v>804</v>
      </c>
      <c r="BX1" s="391" t="s">
        <v>805</v>
      </c>
      <c r="BY1" s="391" t="s">
        <v>806</v>
      </c>
      <c r="BZ1" s="390" t="s">
        <v>807</v>
      </c>
      <c r="CA1" s="390" t="s">
        <v>808</v>
      </c>
      <c r="CB1" s="390" t="s">
        <v>809</v>
      </c>
      <c r="CC1" s="390" t="s">
        <v>810</v>
      </c>
      <c r="CD1" s="390" t="s">
        <v>811</v>
      </c>
      <c r="CE1" s="390" t="s">
        <v>812</v>
      </c>
      <c r="CF1" s="390" t="s">
        <v>813</v>
      </c>
      <c r="CG1" s="390" t="s">
        <v>814</v>
      </c>
      <c r="CH1" s="390" t="s">
        <v>815</v>
      </c>
      <c r="CI1" s="390" t="s">
        <v>816</v>
      </c>
      <c r="CJ1" s="391" t="s">
        <v>817</v>
      </c>
      <c r="CK1" s="391" t="s">
        <v>818</v>
      </c>
      <c r="CL1" s="392" t="s">
        <v>819</v>
      </c>
      <c r="CM1" s="392" t="s">
        <v>820</v>
      </c>
      <c r="CN1" s="392" t="s">
        <v>821</v>
      </c>
    </row>
    <row r="2" spans="1:92" ht="15.75" thickBot="1" x14ac:dyDescent="0.3">
      <c r="A2" s="377" t="s">
        <v>162</v>
      </c>
      <c r="B2" s="377" t="s">
        <v>163</v>
      </c>
      <c r="C2" s="377" t="s">
        <v>164</v>
      </c>
      <c r="D2" s="377" t="s">
        <v>165</v>
      </c>
      <c r="E2" s="377" t="s">
        <v>166</v>
      </c>
      <c r="F2" s="378" t="s">
        <v>167</v>
      </c>
      <c r="G2" s="377" t="s">
        <v>168</v>
      </c>
      <c r="H2" s="379"/>
      <c r="I2" s="379"/>
      <c r="J2" s="377" t="s">
        <v>169</v>
      </c>
      <c r="K2" s="377" t="s">
        <v>170</v>
      </c>
      <c r="L2" s="377" t="s">
        <v>171</v>
      </c>
      <c r="M2" s="377" t="s">
        <v>172</v>
      </c>
      <c r="N2" s="377" t="s">
        <v>173</v>
      </c>
      <c r="O2" s="380">
        <v>1</v>
      </c>
      <c r="P2" s="386">
        <v>0.83</v>
      </c>
      <c r="Q2" s="386">
        <v>0.83</v>
      </c>
      <c r="R2" s="381">
        <v>80</v>
      </c>
      <c r="S2" s="386">
        <v>0.83</v>
      </c>
      <c r="T2" s="381">
        <v>59666.400000000001</v>
      </c>
      <c r="U2" s="381">
        <v>0</v>
      </c>
      <c r="V2" s="381">
        <v>21832.15</v>
      </c>
      <c r="W2" s="381">
        <v>62340.3</v>
      </c>
      <c r="X2" s="381">
        <v>23255.11</v>
      </c>
      <c r="Y2" s="381">
        <v>62340.3</v>
      </c>
      <c r="Z2" s="381">
        <v>23843.75</v>
      </c>
      <c r="AA2" s="377" t="s">
        <v>174</v>
      </c>
      <c r="AB2" s="377" t="s">
        <v>175</v>
      </c>
      <c r="AC2" s="377" t="s">
        <v>176</v>
      </c>
      <c r="AD2" s="377" t="s">
        <v>177</v>
      </c>
      <c r="AE2" s="377" t="s">
        <v>170</v>
      </c>
      <c r="AF2" s="377" t="s">
        <v>178</v>
      </c>
      <c r="AG2" s="377" t="s">
        <v>179</v>
      </c>
      <c r="AH2" s="382">
        <v>36.11</v>
      </c>
      <c r="AI2" s="382">
        <v>9484.7999999999993</v>
      </c>
      <c r="AJ2" s="377" t="s">
        <v>180</v>
      </c>
      <c r="AK2" s="377" t="s">
        <v>181</v>
      </c>
      <c r="AL2" s="377" t="s">
        <v>182</v>
      </c>
      <c r="AM2" s="377" t="s">
        <v>183</v>
      </c>
      <c r="AN2" s="377" t="s">
        <v>66</v>
      </c>
      <c r="AO2" s="380">
        <v>80</v>
      </c>
      <c r="AP2" s="386">
        <v>1</v>
      </c>
      <c r="AQ2" s="386">
        <v>0.83</v>
      </c>
      <c r="AR2" s="384" t="s">
        <v>184</v>
      </c>
      <c r="AS2" s="388">
        <f>IF(((AO2/80)*AP2*P2)&gt;1,AQ2,((AO2/80)*AP2*P2))</f>
        <v>0.83</v>
      </c>
      <c r="AT2">
        <f>IF(AND(M2="F",N2&lt;&gt;"NG",AS2&lt;&gt;0,AND(AR2&lt;&gt;6,AR2&lt;&gt;36,AR2&lt;&gt;56),AG2&lt;&gt;"A",OR(AG2="H",AJ2="FS")),1,IF(AND(M2="F",N2&lt;&gt;"NG",AS2&lt;&gt;0,AG2="A"),3,0))</f>
        <v>1</v>
      </c>
      <c r="AU2" s="388">
        <f>IF(AT2=0,"",IF(AND(AT2=1,M2="F",SUMIF(C2:C258,C2,AS2:AS258)&lt;=1),SUMIF(C2:C258,C2,AS2:AS258),IF(AND(AT2=1,M2="F",SUMIF(C2:C258,C2,AS2:AS258)&gt;1),1,"")))</f>
        <v>1</v>
      </c>
      <c r="AV2" s="388" t="str">
        <f>IF(AT2=0,"",IF(AND(AT2=3,M2="F",SUMIF(C2:C258,C2,AS2:AS258)&lt;=1),SUMIF(C2:C258,C2,AS2:AS258),IF(AND(AT2=3,M2="F",SUMIF(C2:C258,C2,AS2:AS258)&gt;1),1,"")))</f>
        <v/>
      </c>
      <c r="AW2" s="388">
        <f>SUMIF(C2:C258,C2,O2:O258)</f>
        <v>2</v>
      </c>
      <c r="AX2" s="388">
        <f>IF(AND(M2="F",AS2&lt;&gt;0),SUMIF(C2:C258,C2,W2:W258),0)</f>
        <v>75108.790000000008</v>
      </c>
      <c r="AY2" s="388">
        <f>IF(AT2=1,W2,"")</f>
        <v>62340.3</v>
      </c>
      <c r="AZ2" s="388" t="str">
        <f>IF(AT2=3,W2,"")</f>
        <v/>
      </c>
      <c r="BA2" s="388">
        <f>IF(AT2=1,Y2-W2,0)</f>
        <v>0</v>
      </c>
      <c r="BB2" s="388">
        <f t="shared" ref="BB2:BB65" si="0">IF(AND(AT2=1,AK2="E",AU2&gt;=0.75,AW2=1),Health,IF(AND(AT2=1,AK2="E",AU2&gt;=0.75),Health*P2,IF(AND(AT2=1,AK2="E",AU2&gt;=0.5,AW2=1),PTHealth,IF(AND(AT2=1,AK2="E",AU2&gt;=0.5),PTHealth*P2,0))))</f>
        <v>10375</v>
      </c>
      <c r="BC2" s="388">
        <f t="shared" ref="BC2:BC65" si="1">IF(AND(AT2=3,AK2="E",AV2&gt;=0.75,AW2=1),Health,IF(AND(AT2=3,AK2="E",AV2&gt;=0.75),Health*P2,IF(AND(AT2=3,AK2="E",AV2&gt;=0.5,AW2=1),PTHealth,IF(AND(AT2=3,AK2="E",AV2&gt;=0.5),PTHealth*P2,0))))</f>
        <v>0</v>
      </c>
      <c r="BD2" s="388">
        <f t="shared" ref="BD2:BD65" si="2">IF(AND(AT2&lt;&gt;0,AX2&gt;=MAXSSDI),SSDI*MAXSSDI*P2,IF(AT2&lt;&gt;0,SSDI*W2,0))</f>
        <v>3865.0986000000003</v>
      </c>
      <c r="BE2" s="388">
        <f t="shared" ref="BE2:BE65" si="3">IF(AT2&lt;&gt;0,SSHI*W2,0)</f>
        <v>903.93435000000011</v>
      </c>
      <c r="BF2" s="388">
        <f t="shared" ref="BF2:BF65" si="4">IF(AND(AT2&lt;&gt;0,AN2&lt;&gt;"NE"),VLOOKUP(AN2,Retirement_Rates,3,FALSE)*W2,0)</f>
        <v>7443.4318200000007</v>
      </c>
      <c r="BG2" s="388">
        <f t="shared" ref="BG2:BG65" si="5">IF(AND(AT2&lt;&gt;0,AJ2&lt;&gt;"PF"),Life*W2,0)</f>
        <v>449.47356300000001</v>
      </c>
      <c r="BH2" s="388">
        <f t="shared" ref="BH2:BH65" si="6">IF(AND(AT2&lt;&gt;0,AM2="Y"),UI*W2,0)</f>
        <v>0</v>
      </c>
      <c r="BI2" s="388">
        <f t="shared" ref="BI2:BI65" si="7">IF(AND(AT2&lt;&gt;0,N2&lt;&gt;"NR"),DHR*W2,0)</f>
        <v>0</v>
      </c>
      <c r="BJ2" s="388">
        <f t="shared" ref="BJ2:BJ65" si="8">IF(AT2&lt;&gt;0,WC*W2,0)</f>
        <v>218.19105000000002</v>
      </c>
      <c r="BK2" s="388">
        <f t="shared" ref="BK2:BK65" si="9">IF(OR(AND(AT2&lt;&gt;0,AJ2&lt;&gt;"PF",AN2&lt;&gt;"NE",AG2&lt;&gt;"A"),AND(AL2="E",OR(AT2=1,AT2=3))),Sick*W2,0)</f>
        <v>0</v>
      </c>
      <c r="BL2" s="388">
        <f>IF(AT2=1,SUM(BD2:BK2),0)</f>
        <v>12880.129383000001</v>
      </c>
      <c r="BM2" s="388">
        <f>IF(AT2=3,SUM(BD2:BK2),0)</f>
        <v>0</v>
      </c>
      <c r="BN2" s="388">
        <f t="shared" ref="BN2:BN65" si="10">IF(AND(AT2=1,AK2="E",AU2&gt;=0.75,AW2=1),HealthBY,IF(AND(AT2=1,AK2="E",AU2&gt;=0.75),HealthBY*P2,IF(AND(AT2=1,AK2="E",AU2&gt;=0.5,AW2=1),PTHealthBY,IF(AND(AT2=1,AK2="E",AU2&gt;=0.5),PTHealthBY*P2,0))))</f>
        <v>11412.5</v>
      </c>
      <c r="BO2" s="388">
        <f t="shared" ref="BO2:BO65" si="11">IF(AND(AT2=3,AK2="E",AV2&gt;=0.75,AW2=1),HealthBY,IF(AND(AT2=3,AK2="E",AV2&gt;=0.75),HealthBY*P2,IF(AND(AT2=3,AK2="E",AV2&gt;=0.5,AW2=1),PTHealthBY,IF(AND(AT2=3,AK2="E",AV2&gt;=0.5),PTHealthBY*P2,0))))</f>
        <v>0</v>
      </c>
      <c r="BP2" s="388">
        <f t="shared" ref="BP2:BP65" si="12">IF(AND(AT2&lt;&gt;0,(AX2+BA2)&gt;=MAXSSDIBY),SSDIBY*MAXSSDIBY*P2,IF(AT2&lt;&gt;0,SSDIBY*W2,0))</f>
        <v>3865.0986000000003</v>
      </c>
      <c r="BQ2" s="388">
        <f t="shared" ref="BQ2:BQ65" si="13">IF(AT2&lt;&gt;0,SSHIBY*W2,0)</f>
        <v>903.93435000000011</v>
      </c>
      <c r="BR2" s="388">
        <f t="shared" ref="BR2:BR65" si="14">IF(AND(AT2&lt;&gt;0,AN2&lt;&gt;"NE"),VLOOKUP(AN2,Retirement_Rates,4,FALSE)*W2,0)</f>
        <v>6969.6455400000004</v>
      </c>
      <c r="BS2" s="388">
        <f t="shared" ref="BS2:BS65" si="15">IF(AND(AT2&lt;&gt;0,AJ2&lt;&gt;"PF"),LifeBY*W2,0)</f>
        <v>449.47356300000001</v>
      </c>
      <c r="BT2" s="388">
        <f t="shared" ref="BT2:BT65" si="16">IF(AND(AT2&lt;&gt;0,AM2="Y"),UIBY*W2,0)</f>
        <v>0</v>
      </c>
      <c r="BU2" s="388">
        <f t="shared" ref="BU2:BU65" si="17">IF(AND(AT2&lt;&gt;0,N2&lt;&gt;"NR"),DHRBY*W2,0)</f>
        <v>0</v>
      </c>
      <c r="BV2" s="388">
        <f t="shared" ref="BV2:BV65" si="18">IF(AT2&lt;&gt;0,WCBY*W2,0)</f>
        <v>243.12717000000001</v>
      </c>
      <c r="BW2" s="388">
        <f t="shared" ref="BW2:BW65" si="19">IF(OR(AND(AT2&lt;&gt;0,AJ2&lt;&gt;"PF",AN2&lt;&gt;"NE",AG2&lt;&gt;"A"),AND(AL2="E",OR(AT2=1,AT2=3))),SickBY*W2,0)</f>
        <v>0</v>
      </c>
      <c r="BX2" s="388">
        <f>IF(AT2=1,SUM(BP2:BW2),0)</f>
        <v>12431.279223000001</v>
      </c>
      <c r="BY2" s="388">
        <f>IF(AT2=3,SUM(BP2:BW2),0)</f>
        <v>0</v>
      </c>
      <c r="BZ2" s="388">
        <f>IF(AT2=1,BN2-BB2,0)</f>
        <v>1037.5</v>
      </c>
      <c r="CA2" s="388">
        <f>IF(AT2=3,BO2-BC2,0)</f>
        <v>0</v>
      </c>
      <c r="CB2" s="388">
        <f>BP2-BD2</f>
        <v>0</v>
      </c>
      <c r="CC2" s="388">
        <f t="shared" ref="CC2:CC65" si="20">IF(AT2&lt;&gt;0,SSHICHG*Y2,0)</f>
        <v>0</v>
      </c>
      <c r="CD2" s="388">
        <f t="shared" ref="CD2:CD65" si="21">IF(AND(AT2&lt;&gt;0,AN2&lt;&gt;"NE"),VLOOKUP(AN2,Retirement_Rates,5,FALSE)*Y2,0)</f>
        <v>-473.7862800000006</v>
      </c>
      <c r="CE2" s="388">
        <f t="shared" ref="CE2:CE65" si="22">IF(AND(AT2&lt;&gt;0,AJ2&lt;&gt;"PF"),LifeCHG*Y2,0)</f>
        <v>0</v>
      </c>
      <c r="CF2" s="388">
        <f t="shared" ref="CF2:CF65" si="23">IF(AND(AT2&lt;&gt;0,AM2="Y"),UICHG*Y2,0)</f>
        <v>0</v>
      </c>
      <c r="CG2" s="388">
        <f t="shared" ref="CG2:CG65" si="24">IF(AND(AT2&lt;&gt;0,N2&lt;&gt;"NR"),DHRCHG*Y2,0)</f>
        <v>0</v>
      </c>
      <c r="CH2" s="388">
        <f t="shared" ref="CH2:CH65" si="25">IF(AT2&lt;&gt;0,WCCHG*Y2,0)</f>
        <v>24.936119999999985</v>
      </c>
      <c r="CI2" s="388">
        <f t="shared" ref="CI2:CI65" si="26">IF(OR(AND(AT2&lt;&gt;0,AJ2&lt;&gt;"PF",AN2&lt;&gt;"NE",AG2&lt;&gt;"A"),AND(AL2="E",OR(AT2=1,AT2=3))),SickCHG*Y2,0)</f>
        <v>0</v>
      </c>
      <c r="CJ2" s="388">
        <f>IF(AT2=1,SUM(CB2:CI2),0)</f>
        <v>-448.85016000000064</v>
      </c>
      <c r="CK2" s="388" t="str">
        <f>IF(AT2=3,SUM(CB2:CI2),"")</f>
        <v/>
      </c>
      <c r="CL2" s="388" t="str">
        <f>IF(OR(N2="NG",AG2="D"),(T2+U2),"")</f>
        <v/>
      </c>
      <c r="CM2" s="388" t="str">
        <f>IF(OR(N2="NG",AG2="D"),V2,"")</f>
        <v/>
      </c>
      <c r="CN2" s="388" t="str">
        <f>E2 &amp; "-" &amp; F2</f>
        <v>0125-00</v>
      </c>
    </row>
    <row r="3" spans="1:92" ht="15.75" thickBot="1" x14ac:dyDescent="0.3">
      <c r="A3" s="377" t="s">
        <v>162</v>
      </c>
      <c r="B3" s="377" t="s">
        <v>163</v>
      </c>
      <c r="C3" s="377" t="s">
        <v>185</v>
      </c>
      <c r="D3" s="377" t="s">
        <v>186</v>
      </c>
      <c r="E3" s="377" t="s">
        <v>166</v>
      </c>
      <c r="F3" s="378" t="s">
        <v>167</v>
      </c>
      <c r="G3" s="377" t="s">
        <v>168</v>
      </c>
      <c r="H3" s="379"/>
      <c r="I3" s="379"/>
      <c r="J3" s="377" t="s">
        <v>169</v>
      </c>
      <c r="K3" s="377" t="s">
        <v>187</v>
      </c>
      <c r="L3" s="377" t="s">
        <v>167</v>
      </c>
      <c r="M3" s="377" t="s">
        <v>172</v>
      </c>
      <c r="N3" s="377" t="s">
        <v>173</v>
      </c>
      <c r="O3" s="380">
        <v>1</v>
      </c>
      <c r="P3" s="386">
        <v>0.83</v>
      </c>
      <c r="Q3" s="386">
        <v>0.83</v>
      </c>
      <c r="R3" s="381">
        <v>80</v>
      </c>
      <c r="S3" s="386">
        <v>0.83</v>
      </c>
      <c r="T3" s="381">
        <v>57189.69</v>
      </c>
      <c r="U3" s="381">
        <v>0</v>
      </c>
      <c r="V3" s="381">
        <v>21179.22</v>
      </c>
      <c r="W3" s="381">
        <v>62651.05</v>
      </c>
      <c r="X3" s="381">
        <v>23319.31</v>
      </c>
      <c r="Y3" s="381">
        <v>62651.05</v>
      </c>
      <c r="Z3" s="381">
        <v>23905.72</v>
      </c>
      <c r="AA3" s="377" t="s">
        <v>188</v>
      </c>
      <c r="AB3" s="377" t="s">
        <v>189</v>
      </c>
      <c r="AC3" s="377" t="s">
        <v>190</v>
      </c>
      <c r="AD3" s="377" t="s">
        <v>191</v>
      </c>
      <c r="AE3" s="377" t="s">
        <v>187</v>
      </c>
      <c r="AF3" s="377" t="s">
        <v>192</v>
      </c>
      <c r="AG3" s="377" t="s">
        <v>179</v>
      </c>
      <c r="AH3" s="382">
        <v>36.29</v>
      </c>
      <c r="AI3" s="382">
        <v>8532.7999999999993</v>
      </c>
      <c r="AJ3" s="377" t="s">
        <v>180</v>
      </c>
      <c r="AK3" s="377" t="s">
        <v>181</v>
      </c>
      <c r="AL3" s="377" t="s">
        <v>182</v>
      </c>
      <c r="AM3" s="377" t="s">
        <v>183</v>
      </c>
      <c r="AN3" s="377" t="s">
        <v>66</v>
      </c>
      <c r="AO3" s="380">
        <v>80</v>
      </c>
      <c r="AP3" s="386">
        <v>1</v>
      </c>
      <c r="AQ3" s="386">
        <v>0.83</v>
      </c>
      <c r="AR3" s="384" t="s">
        <v>184</v>
      </c>
      <c r="AS3" s="388">
        <f t="shared" ref="AS3:AS66" si="27">IF(((AO3/80)*AP3*P3)&gt;1,AQ3,((AO3/80)*AP3*P3))</f>
        <v>0.83</v>
      </c>
      <c r="AT3">
        <f t="shared" ref="AT3:AT66" si="28">IF(AND(M3="F",N3&lt;&gt;"NG",AS3&lt;&gt;0,AND(AR3&lt;&gt;6,AR3&lt;&gt;36,AR3&lt;&gt;56),AG3&lt;&gt;"A",OR(AG3="H",AJ3="FS")),1,IF(AND(M3="F",N3&lt;&gt;"NG",AS3&lt;&gt;0,AG3="A"),3,0))</f>
        <v>1</v>
      </c>
      <c r="AU3" s="388">
        <f>IF(AT3=0,"",IF(AND(AT3=1,M3="F",SUMIF(C2:C258,C3,AS2:AS258)&lt;=1),SUMIF(C2:C258,C3,AS2:AS258),IF(AND(AT3=1,M3="F",SUMIF(C2:C258,C3,AS2:AS258)&gt;1),1,"")))</f>
        <v>1</v>
      </c>
      <c r="AV3" s="388" t="str">
        <f>IF(AT3=0,"",IF(AND(AT3=3,M3="F",SUMIF(C2:C258,C3,AS2:AS258)&lt;=1),SUMIF(C2:C258,C3,AS2:AS258),IF(AND(AT3=3,M3="F",SUMIF(C2:C258,C3,AS2:AS258)&gt;1),1,"")))</f>
        <v/>
      </c>
      <c r="AW3" s="388">
        <f>SUMIF(C2:C258,C3,O2:O258)</f>
        <v>2</v>
      </c>
      <c r="AX3" s="388">
        <f>IF(AND(M3="F",AS3&lt;&gt;0),SUMIF(C2:C258,C3,W2:W258),0)</f>
        <v>75483.19</v>
      </c>
      <c r="AY3" s="388">
        <f t="shared" ref="AY3:AY66" si="29">IF(AT3=1,W3,"")</f>
        <v>62651.05</v>
      </c>
      <c r="AZ3" s="388" t="str">
        <f t="shared" ref="AZ3:AZ66" si="30">IF(AT3=3,W3,"")</f>
        <v/>
      </c>
      <c r="BA3" s="388">
        <f t="shared" ref="BA3:BA66" si="31">IF(AT3=1,Y3-W3,0)</f>
        <v>0</v>
      </c>
      <c r="BB3" s="388">
        <f t="shared" si="0"/>
        <v>10375</v>
      </c>
      <c r="BC3" s="388">
        <f t="shared" si="1"/>
        <v>0</v>
      </c>
      <c r="BD3" s="388">
        <f t="shared" si="2"/>
        <v>3884.3651</v>
      </c>
      <c r="BE3" s="388">
        <f t="shared" si="3"/>
        <v>908.44022500000005</v>
      </c>
      <c r="BF3" s="388">
        <f t="shared" si="4"/>
        <v>7480.5353700000005</v>
      </c>
      <c r="BG3" s="388">
        <f t="shared" si="5"/>
        <v>451.71407050000005</v>
      </c>
      <c r="BH3" s="388">
        <f t="shared" si="6"/>
        <v>0</v>
      </c>
      <c r="BI3" s="388">
        <f t="shared" si="7"/>
        <v>0</v>
      </c>
      <c r="BJ3" s="388">
        <f t="shared" si="8"/>
        <v>219.27867500000002</v>
      </c>
      <c r="BK3" s="388">
        <f t="shared" si="9"/>
        <v>0</v>
      </c>
      <c r="BL3" s="388">
        <f t="shared" ref="BL3:BL66" si="32">IF(AT3=1,SUM(BD3:BK3),0)</f>
        <v>12944.333440500001</v>
      </c>
      <c r="BM3" s="388">
        <f t="shared" ref="BM3:BM66" si="33">IF(AT3=3,SUM(BD3:BK3),0)</f>
        <v>0</v>
      </c>
      <c r="BN3" s="388">
        <f t="shared" si="10"/>
        <v>11412.5</v>
      </c>
      <c r="BO3" s="388">
        <f t="shared" si="11"/>
        <v>0</v>
      </c>
      <c r="BP3" s="388">
        <f t="shared" si="12"/>
        <v>3884.3651</v>
      </c>
      <c r="BQ3" s="388">
        <f t="shared" si="13"/>
        <v>908.44022500000005</v>
      </c>
      <c r="BR3" s="388">
        <f t="shared" si="14"/>
        <v>7004.3873899999999</v>
      </c>
      <c r="BS3" s="388">
        <f t="shared" si="15"/>
        <v>451.71407050000005</v>
      </c>
      <c r="BT3" s="388">
        <f t="shared" si="16"/>
        <v>0</v>
      </c>
      <c r="BU3" s="388">
        <f t="shared" si="17"/>
        <v>0</v>
      </c>
      <c r="BV3" s="388">
        <f t="shared" si="18"/>
        <v>244.33909499999999</v>
      </c>
      <c r="BW3" s="388">
        <f t="shared" si="19"/>
        <v>0</v>
      </c>
      <c r="BX3" s="388">
        <f t="shared" ref="BX3:BX66" si="34">IF(AT3=1,SUM(BP3:BW3),0)</f>
        <v>12493.245880500001</v>
      </c>
      <c r="BY3" s="388">
        <f t="shared" ref="BY3:BY66" si="35">IF(AT3=3,SUM(BP3:BW3),0)</f>
        <v>0</v>
      </c>
      <c r="BZ3" s="388">
        <f t="shared" ref="BZ3:BZ66" si="36">IF(AT3=1,BN3-BB3,0)</f>
        <v>1037.5</v>
      </c>
      <c r="CA3" s="388">
        <f t="shared" ref="CA3:CA66" si="37">IF(AT3=3,BO3-BC3,0)</f>
        <v>0</v>
      </c>
      <c r="CB3" s="388">
        <f t="shared" ref="CB3:CB66" si="38">BP3-BD3</f>
        <v>0</v>
      </c>
      <c r="CC3" s="388">
        <f t="shared" si="20"/>
        <v>0</v>
      </c>
      <c r="CD3" s="388">
        <f t="shared" si="21"/>
        <v>-476.14798000000064</v>
      </c>
      <c r="CE3" s="388">
        <f t="shared" si="22"/>
        <v>0</v>
      </c>
      <c r="CF3" s="388">
        <f t="shared" si="23"/>
        <v>0</v>
      </c>
      <c r="CG3" s="388">
        <f t="shared" si="24"/>
        <v>0</v>
      </c>
      <c r="CH3" s="388">
        <f t="shared" si="25"/>
        <v>25.060419999999986</v>
      </c>
      <c r="CI3" s="388">
        <f t="shared" si="26"/>
        <v>0</v>
      </c>
      <c r="CJ3" s="388">
        <f t="shared" ref="CJ3:CJ66" si="39">IF(AT3=1,SUM(CB3:CI3),0)</f>
        <v>-451.08756000000068</v>
      </c>
      <c r="CK3" s="388" t="str">
        <f t="shared" ref="CK3:CK66" si="40">IF(AT3=3,SUM(CB3:CI3),"")</f>
        <v/>
      </c>
      <c r="CL3" s="388" t="str">
        <f t="shared" ref="CL3:CL66" si="41">IF(OR(N3="NG",AG3="D"),(T3+U3),"")</f>
        <v/>
      </c>
      <c r="CM3" s="388" t="str">
        <f t="shared" ref="CM3:CM66" si="42">IF(OR(N3="NG",AG3="D"),V3,"")</f>
        <v/>
      </c>
      <c r="CN3" s="388" t="str">
        <f t="shared" ref="CN3:CN66" si="43">E3 &amp; "-" &amp; F3</f>
        <v>0125-00</v>
      </c>
    </row>
    <row r="4" spans="1:92" ht="15.75" thickBot="1" x14ac:dyDescent="0.3">
      <c r="A4" s="377" t="s">
        <v>162</v>
      </c>
      <c r="B4" s="377" t="s">
        <v>163</v>
      </c>
      <c r="C4" s="377" t="s">
        <v>193</v>
      </c>
      <c r="D4" s="377" t="s">
        <v>194</v>
      </c>
      <c r="E4" s="377" t="s">
        <v>166</v>
      </c>
      <c r="F4" s="378" t="s">
        <v>167</v>
      </c>
      <c r="G4" s="377" t="s">
        <v>168</v>
      </c>
      <c r="H4" s="379"/>
      <c r="I4" s="379"/>
      <c r="J4" s="377" t="s">
        <v>169</v>
      </c>
      <c r="K4" s="377" t="s">
        <v>195</v>
      </c>
      <c r="L4" s="377" t="s">
        <v>171</v>
      </c>
      <c r="M4" s="377" t="s">
        <v>172</v>
      </c>
      <c r="N4" s="377" t="s">
        <v>173</v>
      </c>
      <c r="O4" s="380">
        <v>1</v>
      </c>
      <c r="P4" s="386">
        <v>0.1</v>
      </c>
      <c r="Q4" s="386">
        <v>0.1</v>
      </c>
      <c r="R4" s="381">
        <v>80</v>
      </c>
      <c r="S4" s="386">
        <v>0.1</v>
      </c>
      <c r="T4" s="381">
        <v>5761.57</v>
      </c>
      <c r="U4" s="381">
        <v>0</v>
      </c>
      <c r="V4" s="381">
        <v>2364.0500000000002</v>
      </c>
      <c r="W4" s="381">
        <v>6366.88</v>
      </c>
      <c r="X4" s="381">
        <v>2565.4499999999998</v>
      </c>
      <c r="Y4" s="381">
        <v>6366.88</v>
      </c>
      <c r="Z4" s="381">
        <v>2644.61</v>
      </c>
      <c r="AA4" s="377" t="s">
        <v>196</v>
      </c>
      <c r="AB4" s="377" t="s">
        <v>197</v>
      </c>
      <c r="AC4" s="377" t="s">
        <v>198</v>
      </c>
      <c r="AD4" s="377" t="s">
        <v>199</v>
      </c>
      <c r="AE4" s="377" t="s">
        <v>195</v>
      </c>
      <c r="AF4" s="377" t="s">
        <v>178</v>
      </c>
      <c r="AG4" s="377" t="s">
        <v>179</v>
      </c>
      <c r="AH4" s="382">
        <v>30.61</v>
      </c>
      <c r="AI4" s="382">
        <v>16438.599999999999</v>
      </c>
      <c r="AJ4" s="377" t="s">
        <v>180</v>
      </c>
      <c r="AK4" s="377" t="s">
        <v>181</v>
      </c>
      <c r="AL4" s="377" t="s">
        <v>182</v>
      </c>
      <c r="AM4" s="377" t="s">
        <v>183</v>
      </c>
      <c r="AN4" s="377" t="s">
        <v>66</v>
      </c>
      <c r="AO4" s="380">
        <v>80</v>
      </c>
      <c r="AP4" s="386">
        <v>1</v>
      </c>
      <c r="AQ4" s="386">
        <v>0.1</v>
      </c>
      <c r="AR4" s="384" t="s">
        <v>184</v>
      </c>
      <c r="AS4" s="388">
        <f t="shared" si="27"/>
        <v>0.1</v>
      </c>
      <c r="AT4">
        <f t="shared" si="28"/>
        <v>1</v>
      </c>
      <c r="AU4" s="388">
        <f>IF(AT4=0,"",IF(AND(AT4=1,M4="F",SUMIF(C2:C258,C4,AS2:AS258)&lt;=1),SUMIF(C2:C258,C4,AS2:AS258),IF(AND(AT4=1,M4="F",SUMIF(C2:C258,C4,AS2:AS258)&gt;1),1,"")))</f>
        <v>1</v>
      </c>
      <c r="AV4" s="388" t="str">
        <f>IF(AT4=0,"",IF(AND(AT4=3,M4="F",SUMIF(C2:C258,C4,AS2:AS258)&lt;=1),SUMIF(C2:C258,C4,AS2:AS258),IF(AND(AT4=3,M4="F",SUMIF(C2:C258,C4,AS2:AS258)&gt;1),1,"")))</f>
        <v/>
      </c>
      <c r="AW4" s="388">
        <f>SUMIF(C2:C258,C4,O2:O258)</f>
        <v>2</v>
      </c>
      <c r="AX4" s="388">
        <f>IF(AND(M4="F",AS4&lt;&gt;0),SUMIF(C2:C258,C4,W2:W258),0)</f>
        <v>63668.799999999996</v>
      </c>
      <c r="AY4" s="388">
        <f t="shared" si="29"/>
        <v>6366.88</v>
      </c>
      <c r="AZ4" s="388" t="str">
        <f t="shared" si="30"/>
        <v/>
      </c>
      <c r="BA4" s="388">
        <f t="shared" si="31"/>
        <v>0</v>
      </c>
      <c r="BB4" s="388">
        <f t="shared" si="0"/>
        <v>1250</v>
      </c>
      <c r="BC4" s="388">
        <f t="shared" si="1"/>
        <v>0</v>
      </c>
      <c r="BD4" s="388">
        <f t="shared" si="2"/>
        <v>394.74655999999999</v>
      </c>
      <c r="BE4" s="388">
        <f t="shared" si="3"/>
        <v>92.319760000000002</v>
      </c>
      <c r="BF4" s="388">
        <f t="shared" si="4"/>
        <v>760.2054720000001</v>
      </c>
      <c r="BG4" s="388">
        <f t="shared" si="5"/>
        <v>45.9052048</v>
      </c>
      <c r="BH4" s="388">
        <f t="shared" si="6"/>
        <v>0</v>
      </c>
      <c r="BI4" s="388">
        <f t="shared" si="7"/>
        <v>0</v>
      </c>
      <c r="BJ4" s="388">
        <f t="shared" si="8"/>
        <v>22.284079999999999</v>
      </c>
      <c r="BK4" s="388">
        <f t="shared" si="9"/>
        <v>0</v>
      </c>
      <c r="BL4" s="388">
        <f t="shared" si="32"/>
        <v>1315.4610768</v>
      </c>
      <c r="BM4" s="388">
        <f t="shared" si="33"/>
        <v>0</v>
      </c>
      <c r="BN4" s="388">
        <f t="shared" si="10"/>
        <v>1375</v>
      </c>
      <c r="BO4" s="388">
        <f t="shared" si="11"/>
        <v>0</v>
      </c>
      <c r="BP4" s="388">
        <f t="shared" si="12"/>
        <v>394.74655999999999</v>
      </c>
      <c r="BQ4" s="388">
        <f t="shared" si="13"/>
        <v>92.319760000000002</v>
      </c>
      <c r="BR4" s="388">
        <f t="shared" si="14"/>
        <v>711.817184</v>
      </c>
      <c r="BS4" s="388">
        <f t="shared" si="15"/>
        <v>45.9052048</v>
      </c>
      <c r="BT4" s="388">
        <f t="shared" si="16"/>
        <v>0</v>
      </c>
      <c r="BU4" s="388">
        <f t="shared" si="17"/>
        <v>0</v>
      </c>
      <c r="BV4" s="388">
        <f t="shared" si="18"/>
        <v>24.830832000000001</v>
      </c>
      <c r="BW4" s="388">
        <f t="shared" si="19"/>
        <v>0</v>
      </c>
      <c r="BX4" s="388">
        <f t="shared" si="34"/>
        <v>1269.6195408000001</v>
      </c>
      <c r="BY4" s="388">
        <f t="shared" si="35"/>
        <v>0</v>
      </c>
      <c r="BZ4" s="388">
        <f t="shared" si="36"/>
        <v>125</v>
      </c>
      <c r="CA4" s="388">
        <f t="shared" si="37"/>
        <v>0</v>
      </c>
      <c r="CB4" s="388">
        <f t="shared" si="38"/>
        <v>0</v>
      </c>
      <c r="CC4" s="388">
        <f t="shared" si="20"/>
        <v>0</v>
      </c>
      <c r="CD4" s="388">
        <f t="shared" si="21"/>
        <v>-48.38828800000006</v>
      </c>
      <c r="CE4" s="388">
        <f t="shared" si="22"/>
        <v>0</v>
      </c>
      <c r="CF4" s="388">
        <f t="shared" si="23"/>
        <v>0</v>
      </c>
      <c r="CG4" s="388">
        <f t="shared" si="24"/>
        <v>0</v>
      </c>
      <c r="CH4" s="388">
        <f t="shared" si="25"/>
        <v>2.5467519999999984</v>
      </c>
      <c r="CI4" s="388">
        <f t="shared" si="26"/>
        <v>0</v>
      </c>
      <c r="CJ4" s="388">
        <f t="shared" si="39"/>
        <v>-45.841536000000062</v>
      </c>
      <c r="CK4" s="388" t="str">
        <f t="shared" si="40"/>
        <v/>
      </c>
      <c r="CL4" s="388" t="str">
        <f t="shared" si="41"/>
        <v/>
      </c>
      <c r="CM4" s="388" t="str">
        <f t="shared" si="42"/>
        <v/>
      </c>
      <c r="CN4" s="388" t="str">
        <f t="shared" si="43"/>
        <v>0125-00</v>
      </c>
    </row>
    <row r="5" spans="1:92" ht="15.75" thickBot="1" x14ac:dyDescent="0.3">
      <c r="A5" s="377" t="s">
        <v>162</v>
      </c>
      <c r="B5" s="377" t="s">
        <v>163</v>
      </c>
      <c r="C5" s="377" t="s">
        <v>200</v>
      </c>
      <c r="D5" s="377" t="s">
        <v>201</v>
      </c>
      <c r="E5" s="377" t="s">
        <v>166</v>
      </c>
      <c r="F5" s="378" t="s">
        <v>167</v>
      </c>
      <c r="G5" s="377" t="s">
        <v>168</v>
      </c>
      <c r="H5" s="379"/>
      <c r="I5" s="379"/>
      <c r="J5" s="377" t="s">
        <v>169</v>
      </c>
      <c r="K5" s="377" t="s">
        <v>202</v>
      </c>
      <c r="L5" s="377" t="s">
        <v>191</v>
      </c>
      <c r="M5" s="377" t="s">
        <v>172</v>
      </c>
      <c r="N5" s="377" t="s">
        <v>173</v>
      </c>
      <c r="O5" s="380">
        <v>1</v>
      </c>
      <c r="P5" s="386">
        <v>0.1</v>
      </c>
      <c r="Q5" s="386">
        <v>0.1</v>
      </c>
      <c r="R5" s="381">
        <v>80</v>
      </c>
      <c r="S5" s="386">
        <v>0.1</v>
      </c>
      <c r="T5" s="381">
        <v>14375.13</v>
      </c>
      <c r="U5" s="381">
        <v>0</v>
      </c>
      <c r="V5" s="381">
        <v>4143.26</v>
      </c>
      <c r="W5" s="381">
        <v>15930.72</v>
      </c>
      <c r="X5" s="381">
        <v>4439.09</v>
      </c>
      <c r="Y5" s="381">
        <v>15930.72</v>
      </c>
      <c r="Z5" s="381">
        <v>4475.43</v>
      </c>
      <c r="AA5" s="377" t="s">
        <v>203</v>
      </c>
      <c r="AB5" s="377" t="s">
        <v>204</v>
      </c>
      <c r="AC5" s="377" t="s">
        <v>205</v>
      </c>
      <c r="AD5" s="377" t="s">
        <v>206</v>
      </c>
      <c r="AE5" s="377" t="s">
        <v>202</v>
      </c>
      <c r="AF5" s="377" t="s">
        <v>207</v>
      </c>
      <c r="AG5" s="377" t="s">
        <v>179</v>
      </c>
      <c r="AH5" s="382">
        <v>76.59</v>
      </c>
      <c r="AI5" s="382">
        <v>50433.599999999999</v>
      </c>
      <c r="AJ5" s="377" t="s">
        <v>180</v>
      </c>
      <c r="AK5" s="377" t="s">
        <v>181</v>
      </c>
      <c r="AL5" s="377" t="s">
        <v>182</v>
      </c>
      <c r="AM5" s="377" t="s">
        <v>183</v>
      </c>
      <c r="AN5" s="377" t="s">
        <v>66</v>
      </c>
      <c r="AO5" s="380">
        <v>80</v>
      </c>
      <c r="AP5" s="386">
        <v>1</v>
      </c>
      <c r="AQ5" s="386">
        <v>0.1</v>
      </c>
      <c r="AR5" s="384" t="s">
        <v>184</v>
      </c>
      <c r="AS5" s="388">
        <f t="shared" si="27"/>
        <v>0.1</v>
      </c>
      <c r="AT5">
        <f t="shared" si="28"/>
        <v>1</v>
      </c>
      <c r="AU5" s="388">
        <f>IF(AT5=0,"",IF(AND(AT5=1,M5="F",SUMIF(C2:C258,C5,AS2:AS258)&lt;=1),SUMIF(C2:C258,C5,AS2:AS258),IF(AND(AT5=1,M5="F",SUMIF(C2:C258,C5,AS2:AS258)&gt;1),1,"")))</f>
        <v>1</v>
      </c>
      <c r="AV5" s="388" t="str">
        <f>IF(AT5=0,"",IF(AND(AT5=3,M5="F",SUMIF(C2:C258,C5,AS2:AS258)&lt;=1),SUMIF(C2:C258,C5,AS2:AS258),IF(AND(AT5=3,M5="F",SUMIF(C2:C258,C5,AS2:AS258)&gt;1),1,"")))</f>
        <v/>
      </c>
      <c r="AW5" s="388">
        <f>SUMIF(C2:C258,C5,O2:O258)</f>
        <v>2</v>
      </c>
      <c r="AX5" s="388">
        <f>IF(AND(M5="F",AS5&lt;&gt;0),SUMIF(C2:C258,C5,W2:W258),0)</f>
        <v>159307.20000000001</v>
      </c>
      <c r="AY5" s="388">
        <f t="shared" si="29"/>
        <v>15930.72</v>
      </c>
      <c r="AZ5" s="388" t="str">
        <f t="shared" si="30"/>
        <v/>
      </c>
      <c r="BA5" s="388">
        <f t="shared" si="31"/>
        <v>0</v>
      </c>
      <c r="BB5" s="388">
        <f t="shared" si="0"/>
        <v>1250</v>
      </c>
      <c r="BC5" s="388">
        <f t="shared" si="1"/>
        <v>0</v>
      </c>
      <c r="BD5" s="388">
        <f t="shared" si="2"/>
        <v>885.36000000000013</v>
      </c>
      <c r="BE5" s="388">
        <f t="shared" si="3"/>
        <v>230.99544</v>
      </c>
      <c r="BF5" s="388">
        <f t="shared" si="4"/>
        <v>1902.127968</v>
      </c>
      <c r="BG5" s="388">
        <f t="shared" si="5"/>
        <v>114.8604912</v>
      </c>
      <c r="BH5" s="388">
        <f t="shared" si="6"/>
        <v>0</v>
      </c>
      <c r="BI5" s="388">
        <f t="shared" si="7"/>
        <v>0</v>
      </c>
      <c r="BJ5" s="388">
        <f t="shared" si="8"/>
        <v>55.75752</v>
      </c>
      <c r="BK5" s="388">
        <f t="shared" si="9"/>
        <v>0</v>
      </c>
      <c r="BL5" s="388">
        <f t="shared" si="32"/>
        <v>3189.1014192000002</v>
      </c>
      <c r="BM5" s="388">
        <f t="shared" si="33"/>
        <v>0</v>
      </c>
      <c r="BN5" s="388">
        <f t="shared" si="10"/>
        <v>1375</v>
      </c>
      <c r="BO5" s="388">
        <f t="shared" si="11"/>
        <v>0</v>
      </c>
      <c r="BP5" s="388">
        <f t="shared" si="12"/>
        <v>911.40000000000009</v>
      </c>
      <c r="BQ5" s="388">
        <f t="shared" si="13"/>
        <v>230.99544</v>
      </c>
      <c r="BR5" s="388">
        <f t="shared" si="14"/>
        <v>1781.054496</v>
      </c>
      <c r="BS5" s="388">
        <f t="shared" si="15"/>
        <v>114.8604912</v>
      </c>
      <c r="BT5" s="388">
        <f t="shared" si="16"/>
        <v>0</v>
      </c>
      <c r="BU5" s="388">
        <f t="shared" si="17"/>
        <v>0</v>
      </c>
      <c r="BV5" s="388">
        <f t="shared" si="18"/>
        <v>62.129807999999997</v>
      </c>
      <c r="BW5" s="388">
        <f t="shared" si="19"/>
        <v>0</v>
      </c>
      <c r="BX5" s="388">
        <f t="shared" si="34"/>
        <v>3100.4402352000002</v>
      </c>
      <c r="BY5" s="388">
        <f t="shared" si="35"/>
        <v>0</v>
      </c>
      <c r="BZ5" s="388">
        <f t="shared" si="36"/>
        <v>125</v>
      </c>
      <c r="CA5" s="388">
        <f t="shared" si="37"/>
        <v>0</v>
      </c>
      <c r="CB5" s="388">
        <f t="shared" si="38"/>
        <v>26.039999999999964</v>
      </c>
      <c r="CC5" s="388">
        <f t="shared" si="20"/>
        <v>0</v>
      </c>
      <c r="CD5" s="388">
        <f t="shared" si="21"/>
        <v>-121.07347200000015</v>
      </c>
      <c r="CE5" s="388">
        <f t="shared" si="22"/>
        <v>0</v>
      </c>
      <c r="CF5" s="388">
        <f t="shared" si="23"/>
        <v>0</v>
      </c>
      <c r="CG5" s="388">
        <f t="shared" si="24"/>
        <v>0</v>
      </c>
      <c r="CH5" s="388">
        <f t="shared" si="25"/>
        <v>6.3722879999999957</v>
      </c>
      <c r="CI5" s="388">
        <f t="shared" si="26"/>
        <v>0</v>
      </c>
      <c r="CJ5" s="388">
        <f t="shared" si="39"/>
        <v>-88.661184000000191</v>
      </c>
      <c r="CK5" s="388" t="str">
        <f t="shared" si="40"/>
        <v/>
      </c>
      <c r="CL5" s="388" t="str">
        <f t="shared" si="41"/>
        <v/>
      </c>
      <c r="CM5" s="388" t="str">
        <f t="shared" si="42"/>
        <v/>
      </c>
      <c r="CN5" s="388" t="str">
        <f t="shared" si="43"/>
        <v>0125-00</v>
      </c>
    </row>
    <row r="6" spans="1:92" ht="15.75" thickBot="1" x14ac:dyDescent="0.3">
      <c r="A6" s="377" t="s">
        <v>162</v>
      </c>
      <c r="B6" s="377" t="s">
        <v>163</v>
      </c>
      <c r="C6" s="377" t="s">
        <v>208</v>
      </c>
      <c r="D6" s="377" t="s">
        <v>209</v>
      </c>
      <c r="E6" s="377" t="s">
        <v>166</v>
      </c>
      <c r="F6" s="378" t="s">
        <v>167</v>
      </c>
      <c r="G6" s="377" t="s">
        <v>168</v>
      </c>
      <c r="H6" s="379"/>
      <c r="I6" s="379"/>
      <c r="J6" s="377" t="s">
        <v>169</v>
      </c>
      <c r="K6" s="377" t="s">
        <v>210</v>
      </c>
      <c r="L6" s="377" t="s">
        <v>211</v>
      </c>
      <c r="M6" s="377" t="s">
        <v>172</v>
      </c>
      <c r="N6" s="377" t="s">
        <v>173</v>
      </c>
      <c r="O6" s="380">
        <v>1</v>
      </c>
      <c r="P6" s="386">
        <v>0.83</v>
      </c>
      <c r="Q6" s="386">
        <v>0.83</v>
      </c>
      <c r="R6" s="381">
        <v>80</v>
      </c>
      <c r="S6" s="386">
        <v>0.83</v>
      </c>
      <c r="T6" s="381">
        <v>38893.129999999997</v>
      </c>
      <c r="U6" s="381">
        <v>0</v>
      </c>
      <c r="V6" s="381">
        <v>17388.13</v>
      </c>
      <c r="W6" s="381">
        <v>40725.769999999997</v>
      </c>
      <c r="X6" s="381">
        <v>18789.330000000002</v>
      </c>
      <c r="Y6" s="381">
        <v>40725.769999999997</v>
      </c>
      <c r="Z6" s="381">
        <v>19533.61</v>
      </c>
      <c r="AA6" s="377" t="s">
        <v>212</v>
      </c>
      <c r="AB6" s="377" t="s">
        <v>213</v>
      </c>
      <c r="AC6" s="377" t="s">
        <v>214</v>
      </c>
      <c r="AD6" s="377" t="s">
        <v>215</v>
      </c>
      <c r="AE6" s="377" t="s">
        <v>210</v>
      </c>
      <c r="AF6" s="377" t="s">
        <v>216</v>
      </c>
      <c r="AG6" s="377" t="s">
        <v>179</v>
      </c>
      <c r="AH6" s="382">
        <v>23.59</v>
      </c>
      <c r="AI6" s="380">
        <v>9927</v>
      </c>
      <c r="AJ6" s="377" t="s">
        <v>180</v>
      </c>
      <c r="AK6" s="377" t="s">
        <v>181</v>
      </c>
      <c r="AL6" s="377" t="s">
        <v>182</v>
      </c>
      <c r="AM6" s="377" t="s">
        <v>183</v>
      </c>
      <c r="AN6" s="377" t="s">
        <v>66</v>
      </c>
      <c r="AO6" s="380">
        <v>80</v>
      </c>
      <c r="AP6" s="386">
        <v>1</v>
      </c>
      <c r="AQ6" s="386">
        <v>0.83</v>
      </c>
      <c r="AR6" s="384" t="s">
        <v>184</v>
      </c>
      <c r="AS6" s="388">
        <f t="shared" si="27"/>
        <v>0.83</v>
      </c>
      <c r="AT6">
        <f t="shared" si="28"/>
        <v>1</v>
      </c>
      <c r="AU6" s="388">
        <f>IF(AT6=0,"",IF(AND(AT6=1,M6="F",SUMIF(C2:C258,C6,AS2:AS258)&lt;=1),SUMIF(C2:C258,C6,AS2:AS258),IF(AND(AT6=1,M6="F",SUMIF(C2:C258,C6,AS2:AS258)&gt;1),1,"")))</f>
        <v>1</v>
      </c>
      <c r="AV6" s="388" t="str">
        <f>IF(AT6=0,"",IF(AND(AT6=3,M6="F",SUMIF(C2:C258,C6,AS2:AS258)&lt;=1),SUMIF(C2:C258,C6,AS2:AS258),IF(AND(AT6=3,M6="F",SUMIF(C2:C258,C6,AS2:AS258)&gt;1),1,"")))</f>
        <v/>
      </c>
      <c r="AW6" s="388">
        <f>SUMIF(C2:C258,C6,O2:O258)</f>
        <v>2</v>
      </c>
      <c r="AX6" s="388">
        <f>IF(AND(M6="F",AS6&lt;&gt;0),SUMIF(C2:C258,C6,W2:W258),0)</f>
        <v>49067.189999999995</v>
      </c>
      <c r="AY6" s="388">
        <f t="shared" si="29"/>
        <v>40725.769999999997</v>
      </c>
      <c r="AZ6" s="388" t="str">
        <f t="shared" si="30"/>
        <v/>
      </c>
      <c r="BA6" s="388">
        <f t="shared" si="31"/>
        <v>0</v>
      </c>
      <c r="BB6" s="388">
        <f t="shared" si="0"/>
        <v>10375</v>
      </c>
      <c r="BC6" s="388">
        <f t="shared" si="1"/>
        <v>0</v>
      </c>
      <c r="BD6" s="388">
        <f t="shared" si="2"/>
        <v>2524.9977399999998</v>
      </c>
      <c r="BE6" s="388">
        <f t="shared" si="3"/>
        <v>590.52366499999994</v>
      </c>
      <c r="BF6" s="388">
        <f t="shared" si="4"/>
        <v>4862.6569380000001</v>
      </c>
      <c r="BG6" s="388">
        <f t="shared" si="5"/>
        <v>293.63280170000002</v>
      </c>
      <c r="BH6" s="388">
        <f t="shared" si="6"/>
        <v>0</v>
      </c>
      <c r="BI6" s="388">
        <f t="shared" si="7"/>
        <v>0</v>
      </c>
      <c r="BJ6" s="388">
        <f t="shared" si="8"/>
        <v>142.54019499999998</v>
      </c>
      <c r="BK6" s="388">
        <f t="shared" si="9"/>
        <v>0</v>
      </c>
      <c r="BL6" s="388">
        <f t="shared" si="32"/>
        <v>8414.3513396999988</v>
      </c>
      <c r="BM6" s="388">
        <f t="shared" si="33"/>
        <v>0</v>
      </c>
      <c r="BN6" s="388">
        <f t="shared" si="10"/>
        <v>11412.5</v>
      </c>
      <c r="BO6" s="388">
        <f t="shared" si="11"/>
        <v>0</v>
      </c>
      <c r="BP6" s="388">
        <f t="shared" si="12"/>
        <v>2524.9977399999998</v>
      </c>
      <c r="BQ6" s="388">
        <f t="shared" si="13"/>
        <v>590.52366499999994</v>
      </c>
      <c r="BR6" s="388">
        <f t="shared" si="14"/>
        <v>4553.1410859999996</v>
      </c>
      <c r="BS6" s="388">
        <f t="shared" si="15"/>
        <v>293.63280170000002</v>
      </c>
      <c r="BT6" s="388">
        <f t="shared" si="16"/>
        <v>0</v>
      </c>
      <c r="BU6" s="388">
        <f t="shared" si="17"/>
        <v>0</v>
      </c>
      <c r="BV6" s="388">
        <f t="shared" si="18"/>
        <v>158.83050299999999</v>
      </c>
      <c r="BW6" s="388">
        <f t="shared" si="19"/>
        <v>0</v>
      </c>
      <c r="BX6" s="388">
        <f t="shared" si="34"/>
        <v>8121.1257956999989</v>
      </c>
      <c r="BY6" s="388">
        <f t="shared" si="35"/>
        <v>0</v>
      </c>
      <c r="BZ6" s="388">
        <f t="shared" si="36"/>
        <v>1037.5</v>
      </c>
      <c r="CA6" s="388">
        <f t="shared" si="37"/>
        <v>0</v>
      </c>
      <c r="CB6" s="388">
        <f t="shared" si="38"/>
        <v>0</v>
      </c>
      <c r="CC6" s="388">
        <f t="shared" si="20"/>
        <v>0</v>
      </c>
      <c r="CD6" s="388">
        <f t="shared" si="21"/>
        <v>-309.51585200000034</v>
      </c>
      <c r="CE6" s="388">
        <f t="shared" si="22"/>
        <v>0</v>
      </c>
      <c r="CF6" s="388">
        <f t="shared" si="23"/>
        <v>0</v>
      </c>
      <c r="CG6" s="388">
        <f t="shared" si="24"/>
        <v>0</v>
      </c>
      <c r="CH6" s="388">
        <f t="shared" si="25"/>
        <v>16.290307999999989</v>
      </c>
      <c r="CI6" s="388">
        <f t="shared" si="26"/>
        <v>0</v>
      </c>
      <c r="CJ6" s="388">
        <f t="shared" si="39"/>
        <v>-293.22554400000035</v>
      </c>
      <c r="CK6" s="388" t="str">
        <f t="shared" si="40"/>
        <v/>
      </c>
      <c r="CL6" s="388" t="str">
        <f t="shared" si="41"/>
        <v/>
      </c>
      <c r="CM6" s="388" t="str">
        <f t="shared" si="42"/>
        <v/>
      </c>
      <c r="CN6" s="388" t="str">
        <f t="shared" si="43"/>
        <v>0125-00</v>
      </c>
    </row>
    <row r="7" spans="1:92" ht="15.75" thickBot="1" x14ac:dyDescent="0.3">
      <c r="A7" s="377" t="s">
        <v>162</v>
      </c>
      <c r="B7" s="377" t="s">
        <v>163</v>
      </c>
      <c r="C7" s="377" t="s">
        <v>217</v>
      </c>
      <c r="D7" s="377" t="s">
        <v>218</v>
      </c>
      <c r="E7" s="377" t="s">
        <v>166</v>
      </c>
      <c r="F7" s="378" t="s">
        <v>167</v>
      </c>
      <c r="G7" s="377" t="s">
        <v>168</v>
      </c>
      <c r="H7" s="379"/>
      <c r="I7" s="379"/>
      <c r="J7" s="377" t="s">
        <v>219</v>
      </c>
      <c r="K7" s="377" t="s">
        <v>220</v>
      </c>
      <c r="L7" s="377" t="s">
        <v>167</v>
      </c>
      <c r="M7" s="377" t="s">
        <v>172</v>
      </c>
      <c r="N7" s="377" t="s">
        <v>173</v>
      </c>
      <c r="O7" s="380">
        <v>1</v>
      </c>
      <c r="P7" s="386">
        <v>0</v>
      </c>
      <c r="Q7" s="386">
        <v>0</v>
      </c>
      <c r="R7" s="381">
        <v>80</v>
      </c>
      <c r="S7" s="386">
        <v>0</v>
      </c>
      <c r="T7" s="381">
        <v>4848.4799999999996</v>
      </c>
      <c r="U7" s="381">
        <v>0</v>
      </c>
      <c r="V7" s="381">
        <v>1514.89</v>
      </c>
      <c r="W7" s="381">
        <v>0</v>
      </c>
      <c r="X7" s="381">
        <v>0</v>
      </c>
      <c r="Y7" s="381">
        <v>0</v>
      </c>
      <c r="Z7" s="381">
        <v>0</v>
      </c>
      <c r="AA7" s="377" t="s">
        <v>221</v>
      </c>
      <c r="AB7" s="377" t="s">
        <v>222</v>
      </c>
      <c r="AC7" s="377" t="s">
        <v>223</v>
      </c>
      <c r="AD7" s="377" t="s">
        <v>224</v>
      </c>
      <c r="AE7" s="377" t="s">
        <v>210</v>
      </c>
      <c r="AF7" s="377" t="s">
        <v>216</v>
      </c>
      <c r="AG7" s="377" t="s">
        <v>179</v>
      </c>
      <c r="AH7" s="382">
        <v>23.69</v>
      </c>
      <c r="AI7" s="380">
        <v>840</v>
      </c>
      <c r="AJ7" s="377" t="s">
        <v>180</v>
      </c>
      <c r="AK7" s="377" t="s">
        <v>181</v>
      </c>
      <c r="AL7" s="377" t="s">
        <v>182</v>
      </c>
      <c r="AM7" s="377" t="s">
        <v>183</v>
      </c>
      <c r="AN7" s="377" t="s">
        <v>66</v>
      </c>
      <c r="AO7" s="380">
        <v>80</v>
      </c>
      <c r="AP7" s="386">
        <v>1</v>
      </c>
      <c r="AQ7" s="386">
        <v>0</v>
      </c>
      <c r="AR7" s="384" t="s">
        <v>184</v>
      </c>
      <c r="AS7" s="388">
        <f t="shared" si="27"/>
        <v>0</v>
      </c>
      <c r="AT7">
        <f t="shared" si="28"/>
        <v>0</v>
      </c>
      <c r="AU7" s="388" t="str">
        <f>IF(AT7=0,"",IF(AND(AT7=1,M7="F",SUMIF(C2:C258,C7,AS2:AS258)&lt;=1),SUMIF(C2:C258,C7,AS2:AS258),IF(AND(AT7=1,M7="F",SUMIF(C2:C258,C7,AS2:AS258)&gt;1),1,"")))</f>
        <v/>
      </c>
      <c r="AV7" s="388" t="str">
        <f>IF(AT7=0,"",IF(AND(AT7=3,M7="F",SUMIF(C2:C258,C7,AS2:AS258)&lt;=1),SUMIF(C2:C258,C7,AS2:AS258),IF(AND(AT7=3,M7="F",SUMIF(C2:C258,C7,AS2:AS258)&gt;1),1,"")))</f>
        <v/>
      </c>
      <c r="AW7" s="388">
        <f>SUMIF(C2:C258,C7,O2:O258)</f>
        <v>2</v>
      </c>
      <c r="AX7" s="388">
        <f>IF(AND(M7="F",AS7&lt;&gt;0),SUMIF(C2:C258,C7,W2:W258),0)</f>
        <v>0</v>
      </c>
      <c r="AY7" s="388" t="str">
        <f t="shared" si="29"/>
        <v/>
      </c>
      <c r="AZ7" s="388" t="str">
        <f t="shared" si="30"/>
        <v/>
      </c>
      <c r="BA7" s="388">
        <f t="shared" si="31"/>
        <v>0</v>
      </c>
      <c r="BB7" s="388">
        <f t="shared" si="0"/>
        <v>0</v>
      </c>
      <c r="BC7" s="388">
        <f t="shared" si="1"/>
        <v>0</v>
      </c>
      <c r="BD7" s="388">
        <f t="shared" si="2"/>
        <v>0</v>
      </c>
      <c r="BE7" s="388">
        <f t="shared" si="3"/>
        <v>0</v>
      </c>
      <c r="BF7" s="388">
        <f t="shared" si="4"/>
        <v>0</v>
      </c>
      <c r="BG7" s="388">
        <f t="shared" si="5"/>
        <v>0</v>
      </c>
      <c r="BH7" s="388">
        <f t="shared" si="6"/>
        <v>0</v>
      </c>
      <c r="BI7" s="388">
        <f t="shared" si="7"/>
        <v>0</v>
      </c>
      <c r="BJ7" s="388">
        <f t="shared" si="8"/>
        <v>0</v>
      </c>
      <c r="BK7" s="388">
        <f t="shared" si="9"/>
        <v>0</v>
      </c>
      <c r="BL7" s="388">
        <f t="shared" si="32"/>
        <v>0</v>
      </c>
      <c r="BM7" s="388">
        <f t="shared" si="33"/>
        <v>0</v>
      </c>
      <c r="BN7" s="388">
        <f t="shared" si="10"/>
        <v>0</v>
      </c>
      <c r="BO7" s="388">
        <f t="shared" si="11"/>
        <v>0</v>
      </c>
      <c r="BP7" s="388">
        <f t="shared" si="12"/>
        <v>0</v>
      </c>
      <c r="BQ7" s="388">
        <f t="shared" si="13"/>
        <v>0</v>
      </c>
      <c r="BR7" s="388">
        <f t="shared" si="14"/>
        <v>0</v>
      </c>
      <c r="BS7" s="388">
        <f t="shared" si="15"/>
        <v>0</v>
      </c>
      <c r="BT7" s="388">
        <f t="shared" si="16"/>
        <v>0</v>
      </c>
      <c r="BU7" s="388">
        <f t="shared" si="17"/>
        <v>0</v>
      </c>
      <c r="BV7" s="388">
        <f t="shared" si="18"/>
        <v>0</v>
      </c>
      <c r="BW7" s="388">
        <f t="shared" si="19"/>
        <v>0</v>
      </c>
      <c r="BX7" s="388">
        <f t="shared" si="34"/>
        <v>0</v>
      </c>
      <c r="BY7" s="388">
        <f t="shared" si="35"/>
        <v>0</v>
      </c>
      <c r="BZ7" s="388">
        <f t="shared" si="36"/>
        <v>0</v>
      </c>
      <c r="CA7" s="388">
        <f t="shared" si="37"/>
        <v>0</v>
      </c>
      <c r="CB7" s="388">
        <f t="shared" si="38"/>
        <v>0</v>
      </c>
      <c r="CC7" s="388">
        <f t="shared" si="20"/>
        <v>0</v>
      </c>
      <c r="CD7" s="388">
        <f t="shared" si="21"/>
        <v>0</v>
      </c>
      <c r="CE7" s="388">
        <f t="shared" si="22"/>
        <v>0</v>
      </c>
      <c r="CF7" s="388">
        <f t="shared" si="23"/>
        <v>0</v>
      </c>
      <c r="CG7" s="388">
        <f t="shared" si="24"/>
        <v>0</v>
      </c>
      <c r="CH7" s="388">
        <f t="shared" si="25"/>
        <v>0</v>
      </c>
      <c r="CI7" s="388">
        <f t="shared" si="26"/>
        <v>0</v>
      </c>
      <c r="CJ7" s="388">
        <f t="shared" si="39"/>
        <v>0</v>
      </c>
      <c r="CK7" s="388" t="str">
        <f t="shared" si="40"/>
        <v/>
      </c>
      <c r="CL7" s="388" t="str">
        <f t="shared" si="41"/>
        <v/>
      </c>
      <c r="CM7" s="388" t="str">
        <f t="shared" si="42"/>
        <v/>
      </c>
      <c r="CN7" s="388" t="str">
        <f t="shared" si="43"/>
        <v>0125-00</v>
      </c>
    </row>
    <row r="8" spans="1:92" ht="15.75" thickBot="1" x14ac:dyDescent="0.3">
      <c r="A8" s="377" t="s">
        <v>162</v>
      </c>
      <c r="B8" s="377" t="s">
        <v>163</v>
      </c>
      <c r="C8" s="377" t="s">
        <v>225</v>
      </c>
      <c r="D8" s="377" t="s">
        <v>194</v>
      </c>
      <c r="E8" s="377" t="s">
        <v>166</v>
      </c>
      <c r="F8" s="378" t="s">
        <v>167</v>
      </c>
      <c r="G8" s="377" t="s">
        <v>168</v>
      </c>
      <c r="H8" s="379"/>
      <c r="I8" s="379"/>
      <c r="J8" s="377" t="s">
        <v>169</v>
      </c>
      <c r="K8" s="377" t="s">
        <v>226</v>
      </c>
      <c r="L8" s="377" t="s">
        <v>215</v>
      </c>
      <c r="M8" s="377" t="s">
        <v>172</v>
      </c>
      <c r="N8" s="377" t="s">
        <v>173</v>
      </c>
      <c r="O8" s="380">
        <v>1</v>
      </c>
      <c r="P8" s="386">
        <v>0.1</v>
      </c>
      <c r="Q8" s="386">
        <v>0.1</v>
      </c>
      <c r="R8" s="381">
        <v>80</v>
      </c>
      <c r="S8" s="386">
        <v>0.1</v>
      </c>
      <c r="T8" s="381">
        <v>23462.49</v>
      </c>
      <c r="U8" s="381">
        <v>0</v>
      </c>
      <c r="V8" s="381">
        <v>10226.549999999999</v>
      </c>
      <c r="W8" s="381">
        <v>5150.08</v>
      </c>
      <c r="X8" s="381">
        <v>2314.0500000000002</v>
      </c>
      <c r="Y8" s="381">
        <v>5150.08</v>
      </c>
      <c r="Z8" s="381">
        <v>2401.9699999999998</v>
      </c>
      <c r="AA8" s="377" t="s">
        <v>227</v>
      </c>
      <c r="AB8" s="377" t="s">
        <v>228</v>
      </c>
      <c r="AC8" s="377" t="s">
        <v>229</v>
      </c>
      <c r="AD8" s="377" t="s">
        <v>230</v>
      </c>
      <c r="AE8" s="377" t="s">
        <v>226</v>
      </c>
      <c r="AF8" s="377" t="s">
        <v>231</v>
      </c>
      <c r="AG8" s="377" t="s">
        <v>179</v>
      </c>
      <c r="AH8" s="382">
        <v>24.76</v>
      </c>
      <c r="AI8" s="380">
        <v>32</v>
      </c>
      <c r="AJ8" s="377" t="s">
        <v>180</v>
      </c>
      <c r="AK8" s="377" t="s">
        <v>181</v>
      </c>
      <c r="AL8" s="377" t="s">
        <v>182</v>
      </c>
      <c r="AM8" s="377" t="s">
        <v>183</v>
      </c>
      <c r="AN8" s="377" t="s">
        <v>66</v>
      </c>
      <c r="AO8" s="380">
        <v>80</v>
      </c>
      <c r="AP8" s="386">
        <v>1</v>
      </c>
      <c r="AQ8" s="386">
        <v>0.1</v>
      </c>
      <c r="AR8" s="384" t="s">
        <v>184</v>
      </c>
      <c r="AS8" s="388">
        <f t="shared" si="27"/>
        <v>0.1</v>
      </c>
      <c r="AT8">
        <f t="shared" si="28"/>
        <v>1</v>
      </c>
      <c r="AU8" s="388">
        <f>IF(AT8=0,"",IF(AND(AT8=1,M8="F",SUMIF(C2:C258,C8,AS2:AS258)&lt;=1),SUMIF(C2:C258,C8,AS2:AS258),IF(AND(AT8=1,M8="F",SUMIF(C2:C258,C8,AS2:AS258)&gt;1),1,"")))</f>
        <v>1</v>
      </c>
      <c r="AV8" s="388" t="str">
        <f>IF(AT8=0,"",IF(AND(AT8=3,M8="F",SUMIF(C2:C258,C8,AS2:AS258)&lt;=1),SUMIF(C2:C258,C8,AS2:AS258),IF(AND(AT8=3,M8="F",SUMIF(C2:C258,C8,AS2:AS258)&gt;1),1,"")))</f>
        <v/>
      </c>
      <c r="AW8" s="388">
        <f>SUMIF(C2:C258,C8,O2:O258)</f>
        <v>2</v>
      </c>
      <c r="AX8" s="388">
        <f>IF(AND(M8="F",AS8&lt;&gt;0),SUMIF(C2:C258,C8,W2:W258),0)</f>
        <v>51500.800000000003</v>
      </c>
      <c r="AY8" s="388">
        <f t="shared" si="29"/>
        <v>5150.08</v>
      </c>
      <c r="AZ8" s="388" t="str">
        <f t="shared" si="30"/>
        <v/>
      </c>
      <c r="BA8" s="388">
        <f t="shared" si="31"/>
        <v>0</v>
      </c>
      <c r="BB8" s="388">
        <f t="shared" si="0"/>
        <v>1250</v>
      </c>
      <c r="BC8" s="388">
        <f t="shared" si="1"/>
        <v>0</v>
      </c>
      <c r="BD8" s="388">
        <f t="shared" si="2"/>
        <v>319.30495999999999</v>
      </c>
      <c r="BE8" s="388">
        <f t="shared" si="3"/>
        <v>74.676159999999996</v>
      </c>
      <c r="BF8" s="388">
        <f t="shared" si="4"/>
        <v>614.91955200000007</v>
      </c>
      <c r="BG8" s="388">
        <f t="shared" si="5"/>
        <v>37.1320768</v>
      </c>
      <c r="BH8" s="388">
        <f t="shared" si="6"/>
        <v>0</v>
      </c>
      <c r="BI8" s="388">
        <f t="shared" si="7"/>
        <v>0</v>
      </c>
      <c r="BJ8" s="388">
        <f t="shared" si="8"/>
        <v>18.025279999999999</v>
      </c>
      <c r="BK8" s="388">
        <f t="shared" si="9"/>
        <v>0</v>
      </c>
      <c r="BL8" s="388">
        <f t="shared" si="32"/>
        <v>1064.0580288000001</v>
      </c>
      <c r="BM8" s="388">
        <f t="shared" si="33"/>
        <v>0</v>
      </c>
      <c r="BN8" s="388">
        <f t="shared" si="10"/>
        <v>1375</v>
      </c>
      <c r="BO8" s="388">
        <f t="shared" si="11"/>
        <v>0</v>
      </c>
      <c r="BP8" s="388">
        <f t="shared" si="12"/>
        <v>319.30495999999999</v>
      </c>
      <c r="BQ8" s="388">
        <f t="shared" si="13"/>
        <v>74.676159999999996</v>
      </c>
      <c r="BR8" s="388">
        <f t="shared" si="14"/>
        <v>575.77894400000002</v>
      </c>
      <c r="BS8" s="388">
        <f t="shared" si="15"/>
        <v>37.1320768</v>
      </c>
      <c r="BT8" s="388">
        <f t="shared" si="16"/>
        <v>0</v>
      </c>
      <c r="BU8" s="388">
        <f t="shared" si="17"/>
        <v>0</v>
      </c>
      <c r="BV8" s="388">
        <f t="shared" si="18"/>
        <v>20.085311999999998</v>
      </c>
      <c r="BW8" s="388">
        <f t="shared" si="19"/>
        <v>0</v>
      </c>
      <c r="BX8" s="388">
        <f t="shared" si="34"/>
        <v>1026.9774528</v>
      </c>
      <c r="BY8" s="388">
        <f t="shared" si="35"/>
        <v>0</v>
      </c>
      <c r="BZ8" s="388">
        <f t="shared" si="36"/>
        <v>125</v>
      </c>
      <c r="CA8" s="388">
        <f t="shared" si="37"/>
        <v>0</v>
      </c>
      <c r="CB8" s="388">
        <f t="shared" si="38"/>
        <v>0</v>
      </c>
      <c r="CC8" s="388">
        <f t="shared" si="20"/>
        <v>0</v>
      </c>
      <c r="CD8" s="388">
        <f t="shared" si="21"/>
        <v>-39.14060800000005</v>
      </c>
      <c r="CE8" s="388">
        <f t="shared" si="22"/>
        <v>0</v>
      </c>
      <c r="CF8" s="388">
        <f t="shared" si="23"/>
        <v>0</v>
      </c>
      <c r="CG8" s="388">
        <f t="shared" si="24"/>
        <v>0</v>
      </c>
      <c r="CH8" s="388">
        <f t="shared" si="25"/>
        <v>2.0600319999999988</v>
      </c>
      <c r="CI8" s="388">
        <f t="shared" si="26"/>
        <v>0</v>
      </c>
      <c r="CJ8" s="388">
        <f t="shared" si="39"/>
        <v>-37.08057600000005</v>
      </c>
      <c r="CK8" s="388" t="str">
        <f t="shared" si="40"/>
        <v/>
      </c>
      <c r="CL8" s="388" t="str">
        <f t="shared" si="41"/>
        <v/>
      </c>
      <c r="CM8" s="388" t="str">
        <f t="shared" si="42"/>
        <v/>
      </c>
      <c r="CN8" s="388" t="str">
        <f t="shared" si="43"/>
        <v>0125-00</v>
      </c>
    </row>
    <row r="9" spans="1:92" ht="15.75" thickBot="1" x14ac:dyDescent="0.3">
      <c r="A9" s="377" t="s">
        <v>162</v>
      </c>
      <c r="B9" s="377" t="s">
        <v>163</v>
      </c>
      <c r="C9" s="377" t="s">
        <v>232</v>
      </c>
      <c r="D9" s="377" t="s">
        <v>194</v>
      </c>
      <c r="E9" s="377" t="s">
        <v>166</v>
      </c>
      <c r="F9" s="378" t="s">
        <v>167</v>
      </c>
      <c r="G9" s="377" t="s">
        <v>168</v>
      </c>
      <c r="H9" s="379"/>
      <c r="I9" s="379"/>
      <c r="J9" s="377" t="s">
        <v>169</v>
      </c>
      <c r="K9" s="377" t="s">
        <v>226</v>
      </c>
      <c r="L9" s="377" t="s">
        <v>215</v>
      </c>
      <c r="M9" s="377" t="s">
        <v>172</v>
      </c>
      <c r="N9" s="377" t="s">
        <v>173</v>
      </c>
      <c r="O9" s="380">
        <v>1</v>
      </c>
      <c r="P9" s="386">
        <v>0.1</v>
      </c>
      <c r="Q9" s="386">
        <v>0.1</v>
      </c>
      <c r="R9" s="381">
        <v>80</v>
      </c>
      <c r="S9" s="386">
        <v>0.1</v>
      </c>
      <c r="T9" s="381">
        <v>4755.04</v>
      </c>
      <c r="U9" s="381">
        <v>0</v>
      </c>
      <c r="V9" s="381">
        <v>2126.87</v>
      </c>
      <c r="W9" s="381">
        <v>5432.96</v>
      </c>
      <c r="X9" s="381">
        <v>2372.5</v>
      </c>
      <c r="Y9" s="381">
        <v>5432.96</v>
      </c>
      <c r="Z9" s="381">
        <v>2458.38</v>
      </c>
      <c r="AA9" s="377" t="s">
        <v>233</v>
      </c>
      <c r="AB9" s="377" t="s">
        <v>234</v>
      </c>
      <c r="AC9" s="377" t="s">
        <v>235</v>
      </c>
      <c r="AD9" s="377" t="s">
        <v>236</v>
      </c>
      <c r="AE9" s="377" t="s">
        <v>226</v>
      </c>
      <c r="AF9" s="377" t="s">
        <v>231</v>
      </c>
      <c r="AG9" s="377" t="s">
        <v>179</v>
      </c>
      <c r="AH9" s="382">
        <v>26.12</v>
      </c>
      <c r="AI9" s="382">
        <v>14441.4</v>
      </c>
      <c r="AJ9" s="377" t="s">
        <v>180</v>
      </c>
      <c r="AK9" s="377" t="s">
        <v>181</v>
      </c>
      <c r="AL9" s="377" t="s">
        <v>182</v>
      </c>
      <c r="AM9" s="377" t="s">
        <v>183</v>
      </c>
      <c r="AN9" s="377" t="s">
        <v>66</v>
      </c>
      <c r="AO9" s="380">
        <v>80</v>
      </c>
      <c r="AP9" s="386">
        <v>1</v>
      </c>
      <c r="AQ9" s="386">
        <v>0.1</v>
      </c>
      <c r="AR9" s="384" t="s">
        <v>184</v>
      </c>
      <c r="AS9" s="388">
        <f t="shared" si="27"/>
        <v>0.1</v>
      </c>
      <c r="AT9">
        <f t="shared" si="28"/>
        <v>1</v>
      </c>
      <c r="AU9" s="388">
        <f>IF(AT9=0,"",IF(AND(AT9=1,M9="F",SUMIF(C2:C258,C9,AS2:AS258)&lt;=1),SUMIF(C2:C258,C9,AS2:AS258),IF(AND(AT9=1,M9="F",SUMIF(C2:C258,C9,AS2:AS258)&gt;1),1,"")))</f>
        <v>1</v>
      </c>
      <c r="AV9" s="388" t="str">
        <f>IF(AT9=0,"",IF(AND(AT9=3,M9="F",SUMIF(C2:C258,C9,AS2:AS258)&lt;=1),SUMIF(C2:C258,C9,AS2:AS258),IF(AND(AT9=3,M9="F",SUMIF(C2:C258,C9,AS2:AS258)&gt;1),1,"")))</f>
        <v/>
      </c>
      <c r="AW9" s="388">
        <f>SUMIF(C2:C258,C9,O2:O258)</f>
        <v>3</v>
      </c>
      <c r="AX9" s="388">
        <f>IF(AND(M9="F",AS9&lt;&gt;0),SUMIF(C2:C258,C9,W2:W258),0)</f>
        <v>54329.599999999999</v>
      </c>
      <c r="AY9" s="388">
        <f t="shared" si="29"/>
        <v>5432.96</v>
      </c>
      <c r="AZ9" s="388" t="str">
        <f t="shared" si="30"/>
        <v/>
      </c>
      <c r="BA9" s="388">
        <f t="shared" si="31"/>
        <v>0</v>
      </c>
      <c r="BB9" s="388">
        <f t="shared" si="0"/>
        <v>1250</v>
      </c>
      <c r="BC9" s="388">
        <f t="shared" si="1"/>
        <v>0</v>
      </c>
      <c r="BD9" s="388">
        <f t="shared" si="2"/>
        <v>336.84352000000001</v>
      </c>
      <c r="BE9" s="388">
        <f t="shared" si="3"/>
        <v>78.777920000000009</v>
      </c>
      <c r="BF9" s="388">
        <f t="shared" si="4"/>
        <v>648.695424</v>
      </c>
      <c r="BG9" s="388">
        <f t="shared" si="5"/>
        <v>39.171641600000001</v>
      </c>
      <c r="BH9" s="388">
        <f t="shared" si="6"/>
        <v>0</v>
      </c>
      <c r="BI9" s="388">
        <f t="shared" si="7"/>
        <v>0</v>
      </c>
      <c r="BJ9" s="388">
        <f t="shared" si="8"/>
        <v>19.015360000000001</v>
      </c>
      <c r="BK9" s="388">
        <f t="shared" si="9"/>
        <v>0</v>
      </c>
      <c r="BL9" s="388">
        <f t="shared" si="32"/>
        <v>1122.5038655999999</v>
      </c>
      <c r="BM9" s="388">
        <f t="shared" si="33"/>
        <v>0</v>
      </c>
      <c r="BN9" s="388">
        <f t="shared" si="10"/>
        <v>1375</v>
      </c>
      <c r="BO9" s="388">
        <f t="shared" si="11"/>
        <v>0</v>
      </c>
      <c r="BP9" s="388">
        <f t="shared" si="12"/>
        <v>336.84352000000001</v>
      </c>
      <c r="BQ9" s="388">
        <f t="shared" si="13"/>
        <v>78.777920000000009</v>
      </c>
      <c r="BR9" s="388">
        <f t="shared" si="14"/>
        <v>607.40492800000004</v>
      </c>
      <c r="BS9" s="388">
        <f t="shared" si="15"/>
        <v>39.171641600000001</v>
      </c>
      <c r="BT9" s="388">
        <f t="shared" si="16"/>
        <v>0</v>
      </c>
      <c r="BU9" s="388">
        <f t="shared" si="17"/>
        <v>0</v>
      </c>
      <c r="BV9" s="388">
        <f t="shared" si="18"/>
        <v>21.188544</v>
      </c>
      <c r="BW9" s="388">
        <f t="shared" si="19"/>
        <v>0</v>
      </c>
      <c r="BX9" s="388">
        <f t="shared" si="34"/>
        <v>1083.3865536000001</v>
      </c>
      <c r="BY9" s="388">
        <f t="shared" si="35"/>
        <v>0</v>
      </c>
      <c r="BZ9" s="388">
        <f t="shared" si="36"/>
        <v>125</v>
      </c>
      <c r="CA9" s="388">
        <f t="shared" si="37"/>
        <v>0</v>
      </c>
      <c r="CB9" s="388">
        <f t="shared" si="38"/>
        <v>0</v>
      </c>
      <c r="CC9" s="388">
        <f t="shared" si="20"/>
        <v>0</v>
      </c>
      <c r="CD9" s="388">
        <f t="shared" si="21"/>
        <v>-41.290496000000054</v>
      </c>
      <c r="CE9" s="388">
        <f t="shared" si="22"/>
        <v>0</v>
      </c>
      <c r="CF9" s="388">
        <f t="shared" si="23"/>
        <v>0</v>
      </c>
      <c r="CG9" s="388">
        <f t="shared" si="24"/>
        <v>0</v>
      </c>
      <c r="CH9" s="388">
        <f t="shared" si="25"/>
        <v>2.1731839999999987</v>
      </c>
      <c r="CI9" s="388">
        <f t="shared" si="26"/>
        <v>0</v>
      </c>
      <c r="CJ9" s="388">
        <f t="shared" si="39"/>
        <v>-39.117312000000055</v>
      </c>
      <c r="CK9" s="388" t="str">
        <f t="shared" si="40"/>
        <v/>
      </c>
      <c r="CL9" s="388" t="str">
        <f t="shared" si="41"/>
        <v/>
      </c>
      <c r="CM9" s="388" t="str">
        <f t="shared" si="42"/>
        <v/>
      </c>
      <c r="CN9" s="388" t="str">
        <f t="shared" si="43"/>
        <v>0125-00</v>
      </c>
    </row>
    <row r="10" spans="1:92" ht="15.75" thickBot="1" x14ac:dyDescent="0.3">
      <c r="A10" s="377" t="s">
        <v>162</v>
      </c>
      <c r="B10" s="377" t="s">
        <v>163</v>
      </c>
      <c r="C10" s="377" t="s">
        <v>237</v>
      </c>
      <c r="D10" s="377" t="s">
        <v>238</v>
      </c>
      <c r="E10" s="377" t="s">
        <v>166</v>
      </c>
      <c r="F10" s="378" t="s">
        <v>167</v>
      </c>
      <c r="G10" s="377" t="s">
        <v>168</v>
      </c>
      <c r="H10" s="379"/>
      <c r="I10" s="379"/>
      <c r="J10" s="377" t="s">
        <v>219</v>
      </c>
      <c r="K10" s="377" t="s">
        <v>239</v>
      </c>
      <c r="L10" s="377" t="s">
        <v>240</v>
      </c>
      <c r="M10" s="377" t="s">
        <v>172</v>
      </c>
      <c r="N10" s="377" t="s">
        <v>173</v>
      </c>
      <c r="O10" s="380">
        <v>1</v>
      </c>
      <c r="P10" s="386">
        <v>1</v>
      </c>
      <c r="Q10" s="386">
        <v>1</v>
      </c>
      <c r="R10" s="381">
        <v>80</v>
      </c>
      <c r="S10" s="386">
        <v>1</v>
      </c>
      <c r="T10" s="381">
        <v>74209.679999999993</v>
      </c>
      <c r="U10" s="381">
        <v>0</v>
      </c>
      <c r="V10" s="381">
        <v>23467.43</v>
      </c>
      <c r="W10" s="381">
        <v>98155.199999999997</v>
      </c>
      <c r="X10" s="381">
        <v>32779.83</v>
      </c>
      <c r="Y10" s="381">
        <v>98155.199999999997</v>
      </c>
      <c r="Z10" s="381">
        <v>33323.11</v>
      </c>
      <c r="AA10" s="377" t="s">
        <v>241</v>
      </c>
      <c r="AB10" s="377" t="s">
        <v>242</v>
      </c>
      <c r="AC10" s="377" t="s">
        <v>243</v>
      </c>
      <c r="AD10" s="377" t="s">
        <v>211</v>
      </c>
      <c r="AE10" s="377" t="s">
        <v>244</v>
      </c>
      <c r="AF10" s="377" t="s">
        <v>207</v>
      </c>
      <c r="AG10" s="377" t="s">
        <v>179</v>
      </c>
      <c r="AH10" s="382">
        <v>47.19</v>
      </c>
      <c r="AI10" s="382">
        <v>6916.8</v>
      </c>
      <c r="AJ10" s="377" t="s">
        <v>180</v>
      </c>
      <c r="AK10" s="377" t="s">
        <v>181</v>
      </c>
      <c r="AL10" s="377" t="s">
        <v>182</v>
      </c>
      <c r="AM10" s="377" t="s">
        <v>183</v>
      </c>
      <c r="AN10" s="377" t="s">
        <v>66</v>
      </c>
      <c r="AO10" s="380">
        <v>80</v>
      </c>
      <c r="AP10" s="386">
        <v>1</v>
      </c>
      <c r="AQ10" s="386">
        <v>1</v>
      </c>
      <c r="AR10" s="384" t="s">
        <v>184</v>
      </c>
      <c r="AS10" s="388">
        <f t="shared" si="27"/>
        <v>1</v>
      </c>
      <c r="AT10">
        <f t="shared" si="28"/>
        <v>1</v>
      </c>
      <c r="AU10" s="388">
        <f>IF(AT10=0,"",IF(AND(AT10=1,M10="F",SUMIF(C2:C258,C10,AS2:AS258)&lt;=1),SUMIF(C2:C258,C10,AS2:AS258),IF(AND(AT10=1,M10="F",SUMIF(C2:C258,C10,AS2:AS258)&gt;1),1,"")))</f>
        <v>1</v>
      </c>
      <c r="AV10" s="388" t="str">
        <f>IF(AT10=0,"",IF(AND(AT10=3,M10="F",SUMIF(C2:C258,C10,AS2:AS258)&lt;=1),SUMIF(C2:C258,C10,AS2:AS258),IF(AND(AT10=3,M10="F",SUMIF(C2:C258,C10,AS2:AS258)&gt;1),1,"")))</f>
        <v/>
      </c>
      <c r="AW10" s="388">
        <f>SUMIF(C2:C258,C10,O2:O258)</f>
        <v>7</v>
      </c>
      <c r="AX10" s="388">
        <f>IF(AND(M10="F",AS10&lt;&gt;0),SUMIF(C2:C258,C10,W2:W258),0)</f>
        <v>98155.199999999997</v>
      </c>
      <c r="AY10" s="388">
        <f t="shared" si="29"/>
        <v>98155.199999999997</v>
      </c>
      <c r="AZ10" s="388" t="str">
        <f t="shared" si="30"/>
        <v/>
      </c>
      <c r="BA10" s="388">
        <f t="shared" si="31"/>
        <v>0</v>
      </c>
      <c r="BB10" s="388">
        <f t="shared" si="0"/>
        <v>12500</v>
      </c>
      <c r="BC10" s="388">
        <f t="shared" si="1"/>
        <v>0</v>
      </c>
      <c r="BD10" s="388">
        <f t="shared" si="2"/>
        <v>6085.6224000000002</v>
      </c>
      <c r="BE10" s="388">
        <f t="shared" si="3"/>
        <v>1423.2504000000001</v>
      </c>
      <c r="BF10" s="388">
        <f t="shared" si="4"/>
        <v>11719.730880000001</v>
      </c>
      <c r="BG10" s="388">
        <f t="shared" si="5"/>
        <v>707.69899199999998</v>
      </c>
      <c r="BH10" s="388">
        <f t="shared" si="6"/>
        <v>0</v>
      </c>
      <c r="BI10" s="388">
        <f t="shared" si="7"/>
        <v>0</v>
      </c>
      <c r="BJ10" s="388">
        <f t="shared" si="8"/>
        <v>343.54320000000001</v>
      </c>
      <c r="BK10" s="388">
        <f t="shared" si="9"/>
        <v>0</v>
      </c>
      <c r="BL10" s="388">
        <f t="shared" si="32"/>
        <v>20279.845872000002</v>
      </c>
      <c r="BM10" s="388">
        <f t="shared" si="33"/>
        <v>0</v>
      </c>
      <c r="BN10" s="388">
        <f t="shared" si="10"/>
        <v>13750</v>
      </c>
      <c r="BO10" s="388">
        <f t="shared" si="11"/>
        <v>0</v>
      </c>
      <c r="BP10" s="388">
        <f t="shared" si="12"/>
        <v>6085.6224000000002</v>
      </c>
      <c r="BQ10" s="388">
        <f t="shared" si="13"/>
        <v>1423.2504000000001</v>
      </c>
      <c r="BR10" s="388">
        <f t="shared" si="14"/>
        <v>10973.75136</v>
      </c>
      <c r="BS10" s="388">
        <f t="shared" si="15"/>
        <v>707.69899199999998</v>
      </c>
      <c r="BT10" s="388">
        <f t="shared" si="16"/>
        <v>0</v>
      </c>
      <c r="BU10" s="388">
        <f t="shared" si="17"/>
        <v>0</v>
      </c>
      <c r="BV10" s="388">
        <f t="shared" si="18"/>
        <v>382.80527999999998</v>
      </c>
      <c r="BW10" s="388">
        <f t="shared" si="19"/>
        <v>0</v>
      </c>
      <c r="BX10" s="388">
        <f t="shared" si="34"/>
        <v>19573.128432000001</v>
      </c>
      <c r="BY10" s="388">
        <f t="shared" si="35"/>
        <v>0</v>
      </c>
      <c r="BZ10" s="388">
        <f t="shared" si="36"/>
        <v>1250</v>
      </c>
      <c r="CA10" s="388">
        <f t="shared" si="37"/>
        <v>0</v>
      </c>
      <c r="CB10" s="388">
        <f t="shared" si="38"/>
        <v>0</v>
      </c>
      <c r="CC10" s="388">
        <f t="shared" si="20"/>
        <v>0</v>
      </c>
      <c r="CD10" s="388">
        <f t="shared" si="21"/>
        <v>-745.97952000000089</v>
      </c>
      <c r="CE10" s="388">
        <f t="shared" si="22"/>
        <v>0</v>
      </c>
      <c r="CF10" s="388">
        <f t="shared" si="23"/>
        <v>0</v>
      </c>
      <c r="CG10" s="388">
        <f t="shared" si="24"/>
        <v>0</v>
      </c>
      <c r="CH10" s="388">
        <f t="shared" si="25"/>
        <v>39.262079999999976</v>
      </c>
      <c r="CI10" s="388">
        <f t="shared" si="26"/>
        <v>0</v>
      </c>
      <c r="CJ10" s="388">
        <f t="shared" si="39"/>
        <v>-706.71744000000092</v>
      </c>
      <c r="CK10" s="388" t="str">
        <f t="shared" si="40"/>
        <v/>
      </c>
      <c r="CL10" s="388" t="str">
        <f t="shared" si="41"/>
        <v/>
      </c>
      <c r="CM10" s="388" t="str">
        <f t="shared" si="42"/>
        <v/>
      </c>
      <c r="CN10" s="388" t="str">
        <f t="shared" si="43"/>
        <v>0125-00</v>
      </c>
    </row>
    <row r="11" spans="1:92" ht="15.75" thickBot="1" x14ac:dyDescent="0.3">
      <c r="A11" s="377" t="s">
        <v>162</v>
      </c>
      <c r="B11" s="377" t="s">
        <v>163</v>
      </c>
      <c r="C11" s="377" t="s">
        <v>245</v>
      </c>
      <c r="D11" s="377" t="s">
        <v>209</v>
      </c>
      <c r="E11" s="377" t="s">
        <v>166</v>
      </c>
      <c r="F11" s="378" t="s">
        <v>167</v>
      </c>
      <c r="G11" s="377" t="s">
        <v>168</v>
      </c>
      <c r="H11" s="379"/>
      <c r="I11" s="379"/>
      <c r="J11" s="377" t="s">
        <v>169</v>
      </c>
      <c r="K11" s="377" t="s">
        <v>210</v>
      </c>
      <c r="L11" s="377" t="s">
        <v>211</v>
      </c>
      <c r="M11" s="377" t="s">
        <v>172</v>
      </c>
      <c r="N11" s="377" t="s">
        <v>173</v>
      </c>
      <c r="O11" s="380">
        <v>1</v>
      </c>
      <c r="P11" s="386">
        <v>0.83</v>
      </c>
      <c r="Q11" s="386">
        <v>0.83</v>
      </c>
      <c r="R11" s="381">
        <v>80</v>
      </c>
      <c r="S11" s="386">
        <v>0.83</v>
      </c>
      <c r="T11" s="381">
        <v>40999.82</v>
      </c>
      <c r="U11" s="381">
        <v>0</v>
      </c>
      <c r="V11" s="381">
        <v>17760.09</v>
      </c>
      <c r="W11" s="381">
        <v>43039.15</v>
      </c>
      <c r="X11" s="381">
        <v>19267.3</v>
      </c>
      <c r="Y11" s="381">
        <v>43039.15</v>
      </c>
      <c r="Z11" s="381">
        <v>19994.919999999998</v>
      </c>
      <c r="AA11" s="377" t="s">
        <v>246</v>
      </c>
      <c r="AB11" s="377" t="s">
        <v>247</v>
      </c>
      <c r="AC11" s="377" t="s">
        <v>248</v>
      </c>
      <c r="AD11" s="377" t="s">
        <v>249</v>
      </c>
      <c r="AE11" s="377" t="s">
        <v>210</v>
      </c>
      <c r="AF11" s="377" t="s">
        <v>216</v>
      </c>
      <c r="AG11" s="377" t="s">
        <v>179</v>
      </c>
      <c r="AH11" s="382">
        <v>24.93</v>
      </c>
      <c r="AI11" s="382">
        <v>15492.2</v>
      </c>
      <c r="AJ11" s="377" t="s">
        <v>180</v>
      </c>
      <c r="AK11" s="377" t="s">
        <v>181</v>
      </c>
      <c r="AL11" s="377" t="s">
        <v>182</v>
      </c>
      <c r="AM11" s="377" t="s">
        <v>183</v>
      </c>
      <c r="AN11" s="377" t="s">
        <v>66</v>
      </c>
      <c r="AO11" s="380">
        <v>80</v>
      </c>
      <c r="AP11" s="386">
        <v>1</v>
      </c>
      <c r="AQ11" s="386">
        <v>0.83</v>
      </c>
      <c r="AR11" s="384" t="s">
        <v>184</v>
      </c>
      <c r="AS11" s="388">
        <f t="shared" si="27"/>
        <v>0.83</v>
      </c>
      <c r="AT11">
        <f t="shared" si="28"/>
        <v>1</v>
      </c>
      <c r="AU11" s="388">
        <f>IF(AT11=0,"",IF(AND(AT11=1,M11="F",SUMIF(C2:C258,C11,AS2:AS258)&lt;=1),SUMIF(C2:C258,C11,AS2:AS258),IF(AND(AT11=1,M11="F",SUMIF(C2:C258,C11,AS2:AS258)&gt;1),1,"")))</f>
        <v>1</v>
      </c>
      <c r="AV11" s="388" t="str">
        <f>IF(AT11=0,"",IF(AND(AT11=3,M11="F",SUMIF(C2:C258,C11,AS2:AS258)&lt;=1),SUMIF(C2:C258,C11,AS2:AS258),IF(AND(AT11=3,M11="F",SUMIF(C2:C258,C11,AS2:AS258)&gt;1),1,"")))</f>
        <v/>
      </c>
      <c r="AW11" s="388">
        <f>SUMIF(C2:C258,C11,O2:O258)</f>
        <v>3</v>
      </c>
      <c r="AX11" s="388">
        <f>IF(AND(M11="F",AS11&lt;&gt;0),SUMIF(C2:C258,C11,W2:W258),0)</f>
        <v>51854.39</v>
      </c>
      <c r="AY11" s="388">
        <f t="shared" si="29"/>
        <v>43039.15</v>
      </c>
      <c r="AZ11" s="388" t="str">
        <f t="shared" si="30"/>
        <v/>
      </c>
      <c r="BA11" s="388">
        <f t="shared" si="31"/>
        <v>0</v>
      </c>
      <c r="BB11" s="388">
        <f t="shared" si="0"/>
        <v>10375</v>
      </c>
      <c r="BC11" s="388">
        <f t="shared" si="1"/>
        <v>0</v>
      </c>
      <c r="BD11" s="388">
        <f t="shared" si="2"/>
        <v>2668.4273000000003</v>
      </c>
      <c r="BE11" s="388">
        <f t="shared" si="3"/>
        <v>624.06767500000001</v>
      </c>
      <c r="BF11" s="388">
        <f t="shared" si="4"/>
        <v>5138.8745100000006</v>
      </c>
      <c r="BG11" s="388">
        <f t="shared" si="5"/>
        <v>310.31227150000001</v>
      </c>
      <c r="BH11" s="388">
        <f t="shared" si="6"/>
        <v>0</v>
      </c>
      <c r="BI11" s="388">
        <f t="shared" si="7"/>
        <v>0</v>
      </c>
      <c r="BJ11" s="388">
        <f t="shared" si="8"/>
        <v>150.63702499999999</v>
      </c>
      <c r="BK11" s="388">
        <f t="shared" si="9"/>
        <v>0</v>
      </c>
      <c r="BL11" s="388">
        <f t="shared" si="32"/>
        <v>8892.3187815000019</v>
      </c>
      <c r="BM11" s="388">
        <f t="shared" si="33"/>
        <v>0</v>
      </c>
      <c r="BN11" s="388">
        <f t="shared" si="10"/>
        <v>11412.5</v>
      </c>
      <c r="BO11" s="388">
        <f t="shared" si="11"/>
        <v>0</v>
      </c>
      <c r="BP11" s="388">
        <f t="shared" si="12"/>
        <v>2668.4273000000003</v>
      </c>
      <c r="BQ11" s="388">
        <f t="shared" si="13"/>
        <v>624.06767500000001</v>
      </c>
      <c r="BR11" s="388">
        <f t="shared" si="14"/>
        <v>4811.7769699999999</v>
      </c>
      <c r="BS11" s="388">
        <f t="shared" si="15"/>
        <v>310.31227150000001</v>
      </c>
      <c r="BT11" s="388">
        <f t="shared" si="16"/>
        <v>0</v>
      </c>
      <c r="BU11" s="388">
        <f t="shared" si="17"/>
        <v>0</v>
      </c>
      <c r="BV11" s="388">
        <f t="shared" si="18"/>
        <v>167.85268500000001</v>
      </c>
      <c r="BW11" s="388">
        <f t="shared" si="19"/>
        <v>0</v>
      </c>
      <c r="BX11" s="388">
        <f t="shared" si="34"/>
        <v>8582.4369015000011</v>
      </c>
      <c r="BY11" s="388">
        <f t="shared" si="35"/>
        <v>0</v>
      </c>
      <c r="BZ11" s="388">
        <f t="shared" si="36"/>
        <v>1037.5</v>
      </c>
      <c r="CA11" s="388">
        <f t="shared" si="37"/>
        <v>0</v>
      </c>
      <c r="CB11" s="388">
        <f t="shared" si="38"/>
        <v>0</v>
      </c>
      <c r="CC11" s="388">
        <f t="shared" si="20"/>
        <v>0</v>
      </c>
      <c r="CD11" s="388">
        <f t="shared" si="21"/>
        <v>-327.09754000000044</v>
      </c>
      <c r="CE11" s="388">
        <f t="shared" si="22"/>
        <v>0</v>
      </c>
      <c r="CF11" s="388">
        <f t="shared" si="23"/>
        <v>0</v>
      </c>
      <c r="CG11" s="388">
        <f t="shared" si="24"/>
        <v>0</v>
      </c>
      <c r="CH11" s="388">
        <f t="shared" si="25"/>
        <v>17.215659999999989</v>
      </c>
      <c r="CI11" s="388">
        <f t="shared" si="26"/>
        <v>0</v>
      </c>
      <c r="CJ11" s="388">
        <f t="shared" si="39"/>
        <v>-309.88188000000042</v>
      </c>
      <c r="CK11" s="388" t="str">
        <f t="shared" si="40"/>
        <v/>
      </c>
      <c r="CL11" s="388" t="str">
        <f t="shared" si="41"/>
        <v/>
      </c>
      <c r="CM11" s="388" t="str">
        <f t="shared" si="42"/>
        <v/>
      </c>
      <c r="CN11" s="388" t="str">
        <f t="shared" si="43"/>
        <v>0125-00</v>
      </c>
    </row>
    <row r="12" spans="1:92" ht="15.75" thickBot="1" x14ac:dyDescent="0.3">
      <c r="A12" s="377" t="s">
        <v>162</v>
      </c>
      <c r="B12" s="377" t="s">
        <v>163</v>
      </c>
      <c r="C12" s="377" t="s">
        <v>250</v>
      </c>
      <c r="D12" s="377" t="s">
        <v>251</v>
      </c>
      <c r="E12" s="377" t="s">
        <v>166</v>
      </c>
      <c r="F12" s="378" t="s">
        <v>167</v>
      </c>
      <c r="G12" s="377" t="s">
        <v>168</v>
      </c>
      <c r="H12" s="379"/>
      <c r="I12" s="379"/>
      <c r="J12" s="377" t="s">
        <v>169</v>
      </c>
      <c r="K12" s="377" t="s">
        <v>252</v>
      </c>
      <c r="L12" s="377" t="s">
        <v>179</v>
      </c>
      <c r="M12" s="377" t="s">
        <v>172</v>
      </c>
      <c r="N12" s="377" t="s">
        <v>173</v>
      </c>
      <c r="O12" s="380">
        <v>1</v>
      </c>
      <c r="P12" s="386">
        <v>0.83</v>
      </c>
      <c r="Q12" s="386">
        <v>0.83</v>
      </c>
      <c r="R12" s="381">
        <v>80</v>
      </c>
      <c r="S12" s="386">
        <v>0.83</v>
      </c>
      <c r="T12" s="381">
        <v>26083.59</v>
      </c>
      <c r="U12" s="381">
        <v>0</v>
      </c>
      <c r="V12" s="381">
        <v>15587.32</v>
      </c>
      <c r="W12" s="381">
        <v>31972.92</v>
      </c>
      <c r="X12" s="381">
        <v>16980.900000000001</v>
      </c>
      <c r="Y12" s="381">
        <v>31972.92</v>
      </c>
      <c r="Z12" s="381">
        <v>17788.2</v>
      </c>
      <c r="AA12" s="377" t="s">
        <v>253</v>
      </c>
      <c r="AB12" s="377" t="s">
        <v>254</v>
      </c>
      <c r="AC12" s="377" t="s">
        <v>255</v>
      </c>
      <c r="AD12" s="377" t="s">
        <v>256</v>
      </c>
      <c r="AE12" s="377" t="s">
        <v>252</v>
      </c>
      <c r="AF12" s="377" t="s">
        <v>257</v>
      </c>
      <c r="AG12" s="377" t="s">
        <v>179</v>
      </c>
      <c r="AH12" s="382">
        <v>18.52</v>
      </c>
      <c r="AI12" s="380">
        <v>1396</v>
      </c>
      <c r="AJ12" s="377" t="s">
        <v>180</v>
      </c>
      <c r="AK12" s="377" t="s">
        <v>181</v>
      </c>
      <c r="AL12" s="377" t="s">
        <v>182</v>
      </c>
      <c r="AM12" s="377" t="s">
        <v>183</v>
      </c>
      <c r="AN12" s="377" t="s">
        <v>66</v>
      </c>
      <c r="AO12" s="380">
        <v>80</v>
      </c>
      <c r="AP12" s="386">
        <v>1</v>
      </c>
      <c r="AQ12" s="386">
        <v>0.83</v>
      </c>
      <c r="AR12" s="384" t="s">
        <v>184</v>
      </c>
      <c r="AS12" s="388">
        <f t="shared" si="27"/>
        <v>0.83</v>
      </c>
      <c r="AT12">
        <f t="shared" si="28"/>
        <v>1</v>
      </c>
      <c r="AU12" s="388">
        <f>IF(AT12=0,"",IF(AND(AT12=1,M12="F",SUMIF(C2:C258,C12,AS2:AS258)&lt;=1),SUMIF(C2:C258,C12,AS2:AS258),IF(AND(AT12=1,M12="F",SUMIF(C2:C258,C12,AS2:AS258)&gt;1),1,"")))</f>
        <v>1</v>
      </c>
      <c r="AV12" s="388" t="str">
        <f>IF(AT12=0,"",IF(AND(AT12=3,M12="F",SUMIF(C2:C258,C12,AS2:AS258)&lt;=1),SUMIF(C2:C258,C12,AS2:AS258),IF(AND(AT12=3,M12="F",SUMIF(C2:C258,C12,AS2:AS258)&gt;1),1,"")))</f>
        <v/>
      </c>
      <c r="AW12" s="388">
        <f>SUMIF(C2:C258,C12,O2:O258)</f>
        <v>2</v>
      </c>
      <c r="AX12" s="388">
        <f>IF(AND(M12="F",AS12&lt;&gt;0),SUMIF(C2:C258,C12,W2:W258),0)</f>
        <v>38521.589999999997</v>
      </c>
      <c r="AY12" s="388">
        <f t="shared" si="29"/>
        <v>31972.92</v>
      </c>
      <c r="AZ12" s="388" t="str">
        <f t="shared" si="30"/>
        <v/>
      </c>
      <c r="BA12" s="388">
        <f t="shared" si="31"/>
        <v>0</v>
      </c>
      <c r="BB12" s="388">
        <f t="shared" si="0"/>
        <v>10375</v>
      </c>
      <c r="BC12" s="388">
        <f t="shared" si="1"/>
        <v>0</v>
      </c>
      <c r="BD12" s="388">
        <f t="shared" si="2"/>
        <v>1982.3210399999998</v>
      </c>
      <c r="BE12" s="388">
        <f t="shared" si="3"/>
        <v>463.60734000000002</v>
      </c>
      <c r="BF12" s="388">
        <f t="shared" si="4"/>
        <v>3817.566648</v>
      </c>
      <c r="BG12" s="388">
        <f t="shared" si="5"/>
        <v>230.52475319999999</v>
      </c>
      <c r="BH12" s="388">
        <f t="shared" si="6"/>
        <v>0</v>
      </c>
      <c r="BI12" s="388">
        <f t="shared" si="7"/>
        <v>0</v>
      </c>
      <c r="BJ12" s="388">
        <f t="shared" si="8"/>
        <v>111.90522</v>
      </c>
      <c r="BK12" s="388">
        <f t="shared" si="9"/>
        <v>0</v>
      </c>
      <c r="BL12" s="388">
        <f t="shared" si="32"/>
        <v>6605.9250011999993</v>
      </c>
      <c r="BM12" s="388">
        <f t="shared" si="33"/>
        <v>0</v>
      </c>
      <c r="BN12" s="388">
        <f t="shared" si="10"/>
        <v>11412.5</v>
      </c>
      <c r="BO12" s="388">
        <f t="shared" si="11"/>
        <v>0</v>
      </c>
      <c r="BP12" s="388">
        <f t="shared" si="12"/>
        <v>1982.3210399999998</v>
      </c>
      <c r="BQ12" s="388">
        <f t="shared" si="13"/>
        <v>463.60734000000002</v>
      </c>
      <c r="BR12" s="388">
        <f t="shared" si="14"/>
        <v>3574.5724559999999</v>
      </c>
      <c r="BS12" s="388">
        <f t="shared" si="15"/>
        <v>230.52475319999999</v>
      </c>
      <c r="BT12" s="388">
        <f t="shared" si="16"/>
        <v>0</v>
      </c>
      <c r="BU12" s="388">
        <f t="shared" si="17"/>
        <v>0</v>
      </c>
      <c r="BV12" s="388">
        <f t="shared" si="18"/>
        <v>124.69438799999999</v>
      </c>
      <c r="BW12" s="388">
        <f t="shared" si="19"/>
        <v>0</v>
      </c>
      <c r="BX12" s="388">
        <f t="shared" si="34"/>
        <v>6375.7199771999994</v>
      </c>
      <c r="BY12" s="388">
        <f t="shared" si="35"/>
        <v>0</v>
      </c>
      <c r="BZ12" s="388">
        <f t="shared" si="36"/>
        <v>1037.5</v>
      </c>
      <c r="CA12" s="388">
        <f t="shared" si="37"/>
        <v>0</v>
      </c>
      <c r="CB12" s="388">
        <f t="shared" si="38"/>
        <v>0</v>
      </c>
      <c r="CC12" s="388">
        <f t="shared" si="20"/>
        <v>0</v>
      </c>
      <c r="CD12" s="388">
        <f t="shared" si="21"/>
        <v>-242.99419200000028</v>
      </c>
      <c r="CE12" s="388">
        <f t="shared" si="22"/>
        <v>0</v>
      </c>
      <c r="CF12" s="388">
        <f t="shared" si="23"/>
        <v>0</v>
      </c>
      <c r="CG12" s="388">
        <f t="shared" si="24"/>
        <v>0</v>
      </c>
      <c r="CH12" s="388">
        <f t="shared" si="25"/>
        <v>12.789167999999991</v>
      </c>
      <c r="CI12" s="388">
        <f t="shared" si="26"/>
        <v>0</v>
      </c>
      <c r="CJ12" s="388">
        <f t="shared" si="39"/>
        <v>-230.20502400000029</v>
      </c>
      <c r="CK12" s="388" t="str">
        <f t="shared" si="40"/>
        <v/>
      </c>
      <c r="CL12" s="388" t="str">
        <f t="shared" si="41"/>
        <v/>
      </c>
      <c r="CM12" s="388" t="str">
        <f t="shared" si="42"/>
        <v/>
      </c>
      <c r="CN12" s="388" t="str">
        <f t="shared" si="43"/>
        <v>0125-00</v>
      </c>
    </row>
    <row r="13" spans="1:92" ht="15.75" thickBot="1" x14ac:dyDescent="0.3">
      <c r="A13" s="377" t="s">
        <v>162</v>
      </c>
      <c r="B13" s="377" t="s">
        <v>163</v>
      </c>
      <c r="C13" s="377" t="s">
        <v>258</v>
      </c>
      <c r="D13" s="377" t="s">
        <v>259</v>
      </c>
      <c r="E13" s="377" t="s">
        <v>166</v>
      </c>
      <c r="F13" s="378" t="s">
        <v>167</v>
      </c>
      <c r="G13" s="377" t="s">
        <v>168</v>
      </c>
      <c r="H13" s="379"/>
      <c r="I13" s="379"/>
      <c r="J13" s="377" t="s">
        <v>169</v>
      </c>
      <c r="K13" s="377" t="s">
        <v>260</v>
      </c>
      <c r="L13" s="377" t="s">
        <v>182</v>
      </c>
      <c r="M13" s="377" t="s">
        <v>172</v>
      </c>
      <c r="N13" s="377" t="s">
        <v>173</v>
      </c>
      <c r="O13" s="380">
        <v>1</v>
      </c>
      <c r="P13" s="386">
        <v>0.1</v>
      </c>
      <c r="Q13" s="386">
        <v>0.1</v>
      </c>
      <c r="R13" s="381">
        <v>80</v>
      </c>
      <c r="S13" s="386">
        <v>0.1</v>
      </c>
      <c r="T13" s="381">
        <v>7980.52</v>
      </c>
      <c r="U13" s="381">
        <v>0</v>
      </c>
      <c r="V13" s="381">
        <v>2859.16</v>
      </c>
      <c r="W13" s="381">
        <v>8844.16</v>
      </c>
      <c r="X13" s="381">
        <v>3077.28</v>
      </c>
      <c r="Y13" s="381">
        <v>8844.16</v>
      </c>
      <c r="Z13" s="381">
        <v>3138.61</v>
      </c>
      <c r="AA13" s="377" t="s">
        <v>261</v>
      </c>
      <c r="AB13" s="377" t="s">
        <v>262</v>
      </c>
      <c r="AC13" s="377" t="s">
        <v>263</v>
      </c>
      <c r="AD13" s="377" t="s">
        <v>264</v>
      </c>
      <c r="AE13" s="377" t="s">
        <v>260</v>
      </c>
      <c r="AF13" s="377" t="s">
        <v>207</v>
      </c>
      <c r="AG13" s="377" t="s">
        <v>179</v>
      </c>
      <c r="AH13" s="382">
        <v>42.52</v>
      </c>
      <c r="AI13" s="380">
        <v>38926</v>
      </c>
      <c r="AJ13" s="377" t="s">
        <v>180</v>
      </c>
      <c r="AK13" s="377" t="s">
        <v>181</v>
      </c>
      <c r="AL13" s="377" t="s">
        <v>182</v>
      </c>
      <c r="AM13" s="377" t="s">
        <v>183</v>
      </c>
      <c r="AN13" s="377" t="s">
        <v>66</v>
      </c>
      <c r="AO13" s="380">
        <v>80</v>
      </c>
      <c r="AP13" s="386">
        <v>1</v>
      </c>
      <c r="AQ13" s="386">
        <v>0.1</v>
      </c>
      <c r="AR13" s="384" t="s">
        <v>184</v>
      </c>
      <c r="AS13" s="388">
        <f t="shared" si="27"/>
        <v>0.1</v>
      </c>
      <c r="AT13">
        <f t="shared" si="28"/>
        <v>1</v>
      </c>
      <c r="AU13" s="388">
        <f>IF(AT13=0,"",IF(AND(AT13=1,M13="F",SUMIF(C2:C258,C13,AS2:AS258)&lt;=1),SUMIF(C2:C258,C13,AS2:AS258),IF(AND(AT13=1,M13="F",SUMIF(C2:C258,C13,AS2:AS258)&gt;1),1,"")))</f>
        <v>1</v>
      </c>
      <c r="AV13" s="388" t="str">
        <f>IF(AT13=0,"",IF(AND(AT13=3,M13="F",SUMIF(C2:C258,C13,AS2:AS258)&lt;=1),SUMIF(C2:C258,C13,AS2:AS258),IF(AND(AT13=3,M13="F",SUMIF(C2:C258,C13,AS2:AS258)&gt;1),1,"")))</f>
        <v/>
      </c>
      <c r="AW13" s="388">
        <f>SUMIF(C2:C258,C13,O2:O258)</f>
        <v>2</v>
      </c>
      <c r="AX13" s="388">
        <f>IF(AND(M13="F",AS13&lt;&gt;0),SUMIF(C2:C258,C13,W2:W258),0)</f>
        <v>88441.600000000006</v>
      </c>
      <c r="AY13" s="388">
        <f t="shared" si="29"/>
        <v>8844.16</v>
      </c>
      <c r="AZ13" s="388" t="str">
        <f t="shared" si="30"/>
        <v/>
      </c>
      <c r="BA13" s="388">
        <f t="shared" si="31"/>
        <v>0</v>
      </c>
      <c r="BB13" s="388">
        <f t="shared" si="0"/>
        <v>1250</v>
      </c>
      <c r="BC13" s="388">
        <f t="shared" si="1"/>
        <v>0</v>
      </c>
      <c r="BD13" s="388">
        <f t="shared" si="2"/>
        <v>548.33791999999994</v>
      </c>
      <c r="BE13" s="388">
        <f t="shared" si="3"/>
        <v>128.24032</v>
      </c>
      <c r="BF13" s="388">
        <f t="shared" si="4"/>
        <v>1055.992704</v>
      </c>
      <c r="BG13" s="388">
        <f t="shared" si="5"/>
        <v>63.766393600000001</v>
      </c>
      <c r="BH13" s="388">
        <f t="shared" si="6"/>
        <v>0</v>
      </c>
      <c r="BI13" s="388">
        <f t="shared" si="7"/>
        <v>0</v>
      </c>
      <c r="BJ13" s="388">
        <f t="shared" si="8"/>
        <v>30.954560000000001</v>
      </c>
      <c r="BK13" s="388">
        <f t="shared" si="9"/>
        <v>0</v>
      </c>
      <c r="BL13" s="388">
        <f t="shared" si="32"/>
        <v>1827.2918975999999</v>
      </c>
      <c r="BM13" s="388">
        <f t="shared" si="33"/>
        <v>0</v>
      </c>
      <c r="BN13" s="388">
        <f t="shared" si="10"/>
        <v>1375</v>
      </c>
      <c r="BO13" s="388">
        <f t="shared" si="11"/>
        <v>0</v>
      </c>
      <c r="BP13" s="388">
        <f t="shared" si="12"/>
        <v>548.33791999999994</v>
      </c>
      <c r="BQ13" s="388">
        <f t="shared" si="13"/>
        <v>128.24032</v>
      </c>
      <c r="BR13" s="388">
        <f t="shared" si="14"/>
        <v>988.77708799999994</v>
      </c>
      <c r="BS13" s="388">
        <f t="shared" si="15"/>
        <v>63.766393600000001</v>
      </c>
      <c r="BT13" s="388">
        <f t="shared" si="16"/>
        <v>0</v>
      </c>
      <c r="BU13" s="388">
        <f t="shared" si="17"/>
        <v>0</v>
      </c>
      <c r="BV13" s="388">
        <f t="shared" si="18"/>
        <v>34.492224</v>
      </c>
      <c r="BW13" s="388">
        <f t="shared" si="19"/>
        <v>0</v>
      </c>
      <c r="BX13" s="388">
        <f t="shared" si="34"/>
        <v>1763.6139455999999</v>
      </c>
      <c r="BY13" s="388">
        <f t="shared" si="35"/>
        <v>0</v>
      </c>
      <c r="BZ13" s="388">
        <f t="shared" si="36"/>
        <v>125</v>
      </c>
      <c r="CA13" s="388">
        <f t="shared" si="37"/>
        <v>0</v>
      </c>
      <c r="CB13" s="388">
        <f t="shared" si="38"/>
        <v>0</v>
      </c>
      <c r="CC13" s="388">
        <f t="shared" si="20"/>
        <v>0</v>
      </c>
      <c r="CD13" s="388">
        <f t="shared" si="21"/>
        <v>-67.215616000000082</v>
      </c>
      <c r="CE13" s="388">
        <f t="shared" si="22"/>
        <v>0</v>
      </c>
      <c r="CF13" s="388">
        <f t="shared" si="23"/>
        <v>0</v>
      </c>
      <c r="CG13" s="388">
        <f t="shared" si="24"/>
        <v>0</v>
      </c>
      <c r="CH13" s="388">
        <f t="shared" si="25"/>
        <v>3.5376639999999977</v>
      </c>
      <c r="CI13" s="388">
        <f t="shared" si="26"/>
        <v>0</v>
      </c>
      <c r="CJ13" s="388">
        <f t="shared" si="39"/>
        <v>-63.677952000000083</v>
      </c>
      <c r="CK13" s="388" t="str">
        <f t="shared" si="40"/>
        <v/>
      </c>
      <c r="CL13" s="388" t="str">
        <f t="shared" si="41"/>
        <v/>
      </c>
      <c r="CM13" s="388" t="str">
        <f t="shared" si="42"/>
        <v/>
      </c>
      <c r="CN13" s="388" t="str">
        <f t="shared" si="43"/>
        <v>0125-00</v>
      </c>
    </row>
    <row r="14" spans="1:92" ht="15.75" thickBot="1" x14ac:dyDescent="0.3">
      <c r="A14" s="377" t="s">
        <v>162</v>
      </c>
      <c r="B14" s="377" t="s">
        <v>163</v>
      </c>
      <c r="C14" s="377" t="s">
        <v>250</v>
      </c>
      <c r="D14" s="377" t="s">
        <v>251</v>
      </c>
      <c r="E14" s="377" t="s">
        <v>265</v>
      </c>
      <c r="F14" s="378" t="s">
        <v>167</v>
      </c>
      <c r="G14" s="377" t="s">
        <v>266</v>
      </c>
      <c r="H14" s="379"/>
      <c r="I14" s="379"/>
      <c r="J14" s="377" t="s">
        <v>169</v>
      </c>
      <c r="K14" s="377" t="s">
        <v>252</v>
      </c>
      <c r="L14" s="377" t="s">
        <v>179</v>
      </c>
      <c r="M14" s="377" t="s">
        <v>172</v>
      </c>
      <c r="N14" s="377" t="s">
        <v>173</v>
      </c>
      <c r="O14" s="380">
        <v>1</v>
      </c>
      <c r="P14" s="386">
        <v>0.17</v>
      </c>
      <c r="Q14" s="386">
        <v>0.17</v>
      </c>
      <c r="R14" s="381">
        <v>80</v>
      </c>
      <c r="S14" s="386">
        <v>0.17</v>
      </c>
      <c r="T14" s="381">
        <v>6824.01</v>
      </c>
      <c r="U14" s="381">
        <v>0</v>
      </c>
      <c r="V14" s="381">
        <v>4031.12</v>
      </c>
      <c r="W14" s="381">
        <v>6548.67</v>
      </c>
      <c r="X14" s="381">
        <v>3478.01</v>
      </c>
      <c r="Y14" s="381">
        <v>6548.67</v>
      </c>
      <c r="Z14" s="381">
        <v>3643.36</v>
      </c>
      <c r="AA14" s="377" t="s">
        <v>253</v>
      </c>
      <c r="AB14" s="377" t="s">
        <v>254</v>
      </c>
      <c r="AC14" s="377" t="s">
        <v>255</v>
      </c>
      <c r="AD14" s="377" t="s">
        <v>256</v>
      </c>
      <c r="AE14" s="377" t="s">
        <v>252</v>
      </c>
      <c r="AF14" s="377" t="s">
        <v>257</v>
      </c>
      <c r="AG14" s="377" t="s">
        <v>179</v>
      </c>
      <c r="AH14" s="382">
        <v>18.52</v>
      </c>
      <c r="AI14" s="380">
        <v>1396</v>
      </c>
      <c r="AJ14" s="377" t="s">
        <v>180</v>
      </c>
      <c r="AK14" s="377" t="s">
        <v>181</v>
      </c>
      <c r="AL14" s="377" t="s">
        <v>182</v>
      </c>
      <c r="AM14" s="377" t="s">
        <v>183</v>
      </c>
      <c r="AN14" s="377" t="s">
        <v>66</v>
      </c>
      <c r="AO14" s="380">
        <v>80</v>
      </c>
      <c r="AP14" s="386">
        <v>1</v>
      </c>
      <c r="AQ14" s="386">
        <v>0.17</v>
      </c>
      <c r="AR14" s="384" t="s">
        <v>184</v>
      </c>
      <c r="AS14" s="388">
        <f t="shared" si="27"/>
        <v>0.17</v>
      </c>
      <c r="AT14">
        <f t="shared" si="28"/>
        <v>1</v>
      </c>
      <c r="AU14" s="388">
        <f>IF(AT14=0,"",IF(AND(AT14=1,M14="F",SUMIF(C2:C258,C14,AS2:AS258)&lt;=1),SUMIF(C2:C258,C14,AS2:AS258),IF(AND(AT14=1,M14="F",SUMIF(C2:C258,C14,AS2:AS258)&gt;1),1,"")))</f>
        <v>1</v>
      </c>
      <c r="AV14" s="388" t="str">
        <f>IF(AT14=0,"",IF(AND(AT14=3,M14="F",SUMIF(C2:C258,C14,AS2:AS258)&lt;=1),SUMIF(C2:C258,C14,AS2:AS258),IF(AND(AT14=3,M14="F",SUMIF(C2:C258,C14,AS2:AS258)&gt;1),1,"")))</f>
        <v/>
      </c>
      <c r="AW14" s="388">
        <f>SUMIF(C2:C258,C14,O2:O258)</f>
        <v>2</v>
      </c>
      <c r="AX14" s="388">
        <f>IF(AND(M14="F",AS14&lt;&gt;0),SUMIF(C2:C258,C14,W2:W258),0)</f>
        <v>38521.589999999997</v>
      </c>
      <c r="AY14" s="388">
        <f t="shared" si="29"/>
        <v>6548.67</v>
      </c>
      <c r="AZ14" s="388" t="str">
        <f t="shared" si="30"/>
        <v/>
      </c>
      <c r="BA14" s="388">
        <f t="shared" si="31"/>
        <v>0</v>
      </c>
      <c r="BB14" s="388">
        <f t="shared" si="0"/>
        <v>2125</v>
      </c>
      <c r="BC14" s="388">
        <f t="shared" si="1"/>
        <v>0</v>
      </c>
      <c r="BD14" s="388">
        <f t="shared" si="2"/>
        <v>406.01754</v>
      </c>
      <c r="BE14" s="388">
        <f t="shared" si="3"/>
        <v>94.955715000000012</v>
      </c>
      <c r="BF14" s="388">
        <f t="shared" si="4"/>
        <v>781.91119800000001</v>
      </c>
      <c r="BG14" s="388">
        <f t="shared" si="5"/>
        <v>47.215910700000002</v>
      </c>
      <c r="BH14" s="388">
        <f t="shared" si="6"/>
        <v>0</v>
      </c>
      <c r="BI14" s="388">
        <f t="shared" si="7"/>
        <v>0</v>
      </c>
      <c r="BJ14" s="388">
        <f t="shared" si="8"/>
        <v>22.920345000000001</v>
      </c>
      <c r="BK14" s="388">
        <f t="shared" si="9"/>
        <v>0</v>
      </c>
      <c r="BL14" s="388">
        <f t="shared" si="32"/>
        <v>1353.0207087000001</v>
      </c>
      <c r="BM14" s="388">
        <f t="shared" si="33"/>
        <v>0</v>
      </c>
      <c r="BN14" s="388">
        <f t="shared" si="10"/>
        <v>2337.5</v>
      </c>
      <c r="BO14" s="388">
        <f t="shared" si="11"/>
        <v>0</v>
      </c>
      <c r="BP14" s="388">
        <f t="shared" si="12"/>
        <v>406.01754</v>
      </c>
      <c r="BQ14" s="388">
        <f t="shared" si="13"/>
        <v>94.955715000000012</v>
      </c>
      <c r="BR14" s="388">
        <f t="shared" si="14"/>
        <v>732.14130599999999</v>
      </c>
      <c r="BS14" s="388">
        <f t="shared" si="15"/>
        <v>47.215910700000002</v>
      </c>
      <c r="BT14" s="388">
        <f t="shared" si="16"/>
        <v>0</v>
      </c>
      <c r="BU14" s="388">
        <f t="shared" si="17"/>
        <v>0</v>
      </c>
      <c r="BV14" s="388">
        <f t="shared" si="18"/>
        <v>25.539812999999999</v>
      </c>
      <c r="BW14" s="388">
        <f t="shared" si="19"/>
        <v>0</v>
      </c>
      <c r="BX14" s="388">
        <f t="shared" si="34"/>
        <v>1305.8702847</v>
      </c>
      <c r="BY14" s="388">
        <f t="shared" si="35"/>
        <v>0</v>
      </c>
      <c r="BZ14" s="388">
        <f t="shared" si="36"/>
        <v>212.5</v>
      </c>
      <c r="CA14" s="388">
        <f t="shared" si="37"/>
        <v>0</v>
      </c>
      <c r="CB14" s="388">
        <f t="shared" si="38"/>
        <v>0</v>
      </c>
      <c r="CC14" s="388">
        <f t="shared" si="20"/>
        <v>0</v>
      </c>
      <c r="CD14" s="388">
        <f t="shared" si="21"/>
        <v>-49.769892000000063</v>
      </c>
      <c r="CE14" s="388">
        <f t="shared" si="22"/>
        <v>0</v>
      </c>
      <c r="CF14" s="388">
        <f t="shared" si="23"/>
        <v>0</v>
      </c>
      <c r="CG14" s="388">
        <f t="shared" si="24"/>
        <v>0</v>
      </c>
      <c r="CH14" s="388">
        <f t="shared" si="25"/>
        <v>2.6194679999999986</v>
      </c>
      <c r="CI14" s="388">
        <f t="shared" si="26"/>
        <v>0</v>
      </c>
      <c r="CJ14" s="388">
        <f t="shared" si="39"/>
        <v>-47.150424000000065</v>
      </c>
      <c r="CK14" s="388" t="str">
        <f t="shared" si="40"/>
        <v/>
      </c>
      <c r="CL14" s="388" t="str">
        <f t="shared" si="41"/>
        <v/>
      </c>
      <c r="CM14" s="388" t="str">
        <f t="shared" si="42"/>
        <v/>
      </c>
      <c r="CN14" s="388" t="str">
        <f t="shared" si="43"/>
        <v>0001-00</v>
      </c>
    </row>
    <row r="15" spans="1:92" ht="15.75" thickBot="1" x14ac:dyDescent="0.3">
      <c r="A15" s="377" t="s">
        <v>162</v>
      </c>
      <c r="B15" s="377" t="s">
        <v>163</v>
      </c>
      <c r="C15" s="377" t="s">
        <v>267</v>
      </c>
      <c r="D15" s="377" t="s">
        <v>268</v>
      </c>
      <c r="E15" s="377" t="s">
        <v>265</v>
      </c>
      <c r="F15" s="378" t="s">
        <v>167</v>
      </c>
      <c r="G15" s="377" t="s">
        <v>266</v>
      </c>
      <c r="H15" s="379"/>
      <c r="I15" s="379"/>
      <c r="J15" s="377" t="s">
        <v>269</v>
      </c>
      <c r="K15" s="377" t="s">
        <v>270</v>
      </c>
      <c r="L15" s="377" t="s">
        <v>167</v>
      </c>
      <c r="M15" s="377" t="s">
        <v>172</v>
      </c>
      <c r="N15" s="377" t="s">
        <v>173</v>
      </c>
      <c r="O15" s="380">
        <v>1</v>
      </c>
      <c r="P15" s="386">
        <v>0</v>
      </c>
      <c r="Q15" s="386">
        <v>0</v>
      </c>
      <c r="R15" s="381">
        <v>80</v>
      </c>
      <c r="S15" s="386">
        <v>0</v>
      </c>
      <c r="T15" s="381">
        <v>0</v>
      </c>
      <c r="U15" s="381">
        <v>0</v>
      </c>
      <c r="V15" s="381">
        <v>7.52</v>
      </c>
      <c r="W15" s="381">
        <v>0</v>
      </c>
      <c r="X15" s="381">
        <v>0</v>
      </c>
      <c r="Y15" s="381">
        <v>0</v>
      </c>
      <c r="Z15" s="381">
        <v>0</v>
      </c>
      <c r="AA15" s="377" t="s">
        <v>271</v>
      </c>
      <c r="AB15" s="377" t="s">
        <v>272</v>
      </c>
      <c r="AC15" s="377" t="s">
        <v>273</v>
      </c>
      <c r="AD15" s="377" t="s">
        <v>274</v>
      </c>
      <c r="AE15" s="377" t="s">
        <v>270</v>
      </c>
      <c r="AF15" s="377" t="s">
        <v>207</v>
      </c>
      <c r="AG15" s="377" t="s">
        <v>179</v>
      </c>
      <c r="AH15" s="382">
        <v>65.78</v>
      </c>
      <c r="AI15" s="380">
        <v>2255</v>
      </c>
      <c r="AJ15" s="377" t="s">
        <v>180</v>
      </c>
      <c r="AK15" s="377" t="s">
        <v>181</v>
      </c>
      <c r="AL15" s="377" t="s">
        <v>182</v>
      </c>
      <c r="AM15" s="377" t="s">
        <v>183</v>
      </c>
      <c r="AN15" s="377" t="s">
        <v>66</v>
      </c>
      <c r="AO15" s="380">
        <v>80</v>
      </c>
      <c r="AP15" s="386">
        <v>1</v>
      </c>
      <c r="AQ15" s="386">
        <v>0</v>
      </c>
      <c r="AR15" s="384" t="s">
        <v>184</v>
      </c>
      <c r="AS15" s="388">
        <f t="shared" si="27"/>
        <v>0</v>
      </c>
      <c r="AT15">
        <f t="shared" si="28"/>
        <v>0</v>
      </c>
      <c r="AU15" s="388" t="str">
        <f>IF(AT15=0,"",IF(AND(AT15=1,M15="F",SUMIF(C2:C258,C15,AS2:AS258)&lt;=1),SUMIF(C2:C258,C15,AS2:AS258),IF(AND(AT15=1,M15="F",SUMIF(C2:C258,C15,AS2:AS258)&gt;1),1,"")))</f>
        <v/>
      </c>
      <c r="AV15" s="388" t="str">
        <f>IF(AT15=0,"",IF(AND(AT15=3,M15="F",SUMIF(C2:C258,C15,AS2:AS258)&lt;=1),SUMIF(C2:C258,C15,AS2:AS258),IF(AND(AT15=3,M15="F",SUMIF(C2:C258,C15,AS2:AS258)&gt;1),1,"")))</f>
        <v/>
      </c>
      <c r="AW15" s="388">
        <f>SUMIF(C2:C258,C15,O2:O258)</f>
        <v>3</v>
      </c>
      <c r="AX15" s="388">
        <f>IF(AND(M15="F",AS15&lt;&gt;0),SUMIF(C2:C258,C15,W2:W258),0)</f>
        <v>0</v>
      </c>
      <c r="AY15" s="388" t="str">
        <f t="shared" si="29"/>
        <v/>
      </c>
      <c r="AZ15" s="388" t="str">
        <f t="shared" si="30"/>
        <v/>
      </c>
      <c r="BA15" s="388">
        <f t="shared" si="31"/>
        <v>0</v>
      </c>
      <c r="BB15" s="388">
        <f t="shared" si="0"/>
        <v>0</v>
      </c>
      <c r="BC15" s="388">
        <f t="shared" si="1"/>
        <v>0</v>
      </c>
      <c r="BD15" s="388">
        <f t="shared" si="2"/>
        <v>0</v>
      </c>
      <c r="BE15" s="388">
        <f t="shared" si="3"/>
        <v>0</v>
      </c>
      <c r="BF15" s="388">
        <f t="shared" si="4"/>
        <v>0</v>
      </c>
      <c r="BG15" s="388">
        <f t="shared" si="5"/>
        <v>0</v>
      </c>
      <c r="BH15" s="388">
        <f t="shared" si="6"/>
        <v>0</v>
      </c>
      <c r="BI15" s="388">
        <f t="shared" si="7"/>
        <v>0</v>
      </c>
      <c r="BJ15" s="388">
        <f t="shared" si="8"/>
        <v>0</v>
      </c>
      <c r="BK15" s="388">
        <f t="shared" si="9"/>
        <v>0</v>
      </c>
      <c r="BL15" s="388">
        <f t="shared" si="32"/>
        <v>0</v>
      </c>
      <c r="BM15" s="388">
        <f t="shared" si="33"/>
        <v>0</v>
      </c>
      <c r="BN15" s="388">
        <f t="shared" si="10"/>
        <v>0</v>
      </c>
      <c r="BO15" s="388">
        <f t="shared" si="11"/>
        <v>0</v>
      </c>
      <c r="BP15" s="388">
        <f t="shared" si="12"/>
        <v>0</v>
      </c>
      <c r="BQ15" s="388">
        <f t="shared" si="13"/>
        <v>0</v>
      </c>
      <c r="BR15" s="388">
        <f t="shared" si="14"/>
        <v>0</v>
      </c>
      <c r="BS15" s="388">
        <f t="shared" si="15"/>
        <v>0</v>
      </c>
      <c r="BT15" s="388">
        <f t="shared" si="16"/>
        <v>0</v>
      </c>
      <c r="BU15" s="388">
        <f t="shared" si="17"/>
        <v>0</v>
      </c>
      <c r="BV15" s="388">
        <f t="shared" si="18"/>
        <v>0</v>
      </c>
      <c r="BW15" s="388">
        <f t="shared" si="19"/>
        <v>0</v>
      </c>
      <c r="BX15" s="388">
        <f t="shared" si="34"/>
        <v>0</v>
      </c>
      <c r="BY15" s="388">
        <f t="shared" si="35"/>
        <v>0</v>
      </c>
      <c r="BZ15" s="388">
        <f t="shared" si="36"/>
        <v>0</v>
      </c>
      <c r="CA15" s="388">
        <f t="shared" si="37"/>
        <v>0</v>
      </c>
      <c r="CB15" s="388">
        <f t="shared" si="38"/>
        <v>0</v>
      </c>
      <c r="CC15" s="388">
        <f t="shared" si="20"/>
        <v>0</v>
      </c>
      <c r="CD15" s="388">
        <f t="shared" si="21"/>
        <v>0</v>
      </c>
      <c r="CE15" s="388">
        <f t="shared" si="22"/>
        <v>0</v>
      </c>
      <c r="CF15" s="388">
        <f t="shared" si="23"/>
        <v>0</v>
      </c>
      <c r="CG15" s="388">
        <f t="shared" si="24"/>
        <v>0</v>
      </c>
      <c r="CH15" s="388">
        <f t="shared" si="25"/>
        <v>0</v>
      </c>
      <c r="CI15" s="388">
        <f t="shared" si="26"/>
        <v>0</v>
      </c>
      <c r="CJ15" s="388">
        <f t="shared" si="39"/>
        <v>0</v>
      </c>
      <c r="CK15" s="388" t="str">
        <f t="shared" si="40"/>
        <v/>
      </c>
      <c r="CL15" s="388" t="str">
        <f t="shared" si="41"/>
        <v/>
      </c>
      <c r="CM15" s="388" t="str">
        <f t="shared" si="42"/>
        <v/>
      </c>
      <c r="CN15" s="388" t="str">
        <f t="shared" si="43"/>
        <v>0001-00</v>
      </c>
    </row>
    <row r="16" spans="1:92" ht="15.75" thickBot="1" x14ac:dyDescent="0.3">
      <c r="A16" s="377" t="s">
        <v>162</v>
      </c>
      <c r="B16" s="377" t="s">
        <v>163</v>
      </c>
      <c r="C16" s="377" t="s">
        <v>275</v>
      </c>
      <c r="D16" s="377" t="s">
        <v>276</v>
      </c>
      <c r="E16" s="377" t="s">
        <v>265</v>
      </c>
      <c r="F16" s="378" t="s">
        <v>167</v>
      </c>
      <c r="G16" s="377" t="s">
        <v>266</v>
      </c>
      <c r="H16" s="379"/>
      <c r="I16" s="379"/>
      <c r="J16" s="377" t="s">
        <v>219</v>
      </c>
      <c r="K16" s="377" t="s">
        <v>277</v>
      </c>
      <c r="L16" s="377" t="s">
        <v>215</v>
      </c>
      <c r="M16" s="377" t="s">
        <v>172</v>
      </c>
      <c r="N16" s="377" t="s">
        <v>173</v>
      </c>
      <c r="O16" s="380">
        <v>1</v>
      </c>
      <c r="P16" s="386">
        <v>1</v>
      </c>
      <c r="Q16" s="386">
        <v>1</v>
      </c>
      <c r="R16" s="381">
        <v>80</v>
      </c>
      <c r="S16" s="386">
        <v>1</v>
      </c>
      <c r="T16" s="381">
        <v>54209.02</v>
      </c>
      <c r="U16" s="381">
        <v>0</v>
      </c>
      <c r="V16" s="381">
        <v>21850.29</v>
      </c>
      <c r="W16" s="381">
        <v>56617.599999999999</v>
      </c>
      <c r="X16" s="381">
        <v>24197.75</v>
      </c>
      <c r="Y16" s="381">
        <v>56617.599999999999</v>
      </c>
      <c r="Z16" s="381">
        <v>25040.09</v>
      </c>
      <c r="AA16" s="377" t="s">
        <v>278</v>
      </c>
      <c r="AB16" s="377" t="s">
        <v>279</v>
      </c>
      <c r="AC16" s="377" t="s">
        <v>280</v>
      </c>
      <c r="AD16" s="377" t="s">
        <v>215</v>
      </c>
      <c r="AE16" s="377" t="s">
        <v>277</v>
      </c>
      <c r="AF16" s="377" t="s">
        <v>231</v>
      </c>
      <c r="AG16" s="377" t="s">
        <v>179</v>
      </c>
      <c r="AH16" s="382">
        <v>27.22</v>
      </c>
      <c r="AI16" s="382">
        <v>5282.7</v>
      </c>
      <c r="AJ16" s="377" t="s">
        <v>180</v>
      </c>
      <c r="AK16" s="377" t="s">
        <v>181</v>
      </c>
      <c r="AL16" s="377" t="s">
        <v>182</v>
      </c>
      <c r="AM16" s="377" t="s">
        <v>183</v>
      </c>
      <c r="AN16" s="377" t="s">
        <v>66</v>
      </c>
      <c r="AO16" s="380">
        <v>80</v>
      </c>
      <c r="AP16" s="386">
        <v>1</v>
      </c>
      <c r="AQ16" s="386">
        <v>1</v>
      </c>
      <c r="AR16" s="384" t="s">
        <v>184</v>
      </c>
      <c r="AS16" s="388">
        <f t="shared" si="27"/>
        <v>1</v>
      </c>
      <c r="AT16">
        <f t="shared" si="28"/>
        <v>1</v>
      </c>
      <c r="AU16" s="388">
        <f>IF(AT16=0,"",IF(AND(AT16=1,M16="F",SUMIF(C2:C258,C16,AS2:AS258)&lt;=1),SUMIF(C2:C258,C16,AS2:AS258),IF(AND(AT16=1,M16="F",SUMIF(C2:C258,C16,AS2:AS258)&gt;1),1,"")))</f>
        <v>1</v>
      </c>
      <c r="AV16" s="388" t="str">
        <f>IF(AT16=0,"",IF(AND(AT16=3,M16="F",SUMIF(C2:C258,C16,AS2:AS258)&lt;=1),SUMIF(C2:C258,C16,AS2:AS258),IF(AND(AT16=3,M16="F",SUMIF(C2:C258,C16,AS2:AS258)&gt;1),1,"")))</f>
        <v/>
      </c>
      <c r="AW16" s="388">
        <f>SUMIF(C2:C258,C16,O2:O258)</f>
        <v>3</v>
      </c>
      <c r="AX16" s="388">
        <f>IF(AND(M16="F",AS16&lt;&gt;0),SUMIF(C2:C258,C16,W2:W258),0)</f>
        <v>56617.599999999999</v>
      </c>
      <c r="AY16" s="388">
        <f t="shared" si="29"/>
        <v>56617.599999999999</v>
      </c>
      <c r="AZ16" s="388" t="str">
        <f t="shared" si="30"/>
        <v/>
      </c>
      <c r="BA16" s="388">
        <f t="shared" si="31"/>
        <v>0</v>
      </c>
      <c r="BB16" s="388">
        <f t="shared" si="0"/>
        <v>12500</v>
      </c>
      <c r="BC16" s="388">
        <f t="shared" si="1"/>
        <v>0</v>
      </c>
      <c r="BD16" s="388">
        <f t="shared" si="2"/>
        <v>3510.2911999999997</v>
      </c>
      <c r="BE16" s="388">
        <f t="shared" si="3"/>
        <v>820.95519999999999</v>
      </c>
      <c r="BF16" s="388">
        <f t="shared" si="4"/>
        <v>6760.1414400000003</v>
      </c>
      <c r="BG16" s="388">
        <f t="shared" si="5"/>
        <v>408.212896</v>
      </c>
      <c r="BH16" s="388">
        <f t="shared" si="6"/>
        <v>0</v>
      </c>
      <c r="BI16" s="388">
        <f t="shared" si="7"/>
        <v>0</v>
      </c>
      <c r="BJ16" s="388">
        <f t="shared" si="8"/>
        <v>198.16159999999999</v>
      </c>
      <c r="BK16" s="388">
        <f t="shared" si="9"/>
        <v>0</v>
      </c>
      <c r="BL16" s="388">
        <f t="shared" si="32"/>
        <v>11697.762336</v>
      </c>
      <c r="BM16" s="388">
        <f t="shared" si="33"/>
        <v>0</v>
      </c>
      <c r="BN16" s="388">
        <f t="shared" si="10"/>
        <v>13750</v>
      </c>
      <c r="BO16" s="388">
        <f t="shared" si="11"/>
        <v>0</v>
      </c>
      <c r="BP16" s="388">
        <f t="shared" si="12"/>
        <v>3510.2911999999997</v>
      </c>
      <c r="BQ16" s="388">
        <f t="shared" si="13"/>
        <v>820.95519999999999</v>
      </c>
      <c r="BR16" s="388">
        <f t="shared" si="14"/>
        <v>6329.8476799999999</v>
      </c>
      <c r="BS16" s="388">
        <f t="shared" si="15"/>
        <v>408.212896</v>
      </c>
      <c r="BT16" s="388">
        <f t="shared" si="16"/>
        <v>0</v>
      </c>
      <c r="BU16" s="388">
        <f t="shared" si="17"/>
        <v>0</v>
      </c>
      <c r="BV16" s="388">
        <f t="shared" si="18"/>
        <v>220.80864</v>
      </c>
      <c r="BW16" s="388">
        <f t="shared" si="19"/>
        <v>0</v>
      </c>
      <c r="BX16" s="388">
        <f t="shared" si="34"/>
        <v>11290.115615999999</v>
      </c>
      <c r="BY16" s="388">
        <f t="shared" si="35"/>
        <v>0</v>
      </c>
      <c r="BZ16" s="388">
        <f t="shared" si="36"/>
        <v>1250</v>
      </c>
      <c r="CA16" s="388">
        <f t="shared" si="37"/>
        <v>0</v>
      </c>
      <c r="CB16" s="388">
        <f t="shared" si="38"/>
        <v>0</v>
      </c>
      <c r="CC16" s="388">
        <f t="shared" si="20"/>
        <v>0</v>
      </c>
      <c r="CD16" s="388">
        <f t="shared" si="21"/>
        <v>-430.29376000000053</v>
      </c>
      <c r="CE16" s="388">
        <f t="shared" si="22"/>
        <v>0</v>
      </c>
      <c r="CF16" s="388">
        <f t="shared" si="23"/>
        <v>0</v>
      </c>
      <c r="CG16" s="388">
        <f t="shared" si="24"/>
        <v>0</v>
      </c>
      <c r="CH16" s="388">
        <f t="shared" si="25"/>
        <v>22.647039999999986</v>
      </c>
      <c r="CI16" s="388">
        <f t="shared" si="26"/>
        <v>0</v>
      </c>
      <c r="CJ16" s="388">
        <f t="shared" si="39"/>
        <v>-407.64672000000053</v>
      </c>
      <c r="CK16" s="388" t="str">
        <f t="shared" si="40"/>
        <v/>
      </c>
      <c r="CL16" s="388" t="str">
        <f t="shared" si="41"/>
        <v/>
      </c>
      <c r="CM16" s="388" t="str">
        <f t="shared" si="42"/>
        <v/>
      </c>
      <c r="CN16" s="388" t="str">
        <f t="shared" si="43"/>
        <v>0001-00</v>
      </c>
    </row>
    <row r="17" spans="1:92" ht="15.75" thickBot="1" x14ac:dyDescent="0.3">
      <c r="A17" s="377" t="s">
        <v>162</v>
      </c>
      <c r="B17" s="377" t="s">
        <v>163</v>
      </c>
      <c r="C17" s="377" t="s">
        <v>281</v>
      </c>
      <c r="D17" s="377" t="s">
        <v>282</v>
      </c>
      <c r="E17" s="377" t="s">
        <v>265</v>
      </c>
      <c r="F17" s="378" t="s">
        <v>167</v>
      </c>
      <c r="G17" s="377" t="s">
        <v>266</v>
      </c>
      <c r="H17" s="379"/>
      <c r="I17" s="379"/>
      <c r="J17" s="377" t="s">
        <v>283</v>
      </c>
      <c r="K17" s="377" t="s">
        <v>244</v>
      </c>
      <c r="L17" s="377" t="s">
        <v>167</v>
      </c>
      <c r="M17" s="377" t="s">
        <v>172</v>
      </c>
      <c r="N17" s="377" t="s">
        <v>173</v>
      </c>
      <c r="O17" s="380">
        <v>1</v>
      </c>
      <c r="P17" s="386">
        <v>0.35</v>
      </c>
      <c r="Q17" s="386">
        <v>0.35</v>
      </c>
      <c r="R17" s="381">
        <v>80</v>
      </c>
      <c r="S17" s="386">
        <v>0.35</v>
      </c>
      <c r="T17" s="381">
        <v>40054.07</v>
      </c>
      <c r="U17" s="381">
        <v>0</v>
      </c>
      <c r="V17" s="381">
        <v>11198.17</v>
      </c>
      <c r="W17" s="381">
        <v>31762.639999999999</v>
      </c>
      <c r="X17" s="381">
        <v>10937.47</v>
      </c>
      <c r="Y17" s="381">
        <v>31762.639999999999</v>
      </c>
      <c r="Z17" s="381">
        <v>11146.28</v>
      </c>
      <c r="AA17" s="377" t="s">
        <v>284</v>
      </c>
      <c r="AB17" s="377" t="s">
        <v>242</v>
      </c>
      <c r="AC17" s="377" t="s">
        <v>285</v>
      </c>
      <c r="AD17" s="377" t="s">
        <v>286</v>
      </c>
      <c r="AE17" s="377" t="s">
        <v>244</v>
      </c>
      <c r="AF17" s="377" t="s">
        <v>207</v>
      </c>
      <c r="AG17" s="377" t="s">
        <v>179</v>
      </c>
      <c r="AH17" s="382">
        <v>43.63</v>
      </c>
      <c r="AI17" s="382">
        <v>10567.1</v>
      </c>
      <c r="AJ17" s="377" t="s">
        <v>180</v>
      </c>
      <c r="AK17" s="377" t="s">
        <v>181</v>
      </c>
      <c r="AL17" s="377" t="s">
        <v>182</v>
      </c>
      <c r="AM17" s="377" t="s">
        <v>183</v>
      </c>
      <c r="AN17" s="377" t="s">
        <v>66</v>
      </c>
      <c r="AO17" s="380">
        <v>80</v>
      </c>
      <c r="AP17" s="386">
        <v>1</v>
      </c>
      <c r="AQ17" s="386">
        <v>0.35</v>
      </c>
      <c r="AR17" s="384" t="s">
        <v>184</v>
      </c>
      <c r="AS17" s="388">
        <f t="shared" si="27"/>
        <v>0.35</v>
      </c>
      <c r="AT17">
        <f t="shared" si="28"/>
        <v>1</v>
      </c>
      <c r="AU17" s="388">
        <f>IF(AT17=0,"",IF(AND(AT17=1,M17="F",SUMIF(C2:C258,C17,AS2:AS258)&lt;=1),SUMIF(C2:C258,C17,AS2:AS258),IF(AND(AT17=1,M17="F",SUMIF(C2:C258,C17,AS2:AS258)&gt;1),1,"")))</f>
        <v>1</v>
      </c>
      <c r="AV17" s="388" t="str">
        <f>IF(AT17=0,"",IF(AND(AT17=3,M17="F",SUMIF(C2:C258,C17,AS2:AS258)&lt;=1),SUMIF(C2:C258,C17,AS2:AS258),IF(AND(AT17=3,M17="F",SUMIF(C2:C258,C17,AS2:AS258)&gt;1),1,"")))</f>
        <v/>
      </c>
      <c r="AW17" s="388">
        <f>SUMIF(C2:C258,C17,O2:O258)</f>
        <v>4</v>
      </c>
      <c r="AX17" s="388">
        <f>IF(AND(M17="F",AS17&lt;&gt;0),SUMIF(C2:C258,C17,W2:W258),0)</f>
        <v>90750.400000000009</v>
      </c>
      <c r="AY17" s="388">
        <f t="shared" si="29"/>
        <v>31762.639999999999</v>
      </c>
      <c r="AZ17" s="388" t="str">
        <f t="shared" si="30"/>
        <v/>
      </c>
      <c r="BA17" s="388">
        <f t="shared" si="31"/>
        <v>0</v>
      </c>
      <c r="BB17" s="388">
        <f t="shared" si="0"/>
        <v>4375</v>
      </c>
      <c r="BC17" s="388">
        <f t="shared" si="1"/>
        <v>0</v>
      </c>
      <c r="BD17" s="388">
        <f t="shared" si="2"/>
        <v>1969.28368</v>
      </c>
      <c r="BE17" s="388">
        <f t="shared" si="3"/>
        <v>460.55828000000002</v>
      </c>
      <c r="BF17" s="388">
        <f t="shared" si="4"/>
        <v>3792.4592160000002</v>
      </c>
      <c r="BG17" s="388">
        <f t="shared" si="5"/>
        <v>229.00863440000001</v>
      </c>
      <c r="BH17" s="388">
        <f t="shared" si="6"/>
        <v>0</v>
      </c>
      <c r="BI17" s="388">
        <f t="shared" si="7"/>
        <v>0</v>
      </c>
      <c r="BJ17" s="388">
        <f t="shared" si="8"/>
        <v>111.16924</v>
      </c>
      <c r="BK17" s="388">
        <f t="shared" si="9"/>
        <v>0</v>
      </c>
      <c r="BL17" s="388">
        <f t="shared" si="32"/>
        <v>6562.4790504000011</v>
      </c>
      <c r="BM17" s="388">
        <f t="shared" si="33"/>
        <v>0</v>
      </c>
      <c r="BN17" s="388">
        <f t="shared" si="10"/>
        <v>4812.5</v>
      </c>
      <c r="BO17" s="388">
        <f t="shared" si="11"/>
        <v>0</v>
      </c>
      <c r="BP17" s="388">
        <f t="shared" si="12"/>
        <v>1969.28368</v>
      </c>
      <c r="BQ17" s="388">
        <f t="shared" si="13"/>
        <v>460.55828000000002</v>
      </c>
      <c r="BR17" s="388">
        <f t="shared" si="14"/>
        <v>3551.0631519999997</v>
      </c>
      <c r="BS17" s="388">
        <f t="shared" si="15"/>
        <v>229.00863440000001</v>
      </c>
      <c r="BT17" s="388">
        <f t="shared" si="16"/>
        <v>0</v>
      </c>
      <c r="BU17" s="388">
        <f t="shared" si="17"/>
        <v>0</v>
      </c>
      <c r="BV17" s="388">
        <f t="shared" si="18"/>
        <v>123.87429599999999</v>
      </c>
      <c r="BW17" s="388">
        <f t="shared" si="19"/>
        <v>0</v>
      </c>
      <c r="BX17" s="388">
        <f t="shared" si="34"/>
        <v>6333.7880424000004</v>
      </c>
      <c r="BY17" s="388">
        <f t="shared" si="35"/>
        <v>0</v>
      </c>
      <c r="BZ17" s="388">
        <f t="shared" si="36"/>
        <v>437.5</v>
      </c>
      <c r="CA17" s="388">
        <f t="shared" si="37"/>
        <v>0</v>
      </c>
      <c r="CB17" s="388">
        <f t="shared" si="38"/>
        <v>0</v>
      </c>
      <c r="CC17" s="388">
        <f t="shared" si="20"/>
        <v>0</v>
      </c>
      <c r="CD17" s="388">
        <f t="shared" si="21"/>
        <v>-241.39606400000031</v>
      </c>
      <c r="CE17" s="388">
        <f t="shared" si="22"/>
        <v>0</v>
      </c>
      <c r="CF17" s="388">
        <f t="shared" si="23"/>
        <v>0</v>
      </c>
      <c r="CG17" s="388">
        <f t="shared" si="24"/>
        <v>0</v>
      </c>
      <c r="CH17" s="388">
        <f t="shared" si="25"/>
        <v>12.705055999999992</v>
      </c>
      <c r="CI17" s="388">
        <f t="shared" si="26"/>
        <v>0</v>
      </c>
      <c r="CJ17" s="388">
        <f t="shared" si="39"/>
        <v>-228.69100800000032</v>
      </c>
      <c r="CK17" s="388" t="str">
        <f t="shared" si="40"/>
        <v/>
      </c>
      <c r="CL17" s="388" t="str">
        <f t="shared" si="41"/>
        <v/>
      </c>
      <c r="CM17" s="388" t="str">
        <f t="shared" si="42"/>
        <v/>
      </c>
      <c r="CN17" s="388" t="str">
        <f t="shared" si="43"/>
        <v>0001-00</v>
      </c>
    </row>
    <row r="18" spans="1:92" ht="15.75" thickBot="1" x14ac:dyDescent="0.3">
      <c r="A18" s="377" t="s">
        <v>162</v>
      </c>
      <c r="B18" s="377" t="s">
        <v>163</v>
      </c>
      <c r="C18" s="377" t="s">
        <v>287</v>
      </c>
      <c r="D18" s="377" t="s">
        <v>288</v>
      </c>
      <c r="E18" s="377" t="s">
        <v>265</v>
      </c>
      <c r="F18" s="378" t="s">
        <v>167</v>
      </c>
      <c r="G18" s="377" t="s">
        <v>266</v>
      </c>
      <c r="H18" s="379"/>
      <c r="I18" s="379"/>
      <c r="J18" s="377" t="s">
        <v>219</v>
      </c>
      <c r="K18" s="377" t="s">
        <v>289</v>
      </c>
      <c r="L18" s="377" t="s">
        <v>211</v>
      </c>
      <c r="M18" s="377" t="s">
        <v>172</v>
      </c>
      <c r="N18" s="377" t="s">
        <v>173</v>
      </c>
      <c r="O18" s="380">
        <v>1</v>
      </c>
      <c r="P18" s="386">
        <v>1</v>
      </c>
      <c r="Q18" s="386">
        <v>1</v>
      </c>
      <c r="R18" s="381">
        <v>80</v>
      </c>
      <c r="S18" s="386">
        <v>1</v>
      </c>
      <c r="T18" s="381">
        <v>51479.31</v>
      </c>
      <c r="U18" s="381">
        <v>0</v>
      </c>
      <c r="V18" s="381">
        <v>22443.759999999998</v>
      </c>
      <c r="W18" s="381">
        <v>51438.400000000001</v>
      </c>
      <c r="X18" s="381">
        <v>23127.67</v>
      </c>
      <c r="Y18" s="381">
        <v>51438.400000000001</v>
      </c>
      <c r="Z18" s="381">
        <v>24007.31</v>
      </c>
      <c r="AA18" s="377" t="s">
        <v>290</v>
      </c>
      <c r="AB18" s="377" t="s">
        <v>291</v>
      </c>
      <c r="AC18" s="377" t="s">
        <v>292</v>
      </c>
      <c r="AD18" s="377" t="s">
        <v>293</v>
      </c>
      <c r="AE18" s="377" t="s">
        <v>289</v>
      </c>
      <c r="AF18" s="377" t="s">
        <v>216</v>
      </c>
      <c r="AG18" s="377" t="s">
        <v>179</v>
      </c>
      <c r="AH18" s="382">
        <v>24.73</v>
      </c>
      <c r="AI18" s="382">
        <v>5937.3</v>
      </c>
      <c r="AJ18" s="377" t="s">
        <v>180</v>
      </c>
      <c r="AK18" s="377" t="s">
        <v>181</v>
      </c>
      <c r="AL18" s="377" t="s">
        <v>182</v>
      </c>
      <c r="AM18" s="377" t="s">
        <v>183</v>
      </c>
      <c r="AN18" s="377" t="s">
        <v>66</v>
      </c>
      <c r="AO18" s="380">
        <v>80</v>
      </c>
      <c r="AP18" s="386">
        <v>1</v>
      </c>
      <c r="AQ18" s="386">
        <v>1</v>
      </c>
      <c r="AR18" s="384" t="s">
        <v>184</v>
      </c>
      <c r="AS18" s="388">
        <f t="shared" si="27"/>
        <v>1</v>
      </c>
      <c r="AT18">
        <f t="shared" si="28"/>
        <v>1</v>
      </c>
      <c r="AU18" s="388">
        <f>IF(AT18=0,"",IF(AND(AT18=1,M18="F",SUMIF(C2:C258,C18,AS2:AS258)&lt;=1),SUMIF(C2:C258,C18,AS2:AS258),IF(AND(AT18=1,M18="F",SUMIF(C2:C258,C18,AS2:AS258)&gt;1),1,"")))</f>
        <v>1</v>
      </c>
      <c r="AV18" s="388" t="str">
        <f>IF(AT18=0,"",IF(AND(AT18=3,M18="F",SUMIF(C2:C258,C18,AS2:AS258)&lt;=1),SUMIF(C2:C258,C18,AS2:AS258),IF(AND(AT18=3,M18="F",SUMIF(C2:C258,C18,AS2:AS258)&gt;1),1,"")))</f>
        <v/>
      </c>
      <c r="AW18" s="388">
        <f>SUMIF(C2:C258,C18,O2:O258)</f>
        <v>1</v>
      </c>
      <c r="AX18" s="388">
        <f>IF(AND(M18="F",AS18&lt;&gt;0),SUMIF(C2:C258,C18,W2:W258),0)</f>
        <v>51438.400000000001</v>
      </c>
      <c r="AY18" s="388">
        <f t="shared" si="29"/>
        <v>51438.400000000001</v>
      </c>
      <c r="AZ18" s="388" t="str">
        <f t="shared" si="30"/>
        <v/>
      </c>
      <c r="BA18" s="388">
        <f t="shared" si="31"/>
        <v>0</v>
      </c>
      <c r="BB18" s="388">
        <f t="shared" si="0"/>
        <v>12500</v>
      </c>
      <c r="BC18" s="388">
        <f t="shared" si="1"/>
        <v>0</v>
      </c>
      <c r="BD18" s="388">
        <f t="shared" si="2"/>
        <v>3189.1808000000001</v>
      </c>
      <c r="BE18" s="388">
        <f t="shared" si="3"/>
        <v>745.85680000000002</v>
      </c>
      <c r="BF18" s="388">
        <f t="shared" si="4"/>
        <v>6141.7449600000009</v>
      </c>
      <c r="BG18" s="388">
        <f t="shared" si="5"/>
        <v>370.87086400000004</v>
      </c>
      <c r="BH18" s="388">
        <f t="shared" si="6"/>
        <v>0</v>
      </c>
      <c r="BI18" s="388">
        <f t="shared" si="7"/>
        <v>0</v>
      </c>
      <c r="BJ18" s="388">
        <f t="shared" si="8"/>
        <v>180.03440000000001</v>
      </c>
      <c r="BK18" s="388">
        <f t="shared" si="9"/>
        <v>0</v>
      </c>
      <c r="BL18" s="388">
        <f t="shared" si="32"/>
        <v>10627.687824000002</v>
      </c>
      <c r="BM18" s="388">
        <f t="shared" si="33"/>
        <v>0</v>
      </c>
      <c r="BN18" s="388">
        <f t="shared" si="10"/>
        <v>13750</v>
      </c>
      <c r="BO18" s="388">
        <f t="shared" si="11"/>
        <v>0</v>
      </c>
      <c r="BP18" s="388">
        <f t="shared" si="12"/>
        <v>3189.1808000000001</v>
      </c>
      <c r="BQ18" s="388">
        <f t="shared" si="13"/>
        <v>745.85680000000002</v>
      </c>
      <c r="BR18" s="388">
        <f t="shared" si="14"/>
        <v>5750.8131199999998</v>
      </c>
      <c r="BS18" s="388">
        <f t="shared" si="15"/>
        <v>370.87086400000004</v>
      </c>
      <c r="BT18" s="388">
        <f t="shared" si="16"/>
        <v>0</v>
      </c>
      <c r="BU18" s="388">
        <f t="shared" si="17"/>
        <v>0</v>
      </c>
      <c r="BV18" s="388">
        <f t="shared" si="18"/>
        <v>200.60975999999999</v>
      </c>
      <c r="BW18" s="388">
        <f t="shared" si="19"/>
        <v>0</v>
      </c>
      <c r="BX18" s="388">
        <f t="shared" si="34"/>
        <v>10257.331344</v>
      </c>
      <c r="BY18" s="388">
        <f t="shared" si="35"/>
        <v>0</v>
      </c>
      <c r="BZ18" s="388">
        <f t="shared" si="36"/>
        <v>1250</v>
      </c>
      <c r="CA18" s="388">
        <f t="shared" si="37"/>
        <v>0</v>
      </c>
      <c r="CB18" s="388">
        <f t="shared" si="38"/>
        <v>0</v>
      </c>
      <c r="CC18" s="388">
        <f t="shared" si="20"/>
        <v>0</v>
      </c>
      <c r="CD18" s="388">
        <f t="shared" si="21"/>
        <v>-390.93184000000048</v>
      </c>
      <c r="CE18" s="388">
        <f t="shared" si="22"/>
        <v>0</v>
      </c>
      <c r="CF18" s="388">
        <f t="shared" si="23"/>
        <v>0</v>
      </c>
      <c r="CG18" s="388">
        <f t="shared" si="24"/>
        <v>0</v>
      </c>
      <c r="CH18" s="388">
        <f t="shared" si="25"/>
        <v>20.575359999999989</v>
      </c>
      <c r="CI18" s="388">
        <f t="shared" si="26"/>
        <v>0</v>
      </c>
      <c r="CJ18" s="388">
        <f t="shared" si="39"/>
        <v>-370.35648000000049</v>
      </c>
      <c r="CK18" s="388" t="str">
        <f t="shared" si="40"/>
        <v/>
      </c>
      <c r="CL18" s="388" t="str">
        <f t="shared" si="41"/>
        <v/>
      </c>
      <c r="CM18" s="388" t="str">
        <f t="shared" si="42"/>
        <v/>
      </c>
      <c r="CN18" s="388" t="str">
        <f t="shared" si="43"/>
        <v>0001-00</v>
      </c>
    </row>
    <row r="19" spans="1:92" ht="15.75" thickBot="1" x14ac:dyDescent="0.3">
      <c r="A19" s="377" t="s">
        <v>162</v>
      </c>
      <c r="B19" s="377" t="s">
        <v>163</v>
      </c>
      <c r="C19" s="377" t="s">
        <v>294</v>
      </c>
      <c r="D19" s="377" t="s">
        <v>276</v>
      </c>
      <c r="E19" s="377" t="s">
        <v>265</v>
      </c>
      <c r="F19" s="378" t="s">
        <v>167</v>
      </c>
      <c r="G19" s="377" t="s">
        <v>266</v>
      </c>
      <c r="H19" s="379"/>
      <c r="I19" s="379"/>
      <c r="J19" s="377" t="s">
        <v>219</v>
      </c>
      <c r="K19" s="377" t="s">
        <v>277</v>
      </c>
      <c r="L19" s="377" t="s">
        <v>215</v>
      </c>
      <c r="M19" s="377" t="s">
        <v>172</v>
      </c>
      <c r="N19" s="377" t="s">
        <v>173</v>
      </c>
      <c r="O19" s="380">
        <v>1</v>
      </c>
      <c r="P19" s="386">
        <v>1</v>
      </c>
      <c r="Q19" s="386">
        <v>1</v>
      </c>
      <c r="R19" s="381">
        <v>80</v>
      </c>
      <c r="S19" s="386">
        <v>1</v>
      </c>
      <c r="T19" s="381">
        <v>14377.05</v>
      </c>
      <c r="U19" s="381">
        <v>0</v>
      </c>
      <c r="V19" s="381">
        <v>8510.9599999999991</v>
      </c>
      <c r="W19" s="381">
        <v>35506.9</v>
      </c>
      <c r="X19" s="381">
        <v>19836.060000000001</v>
      </c>
      <c r="Y19" s="381">
        <v>35506.9</v>
      </c>
      <c r="Z19" s="381">
        <v>20830.41</v>
      </c>
      <c r="AA19" s="377" t="s">
        <v>295</v>
      </c>
      <c r="AB19" s="377" t="s">
        <v>296</v>
      </c>
      <c r="AC19" s="377" t="s">
        <v>297</v>
      </c>
      <c r="AD19" s="377" t="s">
        <v>211</v>
      </c>
      <c r="AE19" s="377" t="s">
        <v>277</v>
      </c>
      <c r="AF19" s="377" t="s">
        <v>231</v>
      </c>
      <c r="AG19" s="377" t="s">
        <v>179</v>
      </c>
      <c r="AH19" s="382">
        <v>21.01</v>
      </c>
      <c r="AI19" s="382">
        <v>292.5</v>
      </c>
      <c r="AJ19" s="377" t="s">
        <v>298</v>
      </c>
      <c r="AK19" s="377" t="s">
        <v>181</v>
      </c>
      <c r="AL19" s="377" t="s">
        <v>182</v>
      </c>
      <c r="AM19" s="377" t="s">
        <v>183</v>
      </c>
      <c r="AN19" s="377" t="s">
        <v>66</v>
      </c>
      <c r="AO19" s="380">
        <v>65</v>
      </c>
      <c r="AP19" s="386">
        <v>1</v>
      </c>
      <c r="AQ19" s="386">
        <v>0.81</v>
      </c>
      <c r="AR19" s="384" t="s">
        <v>184</v>
      </c>
      <c r="AS19" s="388">
        <f t="shared" si="27"/>
        <v>0.8125</v>
      </c>
      <c r="AT19">
        <f t="shared" si="28"/>
        <v>1</v>
      </c>
      <c r="AU19" s="388">
        <f>IF(AT19=0,"",IF(AND(AT19=1,M19="F",SUMIF(C2:C258,C19,AS2:AS258)&lt;=1),SUMIF(C2:C258,C19,AS2:AS258),IF(AND(AT19=1,M19="F",SUMIF(C2:C258,C19,AS2:AS258)&gt;1),1,"")))</f>
        <v>0.8125</v>
      </c>
      <c r="AV19" s="388" t="str">
        <f>IF(AT19=0,"",IF(AND(AT19=3,M19="F",SUMIF(C2:C258,C19,AS2:AS258)&lt;=1),SUMIF(C2:C258,C19,AS2:AS258),IF(AND(AT19=3,M19="F",SUMIF(C2:C258,C19,AS2:AS258)&gt;1),1,"")))</f>
        <v/>
      </c>
      <c r="AW19" s="388">
        <f>SUMIF(C2:C258,C19,O2:O258)</f>
        <v>1</v>
      </c>
      <c r="AX19" s="388">
        <f>IF(AND(M19="F",AS19&lt;&gt;0),SUMIF(C2:C258,C19,W2:W258),0)</f>
        <v>35506.9</v>
      </c>
      <c r="AY19" s="388">
        <f t="shared" si="29"/>
        <v>35506.9</v>
      </c>
      <c r="AZ19" s="388" t="str">
        <f t="shared" si="30"/>
        <v/>
      </c>
      <c r="BA19" s="388">
        <f t="shared" si="31"/>
        <v>0</v>
      </c>
      <c r="BB19" s="388">
        <f t="shared" si="0"/>
        <v>12500</v>
      </c>
      <c r="BC19" s="388">
        <f t="shared" si="1"/>
        <v>0</v>
      </c>
      <c r="BD19" s="388">
        <f t="shared" si="2"/>
        <v>2201.4277999999999</v>
      </c>
      <c r="BE19" s="388">
        <f t="shared" si="3"/>
        <v>514.85005000000001</v>
      </c>
      <c r="BF19" s="388">
        <f t="shared" si="4"/>
        <v>4239.5238600000002</v>
      </c>
      <c r="BG19" s="388">
        <f t="shared" si="5"/>
        <v>256.004749</v>
      </c>
      <c r="BH19" s="388">
        <f t="shared" si="6"/>
        <v>0</v>
      </c>
      <c r="BI19" s="388">
        <f t="shared" si="7"/>
        <v>0</v>
      </c>
      <c r="BJ19" s="388">
        <f t="shared" si="8"/>
        <v>124.27415000000001</v>
      </c>
      <c r="BK19" s="388">
        <f t="shared" si="9"/>
        <v>0</v>
      </c>
      <c r="BL19" s="388">
        <f t="shared" si="32"/>
        <v>7336.0806089999996</v>
      </c>
      <c r="BM19" s="388">
        <f t="shared" si="33"/>
        <v>0</v>
      </c>
      <c r="BN19" s="388">
        <f t="shared" si="10"/>
        <v>13750</v>
      </c>
      <c r="BO19" s="388">
        <f t="shared" si="11"/>
        <v>0</v>
      </c>
      <c r="BP19" s="388">
        <f t="shared" si="12"/>
        <v>2201.4277999999999</v>
      </c>
      <c r="BQ19" s="388">
        <f t="shared" si="13"/>
        <v>514.85005000000001</v>
      </c>
      <c r="BR19" s="388">
        <f t="shared" si="14"/>
        <v>3969.6714200000001</v>
      </c>
      <c r="BS19" s="388">
        <f t="shared" si="15"/>
        <v>256.004749</v>
      </c>
      <c r="BT19" s="388">
        <f t="shared" si="16"/>
        <v>0</v>
      </c>
      <c r="BU19" s="388">
        <f t="shared" si="17"/>
        <v>0</v>
      </c>
      <c r="BV19" s="388">
        <f t="shared" si="18"/>
        <v>138.47691</v>
      </c>
      <c r="BW19" s="388">
        <f t="shared" si="19"/>
        <v>0</v>
      </c>
      <c r="BX19" s="388">
        <f t="shared" si="34"/>
        <v>7080.4309290000001</v>
      </c>
      <c r="BY19" s="388">
        <f t="shared" si="35"/>
        <v>0</v>
      </c>
      <c r="BZ19" s="388">
        <f t="shared" si="36"/>
        <v>1250</v>
      </c>
      <c r="CA19" s="388">
        <f t="shared" si="37"/>
        <v>0</v>
      </c>
      <c r="CB19" s="388">
        <f t="shared" si="38"/>
        <v>0</v>
      </c>
      <c r="CC19" s="388">
        <f t="shared" si="20"/>
        <v>0</v>
      </c>
      <c r="CD19" s="388">
        <f t="shared" si="21"/>
        <v>-269.85244000000034</v>
      </c>
      <c r="CE19" s="388">
        <f t="shared" si="22"/>
        <v>0</v>
      </c>
      <c r="CF19" s="388">
        <f t="shared" si="23"/>
        <v>0</v>
      </c>
      <c r="CG19" s="388">
        <f t="shared" si="24"/>
        <v>0</v>
      </c>
      <c r="CH19" s="388">
        <f t="shared" si="25"/>
        <v>14.202759999999993</v>
      </c>
      <c r="CI19" s="388">
        <f t="shared" si="26"/>
        <v>0</v>
      </c>
      <c r="CJ19" s="388">
        <f t="shared" si="39"/>
        <v>-255.64968000000036</v>
      </c>
      <c r="CK19" s="388" t="str">
        <f t="shared" si="40"/>
        <v/>
      </c>
      <c r="CL19" s="388" t="str">
        <f t="shared" si="41"/>
        <v/>
      </c>
      <c r="CM19" s="388" t="str">
        <f t="shared" si="42"/>
        <v/>
      </c>
      <c r="CN19" s="388" t="str">
        <f t="shared" si="43"/>
        <v>0001-00</v>
      </c>
    </row>
    <row r="20" spans="1:92" ht="15.75" thickBot="1" x14ac:dyDescent="0.3">
      <c r="A20" s="377" t="s">
        <v>162</v>
      </c>
      <c r="B20" s="377" t="s">
        <v>163</v>
      </c>
      <c r="C20" s="377" t="s">
        <v>299</v>
      </c>
      <c r="D20" s="377" t="s">
        <v>300</v>
      </c>
      <c r="E20" s="377" t="s">
        <v>265</v>
      </c>
      <c r="F20" s="378" t="s">
        <v>167</v>
      </c>
      <c r="G20" s="377" t="s">
        <v>266</v>
      </c>
      <c r="H20" s="379"/>
      <c r="I20" s="379"/>
      <c r="J20" s="377" t="s">
        <v>219</v>
      </c>
      <c r="K20" s="377" t="s">
        <v>301</v>
      </c>
      <c r="L20" s="377" t="s">
        <v>167</v>
      </c>
      <c r="M20" s="377" t="s">
        <v>172</v>
      </c>
      <c r="N20" s="377" t="s">
        <v>173</v>
      </c>
      <c r="O20" s="380">
        <v>1</v>
      </c>
      <c r="P20" s="386">
        <v>1</v>
      </c>
      <c r="Q20" s="386">
        <v>1</v>
      </c>
      <c r="R20" s="381">
        <v>80</v>
      </c>
      <c r="S20" s="386">
        <v>1</v>
      </c>
      <c r="T20" s="381">
        <v>67056.009999999995</v>
      </c>
      <c r="U20" s="381">
        <v>0</v>
      </c>
      <c r="V20" s="381">
        <v>25481.63</v>
      </c>
      <c r="W20" s="381">
        <v>66976</v>
      </c>
      <c r="X20" s="381">
        <v>26337.89</v>
      </c>
      <c r="Y20" s="381">
        <v>66976</v>
      </c>
      <c r="Z20" s="381">
        <v>27105.66</v>
      </c>
      <c r="AA20" s="377" t="s">
        <v>302</v>
      </c>
      <c r="AB20" s="377" t="s">
        <v>303</v>
      </c>
      <c r="AC20" s="377" t="s">
        <v>304</v>
      </c>
      <c r="AD20" s="377" t="s">
        <v>286</v>
      </c>
      <c r="AE20" s="377" t="s">
        <v>301</v>
      </c>
      <c r="AF20" s="377" t="s">
        <v>207</v>
      </c>
      <c r="AG20" s="377" t="s">
        <v>179</v>
      </c>
      <c r="AH20" s="382">
        <v>32.200000000000003</v>
      </c>
      <c r="AI20" s="382">
        <v>6214.1</v>
      </c>
      <c r="AJ20" s="377" t="s">
        <v>180</v>
      </c>
      <c r="AK20" s="377" t="s">
        <v>181</v>
      </c>
      <c r="AL20" s="377" t="s">
        <v>182</v>
      </c>
      <c r="AM20" s="377" t="s">
        <v>183</v>
      </c>
      <c r="AN20" s="377" t="s">
        <v>66</v>
      </c>
      <c r="AO20" s="380">
        <v>80</v>
      </c>
      <c r="AP20" s="386">
        <v>1</v>
      </c>
      <c r="AQ20" s="386">
        <v>1</v>
      </c>
      <c r="AR20" s="384" t="s">
        <v>184</v>
      </c>
      <c r="AS20" s="388">
        <f t="shared" si="27"/>
        <v>1</v>
      </c>
      <c r="AT20">
        <f t="shared" si="28"/>
        <v>1</v>
      </c>
      <c r="AU20" s="388">
        <f>IF(AT20=0,"",IF(AND(AT20=1,M20="F",SUMIF(C2:C258,C20,AS2:AS258)&lt;=1),SUMIF(C2:C258,C20,AS2:AS258),IF(AND(AT20=1,M20="F",SUMIF(C2:C258,C20,AS2:AS258)&gt;1),1,"")))</f>
        <v>1</v>
      </c>
      <c r="AV20" s="388" t="str">
        <f>IF(AT20=0,"",IF(AND(AT20=3,M20="F",SUMIF(C2:C258,C20,AS2:AS258)&lt;=1),SUMIF(C2:C258,C20,AS2:AS258),IF(AND(AT20=3,M20="F",SUMIF(C2:C258,C20,AS2:AS258)&gt;1),1,"")))</f>
        <v/>
      </c>
      <c r="AW20" s="388">
        <f>SUMIF(C2:C258,C20,O2:O258)</f>
        <v>1</v>
      </c>
      <c r="AX20" s="388">
        <f>IF(AND(M20="F",AS20&lt;&gt;0),SUMIF(C2:C258,C20,W2:W258),0)</f>
        <v>66976</v>
      </c>
      <c r="AY20" s="388">
        <f t="shared" si="29"/>
        <v>66976</v>
      </c>
      <c r="AZ20" s="388" t="str">
        <f t="shared" si="30"/>
        <v/>
      </c>
      <c r="BA20" s="388">
        <f t="shared" si="31"/>
        <v>0</v>
      </c>
      <c r="BB20" s="388">
        <f t="shared" si="0"/>
        <v>12500</v>
      </c>
      <c r="BC20" s="388">
        <f t="shared" si="1"/>
        <v>0</v>
      </c>
      <c r="BD20" s="388">
        <f t="shared" si="2"/>
        <v>4152.5119999999997</v>
      </c>
      <c r="BE20" s="388">
        <f t="shared" si="3"/>
        <v>971.15200000000004</v>
      </c>
      <c r="BF20" s="388">
        <f t="shared" si="4"/>
        <v>7996.9344000000001</v>
      </c>
      <c r="BG20" s="388">
        <f t="shared" si="5"/>
        <v>482.89696000000004</v>
      </c>
      <c r="BH20" s="388">
        <f t="shared" si="6"/>
        <v>0</v>
      </c>
      <c r="BI20" s="388">
        <f t="shared" si="7"/>
        <v>0</v>
      </c>
      <c r="BJ20" s="388">
        <f t="shared" si="8"/>
        <v>234.416</v>
      </c>
      <c r="BK20" s="388">
        <f t="shared" si="9"/>
        <v>0</v>
      </c>
      <c r="BL20" s="388">
        <f t="shared" si="32"/>
        <v>13837.911359999998</v>
      </c>
      <c r="BM20" s="388">
        <f t="shared" si="33"/>
        <v>0</v>
      </c>
      <c r="BN20" s="388">
        <f t="shared" si="10"/>
        <v>13750</v>
      </c>
      <c r="BO20" s="388">
        <f t="shared" si="11"/>
        <v>0</v>
      </c>
      <c r="BP20" s="388">
        <f t="shared" si="12"/>
        <v>4152.5119999999997</v>
      </c>
      <c r="BQ20" s="388">
        <f t="shared" si="13"/>
        <v>971.15200000000004</v>
      </c>
      <c r="BR20" s="388">
        <f t="shared" si="14"/>
        <v>7487.9168</v>
      </c>
      <c r="BS20" s="388">
        <f t="shared" si="15"/>
        <v>482.89696000000004</v>
      </c>
      <c r="BT20" s="388">
        <f t="shared" si="16"/>
        <v>0</v>
      </c>
      <c r="BU20" s="388">
        <f t="shared" si="17"/>
        <v>0</v>
      </c>
      <c r="BV20" s="388">
        <f t="shared" si="18"/>
        <v>261.20639999999997</v>
      </c>
      <c r="BW20" s="388">
        <f t="shared" si="19"/>
        <v>0</v>
      </c>
      <c r="BX20" s="388">
        <f t="shared" si="34"/>
        <v>13355.684159999999</v>
      </c>
      <c r="BY20" s="388">
        <f t="shared" si="35"/>
        <v>0</v>
      </c>
      <c r="BZ20" s="388">
        <f t="shared" si="36"/>
        <v>1250</v>
      </c>
      <c r="CA20" s="388">
        <f t="shared" si="37"/>
        <v>0</v>
      </c>
      <c r="CB20" s="388">
        <f t="shared" si="38"/>
        <v>0</v>
      </c>
      <c r="CC20" s="388">
        <f t="shared" si="20"/>
        <v>0</v>
      </c>
      <c r="CD20" s="388">
        <f t="shared" si="21"/>
        <v>-509.01760000000064</v>
      </c>
      <c r="CE20" s="388">
        <f t="shared" si="22"/>
        <v>0</v>
      </c>
      <c r="CF20" s="388">
        <f t="shared" si="23"/>
        <v>0</v>
      </c>
      <c r="CG20" s="388">
        <f t="shared" si="24"/>
        <v>0</v>
      </c>
      <c r="CH20" s="388">
        <f t="shared" si="25"/>
        <v>26.790399999999984</v>
      </c>
      <c r="CI20" s="388">
        <f t="shared" si="26"/>
        <v>0</v>
      </c>
      <c r="CJ20" s="388">
        <f t="shared" si="39"/>
        <v>-482.22720000000066</v>
      </c>
      <c r="CK20" s="388" t="str">
        <f t="shared" si="40"/>
        <v/>
      </c>
      <c r="CL20" s="388" t="str">
        <f t="shared" si="41"/>
        <v/>
      </c>
      <c r="CM20" s="388" t="str">
        <f t="shared" si="42"/>
        <v/>
      </c>
      <c r="CN20" s="388" t="str">
        <f t="shared" si="43"/>
        <v>0001-00</v>
      </c>
    </row>
    <row r="21" spans="1:92" ht="15.75" thickBot="1" x14ac:dyDescent="0.3">
      <c r="A21" s="377" t="s">
        <v>162</v>
      </c>
      <c r="B21" s="377" t="s">
        <v>163</v>
      </c>
      <c r="C21" s="377" t="s">
        <v>258</v>
      </c>
      <c r="D21" s="377" t="s">
        <v>259</v>
      </c>
      <c r="E21" s="377" t="s">
        <v>265</v>
      </c>
      <c r="F21" s="378" t="s">
        <v>167</v>
      </c>
      <c r="G21" s="377" t="s">
        <v>266</v>
      </c>
      <c r="H21" s="379"/>
      <c r="I21" s="379"/>
      <c r="J21" s="377" t="s">
        <v>169</v>
      </c>
      <c r="K21" s="377" t="s">
        <v>260</v>
      </c>
      <c r="L21" s="377" t="s">
        <v>182</v>
      </c>
      <c r="M21" s="377" t="s">
        <v>172</v>
      </c>
      <c r="N21" s="377" t="s">
        <v>173</v>
      </c>
      <c r="O21" s="380">
        <v>1</v>
      </c>
      <c r="P21" s="386">
        <v>0.9</v>
      </c>
      <c r="Q21" s="386">
        <v>0.9</v>
      </c>
      <c r="R21" s="381">
        <v>80</v>
      </c>
      <c r="S21" s="386">
        <v>0.9</v>
      </c>
      <c r="T21" s="381">
        <v>81429.14</v>
      </c>
      <c r="U21" s="381">
        <v>0</v>
      </c>
      <c r="V21" s="381">
        <v>27542.51</v>
      </c>
      <c r="W21" s="381">
        <v>79597.440000000002</v>
      </c>
      <c r="X21" s="381">
        <v>27695.599999999999</v>
      </c>
      <c r="Y21" s="381">
        <v>79597.440000000002</v>
      </c>
      <c r="Z21" s="381">
        <v>28247.5</v>
      </c>
      <c r="AA21" s="377" t="s">
        <v>261</v>
      </c>
      <c r="AB21" s="377" t="s">
        <v>262</v>
      </c>
      <c r="AC21" s="377" t="s">
        <v>263</v>
      </c>
      <c r="AD21" s="377" t="s">
        <v>264</v>
      </c>
      <c r="AE21" s="377" t="s">
        <v>260</v>
      </c>
      <c r="AF21" s="377" t="s">
        <v>207</v>
      </c>
      <c r="AG21" s="377" t="s">
        <v>179</v>
      </c>
      <c r="AH21" s="382">
        <v>42.52</v>
      </c>
      <c r="AI21" s="380">
        <v>38926</v>
      </c>
      <c r="AJ21" s="377" t="s">
        <v>180</v>
      </c>
      <c r="AK21" s="377" t="s">
        <v>181</v>
      </c>
      <c r="AL21" s="377" t="s">
        <v>182</v>
      </c>
      <c r="AM21" s="377" t="s">
        <v>183</v>
      </c>
      <c r="AN21" s="377" t="s">
        <v>66</v>
      </c>
      <c r="AO21" s="380">
        <v>80</v>
      </c>
      <c r="AP21" s="386">
        <v>1</v>
      </c>
      <c r="AQ21" s="386">
        <v>0.9</v>
      </c>
      <c r="AR21" s="384" t="s">
        <v>184</v>
      </c>
      <c r="AS21" s="388">
        <f t="shared" si="27"/>
        <v>0.9</v>
      </c>
      <c r="AT21">
        <f t="shared" si="28"/>
        <v>1</v>
      </c>
      <c r="AU21" s="388">
        <f>IF(AT21=0,"",IF(AND(AT21=1,M21="F",SUMIF(C2:C258,C21,AS2:AS258)&lt;=1),SUMIF(C2:C258,C21,AS2:AS258),IF(AND(AT21=1,M21="F",SUMIF(C2:C258,C21,AS2:AS258)&gt;1),1,"")))</f>
        <v>1</v>
      </c>
      <c r="AV21" s="388" t="str">
        <f>IF(AT21=0,"",IF(AND(AT21=3,M21="F",SUMIF(C2:C258,C21,AS2:AS258)&lt;=1),SUMIF(C2:C258,C21,AS2:AS258),IF(AND(AT21=3,M21="F",SUMIF(C2:C258,C21,AS2:AS258)&gt;1),1,"")))</f>
        <v/>
      </c>
      <c r="AW21" s="388">
        <f>SUMIF(C2:C258,C21,O2:O258)</f>
        <v>2</v>
      </c>
      <c r="AX21" s="388">
        <f>IF(AND(M21="F",AS21&lt;&gt;0),SUMIF(C2:C258,C21,W2:W258),0)</f>
        <v>88441.600000000006</v>
      </c>
      <c r="AY21" s="388">
        <f t="shared" si="29"/>
        <v>79597.440000000002</v>
      </c>
      <c r="AZ21" s="388" t="str">
        <f t="shared" si="30"/>
        <v/>
      </c>
      <c r="BA21" s="388">
        <f t="shared" si="31"/>
        <v>0</v>
      </c>
      <c r="BB21" s="388">
        <f t="shared" si="0"/>
        <v>11250</v>
      </c>
      <c r="BC21" s="388">
        <f t="shared" si="1"/>
        <v>0</v>
      </c>
      <c r="BD21" s="388">
        <f t="shared" si="2"/>
        <v>4935.0412800000004</v>
      </c>
      <c r="BE21" s="388">
        <f t="shared" si="3"/>
        <v>1154.1628800000001</v>
      </c>
      <c r="BF21" s="388">
        <f t="shared" si="4"/>
        <v>9503.9343360000003</v>
      </c>
      <c r="BG21" s="388">
        <f t="shared" si="5"/>
        <v>573.89754240000002</v>
      </c>
      <c r="BH21" s="388">
        <f t="shared" si="6"/>
        <v>0</v>
      </c>
      <c r="BI21" s="388">
        <f t="shared" si="7"/>
        <v>0</v>
      </c>
      <c r="BJ21" s="388">
        <f t="shared" si="8"/>
        <v>278.59104000000002</v>
      </c>
      <c r="BK21" s="388">
        <f t="shared" si="9"/>
        <v>0</v>
      </c>
      <c r="BL21" s="388">
        <f t="shared" si="32"/>
        <v>16445.627078400001</v>
      </c>
      <c r="BM21" s="388">
        <f t="shared" si="33"/>
        <v>0</v>
      </c>
      <c r="BN21" s="388">
        <f t="shared" si="10"/>
        <v>12375</v>
      </c>
      <c r="BO21" s="388">
        <f t="shared" si="11"/>
        <v>0</v>
      </c>
      <c r="BP21" s="388">
        <f t="shared" si="12"/>
        <v>4935.0412800000004</v>
      </c>
      <c r="BQ21" s="388">
        <f t="shared" si="13"/>
        <v>1154.1628800000001</v>
      </c>
      <c r="BR21" s="388">
        <f t="shared" si="14"/>
        <v>8898.9937919999993</v>
      </c>
      <c r="BS21" s="388">
        <f t="shared" si="15"/>
        <v>573.89754240000002</v>
      </c>
      <c r="BT21" s="388">
        <f t="shared" si="16"/>
        <v>0</v>
      </c>
      <c r="BU21" s="388">
        <f t="shared" si="17"/>
        <v>0</v>
      </c>
      <c r="BV21" s="388">
        <f t="shared" si="18"/>
        <v>310.43001599999997</v>
      </c>
      <c r="BW21" s="388">
        <f t="shared" si="19"/>
        <v>0</v>
      </c>
      <c r="BX21" s="388">
        <f t="shared" si="34"/>
        <v>15872.525510399999</v>
      </c>
      <c r="BY21" s="388">
        <f t="shared" si="35"/>
        <v>0</v>
      </c>
      <c r="BZ21" s="388">
        <f t="shared" si="36"/>
        <v>1125</v>
      </c>
      <c r="CA21" s="388">
        <f t="shared" si="37"/>
        <v>0</v>
      </c>
      <c r="CB21" s="388">
        <f t="shared" si="38"/>
        <v>0</v>
      </c>
      <c r="CC21" s="388">
        <f t="shared" si="20"/>
        <v>0</v>
      </c>
      <c r="CD21" s="388">
        <f t="shared" si="21"/>
        <v>-604.94054400000073</v>
      </c>
      <c r="CE21" s="388">
        <f t="shared" si="22"/>
        <v>0</v>
      </c>
      <c r="CF21" s="388">
        <f t="shared" si="23"/>
        <v>0</v>
      </c>
      <c r="CG21" s="388">
        <f t="shared" si="24"/>
        <v>0</v>
      </c>
      <c r="CH21" s="388">
        <f t="shared" si="25"/>
        <v>31.838975999999981</v>
      </c>
      <c r="CI21" s="388">
        <f t="shared" si="26"/>
        <v>0</v>
      </c>
      <c r="CJ21" s="388">
        <f t="shared" si="39"/>
        <v>-573.10156800000073</v>
      </c>
      <c r="CK21" s="388" t="str">
        <f t="shared" si="40"/>
        <v/>
      </c>
      <c r="CL21" s="388" t="str">
        <f t="shared" si="41"/>
        <v/>
      </c>
      <c r="CM21" s="388" t="str">
        <f t="shared" si="42"/>
        <v/>
      </c>
      <c r="CN21" s="388" t="str">
        <f t="shared" si="43"/>
        <v>0001-00</v>
      </c>
    </row>
    <row r="22" spans="1:92" ht="15.75" thickBot="1" x14ac:dyDescent="0.3">
      <c r="A22" s="377" t="s">
        <v>162</v>
      </c>
      <c r="B22" s="377" t="s">
        <v>163</v>
      </c>
      <c r="C22" s="377" t="s">
        <v>305</v>
      </c>
      <c r="D22" s="377" t="s">
        <v>194</v>
      </c>
      <c r="E22" s="377" t="s">
        <v>265</v>
      </c>
      <c r="F22" s="378" t="s">
        <v>167</v>
      </c>
      <c r="G22" s="377" t="s">
        <v>266</v>
      </c>
      <c r="H22" s="379"/>
      <c r="I22" s="379"/>
      <c r="J22" s="377" t="s">
        <v>219</v>
      </c>
      <c r="K22" s="377" t="s">
        <v>195</v>
      </c>
      <c r="L22" s="377" t="s">
        <v>171</v>
      </c>
      <c r="M22" s="377" t="s">
        <v>172</v>
      </c>
      <c r="N22" s="377" t="s">
        <v>173</v>
      </c>
      <c r="O22" s="380">
        <v>1</v>
      </c>
      <c r="P22" s="386">
        <v>1</v>
      </c>
      <c r="Q22" s="386">
        <v>1</v>
      </c>
      <c r="R22" s="381">
        <v>80</v>
      </c>
      <c r="S22" s="386">
        <v>1</v>
      </c>
      <c r="T22" s="381">
        <v>65215.51</v>
      </c>
      <c r="U22" s="381">
        <v>0</v>
      </c>
      <c r="V22" s="381">
        <v>25368.16</v>
      </c>
      <c r="W22" s="381">
        <v>64459.199999999997</v>
      </c>
      <c r="X22" s="381">
        <v>25817.89</v>
      </c>
      <c r="Y22" s="381">
        <v>64459.199999999997</v>
      </c>
      <c r="Z22" s="381">
        <v>26603.79</v>
      </c>
      <c r="AA22" s="377" t="s">
        <v>306</v>
      </c>
      <c r="AB22" s="377" t="s">
        <v>307</v>
      </c>
      <c r="AC22" s="377" t="s">
        <v>308</v>
      </c>
      <c r="AD22" s="377" t="s">
        <v>309</v>
      </c>
      <c r="AE22" s="377" t="s">
        <v>195</v>
      </c>
      <c r="AF22" s="377" t="s">
        <v>178</v>
      </c>
      <c r="AG22" s="377" t="s">
        <v>179</v>
      </c>
      <c r="AH22" s="382">
        <v>30.99</v>
      </c>
      <c r="AI22" s="382">
        <v>32051.7</v>
      </c>
      <c r="AJ22" s="377" t="s">
        <v>180</v>
      </c>
      <c r="AK22" s="377" t="s">
        <v>181</v>
      </c>
      <c r="AL22" s="377" t="s">
        <v>182</v>
      </c>
      <c r="AM22" s="377" t="s">
        <v>183</v>
      </c>
      <c r="AN22" s="377" t="s">
        <v>66</v>
      </c>
      <c r="AO22" s="380">
        <v>80</v>
      </c>
      <c r="AP22" s="386">
        <v>1</v>
      </c>
      <c r="AQ22" s="386">
        <v>1</v>
      </c>
      <c r="AR22" s="384" t="s">
        <v>184</v>
      </c>
      <c r="AS22" s="388">
        <f t="shared" si="27"/>
        <v>1</v>
      </c>
      <c r="AT22">
        <f t="shared" si="28"/>
        <v>1</v>
      </c>
      <c r="AU22" s="388">
        <f>IF(AT22=0,"",IF(AND(AT22=1,M22="F",SUMIF(C2:C258,C22,AS2:AS258)&lt;=1),SUMIF(C2:C258,C22,AS2:AS258),IF(AND(AT22=1,M22="F",SUMIF(C2:C258,C22,AS2:AS258)&gt;1),1,"")))</f>
        <v>1</v>
      </c>
      <c r="AV22" s="388" t="str">
        <f>IF(AT22=0,"",IF(AND(AT22=3,M22="F",SUMIF(C2:C258,C22,AS2:AS258)&lt;=1),SUMIF(C2:C258,C22,AS2:AS258),IF(AND(AT22=3,M22="F",SUMIF(C2:C258,C22,AS2:AS258)&gt;1),1,"")))</f>
        <v/>
      </c>
      <c r="AW22" s="388">
        <f>SUMIF(C2:C258,C22,O2:O258)</f>
        <v>1</v>
      </c>
      <c r="AX22" s="388">
        <f>IF(AND(M22="F",AS22&lt;&gt;0),SUMIF(C2:C258,C22,W2:W258),0)</f>
        <v>64459.199999999997</v>
      </c>
      <c r="AY22" s="388">
        <f t="shared" si="29"/>
        <v>64459.199999999997</v>
      </c>
      <c r="AZ22" s="388" t="str">
        <f t="shared" si="30"/>
        <v/>
      </c>
      <c r="BA22" s="388">
        <f t="shared" si="31"/>
        <v>0</v>
      </c>
      <c r="BB22" s="388">
        <f t="shared" si="0"/>
        <v>12500</v>
      </c>
      <c r="BC22" s="388">
        <f t="shared" si="1"/>
        <v>0</v>
      </c>
      <c r="BD22" s="388">
        <f t="shared" si="2"/>
        <v>3996.4703999999997</v>
      </c>
      <c r="BE22" s="388">
        <f t="shared" si="3"/>
        <v>934.65840000000003</v>
      </c>
      <c r="BF22" s="388">
        <f t="shared" si="4"/>
        <v>7696.4284800000005</v>
      </c>
      <c r="BG22" s="388">
        <f t="shared" si="5"/>
        <v>464.750832</v>
      </c>
      <c r="BH22" s="388">
        <f t="shared" si="6"/>
        <v>0</v>
      </c>
      <c r="BI22" s="388">
        <f t="shared" si="7"/>
        <v>0</v>
      </c>
      <c r="BJ22" s="388">
        <f t="shared" si="8"/>
        <v>225.60720000000001</v>
      </c>
      <c r="BK22" s="388">
        <f t="shared" si="9"/>
        <v>0</v>
      </c>
      <c r="BL22" s="388">
        <f t="shared" si="32"/>
        <v>13317.915312000001</v>
      </c>
      <c r="BM22" s="388">
        <f t="shared" si="33"/>
        <v>0</v>
      </c>
      <c r="BN22" s="388">
        <f t="shared" si="10"/>
        <v>13750</v>
      </c>
      <c r="BO22" s="388">
        <f t="shared" si="11"/>
        <v>0</v>
      </c>
      <c r="BP22" s="388">
        <f t="shared" si="12"/>
        <v>3996.4703999999997</v>
      </c>
      <c r="BQ22" s="388">
        <f t="shared" si="13"/>
        <v>934.65840000000003</v>
      </c>
      <c r="BR22" s="388">
        <f t="shared" si="14"/>
        <v>7206.5385599999991</v>
      </c>
      <c r="BS22" s="388">
        <f t="shared" si="15"/>
        <v>464.750832</v>
      </c>
      <c r="BT22" s="388">
        <f t="shared" si="16"/>
        <v>0</v>
      </c>
      <c r="BU22" s="388">
        <f t="shared" si="17"/>
        <v>0</v>
      </c>
      <c r="BV22" s="388">
        <f t="shared" si="18"/>
        <v>251.39087999999998</v>
      </c>
      <c r="BW22" s="388">
        <f t="shared" si="19"/>
        <v>0</v>
      </c>
      <c r="BX22" s="388">
        <f t="shared" si="34"/>
        <v>12853.809072</v>
      </c>
      <c r="BY22" s="388">
        <f t="shared" si="35"/>
        <v>0</v>
      </c>
      <c r="BZ22" s="388">
        <f t="shared" si="36"/>
        <v>1250</v>
      </c>
      <c r="CA22" s="388">
        <f t="shared" si="37"/>
        <v>0</v>
      </c>
      <c r="CB22" s="388">
        <f t="shared" si="38"/>
        <v>0</v>
      </c>
      <c r="CC22" s="388">
        <f t="shared" si="20"/>
        <v>0</v>
      </c>
      <c r="CD22" s="388">
        <f t="shared" si="21"/>
        <v>-489.88992000000059</v>
      </c>
      <c r="CE22" s="388">
        <f t="shared" si="22"/>
        <v>0</v>
      </c>
      <c r="CF22" s="388">
        <f t="shared" si="23"/>
        <v>0</v>
      </c>
      <c r="CG22" s="388">
        <f t="shared" si="24"/>
        <v>0</v>
      </c>
      <c r="CH22" s="388">
        <f t="shared" si="25"/>
        <v>25.783679999999983</v>
      </c>
      <c r="CI22" s="388">
        <f t="shared" si="26"/>
        <v>0</v>
      </c>
      <c r="CJ22" s="388">
        <f t="shared" si="39"/>
        <v>-464.10624000000058</v>
      </c>
      <c r="CK22" s="388" t="str">
        <f t="shared" si="40"/>
        <v/>
      </c>
      <c r="CL22" s="388" t="str">
        <f t="shared" si="41"/>
        <v/>
      </c>
      <c r="CM22" s="388" t="str">
        <f t="shared" si="42"/>
        <v/>
      </c>
      <c r="CN22" s="388" t="str">
        <f t="shared" si="43"/>
        <v>0001-00</v>
      </c>
    </row>
    <row r="23" spans="1:92" ht="15.75" thickBot="1" x14ac:dyDescent="0.3">
      <c r="A23" s="377" t="s">
        <v>162</v>
      </c>
      <c r="B23" s="377" t="s">
        <v>163</v>
      </c>
      <c r="C23" s="377" t="s">
        <v>310</v>
      </c>
      <c r="D23" s="377" t="s">
        <v>311</v>
      </c>
      <c r="E23" s="377" t="s">
        <v>265</v>
      </c>
      <c r="F23" s="378" t="s">
        <v>167</v>
      </c>
      <c r="G23" s="377" t="s">
        <v>266</v>
      </c>
      <c r="H23" s="379"/>
      <c r="I23" s="379"/>
      <c r="J23" s="377" t="s">
        <v>219</v>
      </c>
      <c r="K23" s="377" t="s">
        <v>312</v>
      </c>
      <c r="L23" s="377" t="s">
        <v>211</v>
      </c>
      <c r="M23" s="377" t="s">
        <v>172</v>
      </c>
      <c r="N23" s="377" t="s">
        <v>173</v>
      </c>
      <c r="O23" s="380">
        <v>1</v>
      </c>
      <c r="P23" s="386">
        <v>1</v>
      </c>
      <c r="Q23" s="386">
        <v>1</v>
      </c>
      <c r="R23" s="381">
        <v>80</v>
      </c>
      <c r="S23" s="386">
        <v>1</v>
      </c>
      <c r="T23" s="381">
        <v>36992.300000000003</v>
      </c>
      <c r="U23" s="381">
        <v>0</v>
      </c>
      <c r="V23" s="381">
        <v>17931.41</v>
      </c>
      <c r="W23" s="381">
        <v>43139.199999999997</v>
      </c>
      <c r="X23" s="381">
        <v>21412.97</v>
      </c>
      <c r="Y23" s="381">
        <v>43139.199999999997</v>
      </c>
      <c r="Z23" s="381">
        <v>22352.37</v>
      </c>
      <c r="AA23" s="377" t="s">
        <v>313</v>
      </c>
      <c r="AB23" s="377" t="s">
        <v>314</v>
      </c>
      <c r="AC23" s="377" t="s">
        <v>315</v>
      </c>
      <c r="AD23" s="377" t="s">
        <v>316</v>
      </c>
      <c r="AE23" s="377" t="s">
        <v>312</v>
      </c>
      <c r="AF23" s="377" t="s">
        <v>216</v>
      </c>
      <c r="AG23" s="377" t="s">
        <v>179</v>
      </c>
      <c r="AH23" s="382">
        <v>20.74</v>
      </c>
      <c r="AI23" s="380">
        <v>1642</v>
      </c>
      <c r="AJ23" s="377" t="s">
        <v>180</v>
      </c>
      <c r="AK23" s="377" t="s">
        <v>181</v>
      </c>
      <c r="AL23" s="377" t="s">
        <v>182</v>
      </c>
      <c r="AM23" s="377" t="s">
        <v>183</v>
      </c>
      <c r="AN23" s="377" t="s">
        <v>66</v>
      </c>
      <c r="AO23" s="380">
        <v>80</v>
      </c>
      <c r="AP23" s="386">
        <v>1</v>
      </c>
      <c r="AQ23" s="386">
        <v>1</v>
      </c>
      <c r="AR23" s="384" t="s">
        <v>184</v>
      </c>
      <c r="AS23" s="388">
        <f t="shared" si="27"/>
        <v>1</v>
      </c>
      <c r="AT23">
        <f t="shared" si="28"/>
        <v>1</v>
      </c>
      <c r="AU23" s="388">
        <f>IF(AT23=0,"",IF(AND(AT23=1,M23="F",SUMIF(C2:C258,C23,AS2:AS258)&lt;=1),SUMIF(C2:C258,C23,AS2:AS258),IF(AND(AT23=1,M23="F",SUMIF(C2:C258,C23,AS2:AS258)&gt;1),1,"")))</f>
        <v>1</v>
      </c>
      <c r="AV23" s="388" t="str">
        <f>IF(AT23=0,"",IF(AND(AT23=3,M23="F",SUMIF(C2:C258,C23,AS2:AS258)&lt;=1),SUMIF(C2:C258,C23,AS2:AS258),IF(AND(AT23=3,M23="F",SUMIF(C2:C258,C23,AS2:AS258)&gt;1),1,"")))</f>
        <v/>
      </c>
      <c r="AW23" s="388">
        <f>SUMIF(C2:C258,C23,O2:O258)</f>
        <v>1</v>
      </c>
      <c r="AX23" s="388">
        <f>IF(AND(M23="F",AS23&lt;&gt;0),SUMIF(C2:C258,C23,W2:W258),0)</f>
        <v>43139.199999999997</v>
      </c>
      <c r="AY23" s="388">
        <f t="shared" si="29"/>
        <v>43139.199999999997</v>
      </c>
      <c r="AZ23" s="388" t="str">
        <f t="shared" si="30"/>
        <v/>
      </c>
      <c r="BA23" s="388">
        <f t="shared" si="31"/>
        <v>0</v>
      </c>
      <c r="BB23" s="388">
        <f t="shared" si="0"/>
        <v>12500</v>
      </c>
      <c r="BC23" s="388">
        <f t="shared" si="1"/>
        <v>0</v>
      </c>
      <c r="BD23" s="388">
        <f t="shared" si="2"/>
        <v>2674.6304</v>
      </c>
      <c r="BE23" s="388">
        <f t="shared" si="3"/>
        <v>625.51840000000004</v>
      </c>
      <c r="BF23" s="388">
        <f t="shared" si="4"/>
        <v>5150.8204800000003</v>
      </c>
      <c r="BG23" s="388">
        <f t="shared" si="5"/>
        <v>311.03363200000001</v>
      </c>
      <c r="BH23" s="388">
        <f t="shared" si="6"/>
        <v>0</v>
      </c>
      <c r="BI23" s="388">
        <f t="shared" si="7"/>
        <v>0</v>
      </c>
      <c r="BJ23" s="388">
        <f t="shared" si="8"/>
        <v>150.9872</v>
      </c>
      <c r="BK23" s="388">
        <f t="shared" si="9"/>
        <v>0</v>
      </c>
      <c r="BL23" s="388">
        <f t="shared" si="32"/>
        <v>8912.9901120000013</v>
      </c>
      <c r="BM23" s="388">
        <f t="shared" si="33"/>
        <v>0</v>
      </c>
      <c r="BN23" s="388">
        <f t="shared" si="10"/>
        <v>13750</v>
      </c>
      <c r="BO23" s="388">
        <f t="shared" si="11"/>
        <v>0</v>
      </c>
      <c r="BP23" s="388">
        <f t="shared" si="12"/>
        <v>2674.6304</v>
      </c>
      <c r="BQ23" s="388">
        <f t="shared" si="13"/>
        <v>625.51840000000004</v>
      </c>
      <c r="BR23" s="388">
        <f t="shared" si="14"/>
        <v>4822.9625599999999</v>
      </c>
      <c r="BS23" s="388">
        <f t="shared" si="15"/>
        <v>311.03363200000001</v>
      </c>
      <c r="BT23" s="388">
        <f t="shared" si="16"/>
        <v>0</v>
      </c>
      <c r="BU23" s="388">
        <f t="shared" si="17"/>
        <v>0</v>
      </c>
      <c r="BV23" s="388">
        <f t="shared" si="18"/>
        <v>168.24287999999999</v>
      </c>
      <c r="BW23" s="388">
        <f t="shared" si="19"/>
        <v>0</v>
      </c>
      <c r="BX23" s="388">
        <f t="shared" si="34"/>
        <v>8602.3878719999993</v>
      </c>
      <c r="BY23" s="388">
        <f t="shared" si="35"/>
        <v>0</v>
      </c>
      <c r="BZ23" s="388">
        <f t="shared" si="36"/>
        <v>1250</v>
      </c>
      <c r="CA23" s="388">
        <f t="shared" si="37"/>
        <v>0</v>
      </c>
      <c r="CB23" s="388">
        <f t="shared" si="38"/>
        <v>0</v>
      </c>
      <c r="CC23" s="388">
        <f t="shared" si="20"/>
        <v>0</v>
      </c>
      <c r="CD23" s="388">
        <f t="shared" si="21"/>
        <v>-327.85792000000038</v>
      </c>
      <c r="CE23" s="388">
        <f t="shared" si="22"/>
        <v>0</v>
      </c>
      <c r="CF23" s="388">
        <f t="shared" si="23"/>
        <v>0</v>
      </c>
      <c r="CG23" s="388">
        <f t="shared" si="24"/>
        <v>0</v>
      </c>
      <c r="CH23" s="388">
        <f t="shared" si="25"/>
        <v>17.255679999999987</v>
      </c>
      <c r="CI23" s="388">
        <f t="shared" si="26"/>
        <v>0</v>
      </c>
      <c r="CJ23" s="388">
        <f t="shared" si="39"/>
        <v>-310.60224000000039</v>
      </c>
      <c r="CK23" s="388" t="str">
        <f t="shared" si="40"/>
        <v/>
      </c>
      <c r="CL23" s="388" t="str">
        <f t="shared" si="41"/>
        <v/>
      </c>
      <c r="CM23" s="388" t="str">
        <f t="shared" si="42"/>
        <v/>
      </c>
      <c r="CN23" s="388" t="str">
        <f t="shared" si="43"/>
        <v>0001-00</v>
      </c>
    </row>
    <row r="24" spans="1:92" ht="15.75" thickBot="1" x14ac:dyDescent="0.3">
      <c r="A24" s="377" t="s">
        <v>162</v>
      </c>
      <c r="B24" s="377" t="s">
        <v>163</v>
      </c>
      <c r="C24" s="377" t="s">
        <v>317</v>
      </c>
      <c r="D24" s="377" t="s">
        <v>194</v>
      </c>
      <c r="E24" s="377" t="s">
        <v>265</v>
      </c>
      <c r="F24" s="378" t="s">
        <v>167</v>
      </c>
      <c r="G24" s="377" t="s">
        <v>266</v>
      </c>
      <c r="H24" s="379"/>
      <c r="I24" s="379"/>
      <c r="J24" s="377" t="s">
        <v>219</v>
      </c>
      <c r="K24" s="377" t="s">
        <v>195</v>
      </c>
      <c r="L24" s="377" t="s">
        <v>171</v>
      </c>
      <c r="M24" s="377" t="s">
        <v>172</v>
      </c>
      <c r="N24" s="377" t="s">
        <v>173</v>
      </c>
      <c r="O24" s="380">
        <v>1</v>
      </c>
      <c r="P24" s="386">
        <v>1</v>
      </c>
      <c r="Q24" s="386">
        <v>1</v>
      </c>
      <c r="R24" s="381">
        <v>80</v>
      </c>
      <c r="S24" s="386">
        <v>1</v>
      </c>
      <c r="T24" s="381">
        <v>65215.519999999997</v>
      </c>
      <c r="U24" s="381">
        <v>0</v>
      </c>
      <c r="V24" s="381">
        <v>25370.66</v>
      </c>
      <c r="W24" s="381">
        <v>64459.199999999997</v>
      </c>
      <c r="X24" s="381">
        <v>25817.89</v>
      </c>
      <c r="Y24" s="381">
        <v>64459.199999999997</v>
      </c>
      <c r="Z24" s="381">
        <v>26603.79</v>
      </c>
      <c r="AA24" s="377" t="s">
        <v>318</v>
      </c>
      <c r="AB24" s="377" t="s">
        <v>319</v>
      </c>
      <c r="AC24" s="377" t="s">
        <v>320</v>
      </c>
      <c r="AD24" s="377" t="s">
        <v>321</v>
      </c>
      <c r="AE24" s="377" t="s">
        <v>195</v>
      </c>
      <c r="AF24" s="377" t="s">
        <v>178</v>
      </c>
      <c r="AG24" s="377" t="s">
        <v>179</v>
      </c>
      <c r="AH24" s="382">
        <v>30.99</v>
      </c>
      <c r="AI24" s="382">
        <v>16105.9</v>
      </c>
      <c r="AJ24" s="377" t="s">
        <v>180</v>
      </c>
      <c r="AK24" s="377" t="s">
        <v>181</v>
      </c>
      <c r="AL24" s="377" t="s">
        <v>182</v>
      </c>
      <c r="AM24" s="377" t="s">
        <v>183</v>
      </c>
      <c r="AN24" s="377" t="s">
        <v>66</v>
      </c>
      <c r="AO24" s="380">
        <v>80</v>
      </c>
      <c r="AP24" s="386">
        <v>1</v>
      </c>
      <c r="AQ24" s="386">
        <v>1</v>
      </c>
      <c r="AR24" s="384" t="s">
        <v>184</v>
      </c>
      <c r="AS24" s="388">
        <f t="shared" si="27"/>
        <v>1</v>
      </c>
      <c r="AT24">
        <f t="shared" si="28"/>
        <v>1</v>
      </c>
      <c r="AU24" s="388">
        <f>IF(AT24=0,"",IF(AND(AT24=1,M24="F",SUMIF(C2:C258,C24,AS2:AS258)&lt;=1),SUMIF(C2:C258,C24,AS2:AS258),IF(AND(AT24=1,M24="F",SUMIF(C2:C258,C24,AS2:AS258)&gt;1),1,"")))</f>
        <v>1</v>
      </c>
      <c r="AV24" s="388" t="str">
        <f>IF(AT24=0,"",IF(AND(AT24=3,M24="F",SUMIF(C2:C258,C24,AS2:AS258)&lt;=1),SUMIF(C2:C258,C24,AS2:AS258),IF(AND(AT24=3,M24="F",SUMIF(C2:C258,C24,AS2:AS258)&gt;1),1,"")))</f>
        <v/>
      </c>
      <c r="AW24" s="388">
        <f>SUMIF(C2:C258,C24,O2:O258)</f>
        <v>1</v>
      </c>
      <c r="AX24" s="388">
        <f>IF(AND(M24="F",AS24&lt;&gt;0),SUMIF(C2:C258,C24,W2:W258),0)</f>
        <v>64459.199999999997</v>
      </c>
      <c r="AY24" s="388">
        <f t="shared" si="29"/>
        <v>64459.199999999997</v>
      </c>
      <c r="AZ24" s="388" t="str">
        <f t="shared" si="30"/>
        <v/>
      </c>
      <c r="BA24" s="388">
        <f t="shared" si="31"/>
        <v>0</v>
      </c>
      <c r="BB24" s="388">
        <f t="shared" si="0"/>
        <v>12500</v>
      </c>
      <c r="BC24" s="388">
        <f t="shared" si="1"/>
        <v>0</v>
      </c>
      <c r="BD24" s="388">
        <f t="shared" si="2"/>
        <v>3996.4703999999997</v>
      </c>
      <c r="BE24" s="388">
        <f t="shared" si="3"/>
        <v>934.65840000000003</v>
      </c>
      <c r="BF24" s="388">
        <f t="shared" si="4"/>
        <v>7696.4284800000005</v>
      </c>
      <c r="BG24" s="388">
        <f t="shared" si="5"/>
        <v>464.750832</v>
      </c>
      <c r="BH24" s="388">
        <f t="shared" si="6"/>
        <v>0</v>
      </c>
      <c r="BI24" s="388">
        <f t="shared" si="7"/>
        <v>0</v>
      </c>
      <c r="BJ24" s="388">
        <f t="shared" si="8"/>
        <v>225.60720000000001</v>
      </c>
      <c r="BK24" s="388">
        <f t="shared" si="9"/>
        <v>0</v>
      </c>
      <c r="BL24" s="388">
        <f t="shared" si="32"/>
        <v>13317.915312000001</v>
      </c>
      <c r="BM24" s="388">
        <f t="shared" si="33"/>
        <v>0</v>
      </c>
      <c r="BN24" s="388">
        <f t="shared" si="10"/>
        <v>13750</v>
      </c>
      <c r="BO24" s="388">
        <f t="shared" si="11"/>
        <v>0</v>
      </c>
      <c r="BP24" s="388">
        <f t="shared" si="12"/>
        <v>3996.4703999999997</v>
      </c>
      <c r="BQ24" s="388">
        <f t="shared" si="13"/>
        <v>934.65840000000003</v>
      </c>
      <c r="BR24" s="388">
        <f t="shared" si="14"/>
        <v>7206.5385599999991</v>
      </c>
      <c r="BS24" s="388">
        <f t="shared" si="15"/>
        <v>464.750832</v>
      </c>
      <c r="BT24" s="388">
        <f t="shared" si="16"/>
        <v>0</v>
      </c>
      <c r="BU24" s="388">
        <f t="shared" si="17"/>
        <v>0</v>
      </c>
      <c r="BV24" s="388">
        <f t="shared" si="18"/>
        <v>251.39087999999998</v>
      </c>
      <c r="BW24" s="388">
        <f t="shared" si="19"/>
        <v>0</v>
      </c>
      <c r="BX24" s="388">
        <f t="shared" si="34"/>
        <v>12853.809072</v>
      </c>
      <c r="BY24" s="388">
        <f t="shared" si="35"/>
        <v>0</v>
      </c>
      <c r="BZ24" s="388">
        <f t="shared" si="36"/>
        <v>1250</v>
      </c>
      <c r="CA24" s="388">
        <f t="shared" si="37"/>
        <v>0</v>
      </c>
      <c r="CB24" s="388">
        <f t="shared" si="38"/>
        <v>0</v>
      </c>
      <c r="CC24" s="388">
        <f t="shared" si="20"/>
        <v>0</v>
      </c>
      <c r="CD24" s="388">
        <f t="shared" si="21"/>
        <v>-489.88992000000059</v>
      </c>
      <c r="CE24" s="388">
        <f t="shared" si="22"/>
        <v>0</v>
      </c>
      <c r="CF24" s="388">
        <f t="shared" si="23"/>
        <v>0</v>
      </c>
      <c r="CG24" s="388">
        <f t="shared" si="24"/>
        <v>0</v>
      </c>
      <c r="CH24" s="388">
        <f t="shared" si="25"/>
        <v>25.783679999999983</v>
      </c>
      <c r="CI24" s="388">
        <f t="shared" si="26"/>
        <v>0</v>
      </c>
      <c r="CJ24" s="388">
        <f t="shared" si="39"/>
        <v>-464.10624000000058</v>
      </c>
      <c r="CK24" s="388" t="str">
        <f t="shared" si="40"/>
        <v/>
      </c>
      <c r="CL24" s="388" t="str">
        <f t="shared" si="41"/>
        <v/>
      </c>
      <c r="CM24" s="388" t="str">
        <f t="shared" si="42"/>
        <v/>
      </c>
      <c r="CN24" s="388" t="str">
        <f t="shared" si="43"/>
        <v>0001-00</v>
      </c>
    </row>
    <row r="25" spans="1:92" ht="15.75" thickBot="1" x14ac:dyDescent="0.3">
      <c r="A25" s="377" t="s">
        <v>162</v>
      </c>
      <c r="B25" s="377" t="s">
        <v>163</v>
      </c>
      <c r="C25" s="377" t="s">
        <v>322</v>
      </c>
      <c r="D25" s="377" t="s">
        <v>323</v>
      </c>
      <c r="E25" s="377" t="s">
        <v>265</v>
      </c>
      <c r="F25" s="378" t="s">
        <v>167</v>
      </c>
      <c r="G25" s="377" t="s">
        <v>266</v>
      </c>
      <c r="H25" s="379"/>
      <c r="I25" s="379"/>
      <c r="J25" s="377" t="s">
        <v>219</v>
      </c>
      <c r="K25" s="377" t="s">
        <v>324</v>
      </c>
      <c r="L25" s="377" t="s">
        <v>167</v>
      </c>
      <c r="M25" s="377" t="s">
        <v>172</v>
      </c>
      <c r="N25" s="377" t="s">
        <v>173</v>
      </c>
      <c r="O25" s="380">
        <v>1</v>
      </c>
      <c r="P25" s="386">
        <v>1</v>
      </c>
      <c r="Q25" s="386">
        <v>1</v>
      </c>
      <c r="R25" s="381">
        <v>80</v>
      </c>
      <c r="S25" s="386">
        <v>1</v>
      </c>
      <c r="T25" s="381">
        <v>143116.81</v>
      </c>
      <c r="U25" s="381">
        <v>0</v>
      </c>
      <c r="V25" s="381">
        <v>41485.4</v>
      </c>
      <c r="W25" s="381">
        <v>141564.79999999999</v>
      </c>
      <c r="X25" s="381">
        <v>41748.67</v>
      </c>
      <c r="Y25" s="381">
        <v>141564.79999999999</v>
      </c>
      <c r="Z25" s="381">
        <v>41979.41</v>
      </c>
      <c r="AA25" s="377" t="s">
        <v>325</v>
      </c>
      <c r="AB25" s="377" t="s">
        <v>326</v>
      </c>
      <c r="AC25" s="377" t="s">
        <v>327</v>
      </c>
      <c r="AD25" s="377" t="s">
        <v>230</v>
      </c>
      <c r="AE25" s="377" t="s">
        <v>324</v>
      </c>
      <c r="AF25" s="377" t="s">
        <v>207</v>
      </c>
      <c r="AG25" s="377" t="s">
        <v>179</v>
      </c>
      <c r="AH25" s="382">
        <v>68.06</v>
      </c>
      <c r="AI25" s="382">
        <v>59216.1</v>
      </c>
      <c r="AJ25" s="377" t="s">
        <v>180</v>
      </c>
      <c r="AK25" s="377" t="s">
        <v>181</v>
      </c>
      <c r="AL25" s="377" t="s">
        <v>182</v>
      </c>
      <c r="AM25" s="377" t="s">
        <v>183</v>
      </c>
      <c r="AN25" s="377" t="s">
        <v>66</v>
      </c>
      <c r="AO25" s="380">
        <v>80</v>
      </c>
      <c r="AP25" s="386">
        <v>1</v>
      </c>
      <c r="AQ25" s="386">
        <v>1</v>
      </c>
      <c r="AR25" s="384" t="s">
        <v>184</v>
      </c>
      <c r="AS25" s="388">
        <f t="shared" si="27"/>
        <v>1</v>
      </c>
      <c r="AT25">
        <f t="shared" si="28"/>
        <v>1</v>
      </c>
      <c r="AU25" s="388">
        <f>IF(AT25=0,"",IF(AND(AT25=1,M25="F",SUMIF(C2:C258,C25,AS2:AS258)&lt;=1),SUMIF(C2:C258,C25,AS2:AS258),IF(AND(AT25=1,M25="F",SUMIF(C2:C258,C25,AS2:AS258)&gt;1),1,"")))</f>
        <v>1</v>
      </c>
      <c r="AV25" s="388" t="str">
        <f>IF(AT25=0,"",IF(AND(AT25=3,M25="F",SUMIF(C2:C258,C25,AS2:AS258)&lt;=1),SUMIF(C2:C258,C25,AS2:AS258),IF(AND(AT25=3,M25="F",SUMIF(C2:C258,C25,AS2:AS258)&gt;1),1,"")))</f>
        <v/>
      </c>
      <c r="AW25" s="388">
        <f>SUMIF(C2:C258,C25,O2:O258)</f>
        <v>1</v>
      </c>
      <c r="AX25" s="388">
        <f>IF(AND(M25="F",AS25&lt;&gt;0),SUMIF(C2:C258,C25,W2:W258),0)</f>
        <v>141564.79999999999</v>
      </c>
      <c r="AY25" s="388">
        <f t="shared" si="29"/>
        <v>141564.79999999999</v>
      </c>
      <c r="AZ25" s="388" t="str">
        <f t="shared" si="30"/>
        <v/>
      </c>
      <c r="BA25" s="388">
        <f t="shared" si="31"/>
        <v>0</v>
      </c>
      <c r="BB25" s="388">
        <f t="shared" si="0"/>
        <v>12500</v>
      </c>
      <c r="BC25" s="388">
        <f t="shared" si="1"/>
        <v>0</v>
      </c>
      <c r="BD25" s="388">
        <f t="shared" si="2"/>
        <v>8777.0175999999992</v>
      </c>
      <c r="BE25" s="388">
        <f t="shared" si="3"/>
        <v>2052.6896000000002</v>
      </c>
      <c r="BF25" s="388">
        <f t="shared" si="4"/>
        <v>16902.83712</v>
      </c>
      <c r="BG25" s="388">
        <f t="shared" si="5"/>
        <v>1020.6822079999999</v>
      </c>
      <c r="BH25" s="388">
        <f t="shared" si="6"/>
        <v>0</v>
      </c>
      <c r="BI25" s="388">
        <f t="shared" si="7"/>
        <v>0</v>
      </c>
      <c r="BJ25" s="388">
        <f t="shared" si="8"/>
        <v>495.47679999999997</v>
      </c>
      <c r="BK25" s="388">
        <f t="shared" si="9"/>
        <v>0</v>
      </c>
      <c r="BL25" s="388">
        <f t="shared" si="32"/>
        <v>29248.703328</v>
      </c>
      <c r="BM25" s="388">
        <f t="shared" si="33"/>
        <v>0</v>
      </c>
      <c r="BN25" s="388">
        <f t="shared" si="10"/>
        <v>13750</v>
      </c>
      <c r="BO25" s="388">
        <f t="shared" si="11"/>
        <v>0</v>
      </c>
      <c r="BP25" s="388">
        <f t="shared" si="12"/>
        <v>8777.0175999999992</v>
      </c>
      <c r="BQ25" s="388">
        <f t="shared" si="13"/>
        <v>2052.6896000000002</v>
      </c>
      <c r="BR25" s="388">
        <f t="shared" si="14"/>
        <v>15826.944639999998</v>
      </c>
      <c r="BS25" s="388">
        <f t="shared" si="15"/>
        <v>1020.6822079999999</v>
      </c>
      <c r="BT25" s="388">
        <f t="shared" si="16"/>
        <v>0</v>
      </c>
      <c r="BU25" s="388">
        <f t="shared" si="17"/>
        <v>0</v>
      </c>
      <c r="BV25" s="388">
        <f t="shared" si="18"/>
        <v>552.10271999999998</v>
      </c>
      <c r="BW25" s="388">
        <f t="shared" si="19"/>
        <v>0</v>
      </c>
      <c r="BX25" s="388">
        <f t="shared" si="34"/>
        <v>28229.436767999996</v>
      </c>
      <c r="BY25" s="388">
        <f t="shared" si="35"/>
        <v>0</v>
      </c>
      <c r="BZ25" s="388">
        <f t="shared" si="36"/>
        <v>1250</v>
      </c>
      <c r="CA25" s="388">
        <f t="shared" si="37"/>
        <v>0</v>
      </c>
      <c r="CB25" s="388">
        <f t="shared" si="38"/>
        <v>0</v>
      </c>
      <c r="CC25" s="388">
        <f t="shared" si="20"/>
        <v>0</v>
      </c>
      <c r="CD25" s="388">
        <f t="shared" si="21"/>
        <v>-1075.8924800000013</v>
      </c>
      <c r="CE25" s="388">
        <f t="shared" si="22"/>
        <v>0</v>
      </c>
      <c r="CF25" s="388">
        <f t="shared" si="23"/>
        <v>0</v>
      </c>
      <c r="CG25" s="388">
        <f t="shared" si="24"/>
        <v>0</v>
      </c>
      <c r="CH25" s="388">
        <f t="shared" si="25"/>
        <v>56.625919999999958</v>
      </c>
      <c r="CI25" s="388">
        <f t="shared" si="26"/>
        <v>0</v>
      </c>
      <c r="CJ25" s="388">
        <f t="shared" si="39"/>
        <v>-1019.2665600000014</v>
      </c>
      <c r="CK25" s="388" t="str">
        <f t="shared" si="40"/>
        <v/>
      </c>
      <c r="CL25" s="388" t="str">
        <f t="shared" si="41"/>
        <v/>
      </c>
      <c r="CM25" s="388" t="str">
        <f t="shared" si="42"/>
        <v/>
      </c>
      <c r="CN25" s="388" t="str">
        <f t="shared" si="43"/>
        <v>0001-00</v>
      </c>
    </row>
    <row r="26" spans="1:92" ht="15.75" thickBot="1" x14ac:dyDescent="0.3">
      <c r="A26" s="377" t="s">
        <v>162</v>
      </c>
      <c r="B26" s="377" t="s">
        <v>163</v>
      </c>
      <c r="C26" s="377" t="s">
        <v>328</v>
      </c>
      <c r="D26" s="377" t="s">
        <v>194</v>
      </c>
      <c r="E26" s="377" t="s">
        <v>265</v>
      </c>
      <c r="F26" s="378" t="s">
        <v>167</v>
      </c>
      <c r="G26" s="377" t="s">
        <v>266</v>
      </c>
      <c r="H26" s="379"/>
      <c r="I26" s="379"/>
      <c r="J26" s="377" t="s">
        <v>219</v>
      </c>
      <c r="K26" s="377" t="s">
        <v>195</v>
      </c>
      <c r="L26" s="377" t="s">
        <v>171</v>
      </c>
      <c r="M26" s="377" t="s">
        <v>172</v>
      </c>
      <c r="N26" s="377" t="s">
        <v>173</v>
      </c>
      <c r="O26" s="380">
        <v>2</v>
      </c>
      <c r="P26" s="386">
        <v>1</v>
      </c>
      <c r="Q26" s="386">
        <v>1</v>
      </c>
      <c r="R26" s="381">
        <v>80</v>
      </c>
      <c r="S26" s="386">
        <v>1</v>
      </c>
      <c r="T26" s="381">
        <v>65157.599999999999</v>
      </c>
      <c r="U26" s="381">
        <v>0</v>
      </c>
      <c r="V26" s="381">
        <v>25281.63</v>
      </c>
      <c r="W26" s="381">
        <v>59280</v>
      </c>
      <c r="X26" s="381">
        <v>24747.83</v>
      </c>
      <c r="Y26" s="381">
        <v>59280</v>
      </c>
      <c r="Z26" s="381">
        <v>25571.01</v>
      </c>
      <c r="AA26" s="377" t="s">
        <v>329</v>
      </c>
      <c r="AB26" s="377" t="s">
        <v>330</v>
      </c>
      <c r="AC26" s="377" t="s">
        <v>331</v>
      </c>
      <c r="AD26" s="377" t="s">
        <v>332</v>
      </c>
      <c r="AE26" s="377" t="s">
        <v>195</v>
      </c>
      <c r="AF26" s="377" t="s">
        <v>178</v>
      </c>
      <c r="AG26" s="377" t="s">
        <v>179</v>
      </c>
      <c r="AH26" s="382">
        <v>30.99</v>
      </c>
      <c r="AI26" s="380">
        <v>15486</v>
      </c>
      <c r="AJ26" s="377" t="s">
        <v>180</v>
      </c>
      <c r="AK26" s="377" t="s">
        <v>181</v>
      </c>
      <c r="AL26" s="377" t="s">
        <v>182</v>
      </c>
      <c r="AM26" s="377" t="s">
        <v>183</v>
      </c>
      <c r="AN26" s="377" t="s">
        <v>66</v>
      </c>
      <c r="AO26" s="380">
        <v>80</v>
      </c>
      <c r="AP26" s="386">
        <v>1</v>
      </c>
      <c r="AQ26" s="386">
        <v>1</v>
      </c>
      <c r="AR26" s="384" t="s">
        <v>184</v>
      </c>
      <c r="AS26" s="388">
        <f t="shared" si="27"/>
        <v>1</v>
      </c>
      <c r="AT26">
        <f t="shared" si="28"/>
        <v>1</v>
      </c>
      <c r="AU26" s="388">
        <f>IF(AT26=0,"",IF(AND(AT26=1,M26="F",SUMIF(C2:C258,C26,AS2:AS258)&lt;=1),SUMIF(C2:C258,C26,AS2:AS258),IF(AND(AT26=1,M26="F",SUMIF(C2:C258,C26,AS2:AS258)&gt;1),1,"")))</f>
        <v>1</v>
      </c>
      <c r="AV26" s="388" t="str">
        <f>IF(AT26=0,"",IF(AND(AT26=3,M26="F",SUMIF(C2:C258,C26,AS2:AS258)&lt;=1),SUMIF(C2:C258,C26,AS2:AS258),IF(AND(AT26=3,M26="F",SUMIF(C2:C258,C26,AS2:AS258)&gt;1),1,"")))</f>
        <v/>
      </c>
      <c r="AW26" s="388">
        <f>SUMIF(C2:C258,C26,O2:O258)</f>
        <v>4</v>
      </c>
      <c r="AX26" s="388">
        <f>IF(AND(M26="F",AS26&lt;&gt;0),SUMIF(C2:C258,C26,W2:W258),0)</f>
        <v>118560</v>
      </c>
      <c r="AY26" s="388">
        <f t="shared" si="29"/>
        <v>59280</v>
      </c>
      <c r="AZ26" s="388" t="str">
        <f t="shared" si="30"/>
        <v/>
      </c>
      <c r="BA26" s="388">
        <f t="shared" si="31"/>
        <v>0</v>
      </c>
      <c r="BB26" s="388">
        <f t="shared" si="0"/>
        <v>12500</v>
      </c>
      <c r="BC26" s="388">
        <f t="shared" si="1"/>
        <v>0</v>
      </c>
      <c r="BD26" s="388">
        <f t="shared" si="2"/>
        <v>3675.36</v>
      </c>
      <c r="BE26" s="388">
        <f t="shared" si="3"/>
        <v>859.56000000000006</v>
      </c>
      <c r="BF26" s="388">
        <f t="shared" si="4"/>
        <v>7078.0320000000002</v>
      </c>
      <c r="BG26" s="388">
        <f t="shared" si="5"/>
        <v>427.40880000000004</v>
      </c>
      <c r="BH26" s="388">
        <f t="shared" si="6"/>
        <v>0</v>
      </c>
      <c r="BI26" s="388">
        <f t="shared" si="7"/>
        <v>0</v>
      </c>
      <c r="BJ26" s="388">
        <f t="shared" si="8"/>
        <v>207.48000000000002</v>
      </c>
      <c r="BK26" s="388">
        <f t="shared" si="9"/>
        <v>0</v>
      </c>
      <c r="BL26" s="388">
        <f t="shared" si="32"/>
        <v>12247.8408</v>
      </c>
      <c r="BM26" s="388">
        <f t="shared" si="33"/>
        <v>0</v>
      </c>
      <c r="BN26" s="388">
        <f t="shared" si="10"/>
        <v>13750</v>
      </c>
      <c r="BO26" s="388">
        <f t="shared" si="11"/>
        <v>0</v>
      </c>
      <c r="BP26" s="388">
        <f t="shared" si="12"/>
        <v>3675.36</v>
      </c>
      <c r="BQ26" s="388">
        <f t="shared" si="13"/>
        <v>859.56000000000006</v>
      </c>
      <c r="BR26" s="388">
        <f t="shared" si="14"/>
        <v>6627.5039999999999</v>
      </c>
      <c r="BS26" s="388">
        <f t="shared" si="15"/>
        <v>427.40880000000004</v>
      </c>
      <c r="BT26" s="388">
        <f t="shared" si="16"/>
        <v>0</v>
      </c>
      <c r="BU26" s="388">
        <f t="shared" si="17"/>
        <v>0</v>
      </c>
      <c r="BV26" s="388">
        <f t="shared" si="18"/>
        <v>231.19199999999998</v>
      </c>
      <c r="BW26" s="388">
        <f t="shared" si="19"/>
        <v>0</v>
      </c>
      <c r="BX26" s="388">
        <f t="shared" si="34"/>
        <v>11821.024799999997</v>
      </c>
      <c r="BY26" s="388">
        <f t="shared" si="35"/>
        <v>0</v>
      </c>
      <c r="BZ26" s="388">
        <f t="shared" si="36"/>
        <v>1250</v>
      </c>
      <c r="CA26" s="388">
        <f t="shared" si="37"/>
        <v>0</v>
      </c>
      <c r="CB26" s="388">
        <f t="shared" si="38"/>
        <v>0</v>
      </c>
      <c r="CC26" s="388">
        <f t="shared" si="20"/>
        <v>0</v>
      </c>
      <c r="CD26" s="388">
        <f t="shared" si="21"/>
        <v>-450.52800000000059</v>
      </c>
      <c r="CE26" s="388">
        <f t="shared" si="22"/>
        <v>0</v>
      </c>
      <c r="CF26" s="388">
        <f t="shared" si="23"/>
        <v>0</v>
      </c>
      <c r="CG26" s="388">
        <f t="shared" si="24"/>
        <v>0</v>
      </c>
      <c r="CH26" s="388">
        <f t="shared" si="25"/>
        <v>23.711999999999986</v>
      </c>
      <c r="CI26" s="388">
        <f t="shared" si="26"/>
        <v>0</v>
      </c>
      <c r="CJ26" s="388">
        <f t="shared" si="39"/>
        <v>-426.8160000000006</v>
      </c>
      <c r="CK26" s="388" t="str">
        <f t="shared" si="40"/>
        <v/>
      </c>
      <c r="CL26" s="388" t="str">
        <f t="shared" si="41"/>
        <v/>
      </c>
      <c r="CM26" s="388" t="str">
        <f t="shared" si="42"/>
        <v/>
      </c>
      <c r="CN26" s="388" t="str">
        <f t="shared" si="43"/>
        <v>0001-00</v>
      </c>
    </row>
    <row r="27" spans="1:92" ht="15.75" thickBot="1" x14ac:dyDescent="0.3">
      <c r="A27" s="377" t="s">
        <v>162</v>
      </c>
      <c r="B27" s="377" t="s">
        <v>163</v>
      </c>
      <c r="C27" s="377" t="s">
        <v>328</v>
      </c>
      <c r="D27" s="377" t="s">
        <v>194</v>
      </c>
      <c r="E27" s="377" t="s">
        <v>265</v>
      </c>
      <c r="F27" s="378" t="s">
        <v>167</v>
      </c>
      <c r="G27" s="377" t="s">
        <v>266</v>
      </c>
      <c r="H27" s="379"/>
      <c r="I27" s="379"/>
      <c r="J27" s="377" t="s">
        <v>219</v>
      </c>
      <c r="K27" s="377" t="s">
        <v>195</v>
      </c>
      <c r="L27" s="377" t="s">
        <v>171</v>
      </c>
      <c r="M27" s="377" t="s">
        <v>172</v>
      </c>
      <c r="N27" s="377" t="s">
        <v>173</v>
      </c>
      <c r="O27" s="380">
        <v>2</v>
      </c>
      <c r="P27" s="386">
        <v>1</v>
      </c>
      <c r="Q27" s="386">
        <v>1</v>
      </c>
      <c r="R27" s="381">
        <v>80</v>
      </c>
      <c r="S27" s="386">
        <v>1</v>
      </c>
      <c r="T27" s="381">
        <v>65157.599999999999</v>
      </c>
      <c r="U27" s="381">
        <v>0</v>
      </c>
      <c r="V27" s="381">
        <v>25281.63</v>
      </c>
      <c r="W27" s="381">
        <v>59280</v>
      </c>
      <c r="X27" s="381">
        <v>24747.83</v>
      </c>
      <c r="Y27" s="381">
        <v>59280</v>
      </c>
      <c r="Z27" s="381">
        <v>25571.01</v>
      </c>
      <c r="AA27" s="377" t="s">
        <v>333</v>
      </c>
      <c r="AB27" s="377" t="s">
        <v>334</v>
      </c>
      <c r="AC27" s="377" t="s">
        <v>335</v>
      </c>
      <c r="AD27" s="377" t="s">
        <v>332</v>
      </c>
      <c r="AE27" s="377" t="s">
        <v>195</v>
      </c>
      <c r="AF27" s="377" t="s">
        <v>178</v>
      </c>
      <c r="AG27" s="377" t="s">
        <v>179</v>
      </c>
      <c r="AH27" s="382">
        <v>28.5</v>
      </c>
      <c r="AI27" s="380">
        <v>17602</v>
      </c>
      <c r="AJ27" s="377" t="s">
        <v>180</v>
      </c>
      <c r="AK27" s="377" t="s">
        <v>181</v>
      </c>
      <c r="AL27" s="377" t="s">
        <v>182</v>
      </c>
      <c r="AM27" s="377" t="s">
        <v>183</v>
      </c>
      <c r="AN27" s="377" t="s">
        <v>66</v>
      </c>
      <c r="AO27" s="380">
        <v>80</v>
      </c>
      <c r="AP27" s="386">
        <v>1</v>
      </c>
      <c r="AQ27" s="386">
        <v>1</v>
      </c>
      <c r="AR27" s="384">
        <v>6</v>
      </c>
      <c r="AS27" s="388">
        <f t="shared" si="27"/>
        <v>1</v>
      </c>
      <c r="AT27">
        <f t="shared" si="28"/>
        <v>0</v>
      </c>
      <c r="AU27" s="388" t="str">
        <f>IF(AT27=0,"",IF(AND(AT27=1,M27="F",SUMIF(C2:C258,C27,AS2:AS258)&lt;=1),SUMIF(C2:C258,C27,AS2:AS258),IF(AND(AT27=1,M27="F",SUMIF(C2:C258,C27,AS2:AS258)&gt;1),1,"")))</f>
        <v/>
      </c>
      <c r="AV27" s="388" t="str">
        <f>IF(AT27=0,"",IF(AND(AT27=3,M27="F",SUMIF(C2:C258,C27,AS2:AS258)&lt;=1),SUMIF(C2:C258,C27,AS2:AS258),IF(AND(AT27=3,M27="F",SUMIF(C2:C258,C27,AS2:AS258)&gt;1),1,"")))</f>
        <v/>
      </c>
      <c r="AW27" s="388">
        <f>SUMIF(C2:C258,C27,O2:O258)</f>
        <v>4</v>
      </c>
      <c r="AX27" s="388">
        <f>IF(AND(M27="F",AS27&lt;&gt;0),SUMIF(C2:C258,C27,W2:W258),0)</f>
        <v>118560</v>
      </c>
      <c r="AY27" s="388" t="str">
        <f t="shared" si="29"/>
        <v/>
      </c>
      <c r="AZ27" s="388" t="str">
        <f t="shared" si="30"/>
        <v/>
      </c>
      <c r="BA27" s="388">
        <f t="shared" si="31"/>
        <v>0</v>
      </c>
      <c r="BB27" s="388">
        <f t="shared" si="0"/>
        <v>0</v>
      </c>
      <c r="BC27" s="388">
        <f t="shared" si="1"/>
        <v>0</v>
      </c>
      <c r="BD27" s="388">
        <f t="shared" si="2"/>
        <v>0</v>
      </c>
      <c r="BE27" s="388">
        <f t="shared" si="3"/>
        <v>0</v>
      </c>
      <c r="BF27" s="388">
        <f t="shared" si="4"/>
        <v>0</v>
      </c>
      <c r="BG27" s="388">
        <f t="shared" si="5"/>
        <v>0</v>
      </c>
      <c r="BH27" s="388">
        <f t="shared" si="6"/>
        <v>0</v>
      </c>
      <c r="BI27" s="388">
        <f t="shared" si="7"/>
        <v>0</v>
      </c>
      <c r="BJ27" s="388">
        <f t="shared" si="8"/>
        <v>0</v>
      </c>
      <c r="BK27" s="388">
        <f t="shared" si="9"/>
        <v>0</v>
      </c>
      <c r="BL27" s="388">
        <f t="shared" si="32"/>
        <v>0</v>
      </c>
      <c r="BM27" s="388">
        <f t="shared" si="33"/>
        <v>0</v>
      </c>
      <c r="BN27" s="388">
        <f t="shared" si="10"/>
        <v>0</v>
      </c>
      <c r="BO27" s="388">
        <f t="shared" si="11"/>
        <v>0</v>
      </c>
      <c r="BP27" s="388">
        <f t="shared" si="12"/>
        <v>0</v>
      </c>
      <c r="BQ27" s="388">
        <f t="shared" si="13"/>
        <v>0</v>
      </c>
      <c r="BR27" s="388">
        <f t="shared" si="14"/>
        <v>0</v>
      </c>
      <c r="BS27" s="388">
        <f t="shared" si="15"/>
        <v>0</v>
      </c>
      <c r="BT27" s="388">
        <f t="shared" si="16"/>
        <v>0</v>
      </c>
      <c r="BU27" s="388">
        <f t="shared" si="17"/>
        <v>0</v>
      </c>
      <c r="BV27" s="388">
        <f t="shared" si="18"/>
        <v>0</v>
      </c>
      <c r="BW27" s="388">
        <f t="shared" si="19"/>
        <v>0</v>
      </c>
      <c r="BX27" s="388">
        <f t="shared" si="34"/>
        <v>0</v>
      </c>
      <c r="BY27" s="388">
        <f t="shared" si="35"/>
        <v>0</v>
      </c>
      <c r="BZ27" s="388">
        <f t="shared" si="36"/>
        <v>0</v>
      </c>
      <c r="CA27" s="388">
        <f t="shared" si="37"/>
        <v>0</v>
      </c>
      <c r="CB27" s="388">
        <f t="shared" si="38"/>
        <v>0</v>
      </c>
      <c r="CC27" s="388">
        <f t="shared" si="20"/>
        <v>0</v>
      </c>
      <c r="CD27" s="388">
        <f t="shared" si="21"/>
        <v>0</v>
      </c>
      <c r="CE27" s="388">
        <f t="shared" si="22"/>
        <v>0</v>
      </c>
      <c r="CF27" s="388">
        <f t="shared" si="23"/>
        <v>0</v>
      </c>
      <c r="CG27" s="388">
        <f t="shared" si="24"/>
        <v>0</v>
      </c>
      <c r="CH27" s="388">
        <f t="shared" si="25"/>
        <v>0</v>
      </c>
      <c r="CI27" s="388">
        <f t="shared" si="26"/>
        <v>0</v>
      </c>
      <c r="CJ27" s="388">
        <f t="shared" si="39"/>
        <v>0</v>
      </c>
      <c r="CK27" s="388" t="str">
        <f t="shared" si="40"/>
        <v/>
      </c>
      <c r="CL27" s="388" t="str">
        <f t="shared" si="41"/>
        <v/>
      </c>
      <c r="CM27" s="388" t="str">
        <f t="shared" si="42"/>
        <v/>
      </c>
      <c r="CN27" s="388" t="str">
        <f t="shared" si="43"/>
        <v>0001-00</v>
      </c>
    </row>
    <row r="28" spans="1:92" ht="15.75" thickBot="1" x14ac:dyDescent="0.3">
      <c r="A28" s="377" t="s">
        <v>162</v>
      </c>
      <c r="B28" s="377" t="s">
        <v>163</v>
      </c>
      <c r="C28" s="377" t="s">
        <v>336</v>
      </c>
      <c r="D28" s="377" t="s">
        <v>194</v>
      </c>
      <c r="E28" s="377" t="s">
        <v>265</v>
      </c>
      <c r="F28" s="378" t="s">
        <v>167</v>
      </c>
      <c r="G28" s="377" t="s">
        <v>266</v>
      </c>
      <c r="H28" s="379"/>
      <c r="I28" s="379"/>
      <c r="J28" s="377" t="s">
        <v>219</v>
      </c>
      <c r="K28" s="377" t="s">
        <v>226</v>
      </c>
      <c r="L28" s="377" t="s">
        <v>215</v>
      </c>
      <c r="M28" s="377" t="s">
        <v>172</v>
      </c>
      <c r="N28" s="377" t="s">
        <v>173</v>
      </c>
      <c r="O28" s="380">
        <v>1</v>
      </c>
      <c r="P28" s="386">
        <v>1</v>
      </c>
      <c r="Q28" s="386">
        <v>1</v>
      </c>
      <c r="R28" s="381">
        <v>80</v>
      </c>
      <c r="S28" s="386">
        <v>1</v>
      </c>
      <c r="T28" s="381">
        <v>57897.77</v>
      </c>
      <c r="U28" s="381">
        <v>0</v>
      </c>
      <c r="V28" s="381">
        <v>23632.11</v>
      </c>
      <c r="W28" s="381">
        <v>57262.400000000001</v>
      </c>
      <c r="X28" s="381">
        <v>24330.959999999999</v>
      </c>
      <c r="Y28" s="381">
        <v>57262.400000000001</v>
      </c>
      <c r="Z28" s="381">
        <v>25168.67</v>
      </c>
      <c r="AA28" s="377" t="s">
        <v>337</v>
      </c>
      <c r="AB28" s="377" t="s">
        <v>338</v>
      </c>
      <c r="AC28" s="377" t="s">
        <v>339</v>
      </c>
      <c r="AD28" s="377" t="s">
        <v>340</v>
      </c>
      <c r="AE28" s="377" t="s">
        <v>226</v>
      </c>
      <c r="AF28" s="377" t="s">
        <v>231</v>
      </c>
      <c r="AG28" s="377" t="s">
        <v>179</v>
      </c>
      <c r="AH28" s="382">
        <v>27.53</v>
      </c>
      <c r="AI28" s="380">
        <v>31523</v>
      </c>
      <c r="AJ28" s="377" t="s">
        <v>180</v>
      </c>
      <c r="AK28" s="377" t="s">
        <v>181</v>
      </c>
      <c r="AL28" s="377" t="s">
        <v>182</v>
      </c>
      <c r="AM28" s="377" t="s">
        <v>183</v>
      </c>
      <c r="AN28" s="377" t="s">
        <v>66</v>
      </c>
      <c r="AO28" s="380">
        <v>80</v>
      </c>
      <c r="AP28" s="386">
        <v>1</v>
      </c>
      <c r="AQ28" s="386">
        <v>1</v>
      </c>
      <c r="AR28" s="384" t="s">
        <v>184</v>
      </c>
      <c r="AS28" s="388">
        <f t="shared" si="27"/>
        <v>1</v>
      </c>
      <c r="AT28">
        <f t="shared" si="28"/>
        <v>1</v>
      </c>
      <c r="AU28" s="388">
        <f>IF(AT28=0,"",IF(AND(AT28=1,M28="F",SUMIF(C2:C258,C28,AS2:AS258)&lt;=1),SUMIF(C2:C258,C28,AS2:AS258),IF(AND(AT28=1,M28="F",SUMIF(C2:C258,C28,AS2:AS258)&gt;1),1,"")))</f>
        <v>1</v>
      </c>
      <c r="AV28" s="388" t="str">
        <f>IF(AT28=0,"",IF(AND(AT28=3,M28="F",SUMIF(C2:C258,C28,AS2:AS258)&lt;=1),SUMIF(C2:C258,C28,AS2:AS258),IF(AND(AT28=3,M28="F",SUMIF(C2:C258,C28,AS2:AS258)&gt;1),1,"")))</f>
        <v/>
      </c>
      <c r="AW28" s="388">
        <f>SUMIF(C2:C258,C28,O2:O258)</f>
        <v>1</v>
      </c>
      <c r="AX28" s="388">
        <f>IF(AND(M28="F",AS28&lt;&gt;0),SUMIF(C2:C258,C28,W2:W258),0)</f>
        <v>57262.400000000001</v>
      </c>
      <c r="AY28" s="388">
        <f t="shared" si="29"/>
        <v>57262.400000000001</v>
      </c>
      <c r="AZ28" s="388" t="str">
        <f t="shared" si="30"/>
        <v/>
      </c>
      <c r="BA28" s="388">
        <f t="shared" si="31"/>
        <v>0</v>
      </c>
      <c r="BB28" s="388">
        <f t="shared" si="0"/>
        <v>12500</v>
      </c>
      <c r="BC28" s="388">
        <f t="shared" si="1"/>
        <v>0</v>
      </c>
      <c r="BD28" s="388">
        <f t="shared" si="2"/>
        <v>3550.2688000000003</v>
      </c>
      <c r="BE28" s="388">
        <f t="shared" si="3"/>
        <v>830.30480000000011</v>
      </c>
      <c r="BF28" s="388">
        <f t="shared" si="4"/>
        <v>6837.1305600000005</v>
      </c>
      <c r="BG28" s="388">
        <f t="shared" si="5"/>
        <v>412.86190400000004</v>
      </c>
      <c r="BH28" s="388">
        <f t="shared" si="6"/>
        <v>0</v>
      </c>
      <c r="BI28" s="388">
        <f t="shared" si="7"/>
        <v>0</v>
      </c>
      <c r="BJ28" s="388">
        <f t="shared" si="8"/>
        <v>200.41840000000002</v>
      </c>
      <c r="BK28" s="388">
        <f t="shared" si="9"/>
        <v>0</v>
      </c>
      <c r="BL28" s="388">
        <f t="shared" si="32"/>
        <v>11830.984464000001</v>
      </c>
      <c r="BM28" s="388">
        <f t="shared" si="33"/>
        <v>0</v>
      </c>
      <c r="BN28" s="388">
        <f t="shared" si="10"/>
        <v>13750</v>
      </c>
      <c r="BO28" s="388">
        <f t="shared" si="11"/>
        <v>0</v>
      </c>
      <c r="BP28" s="388">
        <f t="shared" si="12"/>
        <v>3550.2688000000003</v>
      </c>
      <c r="BQ28" s="388">
        <f t="shared" si="13"/>
        <v>830.30480000000011</v>
      </c>
      <c r="BR28" s="388">
        <f t="shared" si="14"/>
        <v>6401.9363199999998</v>
      </c>
      <c r="BS28" s="388">
        <f t="shared" si="15"/>
        <v>412.86190400000004</v>
      </c>
      <c r="BT28" s="388">
        <f t="shared" si="16"/>
        <v>0</v>
      </c>
      <c r="BU28" s="388">
        <f t="shared" si="17"/>
        <v>0</v>
      </c>
      <c r="BV28" s="388">
        <f t="shared" si="18"/>
        <v>223.32336000000001</v>
      </c>
      <c r="BW28" s="388">
        <f t="shared" si="19"/>
        <v>0</v>
      </c>
      <c r="BX28" s="388">
        <f t="shared" si="34"/>
        <v>11418.695184</v>
      </c>
      <c r="BY28" s="388">
        <f t="shared" si="35"/>
        <v>0</v>
      </c>
      <c r="BZ28" s="388">
        <f t="shared" si="36"/>
        <v>1250</v>
      </c>
      <c r="CA28" s="388">
        <f t="shared" si="37"/>
        <v>0</v>
      </c>
      <c r="CB28" s="388">
        <f t="shared" si="38"/>
        <v>0</v>
      </c>
      <c r="CC28" s="388">
        <f t="shared" si="20"/>
        <v>0</v>
      </c>
      <c r="CD28" s="388">
        <f t="shared" si="21"/>
        <v>-435.19424000000055</v>
      </c>
      <c r="CE28" s="388">
        <f t="shared" si="22"/>
        <v>0</v>
      </c>
      <c r="CF28" s="388">
        <f t="shared" si="23"/>
        <v>0</v>
      </c>
      <c r="CG28" s="388">
        <f t="shared" si="24"/>
        <v>0</v>
      </c>
      <c r="CH28" s="388">
        <f t="shared" si="25"/>
        <v>22.904959999999985</v>
      </c>
      <c r="CI28" s="388">
        <f t="shared" si="26"/>
        <v>0</v>
      </c>
      <c r="CJ28" s="388">
        <f t="shared" si="39"/>
        <v>-412.28928000000059</v>
      </c>
      <c r="CK28" s="388" t="str">
        <f t="shared" si="40"/>
        <v/>
      </c>
      <c r="CL28" s="388" t="str">
        <f t="shared" si="41"/>
        <v/>
      </c>
      <c r="CM28" s="388" t="str">
        <f t="shared" si="42"/>
        <v/>
      </c>
      <c r="CN28" s="388" t="str">
        <f t="shared" si="43"/>
        <v>0001-00</v>
      </c>
    </row>
    <row r="29" spans="1:92" ht="15.75" thickBot="1" x14ac:dyDescent="0.3">
      <c r="A29" s="377" t="s">
        <v>162</v>
      </c>
      <c r="B29" s="377" t="s">
        <v>163</v>
      </c>
      <c r="C29" s="377" t="s">
        <v>164</v>
      </c>
      <c r="D29" s="377" t="s">
        <v>165</v>
      </c>
      <c r="E29" s="377" t="s">
        <v>265</v>
      </c>
      <c r="F29" s="378" t="s">
        <v>167</v>
      </c>
      <c r="G29" s="377" t="s">
        <v>266</v>
      </c>
      <c r="H29" s="379"/>
      <c r="I29" s="379"/>
      <c r="J29" s="377" t="s">
        <v>169</v>
      </c>
      <c r="K29" s="377" t="s">
        <v>170</v>
      </c>
      <c r="L29" s="377" t="s">
        <v>171</v>
      </c>
      <c r="M29" s="377" t="s">
        <v>172</v>
      </c>
      <c r="N29" s="377" t="s">
        <v>173</v>
      </c>
      <c r="O29" s="380">
        <v>1</v>
      </c>
      <c r="P29" s="386">
        <v>0.17</v>
      </c>
      <c r="Q29" s="386">
        <v>0.17</v>
      </c>
      <c r="R29" s="381">
        <v>80</v>
      </c>
      <c r="S29" s="386">
        <v>0.17</v>
      </c>
      <c r="T29" s="381">
        <v>16427.240000000002</v>
      </c>
      <c r="U29" s="381">
        <v>0</v>
      </c>
      <c r="V29" s="381">
        <v>5899.3</v>
      </c>
      <c r="W29" s="381">
        <v>12768.49</v>
      </c>
      <c r="X29" s="381">
        <v>4763.09</v>
      </c>
      <c r="Y29" s="381">
        <v>12768.49</v>
      </c>
      <c r="Z29" s="381">
        <v>4883.66</v>
      </c>
      <c r="AA29" s="377" t="s">
        <v>174</v>
      </c>
      <c r="AB29" s="377" t="s">
        <v>175</v>
      </c>
      <c r="AC29" s="377" t="s">
        <v>176</v>
      </c>
      <c r="AD29" s="377" t="s">
        <v>177</v>
      </c>
      <c r="AE29" s="377" t="s">
        <v>170</v>
      </c>
      <c r="AF29" s="377" t="s">
        <v>178</v>
      </c>
      <c r="AG29" s="377" t="s">
        <v>179</v>
      </c>
      <c r="AH29" s="382">
        <v>36.11</v>
      </c>
      <c r="AI29" s="382">
        <v>9484.7999999999993</v>
      </c>
      <c r="AJ29" s="377" t="s">
        <v>180</v>
      </c>
      <c r="AK29" s="377" t="s">
        <v>181</v>
      </c>
      <c r="AL29" s="377" t="s">
        <v>182</v>
      </c>
      <c r="AM29" s="377" t="s">
        <v>183</v>
      </c>
      <c r="AN29" s="377" t="s">
        <v>66</v>
      </c>
      <c r="AO29" s="380">
        <v>80</v>
      </c>
      <c r="AP29" s="386">
        <v>1</v>
      </c>
      <c r="AQ29" s="386">
        <v>0.17</v>
      </c>
      <c r="AR29" s="384" t="s">
        <v>184</v>
      </c>
      <c r="AS29" s="388">
        <f t="shared" si="27"/>
        <v>0.17</v>
      </c>
      <c r="AT29">
        <f t="shared" si="28"/>
        <v>1</v>
      </c>
      <c r="AU29" s="388">
        <f>IF(AT29=0,"",IF(AND(AT29=1,M29="F",SUMIF(C2:C258,C29,AS2:AS258)&lt;=1),SUMIF(C2:C258,C29,AS2:AS258),IF(AND(AT29=1,M29="F",SUMIF(C2:C258,C29,AS2:AS258)&gt;1),1,"")))</f>
        <v>1</v>
      </c>
      <c r="AV29" s="388" t="str">
        <f>IF(AT29=0,"",IF(AND(AT29=3,M29="F",SUMIF(C2:C258,C29,AS2:AS258)&lt;=1),SUMIF(C2:C258,C29,AS2:AS258),IF(AND(AT29=3,M29="F",SUMIF(C2:C258,C29,AS2:AS258)&gt;1),1,"")))</f>
        <v/>
      </c>
      <c r="AW29" s="388">
        <f>SUMIF(C2:C258,C29,O2:O258)</f>
        <v>2</v>
      </c>
      <c r="AX29" s="388">
        <f>IF(AND(M29="F",AS29&lt;&gt;0),SUMIF(C2:C258,C29,W2:W258),0)</f>
        <v>75108.790000000008</v>
      </c>
      <c r="AY29" s="388">
        <f t="shared" si="29"/>
        <v>12768.49</v>
      </c>
      <c r="AZ29" s="388" t="str">
        <f t="shared" si="30"/>
        <v/>
      </c>
      <c r="BA29" s="388">
        <f t="shared" si="31"/>
        <v>0</v>
      </c>
      <c r="BB29" s="388">
        <f t="shared" si="0"/>
        <v>2125</v>
      </c>
      <c r="BC29" s="388">
        <f t="shared" si="1"/>
        <v>0</v>
      </c>
      <c r="BD29" s="388">
        <f t="shared" si="2"/>
        <v>791.64638000000002</v>
      </c>
      <c r="BE29" s="388">
        <f t="shared" si="3"/>
        <v>185.14310500000002</v>
      </c>
      <c r="BF29" s="388">
        <f t="shared" si="4"/>
        <v>1524.5577060000001</v>
      </c>
      <c r="BG29" s="388">
        <f t="shared" si="5"/>
        <v>92.060812900000002</v>
      </c>
      <c r="BH29" s="388">
        <f t="shared" si="6"/>
        <v>0</v>
      </c>
      <c r="BI29" s="388">
        <f t="shared" si="7"/>
        <v>0</v>
      </c>
      <c r="BJ29" s="388">
        <f t="shared" si="8"/>
        <v>44.689715</v>
      </c>
      <c r="BK29" s="388">
        <f t="shared" si="9"/>
        <v>0</v>
      </c>
      <c r="BL29" s="388">
        <f t="shared" si="32"/>
        <v>2638.0977189</v>
      </c>
      <c r="BM29" s="388">
        <f t="shared" si="33"/>
        <v>0</v>
      </c>
      <c r="BN29" s="388">
        <f t="shared" si="10"/>
        <v>2337.5</v>
      </c>
      <c r="BO29" s="388">
        <f t="shared" si="11"/>
        <v>0</v>
      </c>
      <c r="BP29" s="388">
        <f t="shared" si="12"/>
        <v>791.64638000000002</v>
      </c>
      <c r="BQ29" s="388">
        <f t="shared" si="13"/>
        <v>185.14310500000002</v>
      </c>
      <c r="BR29" s="388">
        <f t="shared" si="14"/>
        <v>1427.5171819999998</v>
      </c>
      <c r="BS29" s="388">
        <f t="shared" si="15"/>
        <v>92.060812900000002</v>
      </c>
      <c r="BT29" s="388">
        <f t="shared" si="16"/>
        <v>0</v>
      </c>
      <c r="BU29" s="388">
        <f t="shared" si="17"/>
        <v>0</v>
      </c>
      <c r="BV29" s="388">
        <f t="shared" si="18"/>
        <v>49.797110999999994</v>
      </c>
      <c r="BW29" s="388">
        <f t="shared" si="19"/>
        <v>0</v>
      </c>
      <c r="BX29" s="388">
        <f t="shared" si="34"/>
        <v>2546.1645908999999</v>
      </c>
      <c r="BY29" s="388">
        <f t="shared" si="35"/>
        <v>0</v>
      </c>
      <c r="BZ29" s="388">
        <f t="shared" si="36"/>
        <v>212.5</v>
      </c>
      <c r="CA29" s="388">
        <f t="shared" si="37"/>
        <v>0</v>
      </c>
      <c r="CB29" s="388">
        <f t="shared" si="38"/>
        <v>0</v>
      </c>
      <c r="CC29" s="388">
        <f t="shared" si="20"/>
        <v>0</v>
      </c>
      <c r="CD29" s="388">
        <f t="shared" si="21"/>
        <v>-97.040524000000119</v>
      </c>
      <c r="CE29" s="388">
        <f t="shared" si="22"/>
        <v>0</v>
      </c>
      <c r="CF29" s="388">
        <f t="shared" si="23"/>
        <v>0</v>
      </c>
      <c r="CG29" s="388">
        <f t="shared" si="24"/>
        <v>0</v>
      </c>
      <c r="CH29" s="388">
        <f t="shared" si="25"/>
        <v>5.1073959999999969</v>
      </c>
      <c r="CI29" s="388">
        <f t="shared" si="26"/>
        <v>0</v>
      </c>
      <c r="CJ29" s="388">
        <f t="shared" si="39"/>
        <v>-91.933128000000124</v>
      </c>
      <c r="CK29" s="388" t="str">
        <f t="shared" si="40"/>
        <v/>
      </c>
      <c r="CL29" s="388" t="str">
        <f t="shared" si="41"/>
        <v/>
      </c>
      <c r="CM29" s="388" t="str">
        <f t="shared" si="42"/>
        <v/>
      </c>
      <c r="CN29" s="388" t="str">
        <f t="shared" si="43"/>
        <v>0001-00</v>
      </c>
    </row>
    <row r="30" spans="1:92" ht="15.75" thickBot="1" x14ac:dyDescent="0.3">
      <c r="A30" s="377" t="s">
        <v>162</v>
      </c>
      <c r="B30" s="377" t="s">
        <v>163</v>
      </c>
      <c r="C30" s="377" t="s">
        <v>185</v>
      </c>
      <c r="D30" s="377" t="s">
        <v>186</v>
      </c>
      <c r="E30" s="377" t="s">
        <v>265</v>
      </c>
      <c r="F30" s="378" t="s">
        <v>167</v>
      </c>
      <c r="G30" s="377" t="s">
        <v>266</v>
      </c>
      <c r="H30" s="379"/>
      <c r="I30" s="379"/>
      <c r="J30" s="377" t="s">
        <v>169</v>
      </c>
      <c r="K30" s="377" t="s">
        <v>187</v>
      </c>
      <c r="L30" s="377" t="s">
        <v>167</v>
      </c>
      <c r="M30" s="377" t="s">
        <v>172</v>
      </c>
      <c r="N30" s="377" t="s">
        <v>173</v>
      </c>
      <c r="O30" s="380">
        <v>1</v>
      </c>
      <c r="P30" s="386">
        <v>0.17</v>
      </c>
      <c r="Q30" s="386">
        <v>0.17</v>
      </c>
      <c r="R30" s="381">
        <v>80</v>
      </c>
      <c r="S30" s="386">
        <v>0.17</v>
      </c>
      <c r="T30" s="381">
        <v>15941.52</v>
      </c>
      <c r="U30" s="381">
        <v>0</v>
      </c>
      <c r="V30" s="381">
        <v>5758.34</v>
      </c>
      <c r="W30" s="381">
        <v>12832.14</v>
      </c>
      <c r="X30" s="381">
        <v>4776.24</v>
      </c>
      <c r="Y30" s="381">
        <v>12832.14</v>
      </c>
      <c r="Z30" s="381">
        <v>4896.3500000000004</v>
      </c>
      <c r="AA30" s="377" t="s">
        <v>188</v>
      </c>
      <c r="AB30" s="377" t="s">
        <v>189</v>
      </c>
      <c r="AC30" s="377" t="s">
        <v>190</v>
      </c>
      <c r="AD30" s="377" t="s">
        <v>191</v>
      </c>
      <c r="AE30" s="377" t="s">
        <v>187</v>
      </c>
      <c r="AF30" s="377" t="s">
        <v>192</v>
      </c>
      <c r="AG30" s="377" t="s">
        <v>179</v>
      </c>
      <c r="AH30" s="382">
        <v>36.29</v>
      </c>
      <c r="AI30" s="382">
        <v>8532.7999999999993</v>
      </c>
      <c r="AJ30" s="377" t="s">
        <v>180</v>
      </c>
      <c r="AK30" s="377" t="s">
        <v>181</v>
      </c>
      <c r="AL30" s="377" t="s">
        <v>182</v>
      </c>
      <c r="AM30" s="377" t="s">
        <v>183</v>
      </c>
      <c r="AN30" s="377" t="s">
        <v>66</v>
      </c>
      <c r="AO30" s="380">
        <v>80</v>
      </c>
      <c r="AP30" s="386">
        <v>1</v>
      </c>
      <c r="AQ30" s="386">
        <v>0.17</v>
      </c>
      <c r="AR30" s="384" t="s">
        <v>184</v>
      </c>
      <c r="AS30" s="388">
        <f t="shared" si="27"/>
        <v>0.17</v>
      </c>
      <c r="AT30">
        <f t="shared" si="28"/>
        <v>1</v>
      </c>
      <c r="AU30" s="388">
        <f>IF(AT30=0,"",IF(AND(AT30=1,M30="F",SUMIF(C2:C258,C30,AS2:AS258)&lt;=1),SUMIF(C2:C258,C30,AS2:AS258),IF(AND(AT30=1,M30="F",SUMIF(C2:C258,C30,AS2:AS258)&gt;1),1,"")))</f>
        <v>1</v>
      </c>
      <c r="AV30" s="388" t="str">
        <f>IF(AT30=0,"",IF(AND(AT30=3,M30="F",SUMIF(C2:C258,C30,AS2:AS258)&lt;=1),SUMIF(C2:C258,C30,AS2:AS258),IF(AND(AT30=3,M30="F",SUMIF(C2:C258,C30,AS2:AS258)&gt;1),1,"")))</f>
        <v/>
      </c>
      <c r="AW30" s="388">
        <f>SUMIF(C2:C258,C30,O2:O258)</f>
        <v>2</v>
      </c>
      <c r="AX30" s="388">
        <f>IF(AND(M30="F",AS30&lt;&gt;0),SUMIF(C2:C258,C30,W2:W258),0)</f>
        <v>75483.19</v>
      </c>
      <c r="AY30" s="388">
        <f t="shared" si="29"/>
        <v>12832.14</v>
      </c>
      <c r="AZ30" s="388" t="str">
        <f t="shared" si="30"/>
        <v/>
      </c>
      <c r="BA30" s="388">
        <f t="shared" si="31"/>
        <v>0</v>
      </c>
      <c r="BB30" s="388">
        <f t="shared" si="0"/>
        <v>2125</v>
      </c>
      <c r="BC30" s="388">
        <f t="shared" si="1"/>
        <v>0</v>
      </c>
      <c r="BD30" s="388">
        <f t="shared" si="2"/>
        <v>795.59267999999997</v>
      </c>
      <c r="BE30" s="388">
        <f t="shared" si="3"/>
        <v>186.06603000000001</v>
      </c>
      <c r="BF30" s="388">
        <f t="shared" si="4"/>
        <v>1532.157516</v>
      </c>
      <c r="BG30" s="388">
        <f t="shared" si="5"/>
        <v>92.519729400000003</v>
      </c>
      <c r="BH30" s="388">
        <f t="shared" si="6"/>
        <v>0</v>
      </c>
      <c r="BI30" s="388">
        <f t="shared" si="7"/>
        <v>0</v>
      </c>
      <c r="BJ30" s="388">
        <f t="shared" si="8"/>
        <v>44.912489999999998</v>
      </c>
      <c r="BK30" s="388">
        <f t="shared" si="9"/>
        <v>0</v>
      </c>
      <c r="BL30" s="388">
        <f t="shared" si="32"/>
        <v>2651.2484454</v>
      </c>
      <c r="BM30" s="388">
        <f t="shared" si="33"/>
        <v>0</v>
      </c>
      <c r="BN30" s="388">
        <f t="shared" si="10"/>
        <v>2337.5</v>
      </c>
      <c r="BO30" s="388">
        <f t="shared" si="11"/>
        <v>0</v>
      </c>
      <c r="BP30" s="388">
        <f t="shared" si="12"/>
        <v>795.59267999999997</v>
      </c>
      <c r="BQ30" s="388">
        <f t="shared" si="13"/>
        <v>186.06603000000001</v>
      </c>
      <c r="BR30" s="388">
        <f t="shared" si="14"/>
        <v>1434.6332519999999</v>
      </c>
      <c r="BS30" s="388">
        <f t="shared" si="15"/>
        <v>92.519729400000003</v>
      </c>
      <c r="BT30" s="388">
        <f t="shared" si="16"/>
        <v>0</v>
      </c>
      <c r="BU30" s="388">
        <f t="shared" si="17"/>
        <v>0</v>
      </c>
      <c r="BV30" s="388">
        <f t="shared" si="18"/>
        <v>50.045345999999995</v>
      </c>
      <c r="BW30" s="388">
        <f t="shared" si="19"/>
        <v>0</v>
      </c>
      <c r="BX30" s="388">
        <f t="shared" si="34"/>
        <v>2558.8570373999996</v>
      </c>
      <c r="BY30" s="388">
        <f t="shared" si="35"/>
        <v>0</v>
      </c>
      <c r="BZ30" s="388">
        <f t="shared" si="36"/>
        <v>212.5</v>
      </c>
      <c r="CA30" s="388">
        <f t="shared" si="37"/>
        <v>0</v>
      </c>
      <c r="CB30" s="388">
        <f t="shared" si="38"/>
        <v>0</v>
      </c>
      <c r="CC30" s="388">
        <f t="shared" si="20"/>
        <v>0</v>
      </c>
      <c r="CD30" s="388">
        <f t="shared" si="21"/>
        <v>-97.524264000000116</v>
      </c>
      <c r="CE30" s="388">
        <f t="shared" si="22"/>
        <v>0</v>
      </c>
      <c r="CF30" s="388">
        <f t="shared" si="23"/>
        <v>0</v>
      </c>
      <c r="CG30" s="388">
        <f t="shared" si="24"/>
        <v>0</v>
      </c>
      <c r="CH30" s="388">
        <f t="shared" si="25"/>
        <v>5.1328559999999968</v>
      </c>
      <c r="CI30" s="388">
        <f t="shared" si="26"/>
        <v>0</v>
      </c>
      <c r="CJ30" s="388">
        <f t="shared" si="39"/>
        <v>-92.391408000000126</v>
      </c>
      <c r="CK30" s="388" t="str">
        <f t="shared" si="40"/>
        <v/>
      </c>
      <c r="CL30" s="388" t="str">
        <f t="shared" si="41"/>
        <v/>
      </c>
      <c r="CM30" s="388" t="str">
        <f t="shared" si="42"/>
        <v/>
      </c>
      <c r="CN30" s="388" t="str">
        <f t="shared" si="43"/>
        <v>0001-00</v>
      </c>
    </row>
    <row r="31" spans="1:92" ht="15.75" thickBot="1" x14ac:dyDescent="0.3">
      <c r="A31" s="377" t="s">
        <v>162</v>
      </c>
      <c r="B31" s="377" t="s">
        <v>163</v>
      </c>
      <c r="C31" s="377" t="s">
        <v>193</v>
      </c>
      <c r="D31" s="377" t="s">
        <v>194</v>
      </c>
      <c r="E31" s="377" t="s">
        <v>265</v>
      </c>
      <c r="F31" s="378" t="s">
        <v>167</v>
      </c>
      <c r="G31" s="377" t="s">
        <v>266</v>
      </c>
      <c r="H31" s="379"/>
      <c r="I31" s="379"/>
      <c r="J31" s="377" t="s">
        <v>169</v>
      </c>
      <c r="K31" s="377" t="s">
        <v>195</v>
      </c>
      <c r="L31" s="377" t="s">
        <v>171</v>
      </c>
      <c r="M31" s="377" t="s">
        <v>172</v>
      </c>
      <c r="N31" s="377" t="s">
        <v>173</v>
      </c>
      <c r="O31" s="380">
        <v>1</v>
      </c>
      <c r="P31" s="386">
        <v>0.9</v>
      </c>
      <c r="Q31" s="386">
        <v>0.9</v>
      </c>
      <c r="R31" s="381">
        <v>80</v>
      </c>
      <c r="S31" s="386">
        <v>0.9</v>
      </c>
      <c r="T31" s="381">
        <v>58768.41</v>
      </c>
      <c r="U31" s="381">
        <v>0</v>
      </c>
      <c r="V31" s="381">
        <v>22535.84</v>
      </c>
      <c r="W31" s="381">
        <v>57301.919999999998</v>
      </c>
      <c r="X31" s="381">
        <v>23089.13</v>
      </c>
      <c r="Y31" s="381">
        <v>57301.919999999998</v>
      </c>
      <c r="Z31" s="381">
        <v>23801.55</v>
      </c>
      <c r="AA31" s="377" t="s">
        <v>196</v>
      </c>
      <c r="AB31" s="377" t="s">
        <v>197</v>
      </c>
      <c r="AC31" s="377" t="s">
        <v>198</v>
      </c>
      <c r="AD31" s="377" t="s">
        <v>199</v>
      </c>
      <c r="AE31" s="377" t="s">
        <v>195</v>
      </c>
      <c r="AF31" s="377" t="s">
        <v>178</v>
      </c>
      <c r="AG31" s="377" t="s">
        <v>179</v>
      </c>
      <c r="AH31" s="382">
        <v>30.61</v>
      </c>
      <c r="AI31" s="382">
        <v>16438.599999999999</v>
      </c>
      <c r="AJ31" s="377" t="s">
        <v>180</v>
      </c>
      <c r="AK31" s="377" t="s">
        <v>181</v>
      </c>
      <c r="AL31" s="377" t="s">
        <v>182</v>
      </c>
      <c r="AM31" s="377" t="s">
        <v>183</v>
      </c>
      <c r="AN31" s="377" t="s">
        <v>66</v>
      </c>
      <c r="AO31" s="380">
        <v>80</v>
      </c>
      <c r="AP31" s="386">
        <v>1</v>
      </c>
      <c r="AQ31" s="386">
        <v>0.9</v>
      </c>
      <c r="AR31" s="384" t="s">
        <v>184</v>
      </c>
      <c r="AS31" s="388">
        <f t="shared" si="27"/>
        <v>0.9</v>
      </c>
      <c r="AT31">
        <f t="shared" si="28"/>
        <v>1</v>
      </c>
      <c r="AU31" s="388">
        <f>IF(AT31=0,"",IF(AND(AT31=1,M31="F",SUMIF(C2:C258,C31,AS2:AS258)&lt;=1),SUMIF(C2:C258,C31,AS2:AS258),IF(AND(AT31=1,M31="F",SUMIF(C2:C258,C31,AS2:AS258)&gt;1),1,"")))</f>
        <v>1</v>
      </c>
      <c r="AV31" s="388" t="str">
        <f>IF(AT31=0,"",IF(AND(AT31=3,M31="F",SUMIF(C2:C258,C31,AS2:AS258)&lt;=1),SUMIF(C2:C258,C31,AS2:AS258),IF(AND(AT31=3,M31="F",SUMIF(C2:C258,C31,AS2:AS258)&gt;1),1,"")))</f>
        <v/>
      </c>
      <c r="AW31" s="388">
        <f>SUMIF(C2:C258,C31,O2:O258)</f>
        <v>2</v>
      </c>
      <c r="AX31" s="388">
        <f>IF(AND(M31="F",AS31&lt;&gt;0),SUMIF(C2:C258,C31,W2:W258),0)</f>
        <v>63668.799999999996</v>
      </c>
      <c r="AY31" s="388">
        <f t="shared" si="29"/>
        <v>57301.919999999998</v>
      </c>
      <c r="AZ31" s="388" t="str">
        <f t="shared" si="30"/>
        <v/>
      </c>
      <c r="BA31" s="388">
        <f t="shared" si="31"/>
        <v>0</v>
      </c>
      <c r="BB31" s="388">
        <f t="shared" si="0"/>
        <v>11250</v>
      </c>
      <c r="BC31" s="388">
        <f t="shared" si="1"/>
        <v>0</v>
      </c>
      <c r="BD31" s="388">
        <f t="shared" si="2"/>
        <v>3552.7190399999999</v>
      </c>
      <c r="BE31" s="388">
        <f t="shared" si="3"/>
        <v>830.87783999999999</v>
      </c>
      <c r="BF31" s="388">
        <f t="shared" si="4"/>
        <v>6841.8492480000004</v>
      </c>
      <c r="BG31" s="388">
        <f t="shared" si="5"/>
        <v>413.14684319999998</v>
      </c>
      <c r="BH31" s="388">
        <f t="shared" si="6"/>
        <v>0</v>
      </c>
      <c r="BI31" s="388">
        <f t="shared" si="7"/>
        <v>0</v>
      </c>
      <c r="BJ31" s="388">
        <f t="shared" si="8"/>
        <v>200.55671999999998</v>
      </c>
      <c r="BK31" s="388">
        <f t="shared" si="9"/>
        <v>0</v>
      </c>
      <c r="BL31" s="388">
        <f t="shared" si="32"/>
        <v>11839.1496912</v>
      </c>
      <c r="BM31" s="388">
        <f t="shared" si="33"/>
        <v>0</v>
      </c>
      <c r="BN31" s="388">
        <f t="shared" si="10"/>
        <v>12375</v>
      </c>
      <c r="BO31" s="388">
        <f t="shared" si="11"/>
        <v>0</v>
      </c>
      <c r="BP31" s="388">
        <f t="shared" si="12"/>
        <v>3552.7190399999999</v>
      </c>
      <c r="BQ31" s="388">
        <f t="shared" si="13"/>
        <v>830.87783999999999</v>
      </c>
      <c r="BR31" s="388">
        <f t="shared" si="14"/>
        <v>6406.3546559999995</v>
      </c>
      <c r="BS31" s="388">
        <f t="shared" si="15"/>
        <v>413.14684319999998</v>
      </c>
      <c r="BT31" s="388">
        <f t="shared" si="16"/>
        <v>0</v>
      </c>
      <c r="BU31" s="388">
        <f t="shared" si="17"/>
        <v>0</v>
      </c>
      <c r="BV31" s="388">
        <f t="shared" si="18"/>
        <v>223.47748799999999</v>
      </c>
      <c r="BW31" s="388">
        <f t="shared" si="19"/>
        <v>0</v>
      </c>
      <c r="BX31" s="388">
        <f t="shared" si="34"/>
        <v>11426.575867200001</v>
      </c>
      <c r="BY31" s="388">
        <f t="shared" si="35"/>
        <v>0</v>
      </c>
      <c r="BZ31" s="388">
        <f t="shared" si="36"/>
        <v>1125</v>
      </c>
      <c r="CA31" s="388">
        <f t="shared" si="37"/>
        <v>0</v>
      </c>
      <c r="CB31" s="388">
        <f t="shared" si="38"/>
        <v>0</v>
      </c>
      <c r="CC31" s="388">
        <f t="shared" si="20"/>
        <v>0</v>
      </c>
      <c r="CD31" s="388">
        <f t="shared" si="21"/>
        <v>-435.49459200000052</v>
      </c>
      <c r="CE31" s="388">
        <f t="shared" si="22"/>
        <v>0</v>
      </c>
      <c r="CF31" s="388">
        <f t="shared" si="23"/>
        <v>0</v>
      </c>
      <c r="CG31" s="388">
        <f t="shared" si="24"/>
        <v>0</v>
      </c>
      <c r="CH31" s="388">
        <f t="shared" si="25"/>
        <v>22.920767999999985</v>
      </c>
      <c r="CI31" s="388">
        <f t="shared" si="26"/>
        <v>0</v>
      </c>
      <c r="CJ31" s="388">
        <f t="shared" si="39"/>
        <v>-412.57382400000051</v>
      </c>
      <c r="CK31" s="388" t="str">
        <f t="shared" si="40"/>
        <v/>
      </c>
      <c r="CL31" s="388" t="str">
        <f t="shared" si="41"/>
        <v/>
      </c>
      <c r="CM31" s="388" t="str">
        <f t="shared" si="42"/>
        <v/>
      </c>
      <c r="CN31" s="388" t="str">
        <f t="shared" si="43"/>
        <v>0001-00</v>
      </c>
    </row>
    <row r="32" spans="1:92" ht="15.75" thickBot="1" x14ac:dyDescent="0.3">
      <c r="A32" s="377" t="s">
        <v>162</v>
      </c>
      <c r="B32" s="377" t="s">
        <v>163</v>
      </c>
      <c r="C32" s="377" t="s">
        <v>200</v>
      </c>
      <c r="D32" s="377" t="s">
        <v>201</v>
      </c>
      <c r="E32" s="377" t="s">
        <v>265</v>
      </c>
      <c r="F32" s="378" t="s">
        <v>167</v>
      </c>
      <c r="G32" s="377" t="s">
        <v>266</v>
      </c>
      <c r="H32" s="379"/>
      <c r="I32" s="379"/>
      <c r="J32" s="377" t="s">
        <v>169</v>
      </c>
      <c r="K32" s="377" t="s">
        <v>202</v>
      </c>
      <c r="L32" s="377" t="s">
        <v>191</v>
      </c>
      <c r="M32" s="377" t="s">
        <v>172</v>
      </c>
      <c r="N32" s="377" t="s">
        <v>173</v>
      </c>
      <c r="O32" s="380">
        <v>1</v>
      </c>
      <c r="P32" s="386">
        <v>0.9</v>
      </c>
      <c r="Q32" s="386">
        <v>0.9</v>
      </c>
      <c r="R32" s="381">
        <v>80</v>
      </c>
      <c r="S32" s="386">
        <v>0.9</v>
      </c>
      <c r="T32" s="381">
        <v>146676.07</v>
      </c>
      <c r="U32" s="381">
        <v>0</v>
      </c>
      <c r="V32" s="381">
        <v>40692.080000000002</v>
      </c>
      <c r="W32" s="381">
        <v>143376.48000000001</v>
      </c>
      <c r="X32" s="381">
        <v>39951.89</v>
      </c>
      <c r="Y32" s="381">
        <v>143376.48000000001</v>
      </c>
      <c r="Z32" s="381">
        <v>40278.94</v>
      </c>
      <c r="AA32" s="377" t="s">
        <v>203</v>
      </c>
      <c r="AB32" s="377" t="s">
        <v>204</v>
      </c>
      <c r="AC32" s="377" t="s">
        <v>205</v>
      </c>
      <c r="AD32" s="377" t="s">
        <v>206</v>
      </c>
      <c r="AE32" s="377" t="s">
        <v>202</v>
      </c>
      <c r="AF32" s="377" t="s">
        <v>207</v>
      </c>
      <c r="AG32" s="377" t="s">
        <v>179</v>
      </c>
      <c r="AH32" s="382">
        <v>76.59</v>
      </c>
      <c r="AI32" s="382">
        <v>50433.599999999999</v>
      </c>
      <c r="AJ32" s="377" t="s">
        <v>180</v>
      </c>
      <c r="AK32" s="377" t="s">
        <v>181</v>
      </c>
      <c r="AL32" s="377" t="s">
        <v>182</v>
      </c>
      <c r="AM32" s="377" t="s">
        <v>183</v>
      </c>
      <c r="AN32" s="377" t="s">
        <v>66</v>
      </c>
      <c r="AO32" s="380">
        <v>80</v>
      </c>
      <c r="AP32" s="386">
        <v>1</v>
      </c>
      <c r="AQ32" s="386">
        <v>0.9</v>
      </c>
      <c r="AR32" s="384" t="s">
        <v>184</v>
      </c>
      <c r="AS32" s="388">
        <f t="shared" si="27"/>
        <v>0.9</v>
      </c>
      <c r="AT32">
        <f t="shared" si="28"/>
        <v>1</v>
      </c>
      <c r="AU32" s="388">
        <f>IF(AT32=0,"",IF(AND(AT32=1,M32="F",SUMIF(C2:C258,C32,AS2:AS258)&lt;=1),SUMIF(C2:C258,C32,AS2:AS258),IF(AND(AT32=1,M32="F",SUMIF(C2:C258,C32,AS2:AS258)&gt;1),1,"")))</f>
        <v>1</v>
      </c>
      <c r="AV32" s="388" t="str">
        <f>IF(AT32=0,"",IF(AND(AT32=3,M32="F",SUMIF(C2:C258,C32,AS2:AS258)&lt;=1),SUMIF(C2:C258,C32,AS2:AS258),IF(AND(AT32=3,M32="F",SUMIF(C2:C258,C32,AS2:AS258)&gt;1),1,"")))</f>
        <v/>
      </c>
      <c r="AW32" s="388">
        <f>SUMIF(C2:C258,C32,O2:O258)</f>
        <v>2</v>
      </c>
      <c r="AX32" s="388">
        <f>IF(AND(M32="F",AS32&lt;&gt;0),SUMIF(C2:C258,C32,W2:W258),0)</f>
        <v>159307.20000000001</v>
      </c>
      <c r="AY32" s="388">
        <f t="shared" si="29"/>
        <v>143376.48000000001</v>
      </c>
      <c r="AZ32" s="388" t="str">
        <f t="shared" si="30"/>
        <v/>
      </c>
      <c r="BA32" s="388">
        <f t="shared" si="31"/>
        <v>0</v>
      </c>
      <c r="BB32" s="388">
        <f t="shared" si="0"/>
        <v>11250</v>
      </c>
      <c r="BC32" s="388">
        <f t="shared" si="1"/>
        <v>0</v>
      </c>
      <c r="BD32" s="388">
        <f t="shared" si="2"/>
        <v>7968.2400000000007</v>
      </c>
      <c r="BE32" s="388">
        <f t="shared" si="3"/>
        <v>2078.9589600000004</v>
      </c>
      <c r="BF32" s="388">
        <f t="shared" si="4"/>
        <v>17119.151712000003</v>
      </c>
      <c r="BG32" s="388">
        <f t="shared" si="5"/>
        <v>1033.7444208000002</v>
      </c>
      <c r="BH32" s="388">
        <f t="shared" si="6"/>
        <v>0</v>
      </c>
      <c r="BI32" s="388">
        <f t="shared" si="7"/>
        <v>0</v>
      </c>
      <c r="BJ32" s="388">
        <f t="shared" si="8"/>
        <v>501.81768000000005</v>
      </c>
      <c r="BK32" s="388">
        <f t="shared" si="9"/>
        <v>0</v>
      </c>
      <c r="BL32" s="388">
        <f t="shared" si="32"/>
        <v>28701.912772800006</v>
      </c>
      <c r="BM32" s="388">
        <f t="shared" si="33"/>
        <v>0</v>
      </c>
      <c r="BN32" s="388">
        <f t="shared" si="10"/>
        <v>12375</v>
      </c>
      <c r="BO32" s="388">
        <f t="shared" si="11"/>
        <v>0</v>
      </c>
      <c r="BP32" s="388">
        <f t="shared" si="12"/>
        <v>8202.6</v>
      </c>
      <c r="BQ32" s="388">
        <f t="shared" si="13"/>
        <v>2078.9589600000004</v>
      </c>
      <c r="BR32" s="388">
        <f t="shared" si="14"/>
        <v>16029.490464</v>
      </c>
      <c r="BS32" s="388">
        <f t="shared" si="15"/>
        <v>1033.7444208000002</v>
      </c>
      <c r="BT32" s="388">
        <f t="shared" si="16"/>
        <v>0</v>
      </c>
      <c r="BU32" s="388">
        <f t="shared" si="17"/>
        <v>0</v>
      </c>
      <c r="BV32" s="388">
        <f t="shared" si="18"/>
        <v>559.168272</v>
      </c>
      <c r="BW32" s="388">
        <f t="shared" si="19"/>
        <v>0</v>
      </c>
      <c r="BX32" s="388">
        <f t="shared" si="34"/>
        <v>27903.962116800001</v>
      </c>
      <c r="BY32" s="388">
        <f t="shared" si="35"/>
        <v>0</v>
      </c>
      <c r="BZ32" s="388">
        <f t="shared" si="36"/>
        <v>1125</v>
      </c>
      <c r="CA32" s="388">
        <f t="shared" si="37"/>
        <v>0</v>
      </c>
      <c r="CB32" s="388">
        <f t="shared" si="38"/>
        <v>234.35999999999967</v>
      </c>
      <c r="CC32" s="388">
        <f t="shared" si="20"/>
        <v>0</v>
      </c>
      <c r="CD32" s="388">
        <f t="shared" si="21"/>
        <v>-1089.6612480000015</v>
      </c>
      <c r="CE32" s="388">
        <f t="shared" si="22"/>
        <v>0</v>
      </c>
      <c r="CF32" s="388">
        <f t="shared" si="23"/>
        <v>0</v>
      </c>
      <c r="CG32" s="388">
        <f t="shared" si="24"/>
        <v>0</v>
      </c>
      <c r="CH32" s="388">
        <f t="shared" si="25"/>
        <v>57.35059199999997</v>
      </c>
      <c r="CI32" s="388">
        <f t="shared" si="26"/>
        <v>0</v>
      </c>
      <c r="CJ32" s="388">
        <f t="shared" si="39"/>
        <v>-797.9506560000018</v>
      </c>
      <c r="CK32" s="388" t="str">
        <f t="shared" si="40"/>
        <v/>
      </c>
      <c r="CL32" s="388" t="str">
        <f t="shared" si="41"/>
        <v/>
      </c>
      <c r="CM32" s="388" t="str">
        <f t="shared" si="42"/>
        <v/>
      </c>
      <c r="CN32" s="388" t="str">
        <f t="shared" si="43"/>
        <v>0001-00</v>
      </c>
    </row>
    <row r="33" spans="1:92" ht="15.75" thickBot="1" x14ac:dyDescent="0.3">
      <c r="A33" s="377" t="s">
        <v>162</v>
      </c>
      <c r="B33" s="377" t="s">
        <v>163</v>
      </c>
      <c r="C33" s="377" t="s">
        <v>208</v>
      </c>
      <c r="D33" s="377" t="s">
        <v>209</v>
      </c>
      <c r="E33" s="377" t="s">
        <v>265</v>
      </c>
      <c r="F33" s="378" t="s">
        <v>167</v>
      </c>
      <c r="G33" s="377" t="s">
        <v>266</v>
      </c>
      <c r="H33" s="379"/>
      <c r="I33" s="379"/>
      <c r="J33" s="377" t="s">
        <v>169</v>
      </c>
      <c r="K33" s="377" t="s">
        <v>210</v>
      </c>
      <c r="L33" s="377" t="s">
        <v>211</v>
      </c>
      <c r="M33" s="377" t="s">
        <v>172</v>
      </c>
      <c r="N33" s="377" t="s">
        <v>173</v>
      </c>
      <c r="O33" s="380">
        <v>1</v>
      </c>
      <c r="P33" s="386">
        <v>0.17</v>
      </c>
      <c r="Q33" s="386">
        <v>0.17</v>
      </c>
      <c r="R33" s="381">
        <v>80</v>
      </c>
      <c r="S33" s="386">
        <v>0.17</v>
      </c>
      <c r="T33" s="381">
        <v>10714.07</v>
      </c>
      <c r="U33" s="381">
        <v>0</v>
      </c>
      <c r="V33" s="381">
        <v>4667.57</v>
      </c>
      <c r="W33" s="381">
        <v>8341.42</v>
      </c>
      <c r="X33" s="381">
        <v>3848.41</v>
      </c>
      <c r="Y33" s="381">
        <v>8341.42</v>
      </c>
      <c r="Z33" s="381">
        <v>4000.85</v>
      </c>
      <c r="AA33" s="377" t="s">
        <v>212</v>
      </c>
      <c r="AB33" s="377" t="s">
        <v>213</v>
      </c>
      <c r="AC33" s="377" t="s">
        <v>214</v>
      </c>
      <c r="AD33" s="377" t="s">
        <v>215</v>
      </c>
      <c r="AE33" s="377" t="s">
        <v>210</v>
      </c>
      <c r="AF33" s="377" t="s">
        <v>216</v>
      </c>
      <c r="AG33" s="377" t="s">
        <v>179</v>
      </c>
      <c r="AH33" s="382">
        <v>23.59</v>
      </c>
      <c r="AI33" s="380">
        <v>9927</v>
      </c>
      <c r="AJ33" s="377" t="s">
        <v>180</v>
      </c>
      <c r="AK33" s="377" t="s">
        <v>181</v>
      </c>
      <c r="AL33" s="377" t="s">
        <v>182</v>
      </c>
      <c r="AM33" s="377" t="s">
        <v>183</v>
      </c>
      <c r="AN33" s="377" t="s">
        <v>66</v>
      </c>
      <c r="AO33" s="380">
        <v>80</v>
      </c>
      <c r="AP33" s="386">
        <v>1</v>
      </c>
      <c r="AQ33" s="386">
        <v>0.17</v>
      </c>
      <c r="AR33" s="384" t="s">
        <v>184</v>
      </c>
      <c r="AS33" s="388">
        <f t="shared" si="27"/>
        <v>0.17</v>
      </c>
      <c r="AT33">
        <f t="shared" si="28"/>
        <v>1</v>
      </c>
      <c r="AU33" s="388">
        <f>IF(AT33=0,"",IF(AND(AT33=1,M33="F",SUMIF(C2:C258,C33,AS2:AS258)&lt;=1),SUMIF(C2:C258,C33,AS2:AS258),IF(AND(AT33=1,M33="F",SUMIF(C2:C258,C33,AS2:AS258)&gt;1),1,"")))</f>
        <v>1</v>
      </c>
      <c r="AV33" s="388" t="str">
        <f>IF(AT33=0,"",IF(AND(AT33=3,M33="F",SUMIF(C2:C258,C33,AS2:AS258)&lt;=1),SUMIF(C2:C258,C33,AS2:AS258),IF(AND(AT33=3,M33="F",SUMIF(C2:C258,C33,AS2:AS258)&gt;1),1,"")))</f>
        <v/>
      </c>
      <c r="AW33" s="388">
        <f>SUMIF(C2:C258,C33,O2:O258)</f>
        <v>2</v>
      </c>
      <c r="AX33" s="388">
        <f>IF(AND(M33="F",AS33&lt;&gt;0),SUMIF(C2:C258,C33,W2:W258),0)</f>
        <v>49067.189999999995</v>
      </c>
      <c r="AY33" s="388">
        <f t="shared" si="29"/>
        <v>8341.42</v>
      </c>
      <c r="AZ33" s="388" t="str">
        <f t="shared" si="30"/>
        <v/>
      </c>
      <c r="BA33" s="388">
        <f t="shared" si="31"/>
        <v>0</v>
      </c>
      <c r="BB33" s="388">
        <f t="shared" si="0"/>
        <v>2125</v>
      </c>
      <c r="BC33" s="388">
        <f t="shared" si="1"/>
        <v>0</v>
      </c>
      <c r="BD33" s="388">
        <f t="shared" si="2"/>
        <v>517.16804000000002</v>
      </c>
      <c r="BE33" s="388">
        <f t="shared" si="3"/>
        <v>120.95059000000001</v>
      </c>
      <c r="BF33" s="388">
        <f t="shared" si="4"/>
        <v>995.96554800000001</v>
      </c>
      <c r="BG33" s="388">
        <f t="shared" si="5"/>
        <v>60.141638200000003</v>
      </c>
      <c r="BH33" s="388">
        <f t="shared" si="6"/>
        <v>0</v>
      </c>
      <c r="BI33" s="388">
        <f t="shared" si="7"/>
        <v>0</v>
      </c>
      <c r="BJ33" s="388">
        <f t="shared" si="8"/>
        <v>29.194970000000001</v>
      </c>
      <c r="BK33" s="388">
        <f t="shared" si="9"/>
        <v>0</v>
      </c>
      <c r="BL33" s="388">
        <f t="shared" si="32"/>
        <v>1723.4207862000001</v>
      </c>
      <c r="BM33" s="388">
        <f t="shared" si="33"/>
        <v>0</v>
      </c>
      <c r="BN33" s="388">
        <f t="shared" si="10"/>
        <v>2337.5</v>
      </c>
      <c r="BO33" s="388">
        <f t="shared" si="11"/>
        <v>0</v>
      </c>
      <c r="BP33" s="388">
        <f t="shared" si="12"/>
        <v>517.16804000000002</v>
      </c>
      <c r="BQ33" s="388">
        <f t="shared" si="13"/>
        <v>120.95059000000001</v>
      </c>
      <c r="BR33" s="388">
        <f t="shared" si="14"/>
        <v>932.57075599999996</v>
      </c>
      <c r="BS33" s="388">
        <f t="shared" si="15"/>
        <v>60.141638200000003</v>
      </c>
      <c r="BT33" s="388">
        <f t="shared" si="16"/>
        <v>0</v>
      </c>
      <c r="BU33" s="388">
        <f t="shared" si="17"/>
        <v>0</v>
      </c>
      <c r="BV33" s="388">
        <f t="shared" si="18"/>
        <v>32.531537999999998</v>
      </c>
      <c r="BW33" s="388">
        <f t="shared" si="19"/>
        <v>0</v>
      </c>
      <c r="BX33" s="388">
        <f t="shared" si="34"/>
        <v>1663.3625622</v>
      </c>
      <c r="BY33" s="388">
        <f t="shared" si="35"/>
        <v>0</v>
      </c>
      <c r="BZ33" s="388">
        <f t="shared" si="36"/>
        <v>212.5</v>
      </c>
      <c r="CA33" s="388">
        <f t="shared" si="37"/>
        <v>0</v>
      </c>
      <c r="CB33" s="388">
        <f t="shared" si="38"/>
        <v>0</v>
      </c>
      <c r="CC33" s="388">
        <f t="shared" si="20"/>
        <v>0</v>
      </c>
      <c r="CD33" s="388">
        <f t="shared" si="21"/>
        <v>-63.394792000000081</v>
      </c>
      <c r="CE33" s="388">
        <f t="shared" si="22"/>
        <v>0</v>
      </c>
      <c r="CF33" s="388">
        <f t="shared" si="23"/>
        <v>0</v>
      </c>
      <c r="CG33" s="388">
        <f t="shared" si="24"/>
        <v>0</v>
      </c>
      <c r="CH33" s="388">
        <f t="shared" si="25"/>
        <v>3.336567999999998</v>
      </c>
      <c r="CI33" s="388">
        <f t="shared" si="26"/>
        <v>0</v>
      </c>
      <c r="CJ33" s="388">
        <f t="shared" si="39"/>
        <v>-60.058224000000081</v>
      </c>
      <c r="CK33" s="388" t="str">
        <f t="shared" si="40"/>
        <v/>
      </c>
      <c r="CL33" s="388" t="str">
        <f t="shared" si="41"/>
        <v/>
      </c>
      <c r="CM33" s="388" t="str">
        <f t="shared" si="42"/>
        <v/>
      </c>
      <c r="CN33" s="388" t="str">
        <f t="shared" si="43"/>
        <v>0001-00</v>
      </c>
    </row>
    <row r="34" spans="1:92" ht="15.75" thickBot="1" x14ac:dyDescent="0.3">
      <c r="A34" s="377" t="s">
        <v>162</v>
      </c>
      <c r="B34" s="377" t="s">
        <v>163</v>
      </c>
      <c r="C34" s="377" t="s">
        <v>341</v>
      </c>
      <c r="D34" s="377" t="s">
        <v>268</v>
      </c>
      <c r="E34" s="377" t="s">
        <v>265</v>
      </c>
      <c r="F34" s="378" t="s">
        <v>167</v>
      </c>
      <c r="G34" s="377" t="s">
        <v>266</v>
      </c>
      <c r="H34" s="379"/>
      <c r="I34" s="379"/>
      <c r="J34" s="377" t="s">
        <v>219</v>
      </c>
      <c r="K34" s="377" t="s">
        <v>270</v>
      </c>
      <c r="L34" s="377" t="s">
        <v>167</v>
      </c>
      <c r="M34" s="377" t="s">
        <v>172</v>
      </c>
      <c r="N34" s="377" t="s">
        <v>173</v>
      </c>
      <c r="O34" s="380">
        <v>1</v>
      </c>
      <c r="P34" s="386">
        <v>1</v>
      </c>
      <c r="Q34" s="386">
        <v>1</v>
      </c>
      <c r="R34" s="381">
        <v>80</v>
      </c>
      <c r="S34" s="386">
        <v>1</v>
      </c>
      <c r="T34" s="381">
        <v>153285.6</v>
      </c>
      <c r="U34" s="381">
        <v>0</v>
      </c>
      <c r="V34" s="381">
        <v>43680.45</v>
      </c>
      <c r="W34" s="381">
        <v>151632</v>
      </c>
      <c r="X34" s="381">
        <v>43281.09</v>
      </c>
      <c r="Y34" s="381">
        <v>151632</v>
      </c>
      <c r="Z34" s="381">
        <v>43699.73</v>
      </c>
      <c r="AA34" s="377" t="s">
        <v>342</v>
      </c>
      <c r="AB34" s="377" t="s">
        <v>343</v>
      </c>
      <c r="AC34" s="377" t="s">
        <v>344</v>
      </c>
      <c r="AD34" s="377" t="s">
        <v>171</v>
      </c>
      <c r="AE34" s="377" t="s">
        <v>270</v>
      </c>
      <c r="AF34" s="377" t="s">
        <v>207</v>
      </c>
      <c r="AG34" s="377" t="s">
        <v>179</v>
      </c>
      <c r="AH34" s="382">
        <v>72.900000000000006</v>
      </c>
      <c r="AI34" s="382">
        <v>26640.1</v>
      </c>
      <c r="AJ34" s="377" t="s">
        <v>180</v>
      </c>
      <c r="AK34" s="377" t="s">
        <v>181</v>
      </c>
      <c r="AL34" s="377" t="s">
        <v>182</v>
      </c>
      <c r="AM34" s="377" t="s">
        <v>183</v>
      </c>
      <c r="AN34" s="377" t="s">
        <v>66</v>
      </c>
      <c r="AO34" s="380">
        <v>80</v>
      </c>
      <c r="AP34" s="386">
        <v>1</v>
      </c>
      <c r="AQ34" s="386">
        <v>1</v>
      </c>
      <c r="AR34" s="384" t="s">
        <v>184</v>
      </c>
      <c r="AS34" s="388">
        <f t="shared" si="27"/>
        <v>1</v>
      </c>
      <c r="AT34">
        <f t="shared" si="28"/>
        <v>1</v>
      </c>
      <c r="AU34" s="388">
        <f>IF(AT34=0,"",IF(AND(AT34=1,M34="F",SUMIF(C2:C258,C34,AS2:AS258)&lt;=1),SUMIF(C2:C258,C34,AS2:AS258),IF(AND(AT34=1,M34="F",SUMIF(C2:C258,C34,AS2:AS258)&gt;1),1,"")))</f>
        <v>1</v>
      </c>
      <c r="AV34" s="388" t="str">
        <f>IF(AT34=0,"",IF(AND(AT34=3,M34="F",SUMIF(C2:C258,C34,AS2:AS258)&lt;=1),SUMIF(C2:C258,C34,AS2:AS258),IF(AND(AT34=3,M34="F",SUMIF(C2:C258,C34,AS2:AS258)&gt;1),1,"")))</f>
        <v/>
      </c>
      <c r="AW34" s="388">
        <f>SUMIF(C2:C258,C34,O2:O258)</f>
        <v>1</v>
      </c>
      <c r="AX34" s="388">
        <f>IF(AND(M34="F",AS34&lt;&gt;0),SUMIF(C2:C258,C34,W2:W258),0)</f>
        <v>151632</v>
      </c>
      <c r="AY34" s="388">
        <f t="shared" si="29"/>
        <v>151632</v>
      </c>
      <c r="AZ34" s="388" t="str">
        <f t="shared" si="30"/>
        <v/>
      </c>
      <c r="BA34" s="388">
        <f t="shared" si="31"/>
        <v>0</v>
      </c>
      <c r="BB34" s="388">
        <f t="shared" si="0"/>
        <v>12500</v>
      </c>
      <c r="BC34" s="388">
        <f t="shared" si="1"/>
        <v>0</v>
      </c>
      <c r="BD34" s="388">
        <f t="shared" si="2"/>
        <v>8853.6</v>
      </c>
      <c r="BE34" s="388">
        <f t="shared" si="3"/>
        <v>2198.6640000000002</v>
      </c>
      <c r="BF34" s="388">
        <f t="shared" si="4"/>
        <v>18104.860800000002</v>
      </c>
      <c r="BG34" s="388">
        <f t="shared" si="5"/>
        <v>1093.2667200000001</v>
      </c>
      <c r="BH34" s="388">
        <f t="shared" si="6"/>
        <v>0</v>
      </c>
      <c r="BI34" s="388">
        <f t="shared" si="7"/>
        <v>0</v>
      </c>
      <c r="BJ34" s="388">
        <f t="shared" si="8"/>
        <v>530.71199999999999</v>
      </c>
      <c r="BK34" s="388">
        <f t="shared" si="9"/>
        <v>0</v>
      </c>
      <c r="BL34" s="388">
        <f t="shared" si="32"/>
        <v>30781.103520000004</v>
      </c>
      <c r="BM34" s="388">
        <f t="shared" si="33"/>
        <v>0</v>
      </c>
      <c r="BN34" s="388">
        <f t="shared" si="10"/>
        <v>13750</v>
      </c>
      <c r="BO34" s="388">
        <f t="shared" si="11"/>
        <v>0</v>
      </c>
      <c r="BP34" s="388">
        <f t="shared" si="12"/>
        <v>9114</v>
      </c>
      <c r="BQ34" s="388">
        <f t="shared" si="13"/>
        <v>2198.6640000000002</v>
      </c>
      <c r="BR34" s="388">
        <f t="shared" si="14"/>
        <v>16952.457599999998</v>
      </c>
      <c r="BS34" s="388">
        <f t="shared" si="15"/>
        <v>1093.2667200000001</v>
      </c>
      <c r="BT34" s="388">
        <f t="shared" si="16"/>
        <v>0</v>
      </c>
      <c r="BU34" s="388">
        <f t="shared" si="17"/>
        <v>0</v>
      </c>
      <c r="BV34" s="388">
        <f t="shared" si="18"/>
        <v>591.36479999999995</v>
      </c>
      <c r="BW34" s="388">
        <f t="shared" si="19"/>
        <v>0</v>
      </c>
      <c r="BX34" s="388">
        <f t="shared" si="34"/>
        <v>29949.753119999998</v>
      </c>
      <c r="BY34" s="388">
        <f t="shared" si="35"/>
        <v>0</v>
      </c>
      <c r="BZ34" s="388">
        <f t="shared" si="36"/>
        <v>1250</v>
      </c>
      <c r="CA34" s="388">
        <f t="shared" si="37"/>
        <v>0</v>
      </c>
      <c r="CB34" s="388">
        <f t="shared" si="38"/>
        <v>260.39999999999964</v>
      </c>
      <c r="CC34" s="388">
        <f t="shared" si="20"/>
        <v>0</v>
      </c>
      <c r="CD34" s="388">
        <f t="shared" si="21"/>
        <v>-1152.4032000000013</v>
      </c>
      <c r="CE34" s="388">
        <f t="shared" si="22"/>
        <v>0</v>
      </c>
      <c r="CF34" s="388">
        <f t="shared" si="23"/>
        <v>0</v>
      </c>
      <c r="CG34" s="388">
        <f t="shared" si="24"/>
        <v>0</v>
      </c>
      <c r="CH34" s="388">
        <f t="shared" si="25"/>
        <v>60.652799999999964</v>
      </c>
      <c r="CI34" s="388">
        <f t="shared" si="26"/>
        <v>0</v>
      </c>
      <c r="CJ34" s="388">
        <f t="shared" si="39"/>
        <v>-831.35040000000174</v>
      </c>
      <c r="CK34" s="388" t="str">
        <f t="shared" si="40"/>
        <v/>
      </c>
      <c r="CL34" s="388" t="str">
        <f t="shared" si="41"/>
        <v/>
      </c>
      <c r="CM34" s="388" t="str">
        <f t="shared" si="42"/>
        <v/>
      </c>
      <c r="CN34" s="388" t="str">
        <f t="shared" si="43"/>
        <v>0001-00</v>
      </c>
    </row>
    <row r="35" spans="1:92" ht="15.75" thickBot="1" x14ac:dyDescent="0.3">
      <c r="A35" s="377" t="s">
        <v>162</v>
      </c>
      <c r="B35" s="377" t="s">
        <v>163</v>
      </c>
      <c r="C35" s="377" t="s">
        <v>345</v>
      </c>
      <c r="D35" s="377" t="s">
        <v>346</v>
      </c>
      <c r="E35" s="377" t="s">
        <v>265</v>
      </c>
      <c r="F35" s="378" t="s">
        <v>167</v>
      </c>
      <c r="G35" s="377" t="s">
        <v>266</v>
      </c>
      <c r="H35" s="379"/>
      <c r="I35" s="379"/>
      <c r="J35" s="377" t="s">
        <v>219</v>
      </c>
      <c r="K35" s="377" t="s">
        <v>347</v>
      </c>
      <c r="L35" s="377" t="s">
        <v>167</v>
      </c>
      <c r="M35" s="377" t="s">
        <v>172</v>
      </c>
      <c r="N35" s="377" t="s">
        <v>173</v>
      </c>
      <c r="O35" s="380">
        <v>1</v>
      </c>
      <c r="P35" s="386">
        <v>1</v>
      </c>
      <c r="Q35" s="386">
        <v>1</v>
      </c>
      <c r="R35" s="381">
        <v>80</v>
      </c>
      <c r="S35" s="386">
        <v>1</v>
      </c>
      <c r="T35" s="381">
        <v>52097.440000000002</v>
      </c>
      <c r="U35" s="381">
        <v>0</v>
      </c>
      <c r="V35" s="381">
        <v>20586.87</v>
      </c>
      <c r="W35" s="381">
        <v>58240</v>
      </c>
      <c r="X35" s="381">
        <v>24532.959999999999</v>
      </c>
      <c r="Y35" s="381">
        <v>58240</v>
      </c>
      <c r="Z35" s="381">
        <v>25363.63</v>
      </c>
      <c r="AA35" s="377" t="s">
        <v>348</v>
      </c>
      <c r="AB35" s="377" t="s">
        <v>349</v>
      </c>
      <c r="AC35" s="377" t="s">
        <v>350</v>
      </c>
      <c r="AD35" s="377" t="s">
        <v>286</v>
      </c>
      <c r="AE35" s="377" t="s">
        <v>347</v>
      </c>
      <c r="AF35" s="377" t="s">
        <v>216</v>
      </c>
      <c r="AG35" s="377" t="s">
        <v>179</v>
      </c>
      <c r="AH35" s="380">
        <v>28</v>
      </c>
      <c r="AI35" s="380">
        <v>0</v>
      </c>
      <c r="AJ35" s="377" t="s">
        <v>180</v>
      </c>
      <c r="AK35" s="377" t="s">
        <v>181</v>
      </c>
      <c r="AL35" s="377" t="s">
        <v>182</v>
      </c>
      <c r="AM35" s="377" t="s">
        <v>183</v>
      </c>
      <c r="AN35" s="377" t="s">
        <v>66</v>
      </c>
      <c r="AO35" s="380">
        <v>80</v>
      </c>
      <c r="AP35" s="386">
        <v>1</v>
      </c>
      <c r="AQ35" s="386">
        <v>1</v>
      </c>
      <c r="AR35" s="384" t="s">
        <v>184</v>
      </c>
      <c r="AS35" s="388">
        <f t="shared" si="27"/>
        <v>1</v>
      </c>
      <c r="AT35">
        <f t="shared" si="28"/>
        <v>1</v>
      </c>
      <c r="AU35" s="388">
        <f>IF(AT35=0,"",IF(AND(AT35=1,M35="F",SUMIF(C2:C258,C35,AS2:AS258)&lt;=1),SUMIF(C2:C258,C35,AS2:AS258),IF(AND(AT35=1,M35="F",SUMIF(C2:C258,C35,AS2:AS258)&gt;1),1,"")))</f>
        <v>1</v>
      </c>
      <c r="AV35" s="388" t="str">
        <f>IF(AT35=0,"",IF(AND(AT35=3,M35="F",SUMIF(C2:C258,C35,AS2:AS258)&lt;=1),SUMIF(C2:C258,C35,AS2:AS258),IF(AND(AT35=3,M35="F",SUMIF(C2:C258,C35,AS2:AS258)&gt;1),1,"")))</f>
        <v/>
      </c>
      <c r="AW35" s="388">
        <f>SUMIF(C2:C258,C35,O2:O258)</f>
        <v>1</v>
      </c>
      <c r="AX35" s="388">
        <f>IF(AND(M35="F",AS35&lt;&gt;0),SUMIF(C2:C258,C35,W2:W258),0)</f>
        <v>58240</v>
      </c>
      <c r="AY35" s="388">
        <f t="shared" si="29"/>
        <v>58240</v>
      </c>
      <c r="AZ35" s="388" t="str">
        <f t="shared" si="30"/>
        <v/>
      </c>
      <c r="BA35" s="388">
        <f t="shared" si="31"/>
        <v>0</v>
      </c>
      <c r="BB35" s="388">
        <f t="shared" si="0"/>
        <v>12500</v>
      </c>
      <c r="BC35" s="388">
        <f t="shared" si="1"/>
        <v>0</v>
      </c>
      <c r="BD35" s="388">
        <f t="shared" si="2"/>
        <v>3610.88</v>
      </c>
      <c r="BE35" s="388">
        <f t="shared" si="3"/>
        <v>844.48</v>
      </c>
      <c r="BF35" s="388">
        <f t="shared" si="4"/>
        <v>6953.8560000000007</v>
      </c>
      <c r="BG35" s="388">
        <f t="shared" si="5"/>
        <v>419.91040000000004</v>
      </c>
      <c r="BH35" s="388">
        <f t="shared" si="6"/>
        <v>0</v>
      </c>
      <c r="BI35" s="388">
        <f t="shared" si="7"/>
        <v>0</v>
      </c>
      <c r="BJ35" s="388">
        <f t="shared" si="8"/>
        <v>203.84</v>
      </c>
      <c r="BK35" s="388">
        <f t="shared" si="9"/>
        <v>0</v>
      </c>
      <c r="BL35" s="388">
        <f t="shared" si="32"/>
        <v>12032.966400000001</v>
      </c>
      <c r="BM35" s="388">
        <f t="shared" si="33"/>
        <v>0</v>
      </c>
      <c r="BN35" s="388">
        <f t="shared" si="10"/>
        <v>13750</v>
      </c>
      <c r="BO35" s="388">
        <f t="shared" si="11"/>
        <v>0</v>
      </c>
      <c r="BP35" s="388">
        <f t="shared" si="12"/>
        <v>3610.88</v>
      </c>
      <c r="BQ35" s="388">
        <f t="shared" si="13"/>
        <v>844.48</v>
      </c>
      <c r="BR35" s="388">
        <f t="shared" si="14"/>
        <v>6511.232</v>
      </c>
      <c r="BS35" s="388">
        <f t="shared" si="15"/>
        <v>419.91040000000004</v>
      </c>
      <c r="BT35" s="388">
        <f t="shared" si="16"/>
        <v>0</v>
      </c>
      <c r="BU35" s="388">
        <f t="shared" si="17"/>
        <v>0</v>
      </c>
      <c r="BV35" s="388">
        <f t="shared" si="18"/>
        <v>227.136</v>
      </c>
      <c r="BW35" s="388">
        <f t="shared" si="19"/>
        <v>0</v>
      </c>
      <c r="BX35" s="388">
        <f t="shared" si="34"/>
        <v>11613.638400000002</v>
      </c>
      <c r="BY35" s="388">
        <f t="shared" si="35"/>
        <v>0</v>
      </c>
      <c r="BZ35" s="388">
        <f t="shared" si="36"/>
        <v>1250</v>
      </c>
      <c r="CA35" s="388">
        <f t="shared" si="37"/>
        <v>0</v>
      </c>
      <c r="CB35" s="388">
        <f t="shared" si="38"/>
        <v>0</v>
      </c>
      <c r="CC35" s="388">
        <f t="shared" si="20"/>
        <v>0</v>
      </c>
      <c r="CD35" s="388">
        <f t="shared" si="21"/>
        <v>-442.62400000000054</v>
      </c>
      <c r="CE35" s="388">
        <f t="shared" si="22"/>
        <v>0</v>
      </c>
      <c r="CF35" s="388">
        <f t="shared" si="23"/>
        <v>0</v>
      </c>
      <c r="CG35" s="388">
        <f t="shared" si="24"/>
        <v>0</v>
      </c>
      <c r="CH35" s="388">
        <f t="shared" si="25"/>
        <v>23.295999999999985</v>
      </c>
      <c r="CI35" s="388">
        <f t="shared" si="26"/>
        <v>0</v>
      </c>
      <c r="CJ35" s="388">
        <f t="shared" si="39"/>
        <v>-419.32800000000054</v>
      </c>
      <c r="CK35" s="388" t="str">
        <f t="shared" si="40"/>
        <v/>
      </c>
      <c r="CL35" s="388" t="str">
        <f t="shared" si="41"/>
        <v/>
      </c>
      <c r="CM35" s="388" t="str">
        <f t="shared" si="42"/>
        <v/>
      </c>
      <c r="CN35" s="388" t="str">
        <f t="shared" si="43"/>
        <v>0001-00</v>
      </c>
    </row>
    <row r="36" spans="1:92" ht="15.75" thickBot="1" x14ac:dyDescent="0.3">
      <c r="A36" s="377" t="s">
        <v>162</v>
      </c>
      <c r="B36" s="377" t="s">
        <v>163</v>
      </c>
      <c r="C36" s="377" t="s">
        <v>351</v>
      </c>
      <c r="D36" s="377" t="s">
        <v>352</v>
      </c>
      <c r="E36" s="377" t="s">
        <v>265</v>
      </c>
      <c r="F36" s="378" t="s">
        <v>167</v>
      </c>
      <c r="G36" s="377" t="s">
        <v>266</v>
      </c>
      <c r="H36" s="379"/>
      <c r="I36" s="379"/>
      <c r="J36" s="377" t="s">
        <v>219</v>
      </c>
      <c r="K36" s="377" t="s">
        <v>353</v>
      </c>
      <c r="L36" s="377" t="s">
        <v>167</v>
      </c>
      <c r="M36" s="377" t="s">
        <v>172</v>
      </c>
      <c r="N36" s="377" t="s">
        <v>354</v>
      </c>
      <c r="O36" s="380">
        <v>0</v>
      </c>
      <c r="P36" s="386">
        <v>1</v>
      </c>
      <c r="Q36" s="386">
        <v>0</v>
      </c>
      <c r="R36" s="381">
        <v>0</v>
      </c>
      <c r="S36" s="386">
        <v>0</v>
      </c>
      <c r="T36" s="381">
        <v>11520</v>
      </c>
      <c r="U36" s="381">
        <v>0</v>
      </c>
      <c r="V36" s="381">
        <v>1021.61</v>
      </c>
      <c r="W36" s="381">
        <v>11520</v>
      </c>
      <c r="X36" s="381">
        <v>1021.61</v>
      </c>
      <c r="Y36" s="381">
        <v>11520</v>
      </c>
      <c r="Z36" s="381">
        <v>1021.61</v>
      </c>
      <c r="AA36" s="379"/>
      <c r="AB36" s="377" t="s">
        <v>45</v>
      </c>
      <c r="AC36" s="377" t="s">
        <v>45</v>
      </c>
      <c r="AD36" s="379"/>
      <c r="AE36" s="379"/>
      <c r="AF36" s="379"/>
      <c r="AG36" s="379"/>
      <c r="AH36" s="380">
        <v>0</v>
      </c>
      <c r="AI36" s="380">
        <v>0</v>
      </c>
      <c r="AJ36" s="379"/>
      <c r="AK36" s="379"/>
      <c r="AL36" s="377" t="s">
        <v>182</v>
      </c>
      <c r="AM36" s="379"/>
      <c r="AN36" s="379"/>
      <c r="AO36" s="380">
        <v>0</v>
      </c>
      <c r="AP36" s="386">
        <v>0</v>
      </c>
      <c r="AQ36" s="386">
        <v>0</v>
      </c>
      <c r="AR36" s="385"/>
      <c r="AS36" s="388">
        <f t="shared" si="27"/>
        <v>0</v>
      </c>
      <c r="AT36">
        <f t="shared" si="28"/>
        <v>0</v>
      </c>
      <c r="AU36" s="388" t="str">
        <f>IF(AT36=0,"",IF(AND(AT36=1,M36="F",SUMIF(C2:C258,C36,AS2:AS258)&lt;=1),SUMIF(C2:C258,C36,AS2:AS258),IF(AND(AT36=1,M36="F",SUMIF(C2:C258,C36,AS2:AS258)&gt;1),1,"")))</f>
        <v/>
      </c>
      <c r="AV36" s="388" t="str">
        <f>IF(AT36=0,"",IF(AND(AT36=3,M36="F",SUMIF(C2:C258,C36,AS2:AS258)&lt;=1),SUMIF(C2:C258,C36,AS2:AS258),IF(AND(AT36=3,M36="F",SUMIF(C2:C258,C36,AS2:AS258)&gt;1),1,"")))</f>
        <v/>
      </c>
      <c r="AW36" s="388">
        <f>SUMIF(C2:C258,C36,O2:O258)</f>
        <v>0</v>
      </c>
      <c r="AX36" s="388">
        <f>IF(AND(M36="F",AS36&lt;&gt;0),SUMIF(C2:C258,C36,W2:W258),0)</f>
        <v>0</v>
      </c>
      <c r="AY36" s="388" t="str">
        <f t="shared" si="29"/>
        <v/>
      </c>
      <c r="AZ36" s="388" t="str">
        <f t="shared" si="30"/>
        <v/>
      </c>
      <c r="BA36" s="388">
        <f t="shared" si="31"/>
        <v>0</v>
      </c>
      <c r="BB36" s="388">
        <f t="shared" si="0"/>
        <v>0</v>
      </c>
      <c r="BC36" s="388">
        <f t="shared" si="1"/>
        <v>0</v>
      </c>
      <c r="BD36" s="388">
        <f t="shared" si="2"/>
        <v>0</v>
      </c>
      <c r="BE36" s="388">
        <f t="shared" si="3"/>
        <v>0</v>
      </c>
      <c r="BF36" s="388">
        <f t="shared" si="4"/>
        <v>0</v>
      </c>
      <c r="BG36" s="388">
        <f t="shared" si="5"/>
        <v>0</v>
      </c>
      <c r="BH36" s="388">
        <f t="shared" si="6"/>
        <v>0</v>
      </c>
      <c r="BI36" s="388">
        <f t="shared" si="7"/>
        <v>0</v>
      </c>
      <c r="BJ36" s="388">
        <f t="shared" si="8"/>
        <v>0</v>
      </c>
      <c r="BK36" s="388">
        <f t="shared" si="9"/>
        <v>0</v>
      </c>
      <c r="BL36" s="388">
        <f t="shared" si="32"/>
        <v>0</v>
      </c>
      <c r="BM36" s="388">
        <f t="shared" si="33"/>
        <v>0</v>
      </c>
      <c r="BN36" s="388">
        <f t="shared" si="10"/>
        <v>0</v>
      </c>
      <c r="BO36" s="388">
        <f t="shared" si="11"/>
        <v>0</v>
      </c>
      <c r="BP36" s="388">
        <f t="shared" si="12"/>
        <v>0</v>
      </c>
      <c r="BQ36" s="388">
        <f t="shared" si="13"/>
        <v>0</v>
      </c>
      <c r="BR36" s="388">
        <f t="shared" si="14"/>
        <v>0</v>
      </c>
      <c r="BS36" s="388">
        <f t="shared" si="15"/>
        <v>0</v>
      </c>
      <c r="BT36" s="388">
        <f t="shared" si="16"/>
        <v>0</v>
      </c>
      <c r="BU36" s="388">
        <f t="shared" si="17"/>
        <v>0</v>
      </c>
      <c r="BV36" s="388">
        <f t="shared" si="18"/>
        <v>0</v>
      </c>
      <c r="BW36" s="388">
        <f t="shared" si="19"/>
        <v>0</v>
      </c>
      <c r="BX36" s="388">
        <f t="shared" si="34"/>
        <v>0</v>
      </c>
      <c r="BY36" s="388">
        <f t="shared" si="35"/>
        <v>0</v>
      </c>
      <c r="BZ36" s="388">
        <f t="shared" si="36"/>
        <v>0</v>
      </c>
      <c r="CA36" s="388">
        <f t="shared" si="37"/>
        <v>0</v>
      </c>
      <c r="CB36" s="388">
        <f t="shared" si="38"/>
        <v>0</v>
      </c>
      <c r="CC36" s="388">
        <f t="shared" si="20"/>
        <v>0</v>
      </c>
      <c r="CD36" s="388">
        <f t="shared" si="21"/>
        <v>0</v>
      </c>
      <c r="CE36" s="388">
        <f t="shared" si="22"/>
        <v>0</v>
      </c>
      <c r="CF36" s="388">
        <f t="shared" si="23"/>
        <v>0</v>
      </c>
      <c r="CG36" s="388">
        <f t="shared" si="24"/>
        <v>0</v>
      </c>
      <c r="CH36" s="388">
        <f t="shared" si="25"/>
        <v>0</v>
      </c>
      <c r="CI36" s="388">
        <f t="shared" si="26"/>
        <v>0</v>
      </c>
      <c r="CJ36" s="388">
        <f t="shared" si="39"/>
        <v>0</v>
      </c>
      <c r="CK36" s="388" t="str">
        <f t="shared" si="40"/>
        <v/>
      </c>
      <c r="CL36" s="388">
        <f t="shared" si="41"/>
        <v>11520</v>
      </c>
      <c r="CM36" s="388">
        <f t="shared" si="42"/>
        <v>1021.61</v>
      </c>
      <c r="CN36" s="388" t="str">
        <f t="shared" si="43"/>
        <v>0001-00</v>
      </c>
    </row>
    <row r="37" spans="1:92" ht="15.75" thickBot="1" x14ac:dyDescent="0.3">
      <c r="A37" s="377" t="s">
        <v>162</v>
      </c>
      <c r="B37" s="377" t="s">
        <v>163</v>
      </c>
      <c r="C37" s="377" t="s">
        <v>355</v>
      </c>
      <c r="D37" s="377" t="s">
        <v>251</v>
      </c>
      <c r="E37" s="377" t="s">
        <v>265</v>
      </c>
      <c r="F37" s="378" t="s">
        <v>167</v>
      </c>
      <c r="G37" s="377" t="s">
        <v>266</v>
      </c>
      <c r="H37" s="379"/>
      <c r="I37" s="379"/>
      <c r="J37" s="377" t="s">
        <v>219</v>
      </c>
      <c r="K37" s="377" t="s">
        <v>252</v>
      </c>
      <c r="L37" s="377" t="s">
        <v>179</v>
      </c>
      <c r="M37" s="377" t="s">
        <v>172</v>
      </c>
      <c r="N37" s="377" t="s">
        <v>173</v>
      </c>
      <c r="O37" s="380">
        <v>1</v>
      </c>
      <c r="P37" s="386">
        <v>0</v>
      </c>
      <c r="Q37" s="386">
        <v>0</v>
      </c>
      <c r="R37" s="381">
        <v>80</v>
      </c>
      <c r="S37" s="386">
        <v>0</v>
      </c>
      <c r="T37" s="381">
        <v>195.27</v>
      </c>
      <c r="U37" s="381">
        <v>0</v>
      </c>
      <c r="V37" s="381">
        <v>109.34</v>
      </c>
      <c r="W37" s="381">
        <v>0</v>
      </c>
      <c r="X37" s="381">
        <v>0</v>
      </c>
      <c r="Y37" s="381">
        <v>0</v>
      </c>
      <c r="Z37" s="381">
        <v>0</v>
      </c>
      <c r="AA37" s="377" t="s">
        <v>356</v>
      </c>
      <c r="AB37" s="377" t="s">
        <v>357</v>
      </c>
      <c r="AC37" s="377" t="s">
        <v>358</v>
      </c>
      <c r="AD37" s="377" t="s">
        <v>359</v>
      </c>
      <c r="AE37" s="377" t="s">
        <v>252</v>
      </c>
      <c r="AF37" s="377" t="s">
        <v>257</v>
      </c>
      <c r="AG37" s="377" t="s">
        <v>179</v>
      </c>
      <c r="AH37" s="382">
        <v>17.309999999999999</v>
      </c>
      <c r="AI37" s="380">
        <v>161</v>
      </c>
      <c r="AJ37" s="377" t="s">
        <v>180</v>
      </c>
      <c r="AK37" s="377" t="s">
        <v>181</v>
      </c>
      <c r="AL37" s="377" t="s">
        <v>182</v>
      </c>
      <c r="AM37" s="377" t="s">
        <v>183</v>
      </c>
      <c r="AN37" s="377" t="s">
        <v>66</v>
      </c>
      <c r="AO37" s="380">
        <v>80</v>
      </c>
      <c r="AP37" s="386">
        <v>1</v>
      </c>
      <c r="AQ37" s="386">
        <v>0</v>
      </c>
      <c r="AR37" s="384" t="s">
        <v>184</v>
      </c>
      <c r="AS37" s="388">
        <f t="shared" si="27"/>
        <v>0</v>
      </c>
      <c r="AT37">
        <f t="shared" si="28"/>
        <v>0</v>
      </c>
      <c r="AU37" s="388" t="str">
        <f>IF(AT37=0,"",IF(AND(AT37=1,M37="F",SUMIF(C2:C258,C37,AS2:AS258)&lt;=1),SUMIF(C2:C258,C37,AS2:AS258),IF(AND(AT37=1,M37="F",SUMIF(C2:C258,C37,AS2:AS258)&gt;1),1,"")))</f>
        <v/>
      </c>
      <c r="AV37" s="388" t="str">
        <f>IF(AT37=0,"",IF(AND(AT37=3,M37="F",SUMIF(C2:C258,C37,AS2:AS258)&lt;=1),SUMIF(C2:C258,C37,AS2:AS258),IF(AND(AT37=3,M37="F",SUMIF(C2:C258,C37,AS2:AS258)&gt;1),1,"")))</f>
        <v/>
      </c>
      <c r="AW37" s="388">
        <f>SUMIF(C2:C258,C37,O2:O258)</f>
        <v>2</v>
      </c>
      <c r="AX37" s="388">
        <f>IF(AND(M37="F",AS37&lt;&gt;0),SUMIF(C2:C258,C37,W2:W258),0)</f>
        <v>0</v>
      </c>
      <c r="AY37" s="388" t="str">
        <f t="shared" si="29"/>
        <v/>
      </c>
      <c r="AZ37" s="388" t="str">
        <f t="shared" si="30"/>
        <v/>
      </c>
      <c r="BA37" s="388">
        <f t="shared" si="31"/>
        <v>0</v>
      </c>
      <c r="BB37" s="388">
        <f t="shared" si="0"/>
        <v>0</v>
      </c>
      <c r="BC37" s="388">
        <f t="shared" si="1"/>
        <v>0</v>
      </c>
      <c r="BD37" s="388">
        <f t="shared" si="2"/>
        <v>0</v>
      </c>
      <c r="BE37" s="388">
        <f t="shared" si="3"/>
        <v>0</v>
      </c>
      <c r="BF37" s="388">
        <f t="shared" si="4"/>
        <v>0</v>
      </c>
      <c r="BG37" s="388">
        <f t="shared" si="5"/>
        <v>0</v>
      </c>
      <c r="BH37" s="388">
        <f t="shared" si="6"/>
        <v>0</v>
      </c>
      <c r="BI37" s="388">
        <f t="shared" si="7"/>
        <v>0</v>
      </c>
      <c r="BJ37" s="388">
        <f t="shared" si="8"/>
        <v>0</v>
      </c>
      <c r="BK37" s="388">
        <f t="shared" si="9"/>
        <v>0</v>
      </c>
      <c r="BL37" s="388">
        <f t="shared" si="32"/>
        <v>0</v>
      </c>
      <c r="BM37" s="388">
        <f t="shared" si="33"/>
        <v>0</v>
      </c>
      <c r="BN37" s="388">
        <f t="shared" si="10"/>
        <v>0</v>
      </c>
      <c r="BO37" s="388">
        <f t="shared" si="11"/>
        <v>0</v>
      </c>
      <c r="BP37" s="388">
        <f t="shared" si="12"/>
        <v>0</v>
      </c>
      <c r="BQ37" s="388">
        <f t="shared" si="13"/>
        <v>0</v>
      </c>
      <c r="BR37" s="388">
        <f t="shared" si="14"/>
        <v>0</v>
      </c>
      <c r="BS37" s="388">
        <f t="shared" si="15"/>
        <v>0</v>
      </c>
      <c r="BT37" s="388">
        <f t="shared" si="16"/>
        <v>0</v>
      </c>
      <c r="BU37" s="388">
        <f t="shared" si="17"/>
        <v>0</v>
      </c>
      <c r="BV37" s="388">
        <f t="shared" si="18"/>
        <v>0</v>
      </c>
      <c r="BW37" s="388">
        <f t="shared" si="19"/>
        <v>0</v>
      </c>
      <c r="BX37" s="388">
        <f t="shared" si="34"/>
        <v>0</v>
      </c>
      <c r="BY37" s="388">
        <f t="shared" si="35"/>
        <v>0</v>
      </c>
      <c r="BZ37" s="388">
        <f t="shared" si="36"/>
        <v>0</v>
      </c>
      <c r="CA37" s="388">
        <f t="shared" si="37"/>
        <v>0</v>
      </c>
      <c r="CB37" s="388">
        <f t="shared" si="38"/>
        <v>0</v>
      </c>
      <c r="CC37" s="388">
        <f t="shared" si="20"/>
        <v>0</v>
      </c>
      <c r="CD37" s="388">
        <f t="shared" si="21"/>
        <v>0</v>
      </c>
      <c r="CE37" s="388">
        <f t="shared" si="22"/>
        <v>0</v>
      </c>
      <c r="CF37" s="388">
        <f t="shared" si="23"/>
        <v>0</v>
      </c>
      <c r="CG37" s="388">
        <f t="shared" si="24"/>
        <v>0</v>
      </c>
      <c r="CH37" s="388">
        <f t="shared" si="25"/>
        <v>0</v>
      </c>
      <c r="CI37" s="388">
        <f t="shared" si="26"/>
        <v>0</v>
      </c>
      <c r="CJ37" s="388">
        <f t="shared" si="39"/>
        <v>0</v>
      </c>
      <c r="CK37" s="388" t="str">
        <f t="shared" si="40"/>
        <v/>
      </c>
      <c r="CL37" s="388" t="str">
        <f t="shared" si="41"/>
        <v/>
      </c>
      <c r="CM37" s="388" t="str">
        <f t="shared" si="42"/>
        <v/>
      </c>
      <c r="CN37" s="388" t="str">
        <f t="shared" si="43"/>
        <v>0001-00</v>
      </c>
    </row>
    <row r="38" spans="1:92" ht="15.75" thickBot="1" x14ac:dyDescent="0.3">
      <c r="A38" s="377" t="s">
        <v>162</v>
      </c>
      <c r="B38" s="377" t="s">
        <v>163</v>
      </c>
      <c r="C38" s="377" t="s">
        <v>217</v>
      </c>
      <c r="D38" s="377" t="s">
        <v>218</v>
      </c>
      <c r="E38" s="377" t="s">
        <v>265</v>
      </c>
      <c r="F38" s="378" t="s">
        <v>167</v>
      </c>
      <c r="G38" s="377" t="s">
        <v>266</v>
      </c>
      <c r="H38" s="379"/>
      <c r="I38" s="379"/>
      <c r="J38" s="377" t="s">
        <v>219</v>
      </c>
      <c r="K38" s="377" t="s">
        <v>220</v>
      </c>
      <c r="L38" s="377" t="s">
        <v>167</v>
      </c>
      <c r="M38" s="377" t="s">
        <v>172</v>
      </c>
      <c r="N38" s="377" t="s">
        <v>173</v>
      </c>
      <c r="O38" s="380">
        <v>1</v>
      </c>
      <c r="P38" s="386">
        <v>1</v>
      </c>
      <c r="Q38" s="386">
        <v>1</v>
      </c>
      <c r="R38" s="381">
        <v>80</v>
      </c>
      <c r="S38" s="386">
        <v>1</v>
      </c>
      <c r="T38" s="381">
        <v>23554.73</v>
      </c>
      <c r="U38" s="381">
        <v>0</v>
      </c>
      <c r="V38" s="381">
        <v>10626.76</v>
      </c>
      <c r="W38" s="381">
        <v>49275.199999999997</v>
      </c>
      <c r="X38" s="381">
        <v>22680.73</v>
      </c>
      <c r="Y38" s="381">
        <v>49275.199999999997</v>
      </c>
      <c r="Z38" s="381">
        <v>23575.95</v>
      </c>
      <c r="AA38" s="377" t="s">
        <v>221</v>
      </c>
      <c r="AB38" s="377" t="s">
        <v>222</v>
      </c>
      <c r="AC38" s="377" t="s">
        <v>223</v>
      </c>
      <c r="AD38" s="377" t="s">
        <v>224</v>
      </c>
      <c r="AE38" s="377" t="s">
        <v>210</v>
      </c>
      <c r="AF38" s="377" t="s">
        <v>216</v>
      </c>
      <c r="AG38" s="377" t="s">
        <v>179</v>
      </c>
      <c r="AH38" s="382">
        <v>23.69</v>
      </c>
      <c r="AI38" s="380">
        <v>840</v>
      </c>
      <c r="AJ38" s="377" t="s">
        <v>180</v>
      </c>
      <c r="AK38" s="377" t="s">
        <v>181</v>
      </c>
      <c r="AL38" s="377" t="s">
        <v>182</v>
      </c>
      <c r="AM38" s="377" t="s">
        <v>183</v>
      </c>
      <c r="AN38" s="377" t="s">
        <v>66</v>
      </c>
      <c r="AO38" s="380">
        <v>80</v>
      </c>
      <c r="AP38" s="386">
        <v>1</v>
      </c>
      <c r="AQ38" s="386">
        <v>1</v>
      </c>
      <c r="AR38" s="384" t="s">
        <v>184</v>
      </c>
      <c r="AS38" s="388">
        <f t="shared" si="27"/>
        <v>1</v>
      </c>
      <c r="AT38">
        <f t="shared" si="28"/>
        <v>1</v>
      </c>
      <c r="AU38" s="388">
        <f>IF(AT38=0,"",IF(AND(AT38=1,M38="F",SUMIF(C2:C258,C38,AS2:AS258)&lt;=1),SUMIF(C2:C258,C38,AS2:AS258),IF(AND(AT38=1,M38="F",SUMIF(C2:C258,C38,AS2:AS258)&gt;1),1,"")))</f>
        <v>1</v>
      </c>
      <c r="AV38" s="388" t="str">
        <f>IF(AT38=0,"",IF(AND(AT38=3,M38="F",SUMIF(C2:C258,C38,AS2:AS258)&lt;=1),SUMIF(C2:C258,C38,AS2:AS258),IF(AND(AT38=3,M38="F",SUMIF(C2:C258,C38,AS2:AS258)&gt;1),1,"")))</f>
        <v/>
      </c>
      <c r="AW38" s="388">
        <f>SUMIF(C2:C258,C38,O2:O258)</f>
        <v>2</v>
      </c>
      <c r="AX38" s="388">
        <f>IF(AND(M38="F",AS38&lt;&gt;0),SUMIF(C2:C258,C38,W2:W258),0)</f>
        <v>49275.199999999997</v>
      </c>
      <c r="AY38" s="388">
        <f t="shared" si="29"/>
        <v>49275.199999999997</v>
      </c>
      <c r="AZ38" s="388" t="str">
        <f t="shared" si="30"/>
        <v/>
      </c>
      <c r="BA38" s="388">
        <f t="shared" si="31"/>
        <v>0</v>
      </c>
      <c r="BB38" s="388">
        <f t="shared" si="0"/>
        <v>12500</v>
      </c>
      <c r="BC38" s="388">
        <f t="shared" si="1"/>
        <v>0</v>
      </c>
      <c r="BD38" s="388">
        <f t="shared" si="2"/>
        <v>3055.0623999999998</v>
      </c>
      <c r="BE38" s="388">
        <f t="shared" si="3"/>
        <v>714.49040000000002</v>
      </c>
      <c r="BF38" s="388">
        <f t="shared" si="4"/>
        <v>5883.4588800000001</v>
      </c>
      <c r="BG38" s="388">
        <f t="shared" si="5"/>
        <v>355.27419199999997</v>
      </c>
      <c r="BH38" s="388">
        <f t="shared" si="6"/>
        <v>0</v>
      </c>
      <c r="BI38" s="388">
        <f t="shared" si="7"/>
        <v>0</v>
      </c>
      <c r="BJ38" s="388">
        <f t="shared" si="8"/>
        <v>172.4632</v>
      </c>
      <c r="BK38" s="388">
        <f t="shared" si="9"/>
        <v>0</v>
      </c>
      <c r="BL38" s="388">
        <f t="shared" si="32"/>
        <v>10180.749072000001</v>
      </c>
      <c r="BM38" s="388">
        <f t="shared" si="33"/>
        <v>0</v>
      </c>
      <c r="BN38" s="388">
        <f t="shared" si="10"/>
        <v>13750</v>
      </c>
      <c r="BO38" s="388">
        <f t="shared" si="11"/>
        <v>0</v>
      </c>
      <c r="BP38" s="388">
        <f t="shared" si="12"/>
        <v>3055.0623999999998</v>
      </c>
      <c r="BQ38" s="388">
        <f t="shared" si="13"/>
        <v>714.49040000000002</v>
      </c>
      <c r="BR38" s="388">
        <f t="shared" si="14"/>
        <v>5508.9673599999996</v>
      </c>
      <c r="BS38" s="388">
        <f t="shared" si="15"/>
        <v>355.27419199999997</v>
      </c>
      <c r="BT38" s="388">
        <f t="shared" si="16"/>
        <v>0</v>
      </c>
      <c r="BU38" s="388">
        <f t="shared" si="17"/>
        <v>0</v>
      </c>
      <c r="BV38" s="388">
        <f t="shared" si="18"/>
        <v>192.17327999999998</v>
      </c>
      <c r="BW38" s="388">
        <f t="shared" si="19"/>
        <v>0</v>
      </c>
      <c r="BX38" s="388">
        <f t="shared" si="34"/>
        <v>9825.9676319999999</v>
      </c>
      <c r="BY38" s="388">
        <f t="shared" si="35"/>
        <v>0</v>
      </c>
      <c r="BZ38" s="388">
        <f t="shared" si="36"/>
        <v>1250</v>
      </c>
      <c r="CA38" s="388">
        <f t="shared" si="37"/>
        <v>0</v>
      </c>
      <c r="CB38" s="388">
        <f t="shared" si="38"/>
        <v>0</v>
      </c>
      <c r="CC38" s="388">
        <f t="shared" si="20"/>
        <v>0</v>
      </c>
      <c r="CD38" s="388">
        <f t="shared" si="21"/>
        <v>-374.49152000000043</v>
      </c>
      <c r="CE38" s="388">
        <f t="shared" si="22"/>
        <v>0</v>
      </c>
      <c r="CF38" s="388">
        <f t="shared" si="23"/>
        <v>0</v>
      </c>
      <c r="CG38" s="388">
        <f t="shared" si="24"/>
        <v>0</v>
      </c>
      <c r="CH38" s="388">
        <f t="shared" si="25"/>
        <v>19.710079999999987</v>
      </c>
      <c r="CI38" s="388">
        <f t="shared" si="26"/>
        <v>0</v>
      </c>
      <c r="CJ38" s="388">
        <f t="shared" si="39"/>
        <v>-354.78144000000043</v>
      </c>
      <c r="CK38" s="388" t="str">
        <f t="shared" si="40"/>
        <v/>
      </c>
      <c r="CL38" s="388" t="str">
        <f t="shared" si="41"/>
        <v/>
      </c>
      <c r="CM38" s="388" t="str">
        <f t="shared" si="42"/>
        <v/>
      </c>
      <c r="CN38" s="388" t="str">
        <f t="shared" si="43"/>
        <v>0001-00</v>
      </c>
    </row>
    <row r="39" spans="1:92" ht="15.75" thickBot="1" x14ac:dyDescent="0.3">
      <c r="A39" s="377" t="s">
        <v>162</v>
      </c>
      <c r="B39" s="377" t="s">
        <v>163</v>
      </c>
      <c r="C39" s="377" t="s">
        <v>360</v>
      </c>
      <c r="D39" s="377" t="s">
        <v>361</v>
      </c>
      <c r="E39" s="377" t="s">
        <v>265</v>
      </c>
      <c r="F39" s="378" t="s">
        <v>167</v>
      </c>
      <c r="G39" s="377" t="s">
        <v>266</v>
      </c>
      <c r="H39" s="379"/>
      <c r="I39" s="379"/>
      <c r="J39" s="377" t="s">
        <v>219</v>
      </c>
      <c r="K39" s="377" t="s">
        <v>362</v>
      </c>
      <c r="L39" s="377" t="s">
        <v>167</v>
      </c>
      <c r="M39" s="377" t="s">
        <v>172</v>
      </c>
      <c r="N39" s="377" t="s">
        <v>173</v>
      </c>
      <c r="O39" s="380">
        <v>1</v>
      </c>
      <c r="P39" s="386">
        <v>1</v>
      </c>
      <c r="Q39" s="386">
        <v>1</v>
      </c>
      <c r="R39" s="381">
        <v>80</v>
      </c>
      <c r="S39" s="386">
        <v>1</v>
      </c>
      <c r="T39" s="381">
        <v>94032.35</v>
      </c>
      <c r="U39" s="381">
        <v>0</v>
      </c>
      <c r="V39" s="381">
        <v>30533.96</v>
      </c>
      <c r="W39" s="381">
        <v>90750.399999999994</v>
      </c>
      <c r="X39" s="381">
        <v>31249.919999999998</v>
      </c>
      <c r="Y39" s="381">
        <v>90750.399999999994</v>
      </c>
      <c r="Z39" s="381">
        <v>31846.52</v>
      </c>
      <c r="AA39" s="377" t="s">
        <v>363</v>
      </c>
      <c r="AB39" s="377" t="s">
        <v>364</v>
      </c>
      <c r="AC39" s="377" t="s">
        <v>365</v>
      </c>
      <c r="AD39" s="377" t="s">
        <v>366</v>
      </c>
      <c r="AE39" s="377" t="s">
        <v>362</v>
      </c>
      <c r="AF39" s="377" t="s">
        <v>207</v>
      </c>
      <c r="AG39" s="377" t="s">
        <v>179</v>
      </c>
      <c r="AH39" s="382">
        <v>43.63</v>
      </c>
      <c r="AI39" s="382">
        <v>21905.4</v>
      </c>
      <c r="AJ39" s="377" t="s">
        <v>180</v>
      </c>
      <c r="AK39" s="377" t="s">
        <v>181</v>
      </c>
      <c r="AL39" s="377" t="s">
        <v>182</v>
      </c>
      <c r="AM39" s="377" t="s">
        <v>183</v>
      </c>
      <c r="AN39" s="377" t="s">
        <v>66</v>
      </c>
      <c r="AO39" s="380">
        <v>80</v>
      </c>
      <c r="AP39" s="386">
        <v>1</v>
      </c>
      <c r="AQ39" s="386">
        <v>1</v>
      </c>
      <c r="AR39" s="384" t="s">
        <v>184</v>
      </c>
      <c r="AS39" s="388">
        <f t="shared" si="27"/>
        <v>1</v>
      </c>
      <c r="AT39">
        <f t="shared" si="28"/>
        <v>1</v>
      </c>
      <c r="AU39" s="388">
        <f>IF(AT39=0,"",IF(AND(AT39=1,M39="F",SUMIF(C2:C258,C39,AS2:AS258)&lt;=1),SUMIF(C2:C258,C39,AS2:AS258),IF(AND(AT39=1,M39="F",SUMIF(C2:C258,C39,AS2:AS258)&gt;1),1,"")))</f>
        <v>1</v>
      </c>
      <c r="AV39" s="388" t="str">
        <f>IF(AT39=0,"",IF(AND(AT39=3,M39="F",SUMIF(C2:C258,C39,AS2:AS258)&lt;=1),SUMIF(C2:C258,C39,AS2:AS258),IF(AND(AT39=3,M39="F",SUMIF(C2:C258,C39,AS2:AS258)&gt;1),1,"")))</f>
        <v/>
      </c>
      <c r="AW39" s="388">
        <f>SUMIF(C2:C258,C39,O2:O258)</f>
        <v>2</v>
      </c>
      <c r="AX39" s="388">
        <f>IF(AND(M39="F",AS39&lt;&gt;0),SUMIF(C2:C258,C39,W2:W258),0)</f>
        <v>90750.399999999994</v>
      </c>
      <c r="AY39" s="388">
        <f t="shared" si="29"/>
        <v>90750.399999999994</v>
      </c>
      <c r="AZ39" s="388" t="str">
        <f t="shared" si="30"/>
        <v/>
      </c>
      <c r="BA39" s="388">
        <f t="shared" si="31"/>
        <v>0</v>
      </c>
      <c r="BB39" s="388">
        <f t="shared" si="0"/>
        <v>12500</v>
      </c>
      <c r="BC39" s="388">
        <f t="shared" si="1"/>
        <v>0</v>
      </c>
      <c r="BD39" s="388">
        <f t="shared" si="2"/>
        <v>5626.5247999999992</v>
      </c>
      <c r="BE39" s="388">
        <f t="shared" si="3"/>
        <v>1315.8807999999999</v>
      </c>
      <c r="BF39" s="388">
        <f t="shared" si="4"/>
        <v>10835.597760000001</v>
      </c>
      <c r="BG39" s="388">
        <f t="shared" si="5"/>
        <v>654.310384</v>
      </c>
      <c r="BH39" s="388">
        <f t="shared" si="6"/>
        <v>0</v>
      </c>
      <c r="BI39" s="388">
        <f t="shared" si="7"/>
        <v>0</v>
      </c>
      <c r="BJ39" s="388">
        <f t="shared" si="8"/>
        <v>317.62639999999999</v>
      </c>
      <c r="BK39" s="388">
        <f t="shared" si="9"/>
        <v>0</v>
      </c>
      <c r="BL39" s="388">
        <f t="shared" si="32"/>
        <v>18749.940144</v>
      </c>
      <c r="BM39" s="388">
        <f t="shared" si="33"/>
        <v>0</v>
      </c>
      <c r="BN39" s="388">
        <f t="shared" si="10"/>
        <v>13750</v>
      </c>
      <c r="BO39" s="388">
        <f t="shared" si="11"/>
        <v>0</v>
      </c>
      <c r="BP39" s="388">
        <f t="shared" si="12"/>
        <v>5626.5247999999992</v>
      </c>
      <c r="BQ39" s="388">
        <f t="shared" si="13"/>
        <v>1315.8807999999999</v>
      </c>
      <c r="BR39" s="388">
        <f t="shared" si="14"/>
        <v>10145.894719999998</v>
      </c>
      <c r="BS39" s="388">
        <f t="shared" si="15"/>
        <v>654.310384</v>
      </c>
      <c r="BT39" s="388">
        <f t="shared" si="16"/>
        <v>0</v>
      </c>
      <c r="BU39" s="388">
        <f t="shared" si="17"/>
        <v>0</v>
      </c>
      <c r="BV39" s="388">
        <f t="shared" si="18"/>
        <v>353.92655999999994</v>
      </c>
      <c r="BW39" s="388">
        <f t="shared" si="19"/>
        <v>0</v>
      </c>
      <c r="BX39" s="388">
        <f t="shared" si="34"/>
        <v>18096.537263999999</v>
      </c>
      <c r="BY39" s="388">
        <f t="shared" si="35"/>
        <v>0</v>
      </c>
      <c r="BZ39" s="388">
        <f t="shared" si="36"/>
        <v>1250</v>
      </c>
      <c r="CA39" s="388">
        <f t="shared" si="37"/>
        <v>0</v>
      </c>
      <c r="CB39" s="388">
        <f t="shared" si="38"/>
        <v>0</v>
      </c>
      <c r="CC39" s="388">
        <f t="shared" si="20"/>
        <v>0</v>
      </c>
      <c r="CD39" s="388">
        <f t="shared" si="21"/>
        <v>-689.70304000000078</v>
      </c>
      <c r="CE39" s="388">
        <f t="shared" si="22"/>
        <v>0</v>
      </c>
      <c r="CF39" s="388">
        <f t="shared" si="23"/>
        <v>0</v>
      </c>
      <c r="CG39" s="388">
        <f t="shared" si="24"/>
        <v>0</v>
      </c>
      <c r="CH39" s="388">
        <f t="shared" si="25"/>
        <v>36.300159999999977</v>
      </c>
      <c r="CI39" s="388">
        <f t="shared" si="26"/>
        <v>0</v>
      </c>
      <c r="CJ39" s="388">
        <f t="shared" si="39"/>
        <v>-653.40288000000078</v>
      </c>
      <c r="CK39" s="388" t="str">
        <f t="shared" si="40"/>
        <v/>
      </c>
      <c r="CL39" s="388" t="str">
        <f t="shared" si="41"/>
        <v/>
      </c>
      <c r="CM39" s="388" t="str">
        <f t="shared" si="42"/>
        <v/>
      </c>
      <c r="CN39" s="388" t="str">
        <f t="shared" si="43"/>
        <v>0001-00</v>
      </c>
    </row>
    <row r="40" spans="1:92" ht="15.75" thickBot="1" x14ac:dyDescent="0.3">
      <c r="A40" s="377" t="s">
        <v>162</v>
      </c>
      <c r="B40" s="377" t="s">
        <v>163</v>
      </c>
      <c r="C40" s="377" t="s">
        <v>225</v>
      </c>
      <c r="D40" s="377" t="s">
        <v>194</v>
      </c>
      <c r="E40" s="377" t="s">
        <v>265</v>
      </c>
      <c r="F40" s="378" t="s">
        <v>167</v>
      </c>
      <c r="G40" s="377" t="s">
        <v>266</v>
      </c>
      <c r="H40" s="379"/>
      <c r="I40" s="379"/>
      <c r="J40" s="377" t="s">
        <v>169</v>
      </c>
      <c r="K40" s="377" t="s">
        <v>226</v>
      </c>
      <c r="L40" s="377" t="s">
        <v>215</v>
      </c>
      <c r="M40" s="377" t="s">
        <v>172</v>
      </c>
      <c r="N40" s="377" t="s">
        <v>173</v>
      </c>
      <c r="O40" s="380">
        <v>1</v>
      </c>
      <c r="P40" s="386">
        <v>0.9</v>
      </c>
      <c r="Q40" s="386">
        <v>0.9</v>
      </c>
      <c r="R40" s="381">
        <v>80</v>
      </c>
      <c r="S40" s="386">
        <v>0.9</v>
      </c>
      <c r="T40" s="381">
        <v>33591.120000000003</v>
      </c>
      <c r="U40" s="381">
        <v>0</v>
      </c>
      <c r="V40" s="381">
        <v>13123.77</v>
      </c>
      <c r="W40" s="381">
        <v>46350.720000000001</v>
      </c>
      <c r="X40" s="381">
        <v>20826.5</v>
      </c>
      <c r="Y40" s="381">
        <v>46350.720000000001</v>
      </c>
      <c r="Z40" s="381">
        <v>21617.77</v>
      </c>
      <c r="AA40" s="377" t="s">
        <v>227</v>
      </c>
      <c r="AB40" s="377" t="s">
        <v>228</v>
      </c>
      <c r="AC40" s="377" t="s">
        <v>229</v>
      </c>
      <c r="AD40" s="377" t="s">
        <v>230</v>
      </c>
      <c r="AE40" s="377" t="s">
        <v>226</v>
      </c>
      <c r="AF40" s="377" t="s">
        <v>231</v>
      </c>
      <c r="AG40" s="377" t="s">
        <v>179</v>
      </c>
      <c r="AH40" s="382">
        <v>24.76</v>
      </c>
      <c r="AI40" s="380">
        <v>32</v>
      </c>
      <c r="AJ40" s="377" t="s">
        <v>180</v>
      </c>
      <c r="AK40" s="377" t="s">
        <v>181</v>
      </c>
      <c r="AL40" s="377" t="s">
        <v>182</v>
      </c>
      <c r="AM40" s="377" t="s">
        <v>183</v>
      </c>
      <c r="AN40" s="377" t="s">
        <v>66</v>
      </c>
      <c r="AO40" s="380">
        <v>80</v>
      </c>
      <c r="AP40" s="386">
        <v>1</v>
      </c>
      <c r="AQ40" s="386">
        <v>0.9</v>
      </c>
      <c r="AR40" s="384" t="s">
        <v>184</v>
      </c>
      <c r="AS40" s="388">
        <f t="shared" si="27"/>
        <v>0.9</v>
      </c>
      <c r="AT40">
        <f t="shared" si="28"/>
        <v>1</v>
      </c>
      <c r="AU40" s="388">
        <f>IF(AT40=0,"",IF(AND(AT40=1,M40="F",SUMIF(C2:C258,C40,AS2:AS258)&lt;=1),SUMIF(C2:C258,C40,AS2:AS258),IF(AND(AT40=1,M40="F",SUMIF(C2:C258,C40,AS2:AS258)&gt;1),1,"")))</f>
        <v>1</v>
      </c>
      <c r="AV40" s="388" t="str">
        <f>IF(AT40=0,"",IF(AND(AT40=3,M40="F",SUMIF(C2:C258,C40,AS2:AS258)&lt;=1),SUMIF(C2:C258,C40,AS2:AS258),IF(AND(AT40=3,M40="F",SUMIF(C2:C258,C40,AS2:AS258)&gt;1),1,"")))</f>
        <v/>
      </c>
      <c r="AW40" s="388">
        <f>SUMIF(C2:C258,C40,O2:O258)</f>
        <v>2</v>
      </c>
      <c r="AX40" s="388">
        <f>IF(AND(M40="F",AS40&lt;&gt;0),SUMIF(C2:C258,C40,W2:W258),0)</f>
        <v>51500.800000000003</v>
      </c>
      <c r="AY40" s="388">
        <f t="shared" si="29"/>
        <v>46350.720000000001</v>
      </c>
      <c r="AZ40" s="388" t="str">
        <f t="shared" si="30"/>
        <v/>
      </c>
      <c r="BA40" s="388">
        <f t="shared" si="31"/>
        <v>0</v>
      </c>
      <c r="BB40" s="388">
        <f t="shared" si="0"/>
        <v>11250</v>
      </c>
      <c r="BC40" s="388">
        <f t="shared" si="1"/>
        <v>0</v>
      </c>
      <c r="BD40" s="388">
        <f t="shared" si="2"/>
        <v>2873.7446399999999</v>
      </c>
      <c r="BE40" s="388">
        <f t="shared" si="3"/>
        <v>672.08544000000006</v>
      </c>
      <c r="BF40" s="388">
        <f t="shared" si="4"/>
        <v>5534.2759680000008</v>
      </c>
      <c r="BG40" s="388">
        <f t="shared" si="5"/>
        <v>334.18869119999999</v>
      </c>
      <c r="BH40" s="388">
        <f t="shared" si="6"/>
        <v>0</v>
      </c>
      <c r="BI40" s="388">
        <f t="shared" si="7"/>
        <v>0</v>
      </c>
      <c r="BJ40" s="388">
        <f t="shared" si="8"/>
        <v>162.22752</v>
      </c>
      <c r="BK40" s="388">
        <f t="shared" si="9"/>
        <v>0</v>
      </c>
      <c r="BL40" s="388">
        <f t="shared" si="32"/>
        <v>9576.5222592000027</v>
      </c>
      <c r="BM40" s="388">
        <f t="shared" si="33"/>
        <v>0</v>
      </c>
      <c r="BN40" s="388">
        <f t="shared" si="10"/>
        <v>12375</v>
      </c>
      <c r="BO40" s="388">
        <f t="shared" si="11"/>
        <v>0</v>
      </c>
      <c r="BP40" s="388">
        <f t="shared" si="12"/>
        <v>2873.7446399999999</v>
      </c>
      <c r="BQ40" s="388">
        <f t="shared" si="13"/>
        <v>672.08544000000006</v>
      </c>
      <c r="BR40" s="388">
        <f t="shared" si="14"/>
        <v>5182.0104959999999</v>
      </c>
      <c r="BS40" s="388">
        <f t="shared" si="15"/>
        <v>334.18869119999999</v>
      </c>
      <c r="BT40" s="388">
        <f t="shared" si="16"/>
        <v>0</v>
      </c>
      <c r="BU40" s="388">
        <f t="shared" si="17"/>
        <v>0</v>
      </c>
      <c r="BV40" s="388">
        <f t="shared" si="18"/>
        <v>180.767808</v>
      </c>
      <c r="BW40" s="388">
        <f t="shared" si="19"/>
        <v>0</v>
      </c>
      <c r="BX40" s="388">
        <f t="shared" si="34"/>
        <v>9242.7970752000001</v>
      </c>
      <c r="BY40" s="388">
        <f t="shared" si="35"/>
        <v>0</v>
      </c>
      <c r="BZ40" s="388">
        <f t="shared" si="36"/>
        <v>1125</v>
      </c>
      <c r="CA40" s="388">
        <f t="shared" si="37"/>
        <v>0</v>
      </c>
      <c r="CB40" s="388">
        <f t="shared" si="38"/>
        <v>0</v>
      </c>
      <c r="CC40" s="388">
        <f t="shared" si="20"/>
        <v>0</v>
      </c>
      <c r="CD40" s="388">
        <f t="shared" si="21"/>
        <v>-352.26547200000044</v>
      </c>
      <c r="CE40" s="388">
        <f t="shared" si="22"/>
        <v>0</v>
      </c>
      <c r="CF40" s="388">
        <f t="shared" si="23"/>
        <v>0</v>
      </c>
      <c r="CG40" s="388">
        <f t="shared" si="24"/>
        <v>0</v>
      </c>
      <c r="CH40" s="388">
        <f t="shared" si="25"/>
        <v>18.54028799999999</v>
      </c>
      <c r="CI40" s="388">
        <f t="shared" si="26"/>
        <v>0</v>
      </c>
      <c r="CJ40" s="388">
        <f t="shared" si="39"/>
        <v>-333.72518400000047</v>
      </c>
      <c r="CK40" s="388" t="str">
        <f t="shared" si="40"/>
        <v/>
      </c>
      <c r="CL40" s="388" t="str">
        <f t="shared" si="41"/>
        <v/>
      </c>
      <c r="CM40" s="388" t="str">
        <f t="shared" si="42"/>
        <v/>
      </c>
      <c r="CN40" s="388" t="str">
        <f t="shared" si="43"/>
        <v>0001-00</v>
      </c>
    </row>
    <row r="41" spans="1:92" ht="15.75" thickBot="1" x14ac:dyDescent="0.3">
      <c r="A41" s="377" t="s">
        <v>162</v>
      </c>
      <c r="B41" s="377" t="s">
        <v>163</v>
      </c>
      <c r="C41" s="377" t="s">
        <v>367</v>
      </c>
      <c r="D41" s="377" t="s">
        <v>368</v>
      </c>
      <c r="E41" s="377" t="s">
        <v>265</v>
      </c>
      <c r="F41" s="378" t="s">
        <v>167</v>
      </c>
      <c r="G41" s="377" t="s">
        <v>266</v>
      </c>
      <c r="H41" s="379"/>
      <c r="I41" s="379"/>
      <c r="J41" s="377" t="s">
        <v>219</v>
      </c>
      <c r="K41" s="377" t="s">
        <v>369</v>
      </c>
      <c r="L41" s="377" t="s">
        <v>167</v>
      </c>
      <c r="M41" s="377" t="s">
        <v>172</v>
      </c>
      <c r="N41" s="377" t="s">
        <v>173</v>
      </c>
      <c r="O41" s="380">
        <v>1</v>
      </c>
      <c r="P41" s="386">
        <v>1</v>
      </c>
      <c r="Q41" s="386">
        <v>1</v>
      </c>
      <c r="R41" s="381">
        <v>80</v>
      </c>
      <c r="S41" s="386">
        <v>1</v>
      </c>
      <c r="T41" s="381">
        <v>153539.20000000001</v>
      </c>
      <c r="U41" s="381">
        <v>0</v>
      </c>
      <c r="V41" s="381">
        <v>42780.33</v>
      </c>
      <c r="W41" s="381">
        <v>151881.60000000001</v>
      </c>
      <c r="X41" s="381">
        <v>43317.18</v>
      </c>
      <c r="Y41" s="381">
        <v>151881.60000000001</v>
      </c>
      <c r="Z41" s="381">
        <v>43734.03</v>
      </c>
      <c r="AA41" s="377" t="s">
        <v>370</v>
      </c>
      <c r="AB41" s="377" t="s">
        <v>371</v>
      </c>
      <c r="AC41" s="377" t="s">
        <v>372</v>
      </c>
      <c r="AD41" s="377" t="s">
        <v>373</v>
      </c>
      <c r="AE41" s="377" t="s">
        <v>369</v>
      </c>
      <c r="AF41" s="377" t="s">
        <v>207</v>
      </c>
      <c r="AG41" s="377" t="s">
        <v>179</v>
      </c>
      <c r="AH41" s="382">
        <v>73.02</v>
      </c>
      <c r="AI41" s="380">
        <v>8480</v>
      </c>
      <c r="AJ41" s="377" t="s">
        <v>180</v>
      </c>
      <c r="AK41" s="377" t="s">
        <v>181</v>
      </c>
      <c r="AL41" s="377" t="s">
        <v>182</v>
      </c>
      <c r="AM41" s="377" t="s">
        <v>182</v>
      </c>
      <c r="AN41" s="377" t="s">
        <v>66</v>
      </c>
      <c r="AO41" s="380">
        <v>80</v>
      </c>
      <c r="AP41" s="386">
        <v>1</v>
      </c>
      <c r="AQ41" s="386">
        <v>1</v>
      </c>
      <c r="AR41" s="384" t="s">
        <v>184</v>
      </c>
      <c r="AS41" s="388">
        <f t="shared" si="27"/>
        <v>1</v>
      </c>
      <c r="AT41">
        <f t="shared" si="28"/>
        <v>1</v>
      </c>
      <c r="AU41" s="388">
        <f>IF(AT41=0,"",IF(AND(AT41=1,M41="F",SUMIF(C2:C258,C41,AS2:AS258)&lt;=1),SUMIF(C2:C258,C41,AS2:AS258),IF(AND(AT41=1,M41="F",SUMIF(C2:C258,C41,AS2:AS258)&gt;1),1,"")))</f>
        <v>1</v>
      </c>
      <c r="AV41" s="388" t="str">
        <f>IF(AT41=0,"",IF(AND(AT41=3,M41="F",SUMIF(C2:C258,C41,AS2:AS258)&lt;=1),SUMIF(C2:C258,C41,AS2:AS258),IF(AND(AT41=3,M41="F",SUMIF(C2:C258,C41,AS2:AS258)&gt;1),1,"")))</f>
        <v/>
      </c>
      <c r="AW41" s="388">
        <f>SUMIF(C2:C258,C41,O2:O258)</f>
        <v>1</v>
      </c>
      <c r="AX41" s="388">
        <f>IF(AND(M41="F",AS41&lt;&gt;0),SUMIF(C2:C258,C41,W2:W258),0)</f>
        <v>151881.60000000001</v>
      </c>
      <c r="AY41" s="388">
        <f t="shared" si="29"/>
        <v>151881.60000000001</v>
      </c>
      <c r="AZ41" s="388" t="str">
        <f t="shared" si="30"/>
        <v/>
      </c>
      <c r="BA41" s="388">
        <f t="shared" si="31"/>
        <v>0</v>
      </c>
      <c r="BB41" s="388">
        <f t="shared" si="0"/>
        <v>12500</v>
      </c>
      <c r="BC41" s="388">
        <f t="shared" si="1"/>
        <v>0</v>
      </c>
      <c r="BD41" s="388">
        <f t="shared" si="2"/>
        <v>8853.6</v>
      </c>
      <c r="BE41" s="388">
        <f t="shared" si="3"/>
        <v>2202.2832000000003</v>
      </c>
      <c r="BF41" s="388">
        <f t="shared" si="4"/>
        <v>18134.663040000003</v>
      </c>
      <c r="BG41" s="388">
        <f t="shared" si="5"/>
        <v>1095.0663360000001</v>
      </c>
      <c r="BH41" s="388">
        <f t="shared" si="6"/>
        <v>0</v>
      </c>
      <c r="BI41" s="388">
        <f t="shared" si="7"/>
        <v>0</v>
      </c>
      <c r="BJ41" s="388">
        <f t="shared" si="8"/>
        <v>531.5856</v>
      </c>
      <c r="BK41" s="388">
        <f t="shared" si="9"/>
        <v>0</v>
      </c>
      <c r="BL41" s="388">
        <f t="shared" si="32"/>
        <v>30817.198176000002</v>
      </c>
      <c r="BM41" s="388">
        <f t="shared" si="33"/>
        <v>0</v>
      </c>
      <c r="BN41" s="388">
        <f t="shared" si="10"/>
        <v>13750</v>
      </c>
      <c r="BO41" s="388">
        <f t="shared" si="11"/>
        <v>0</v>
      </c>
      <c r="BP41" s="388">
        <f t="shared" si="12"/>
        <v>9114</v>
      </c>
      <c r="BQ41" s="388">
        <f t="shared" si="13"/>
        <v>2202.2832000000003</v>
      </c>
      <c r="BR41" s="388">
        <f t="shared" si="14"/>
        <v>16980.362880000001</v>
      </c>
      <c r="BS41" s="388">
        <f t="shared" si="15"/>
        <v>1095.0663360000001</v>
      </c>
      <c r="BT41" s="388">
        <f t="shared" si="16"/>
        <v>0</v>
      </c>
      <c r="BU41" s="388">
        <f t="shared" si="17"/>
        <v>0</v>
      </c>
      <c r="BV41" s="388">
        <f t="shared" si="18"/>
        <v>592.33824000000004</v>
      </c>
      <c r="BW41" s="388">
        <f t="shared" si="19"/>
        <v>0</v>
      </c>
      <c r="BX41" s="388">
        <f t="shared" si="34"/>
        <v>29984.050655999999</v>
      </c>
      <c r="BY41" s="388">
        <f t="shared" si="35"/>
        <v>0</v>
      </c>
      <c r="BZ41" s="388">
        <f t="shared" si="36"/>
        <v>1250</v>
      </c>
      <c r="CA41" s="388">
        <f t="shared" si="37"/>
        <v>0</v>
      </c>
      <c r="CB41" s="388">
        <f t="shared" si="38"/>
        <v>260.39999999999964</v>
      </c>
      <c r="CC41" s="388">
        <f t="shared" si="20"/>
        <v>0</v>
      </c>
      <c r="CD41" s="388">
        <f t="shared" si="21"/>
        <v>-1154.3001600000016</v>
      </c>
      <c r="CE41" s="388">
        <f t="shared" si="22"/>
        <v>0</v>
      </c>
      <c r="CF41" s="388">
        <f t="shared" si="23"/>
        <v>0</v>
      </c>
      <c r="CG41" s="388">
        <f t="shared" si="24"/>
        <v>0</v>
      </c>
      <c r="CH41" s="388">
        <f t="shared" si="25"/>
        <v>60.752639999999964</v>
      </c>
      <c r="CI41" s="388">
        <f t="shared" si="26"/>
        <v>0</v>
      </c>
      <c r="CJ41" s="388">
        <f t="shared" si="39"/>
        <v>-833.14752000000203</v>
      </c>
      <c r="CK41" s="388" t="str">
        <f t="shared" si="40"/>
        <v/>
      </c>
      <c r="CL41" s="388" t="str">
        <f t="shared" si="41"/>
        <v/>
      </c>
      <c r="CM41" s="388" t="str">
        <f t="shared" si="42"/>
        <v/>
      </c>
      <c r="CN41" s="388" t="str">
        <f t="shared" si="43"/>
        <v>0001-00</v>
      </c>
    </row>
    <row r="42" spans="1:92" ht="15.75" thickBot="1" x14ac:dyDescent="0.3">
      <c r="A42" s="377" t="s">
        <v>162</v>
      </c>
      <c r="B42" s="377" t="s">
        <v>163</v>
      </c>
      <c r="C42" s="377" t="s">
        <v>232</v>
      </c>
      <c r="D42" s="377" t="s">
        <v>194</v>
      </c>
      <c r="E42" s="377" t="s">
        <v>265</v>
      </c>
      <c r="F42" s="378" t="s">
        <v>167</v>
      </c>
      <c r="G42" s="377" t="s">
        <v>266</v>
      </c>
      <c r="H42" s="379"/>
      <c r="I42" s="379"/>
      <c r="J42" s="377" t="s">
        <v>169</v>
      </c>
      <c r="K42" s="377" t="s">
        <v>226</v>
      </c>
      <c r="L42" s="377" t="s">
        <v>215</v>
      </c>
      <c r="M42" s="377" t="s">
        <v>172</v>
      </c>
      <c r="N42" s="377" t="s">
        <v>173</v>
      </c>
      <c r="O42" s="380">
        <v>1</v>
      </c>
      <c r="P42" s="386">
        <v>0.9</v>
      </c>
      <c r="Q42" s="386">
        <v>0.9</v>
      </c>
      <c r="R42" s="381">
        <v>80</v>
      </c>
      <c r="S42" s="386">
        <v>0.9</v>
      </c>
      <c r="T42" s="381">
        <v>50121.33</v>
      </c>
      <c r="U42" s="381">
        <v>0</v>
      </c>
      <c r="V42" s="381">
        <v>20878.47</v>
      </c>
      <c r="W42" s="381">
        <v>48896.639999999999</v>
      </c>
      <c r="X42" s="381">
        <v>21352.5</v>
      </c>
      <c r="Y42" s="381">
        <v>48896.639999999999</v>
      </c>
      <c r="Z42" s="381">
        <v>22125.439999999999</v>
      </c>
      <c r="AA42" s="377" t="s">
        <v>233</v>
      </c>
      <c r="AB42" s="377" t="s">
        <v>234</v>
      </c>
      <c r="AC42" s="377" t="s">
        <v>235</v>
      </c>
      <c r="AD42" s="377" t="s">
        <v>236</v>
      </c>
      <c r="AE42" s="377" t="s">
        <v>226</v>
      </c>
      <c r="AF42" s="377" t="s">
        <v>231</v>
      </c>
      <c r="AG42" s="377" t="s">
        <v>179</v>
      </c>
      <c r="AH42" s="382">
        <v>26.12</v>
      </c>
      <c r="AI42" s="382">
        <v>14441.4</v>
      </c>
      <c r="AJ42" s="377" t="s">
        <v>180</v>
      </c>
      <c r="AK42" s="377" t="s">
        <v>181</v>
      </c>
      <c r="AL42" s="377" t="s">
        <v>182</v>
      </c>
      <c r="AM42" s="377" t="s">
        <v>183</v>
      </c>
      <c r="AN42" s="377" t="s">
        <v>66</v>
      </c>
      <c r="AO42" s="380">
        <v>80</v>
      </c>
      <c r="AP42" s="386">
        <v>1</v>
      </c>
      <c r="AQ42" s="386">
        <v>0.9</v>
      </c>
      <c r="AR42" s="384" t="s">
        <v>184</v>
      </c>
      <c r="AS42" s="388">
        <f t="shared" si="27"/>
        <v>0.9</v>
      </c>
      <c r="AT42">
        <f t="shared" si="28"/>
        <v>1</v>
      </c>
      <c r="AU42" s="388">
        <f>IF(AT42=0,"",IF(AND(AT42=1,M42="F",SUMIF(C2:C258,C42,AS2:AS258)&lt;=1),SUMIF(C2:C258,C42,AS2:AS258),IF(AND(AT42=1,M42="F",SUMIF(C2:C258,C42,AS2:AS258)&gt;1),1,"")))</f>
        <v>1</v>
      </c>
      <c r="AV42" s="388" t="str">
        <f>IF(AT42=0,"",IF(AND(AT42=3,M42="F",SUMIF(C2:C258,C42,AS2:AS258)&lt;=1),SUMIF(C2:C258,C42,AS2:AS258),IF(AND(AT42=3,M42="F",SUMIF(C2:C258,C42,AS2:AS258)&gt;1),1,"")))</f>
        <v/>
      </c>
      <c r="AW42" s="388">
        <f>SUMIF(C2:C258,C42,O2:O258)</f>
        <v>3</v>
      </c>
      <c r="AX42" s="388">
        <f>IF(AND(M42="F",AS42&lt;&gt;0),SUMIF(C2:C258,C42,W2:W258),0)</f>
        <v>54329.599999999999</v>
      </c>
      <c r="AY42" s="388">
        <f t="shared" si="29"/>
        <v>48896.639999999999</v>
      </c>
      <c r="AZ42" s="388" t="str">
        <f t="shared" si="30"/>
        <v/>
      </c>
      <c r="BA42" s="388">
        <f t="shared" si="31"/>
        <v>0</v>
      </c>
      <c r="BB42" s="388">
        <f t="shared" si="0"/>
        <v>11250</v>
      </c>
      <c r="BC42" s="388">
        <f t="shared" si="1"/>
        <v>0</v>
      </c>
      <c r="BD42" s="388">
        <f t="shared" si="2"/>
        <v>3031.59168</v>
      </c>
      <c r="BE42" s="388">
        <f t="shared" si="3"/>
        <v>709.00128000000007</v>
      </c>
      <c r="BF42" s="388">
        <f t="shared" si="4"/>
        <v>5838.2588160000005</v>
      </c>
      <c r="BG42" s="388">
        <f t="shared" si="5"/>
        <v>352.54477439999999</v>
      </c>
      <c r="BH42" s="388">
        <f t="shared" si="6"/>
        <v>0</v>
      </c>
      <c r="BI42" s="388">
        <f t="shared" si="7"/>
        <v>0</v>
      </c>
      <c r="BJ42" s="388">
        <f t="shared" si="8"/>
        <v>171.13824</v>
      </c>
      <c r="BK42" s="388">
        <f t="shared" si="9"/>
        <v>0</v>
      </c>
      <c r="BL42" s="388">
        <f t="shared" si="32"/>
        <v>10102.534790399999</v>
      </c>
      <c r="BM42" s="388">
        <f t="shared" si="33"/>
        <v>0</v>
      </c>
      <c r="BN42" s="388">
        <f t="shared" si="10"/>
        <v>12375</v>
      </c>
      <c r="BO42" s="388">
        <f t="shared" si="11"/>
        <v>0</v>
      </c>
      <c r="BP42" s="388">
        <f t="shared" si="12"/>
        <v>3031.59168</v>
      </c>
      <c r="BQ42" s="388">
        <f t="shared" si="13"/>
        <v>709.00128000000007</v>
      </c>
      <c r="BR42" s="388">
        <f t="shared" si="14"/>
        <v>5466.6443519999993</v>
      </c>
      <c r="BS42" s="388">
        <f t="shared" si="15"/>
        <v>352.54477439999999</v>
      </c>
      <c r="BT42" s="388">
        <f t="shared" si="16"/>
        <v>0</v>
      </c>
      <c r="BU42" s="388">
        <f t="shared" si="17"/>
        <v>0</v>
      </c>
      <c r="BV42" s="388">
        <f t="shared" si="18"/>
        <v>190.69689599999998</v>
      </c>
      <c r="BW42" s="388">
        <f t="shared" si="19"/>
        <v>0</v>
      </c>
      <c r="BX42" s="388">
        <f t="shared" si="34"/>
        <v>9750.4789823999981</v>
      </c>
      <c r="BY42" s="388">
        <f t="shared" si="35"/>
        <v>0</v>
      </c>
      <c r="BZ42" s="388">
        <f t="shared" si="36"/>
        <v>1125</v>
      </c>
      <c r="CA42" s="388">
        <f t="shared" si="37"/>
        <v>0</v>
      </c>
      <c r="CB42" s="388">
        <f t="shared" si="38"/>
        <v>0</v>
      </c>
      <c r="CC42" s="388">
        <f t="shared" si="20"/>
        <v>0</v>
      </c>
      <c r="CD42" s="388">
        <f t="shared" si="21"/>
        <v>-371.61446400000045</v>
      </c>
      <c r="CE42" s="388">
        <f t="shared" si="22"/>
        <v>0</v>
      </c>
      <c r="CF42" s="388">
        <f t="shared" si="23"/>
        <v>0</v>
      </c>
      <c r="CG42" s="388">
        <f t="shared" si="24"/>
        <v>0</v>
      </c>
      <c r="CH42" s="388">
        <f t="shared" si="25"/>
        <v>19.558655999999988</v>
      </c>
      <c r="CI42" s="388">
        <f t="shared" si="26"/>
        <v>0</v>
      </c>
      <c r="CJ42" s="388">
        <f t="shared" si="39"/>
        <v>-352.05580800000047</v>
      </c>
      <c r="CK42" s="388" t="str">
        <f t="shared" si="40"/>
        <v/>
      </c>
      <c r="CL42" s="388" t="str">
        <f t="shared" si="41"/>
        <v/>
      </c>
      <c r="CM42" s="388" t="str">
        <f t="shared" si="42"/>
        <v/>
      </c>
      <c r="CN42" s="388" t="str">
        <f t="shared" si="43"/>
        <v>0001-00</v>
      </c>
    </row>
    <row r="43" spans="1:92" ht="15.75" thickBot="1" x14ac:dyDescent="0.3">
      <c r="A43" s="377" t="s">
        <v>162</v>
      </c>
      <c r="B43" s="377" t="s">
        <v>163</v>
      </c>
      <c r="C43" s="377" t="s">
        <v>374</v>
      </c>
      <c r="D43" s="377" t="s">
        <v>375</v>
      </c>
      <c r="E43" s="377" t="s">
        <v>265</v>
      </c>
      <c r="F43" s="378" t="s">
        <v>167</v>
      </c>
      <c r="G43" s="377" t="s">
        <v>266</v>
      </c>
      <c r="H43" s="379"/>
      <c r="I43" s="379"/>
      <c r="J43" s="377" t="s">
        <v>219</v>
      </c>
      <c r="K43" s="377" t="s">
        <v>376</v>
      </c>
      <c r="L43" s="377" t="s">
        <v>167</v>
      </c>
      <c r="M43" s="377" t="s">
        <v>172</v>
      </c>
      <c r="N43" s="377" t="s">
        <v>173</v>
      </c>
      <c r="O43" s="380">
        <v>1</v>
      </c>
      <c r="P43" s="386">
        <v>1</v>
      </c>
      <c r="Q43" s="386">
        <v>1</v>
      </c>
      <c r="R43" s="381">
        <v>80</v>
      </c>
      <c r="S43" s="386">
        <v>1</v>
      </c>
      <c r="T43" s="381">
        <v>117556.7</v>
      </c>
      <c r="U43" s="381">
        <v>0</v>
      </c>
      <c r="V43" s="381">
        <v>35808.68</v>
      </c>
      <c r="W43" s="381">
        <v>117556.7</v>
      </c>
      <c r="X43" s="381">
        <v>36788.36</v>
      </c>
      <c r="Y43" s="381">
        <v>117556.7</v>
      </c>
      <c r="Z43" s="381">
        <v>37191.96</v>
      </c>
      <c r="AA43" s="377" t="s">
        <v>377</v>
      </c>
      <c r="AB43" s="377" t="s">
        <v>378</v>
      </c>
      <c r="AC43" s="377" t="s">
        <v>379</v>
      </c>
      <c r="AD43" s="377" t="s">
        <v>230</v>
      </c>
      <c r="AE43" s="377" t="s">
        <v>376</v>
      </c>
      <c r="AF43" s="377" t="s">
        <v>207</v>
      </c>
      <c r="AG43" s="377" t="s">
        <v>230</v>
      </c>
      <c r="AH43" s="382">
        <v>117556.7</v>
      </c>
      <c r="AI43" s="380">
        <v>15760</v>
      </c>
      <c r="AJ43" s="377" t="s">
        <v>380</v>
      </c>
      <c r="AK43" s="377" t="s">
        <v>181</v>
      </c>
      <c r="AL43" s="377" t="s">
        <v>182</v>
      </c>
      <c r="AM43" s="377" t="s">
        <v>182</v>
      </c>
      <c r="AN43" s="377" t="s">
        <v>66</v>
      </c>
      <c r="AO43" s="380">
        <v>80</v>
      </c>
      <c r="AP43" s="386">
        <v>1</v>
      </c>
      <c r="AQ43" s="386">
        <v>1</v>
      </c>
      <c r="AR43" s="384" t="s">
        <v>184</v>
      </c>
      <c r="AS43" s="388">
        <f t="shared" si="27"/>
        <v>1</v>
      </c>
      <c r="AT43">
        <f t="shared" si="28"/>
        <v>3</v>
      </c>
      <c r="AU43" s="388" t="str">
        <f>IF(AT43=0,"",IF(AND(AT43=1,M43="F",SUMIF(C2:C258,C43,AS2:AS258)&lt;=1),SUMIF(C2:C258,C43,AS2:AS258),IF(AND(AT43=1,M43="F",SUMIF(C2:C258,C43,AS2:AS258)&gt;1),1,"")))</f>
        <v/>
      </c>
      <c r="AV43" s="388">
        <f>IF(AT43=0,"",IF(AND(AT43=3,M43="F",SUMIF(C2:C258,C43,AS2:AS258)&lt;=1),SUMIF(C2:C258,C43,AS2:AS258),IF(AND(AT43=3,M43="F",SUMIF(C2:C258,C43,AS2:AS258)&gt;1),1,"")))</f>
        <v>1</v>
      </c>
      <c r="AW43" s="388">
        <f>SUMIF(C2:C258,C43,O2:O258)</f>
        <v>1</v>
      </c>
      <c r="AX43" s="388">
        <f>IF(AND(M43="F",AS43&lt;&gt;0),SUMIF(C2:C258,C43,W2:W258),0)</f>
        <v>117556.7</v>
      </c>
      <c r="AY43" s="388" t="str">
        <f t="shared" si="29"/>
        <v/>
      </c>
      <c r="AZ43" s="388">
        <f t="shared" si="30"/>
        <v>117556.7</v>
      </c>
      <c r="BA43" s="388">
        <f t="shared" si="31"/>
        <v>0</v>
      </c>
      <c r="BB43" s="388">
        <f t="shared" si="0"/>
        <v>0</v>
      </c>
      <c r="BC43" s="388">
        <f t="shared" si="1"/>
        <v>12500</v>
      </c>
      <c r="BD43" s="388">
        <f t="shared" si="2"/>
        <v>7288.5153999999993</v>
      </c>
      <c r="BE43" s="388">
        <f t="shared" si="3"/>
        <v>1704.57215</v>
      </c>
      <c r="BF43" s="388">
        <f t="shared" si="4"/>
        <v>14036.269980000001</v>
      </c>
      <c r="BG43" s="388">
        <f t="shared" si="5"/>
        <v>847.58380699999998</v>
      </c>
      <c r="BH43" s="388">
        <f t="shared" si="6"/>
        <v>0</v>
      </c>
      <c r="BI43" s="388">
        <f t="shared" si="7"/>
        <v>0</v>
      </c>
      <c r="BJ43" s="388">
        <f t="shared" si="8"/>
        <v>411.44844999999998</v>
      </c>
      <c r="BK43" s="388">
        <f t="shared" si="9"/>
        <v>0</v>
      </c>
      <c r="BL43" s="388">
        <f t="shared" si="32"/>
        <v>0</v>
      </c>
      <c r="BM43" s="388">
        <f t="shared" si="33"/>
        <v>24288.389787</v>
      </c>
      <c r="BN43" s="388">
        <f t="shared" si="10"/>
        <v>0</v>
      </c>
      <c r="BO43" s="388">
        <f t="shared" si="11"/>
        <v>13750</v>
      </c>
      <c r="BP43" s="388">
        <f t="shared" si="12"/>
        <v>7288.5153999999993</v>
      </c>
      <c r="BQ43" s="388">
        <f t="shared" si="13"/>
        <v>1704.57215</v>
      </c>
      <c r="BR43" s="388">
        <f t="shared" si="14"/>
        <v>13142.839059999998</v>
      </c>
      <c r="BS43" s="388">
        <f t="shared" si="15"/>
        <v>847.58380699999998</v>
      </c>
      <c r="BT43" s="388">
        <f t="shared" si="16"/>
        <v>0</v>
      </c>
      <c r="BU43" s="388">
        <f t="shared" si="17"/>
        <v>0</v>
      </c>
      <c r="BV43" s="388">
        <f t="shared" si="18"/>
        <v>458.47112999999996</v>
      </c>
      <c r="BW43" s="388">
        <f t="shared" si="19"/>
        <v>0</v>
      </c>
      <c r="BX43" s="388">
        <f t="shared" si="34"/>
        <v>0</v>
      </c>
      <c r="BY43" s="388">
        <f t="shared" si="35"/>
        <v>23441.981546999999</v>
      </c>
      <c r="BZ43" s="388">
        <f t="shared" si="36"/>
        <v>0</v>
      </c>
      <c r="CA43" s="388">
        <f t="shared" si="37"/>
        <v>1250</v>
      </c>
      <c r="CB43" s="388">
        <f t="shared" si="38"/>
        <v>0</v>
      </c>
      <c r="CC43" s="388">
        <f t="shared" si="20"/>
        <v>0</v>
      </c>
      <c r="CD43" s="388">
        <f t="shared" si="21"/>
        <v>-893.43092000000115</v>
      </c>
      <c r="CE43" s="388">
        <f t="shared" si="22"/>
        <v>0</v>
      </c>
      <c r="CF43" s="388">
        <f t="shared" si="23"/>
        <v>0</v>
      </c>
      <c r="CG43" s="388">
        <f t="shared" si="24"/>
        <v>0</v>
      </c>
      <c r="CH43" s="388">
        <f t="shared" si="25"/>
        <v>47.022679999999973</v>
      </c>
      <c r="CI43" s="388">
        <f t="shared" si="26"/>
        <v>0</v>
      </c>
      <c r="CJ43" s="388">
        <f t="shared" si="39"/>
        <v>0</v>
      </c>
      <c r="CK43" s="388">
        <f t="shared" si="40"/>
        <v>-846.40824000000123</v>
      </c>
      <c r="CL43" s="388" t="str">
        <f t="shared" si="41"/>
        <v/>
      </c>
      <c r="CM43" s="388" t="str">
        <f t="shared" si="42"/>
        <v/>
      </c>
      <c r="CN43" s="388" t="str">
        <f t="shared" si="43"/>
        <v>0001-00</v>
      </c>
    </row>
    <row r="44" spans="1:92" ht="15.75" thickBot="1" x14ac:dyDescent="0.3">
      <c r="A44" s="377" t="s">
        <v>162</v>
      </c>
      <c r="B44" s="377" t="s">
        <v>163</v>
      </c>
      <c r="C44" s="377" t="s">
        <v>381</v>
      </c>
      <c r="D44" s="377" t="s">
        <v>251</v>
      </c>
      <c r="E44" s="377" t="s">
        <v>265</v>
      </c>
      <c r="F44" s="378" t="s">
        <v>167</v>
      </c>
      <c r="G44" s="377" t="s">
        <v>266</v>
      </c>
      <c r="H44" s="379"/>
      <c r="I44" s="379"/>
      <c r="J44" s="377" t="s">
        <v>169</v>
      </c>
      <c r="K44" s="377" t="s">
        <v>252</v>
      </c>
      <c r="L44" s="377" t="s">
        <v>179</v>
      </c>
      <c r="M44" s="377" t="s">
        <v>172</v>
      </c>
      <c r="N44" s="377" t="s">
        <v>173</v>
      </c>
      <c r="O44" s="380">
        <v>1</v>
      </c>
      <c r="P44" s="386">
        <v>0.3</v>
      </c>
      <c r="Q44" s="386">
        <v>0.3</v>
      </c>
      <c r="R44" s="381">
        <v>80</v>
      </c>
      <c r="S44" s="386">
        <v>0.3</v>
      </c>
      <c r="T44" s="381">
        <v>13722.78</v>
      </c>
      <c r="U44" s="381">
        <v>1.53</v>
      </c>
      <c r="V44" s="381">
        <v>6799.89</v>
      </c>
      <c r="W44" s="381">
        <v>12018.24</v>
      </c>
      <c r="X44" s="381">
        <v>6233.07</v>
      </c>
      <c r="Y44" s="381">
        <v>12018.24</v>
      </c>
      <c r="Z44" s="381">
        <v>6521.54</v>
      </c>
      <c r="AA44" s="377" t="s">
        <v>382</v>
      </c>
      <c r="AB44" s="377" t="s">
        <v>383</v>
      </c>
      <c r="AC44" s="377" t="s">
        <v>384</v>
      </c>
      <c r="AD44" s="377" t="s">
        <v>316</v>
      </c>
      <c r="AE44" s="377" t="s">
        <v>252</v>
      </c>
      <c r="AF44" s="377" t="s">
        <v>257</v>
      </c>
      <c r="AG44" s="377" t="s">
        <v>179</v>
      </c>
      <c r="AH44" s="382">
        <v>19.260000000000002</v>
      </c>
      <c r="AI44" s="382">
        <v>5800.3</v>
      </c>
      <c r="AJ44" s="377" t="s">
        <v>180</v>
      </c>
      <c r="AK44" s="377" t="s">
        <v>181</v>
      </c>
      <c r="AL44" s="377" t="s">
        <v>182</v>
      </c>
      <c r="AM44" s="377" t="s">
        <v>183</v>
      </c>
      <c r="AN44" s="377" t="s">
        <v>66</v>
      </c>
      <c r="AO44" s="380">
        <v>80</v>
      </c>
      <c r="AP44" s="386">
        <v>1</v>
      </c>
      <c r="AQ44" s="386">
        <v>0.3</v>
      </c>
      <c r="AR44" s="384" t="s">
        <v>184</v>
      </c>
      <c r="AS44" s="388">
        <f t="shared" si="27"/>
        <v>0.3</v>
      </c>
      <c r="AT44">
        <f t="shared" si="28"/>
        <v>1</v>
      </c>
      <c r="AU44" s="388">
        <f>IF(AT44=0,"",IF(AND(AT44=1,M44="F",SUMIF(C2:C258,C44,AS2:AS258)&lt;=1),SUMIF(C2:C258,C44,AS2:AS258),IF(AND(AT44=1,M44="F",SUMIF(C2:C258,C44,AS2:AS258)&gt;1),1,"")))</f>
        <v>1</v>
      </c>
      <c r="AV44" s="388" t="str">
        <f>IF(AT44=0,"",IF(AND(AT44=3,M44="F",SUMIF(C2:C258,C44,AS2:AS258)&lt;=1),SUMIF(C2:C258,C44,AS2:AS258),IF(AND(AT44=3,M44="F",SUMIF(C2:C258,C44,AS2:AS258)&gt;1),1,"")))</f>
        <v/>
      </c>
      <c r="AW44" s="388">
        <f>SUMIF(C2:C258,C44,O2:O258)</f>
        <v>2</v>
      </c>
      <c r="AX44" s="388">
        <f>IF(AND(M44="F",AS44&lt;&gt;0),SUMIF(C2:C258,C44,W2:W258),0)</f>
        <v>40060.800000000003</v>
      </c>
      <c r="AY44" s="388">
        <f t="shared" si="29"/>
        <v>12018.24</v>
      </c>
      <c r="AZ44" s="388" t="str">
        <f t="shared" si="30"/>
        <v/>
      </c>
      <c r="BA44" s="388">
        <f t="shared" si="31"/>
        <v>0</v>
      </c>
      <c r="BB44" s="388">
        <f t="shared" si="0"/>
        <v>3750</v>
      </c>
      <c r="BC44" s="388">
        <f t="shared" si="1"/>
        <v>0</v>
      </c>
      <c r="BD44" s="388">
        <f t="shared" si="2"/>
        <v>745.13087999999993</v>
      </c>
      <c r="BE44" s="388">
        <f t="shared" si="3"/>
        <v>174.26447999999999</v>
      </c>
      <c r="BF44" s="388">
        <f t="shared" si="4"/>
        <v>1434.977856</v>
      </c>
      <c r="BG44" s="388">
        <f t="shared" si="5"/>
        <v>86.651510400000006</v>
      </c>
      <c r="BH44" s="388">
        <f t="shared" si="6"/>
        <v>0</v>
      </c>
      <c r="BI44" s="388">
        <f t="shared" si="7"/>
        <v>0</v>
      </c>
      <c r="BJ44" s="388">
        <f t="shared" si="8"/>
        <v>42.063839999999999</v>
      </c>
      <c r="BK44" s="388">
        <f t="shared" si="9"/>
        <v>0</v>
      </c>
      <c r="BL44" s="388">
        <f t="shared" si="32"/>
        <v>2483.0885663999998</v>
      </c>
      <c r="BM44" s="388">
        <f t="shared" si="33"/>
        <v>0</v>
      </c>
      <c r="BN44" s="388">
        <f t="shared" si="10"/>
        <v>4125</v>
      </c>
      <c r="BO44" s="388">
        <f t="shared" si="11"/>
        <v>0</v>
      </c>
      <c r="BP44" s="388">
        <f t="shared" si="12"/>
        <v>745.13087999999993</v>
      </c>
      <c r="BQ44" s="388">
        <f t="shared" si="13"/>
        <v>174.26447999999999</v>
      </c>
      <c r="BR44" s="388">
        <f t="shared" si="14"/>
        <v>1343.639232</v>
      </c>
      <c r="BS44" s="388">
        <f t="shared" si="15"/>
        <v>86.651510400000006</v>
      </c>
      <c r="BT44" s="388">
        <f t="shared" si="16"/>
        <v>0</v>
      </c>
      <c r="BU44" s="388">
        <f t="shared" si="17"/>
        <v>0</v>
      </c>
      <c r="BV44" s="388">
        <f t="shared" si="18"/>
        <v>46.871136</v>
      </c>
      <c r="BW44" s="388">
        <f t="shared" si="19"/>
        <v>0</v>
      </c>
      <c r="BX44" s="388">
        <f t="shared" si="34"/>
        <v>2396.5572384000002</v>
      </c>
      <c r="BY44" s="388">
        <f t="shared" si="35"/>
        <v>0</v>
      </c>
      <c r="BZ44" s="388">
        <f t="shared" si="36"/>
        <v>375</v>
      </c>
      <c r="CA44" s="388">
        <f t="shared" si="37"/>
        <v>0</v>
      </c>
      <c r="CB44" s="388">
        <f t="shared" si="38"/>
        <v>0</v>
      </c>
      <c r="CC44" s="388">
        <f t="shared" si="20"/>
        <v>0</v>
      </c>
      <c r="CD44" s="388">
        <f t="shared" si="21"/>
        <v>-91.33862400000011</v>
      </c>
      <c r="CE44" s="388">
        <f t="shared" si="22"/>
        <v>0</v>
      </c>
      <c r="CF44" s="388">
        <f t="shared" si="23"/>
        <v>0</v>
      </c>
      <c r="CG44" s="388">
        <f t="shared" si="24"/>
        <v>0</v>
      </c>
      <c r="CH44" s="388">
        <f t="shared" si="25"/>
        <v>4.8072959999999965</v>
      </c>
      <c r="CI44" s="388">
        <f t="shared" si="26"/>
        <v>0</v>
      </c>
      <c r="CJ44" s="388">
        <f t="shared" si="39"/>
        <v>-86.531328000000116</v>
      </c>
      <c r="CK44" s="388" t="str">
        <f t="shared" si="40"/>
        <v/>
      </c>
      <c r="CL44" s="388" t="str">
        <f t="shared" si="41"/>
        <v/>
      </c>
      <c r="CM44" s="388" t="str">
        <f t="shared" si="42"/>
        <v/>
      </c>
      <c r="CN44" s="388" t="str">
        <f t="shared" si="43"/>
        <v>0001-00</v>
      </c>
    </row>
    <row r="45" spans="1:92" ht="15.75" thickBot="1" x14ac:dyDescent="0.3">
      <c r="A45" s="377" t="s">
        <v>162</v>
      </c>
      <c r="B45" s="377" t="s">
        <v>163</v>
      </c>
      <c r="C45" s="377" t="s">
        <v>385</v>
      </c>
      <c r="D45" s="377" t="s">
        <v>386</v>
      </c>
      <c r="E45" s="377" t="s">
        <v>265</v>
      </c>
      <c r="F45" s="378" t="s">
        <v>167</v>
      </c>
      <c r="G45" s="377" t="s">
        <v>266</v>
      </c>
      <c r="H45" s="379"/>
      <c r="I45" s="379"/>
      <c r="J45" s="377" t="s">
        <v>169</v>
      </c>
      <c r="K45" s="377" t="s">
        <v>387</v>
      </c>
      <c r="L45" s="377" t="s">
        <v>388</v>
      </c>
      <c r="M45" s="377" t="s">
        <v>172</v>
      </c>
      <c r="N45" s="377" t="s">
        <v>173</v>
      </c>
      <c r="O45" s="380">
        <v>1</v>
      </c>
      <c r="P45" s="386">
        <v>0.5</v>
      </c>
      <c r="Q45" s="386">
        <v>0.5</v>
      </c>
      <c r="R45" s="381">
        <v>80</v>
      </c>
      <c r="S45" s="386">
        <v>0.5</v>
      </c>
      <c r="T45" s="381">
        <v>9991.5400000000009</v>
      </c>
      <c r="U45" s="381">
        <v>0</v>
      </c>
      <c r="V45" s="381">
        <v>5955.63</v>
      </c>
      <c r="W45" s="381">
        <v>18543.2</v>
      </c>
      <c r="X45" s="381">
        <v>10081.200000000001</v>
      </c>
      <c r="Y45" s="381">
        <v>18543.2</v>
      </c>
      <c r="Z45" s="381">
        <v>10572.68</v>
      </c>
      <c r="AA45" s="377" t="s">
        <v>389</v>
      </c>
      <c r="AB45" s="377" t="s">
        <v>390</v>
      </c>
      <c r="AC45" s="377" t="s">
        <v>391</v>
      </c>
      <c r="AD45" s="377" t="s">
        <v>392</v>
      </c>
      <c r="AE45" s="377" t="s">
        <v>387</v>
      </c>
      <c r="AF45" s="377" t="s">
        <v>393</v>
      </c>
      <c r="AG45" s="377" t="s">
        <v>179</v>
      </c>
      <c r="AH45" s="382">
        <v>17.829999999999998</v>
      </c>
      <c r="AI45" s="380">
        <v>320</v>
      </c>
      <c r="AJ45" s="377" t="s">
        <v>180</v>
      </c>
      <c r="AK45" s="377" t="s">
        <v>181</v>
      </c>
      <c r="AL45" s="377" t="s">
        <v>182</v>
      </c>
      <c r="AM45" s="377" t="s">
        <v>183</v>
      </c>
      <c r="AN45" s="377" t="s">
        <v>66</v>
      </c>
      <c r="AO45" s="380">
        <v>80</v>
      </c>
      <c r="AP45" s="386">
        <v>1</v>
      </c>
      <c r="AQ45" s="386">
        <v>0.5</v>
      </c>
      <c r="AR45" s="384" t="s">
        <v>184</v>
      </c>
      <c r="AS45" s="388">
        <f t="shared" si="27"/>
        <v>0.5</v>
      </c>
      <c r="AT45">
        <f t="shared" si="28"/>
        <v>1</v>
      </c>
      <c r="AU45" s="388">
        <f>IF(AT45=0,"",IF(AND(AT45=1,M45="F",SUMIF(C2:C258,C45,AS2:AS258)&lt;=1),SUMIF(C2:C258,C45,AS2:AS258),IF(AND(AT45=1,M45="F",SUMIF(C2:C258,C45,AS2:AS258)&gt;1),1,"")))</f>
        <v>1</v>
      </c>
      <c r="AV45" s="388" t="str">
        <f>IF(AT45=0,"",IF(AND(AT45=3,M45="F",SUMIF(C2:C258,C45,AS2:AS258)&lt;=1),SUMIF(C2:C258,C45,AS2:AS258),IF(AND(AT45=3,M45="F",SUMIF(C2:C258,C45,AS2:AS258)&gt;1),1,"")))</f>
        <v/>
      </c>
      <c r="AW45" s="388">
        <f>SUMIF(C2:C258,C45,O2:O258)</f>
        <v>2</v>
      </c>
      <c r="AX45" s="388">
        <f>IF(AND(M45="F",AS45&lt;&gt;0),SUMIF(C2:C258,C45,W2:W258),0)</f>
        <v>37086.400000000001</v>
      </c>
      <c r="AY45" s="388">
        <f t="shared" si="29"/>
        <v>18543.2</v>
      </c>
      <c r="AZ45" s="388" t="str">
        <f t="shared" si="30"/>
        <v/>
      </c>
      <c r="BA45" s="388">
        <f t="shared" si="31"/>
        <v>0</v>
      </c>
      <c r="BB45" s="388">
        <f t="shared" si="0"/>
        <v>6250</v>
      </c>
      <c r="BC45" s="388">
        <f t="shared" si="1"/>
        <v>0</v>
      </c>
      <c r="BD45" s="388">
        <f t="shared" si="2"/>
        <v>1149.6784</v>
      </c>
      <c r="BE45" s="388">
        <f t="shared" si="3"/>
        <v>268.87640000000005</v>
      </c>
      <c r="BF45" s="388">
        <f t="shared" si="4"/>
        <v>2214.0580800000002</v>
      </c>
      <c r="BG45" s="388">
        <f t="shared" si="5"/>
        <v>133.696472</v>
      </c>
      <c r="BH45" s="388">
        <f t="shared" si="6"/>
        <v>0</v>
      </c>
      <c r="BI45" s="388">
        <f t="shared" si="7"/>
        <v>0</v>
      </c>
      <c r="BJ45" s="388">
        <f t="shared" si="8"/>
        <v>64.901200000000003</v>
      </c>
      <c r="BK45" s="388">
        <f t="shared" si="9"/>
        <v>0</v>
      </c>
      <c r="BL45" s="388">
        <f t="shared" si="32"/>
        <v>3831.2105520000005</v>
      </c>
      <c r="BM45" s="388">
        <f t="shared" si="33"/>
        <v>0</v>
      </c>
      <c r="BN45" s="388">
        <f t="shared" si="10"/>
        <v>6875</v>
      </c>
      <c r="BO45" s="388">
        <f t="shared" si="11"/>
        <v>0</v>
      </c>
      <c r="BP45" s="388">
        <f t="shared" si="12"/>
        <v>1149.6784</v>
      </c>
      <c r="BQ45" s="388">
        <f t="shared" si="13"/>
        <v>268.87640000000005</v>
      </c>
      <c r="BR45" s="388">
        <f t="shared" si="14"/>
        <v>2073.1297599999998</v>
      </c>
      <c r="BS45" s="388">
        <f t="shared" si="15"/>
        <v>133.696472</v>
      </c>
      <c r="BT45" s="388">
        <f t="shared" si="16"/>
        <v>0</v>
      </c>
      <c r="BU45" s="388">
        <f t="shared" si="17"/>
        <v>0</v>
      </c>
      <c r="BV45" s="388">
        <f t="shared" si="18"/>
        <v>72.318479999999994</v>
      </c>
      <c r="BW45" s="388">
        <f t="shared" si="19"/>
        <v>0</v>
      </c>
      <c r="BX45" s="388">
        <f t="shared" si="34"/>
        <v>3697.6995119999997</v>
      </c>
      <c r="BY45" s="388">
        <f t="shared" si="35"/>
        <v>0</v>
      </c>
      <c r="BZ45" s="388">
        <f t="shared" si="36"/>
        <v>625</v>
      </c>
      <c r="CA45" s="388">
        <f t="shared" si="37"/>
        <v>0</v>
      </c>
      <c r="CB45" s="388">
        <f t="shared" si="38"/>
        <v>0</v>
      </c>
      <c r="CC45" s="388">
        <f t="shared" si="20"/>
        <v>0</v>
      </c>
      <c r="CD45" s="388">
        <f t="shared" si="21"/>
        <v>-140.92832000000018</v>
      </c>
      <c r="CE45" s="388">
        <f t="shared" si="22"/>
        <v>0</v>
      </c>
      <c r="CF45" s="388">
        <f t="shared" si="23"/>
        <v>0</v>
      </c>
      <c r="CG45" s="388">
        <f t="shared" si="24"/>
        <v>0</v>
      </c>
      <c r="CH45" s="388">
        <f t="shared" si="25"/>
        <v>7.4172799999999954</v>
      </c>
      <c r="CI45" s="388">
        <f t="shared" si="26"/>
        <v>0</v>
      </c>
      <c r="CJ45" s="388">
        <f t="shared" si="39"/>
        <v>-133.51104000000018</v>
      </c>
      <c r="CK45" s="388" t="str">
        <f t="shared" si="40"/>
        <v/>
      </c>
      <c r="CL45" s="388" t="str">
        <f t="shared" si="41"/>
        <v/>
      </c>
      <c r="CM45" s="388" t="str">
        <f t="shared" si="42"/>
        <v/>
      </c>
      <c r="CN45" s="388" t="str">
        <f t="shared" si="43"/>
        <v>0001-00</v>
      </c>
    </row>
    <row r="46" spans="1:92" ht="15.75" thickBot="1" x14ac:dyDescent="0.3">
      <c r="A46" s="377" t="s">
        <v>162</v>
      </c>
      <c r="B46" s="377" t="s">
        <v>163</v>
      </c>
      <c r="C46" s="377" t="s">
        <v>394</v>
      </c>
      <c r="D46" s="377" t="s">
        <v>251</v>
      </c>
      <c r="E46" s="377" t="s">
        <v>265</v>
      </c>
      <c r="F46" s="378" t="s">
        <v>167</v>
      </c>
      <c r="G46" s="377" t="s">
        <v>266</v>
      </c>
      <c r="H46" s="379"/>
      <c r="I46" s="379"/>
      <c r="J46" s="377" t="s">
        <v>219</v>
      </c>
      <c r="K46" s="377" t="s">
        <v>252</v>
      </c>
      <c r="L46" s="377" t="s">
        <v>179</v>
      </c>
      <c r="M46" s="377" t="s">
        <v>395</v>
      </c>
      <c r="N46" s="377" t="s">
        <v>173</v>
      </c>
      <c r="O46" s="380">
        <v>0</v>
      </c>
      <c r="P46" s="386">
        <v>1</v>
      </c>
      <c r="Q46" s="386">
        <v>1</v>
      </c>
      <c r="R46" s="381">
        <v>80</v>
      </c>
      <c r="S46" s="386">
        <v>1</v>
      </c>
      <c r="T46" s="381">
        <v>30585.57</v>
      </c>
      <c r="U46" s="381">
        <v>491.82</v>
      </c>
      <c r="V46" s="381">
        <v>13734.42</v>
      </c>
      <c r="W46" s="381">
        <v>36379.199999999997</v>
      </c>
      <c r="X46" s="381">
        <v>16370.64</v>
      </c>
      <c r="Y46" s="381">
        <v>36379.199999999997</v>
      </c>
      <c r="Z46" s="381">
        <v>16952.7</v>
      </c>
      <c r="AA46" s="379"/>
      <c r="AB46" s="377" t="s">
        <v>45</v>
      </c>
      <c r="AC46" s="377" t="s">
        <v>45</v>
      </c>
      <c r="AD46" s="379"/>
      <c r="AE46" s="379"/>
      <c r="AF46" s="379"/>
      <c r="AG46" s="379"/>
      <c r="AH46" s="380">
        <v>0</v>
      </c>
      <c r="AI46" s="380">
        <v>0</v>
      </c>
      <c r="AJ46" s="379"/>
      <c r="AK46" s="379"/>
      <c r="AL46" s="377" t="s">
        <v>182</v>
      </c>
      <c r="AM46" s="379"/>
      <c r="AN46" s="379"/>
      <c r="AO46" s="380">
        <v>0</v>
      </c>
      <c r="AP46" s="386">
        <v>0</v>
      </c>
      <c r="AQ46" s="386">
        <v>0</v>
      </c>
      <c r="AR46" s="385"/>
      <c r="AS46" s="388">
        <f t="shared" si="27"/>
        <v>0</v>
      </c>
      <c r="AT46">
        <f t="shared" si="28"/>
        <v>0</v>
      </c>
      <c r="AU46" s="388" t="str">
        <f>IF(AT46=0,"",IF(AND(AT46=1,M46="F",SUMIF(C2:C258,C46,AS2:AS258)&lt;=1),SUMIF(C2:C258,C46,AS2:AS258),IF(AND(AT46=1,M46="F",SUMIF(C2:C258,C46,AS2:AS258)&gt;1),1,"")))</f>
        <v/>
      </c>
      <c r="AV46" s="388" t="str">
        <f>IF(AT46=0,"",IF(AND(AT46=3,M46="F",SUMIF(C2:C258,C46,AS2:AS258)&lt;=1),SUMIF(C2:C258,C46,AS2:AS258),IF(AND(AT46=3,M46="F",SUMIF(C2:C258,C46,AS2:AS258)&gt;1),1,"")))</f>
        <v/>
      </c>
      <c r="AW46" s="388">
        <f>SUMIF(C2:C258,C46,O2:O258)</f>
        <v>0</v>
      </c>
      <c r="AX46" s="388">
        <f>IF(AND(M46="F",AS46&lt;&gt;0),SUMIF(C2:C258,C46,W2:W258),0)</f>
        <v>0</v>
      </c>
      <c r="AY46" s="388" t="str">
        <f t="shared" si="29"/>
        <v/>
      </c>
      <c r="AZ46" s="388" t="str">
        <f t="shared" si="30"/>
        <v/>
      </c>
      <c r="BA46" s="388">
        <f t="shared" si="31"/>
        <v>0</v>
      </c>
      <c r="BB46" s="388">
        <f t="shared" si="0"/>
        <v>0</v>
      </c>
      <c r="BC46" s="388">
        <f t="shared" si="1"/>
        <v>0</v>
      </c>
      <c r="BD46" s="388">
        <f t="shared" si="2"/>
        <v>0</v>
      </c>
      <c r="BE46" s="388">
        <f t="shared" si="3"/>
        <v>0</v>
      </c>
      <c r="BF46" s="388">
        <f t="shared" si="4"/>
        <v>0</v>
      </c>
      <c r="BG46" s="388">
        <f t="shared" si="5"/>
        <v>0</v>
      </c>
      <c r="BH46" s="388">
        <f t="shared" si="6"/>
        <v>0</v>
      </c>
      <c r="BI46" s="388">
        <f t="shared" si="7"/>
        <v>0</v>
      </c>
      <c r="BJ46" s="388">
        <f t="shared" si="8"/>
        <v>0</v>
      </c>
      <c r="BK46" s="388">
        <f t="shared" si="9"/>
        <v>0</v>
      </c>
      <c r="BL46" s="388">
        <f t="shared" si="32"/>
        <v>0</v>
      </c>
      <c r="BM46" s="388">
        <f t="shared" si="33"/>
        <v>0</v>
      </c>
      <c r="BN46" s="388">
        <f t="shared" si="10"/>
        <v>0</v>
      </c>
      <c r="BO46" s="388">
        <f t="shared" si="11"/>
        <v>0</v>
      </c>
      <c r="BP46" s="388">
        <f t="shared" si="12"/>
        <v>0</v>
      </c>
      <c r="BQ46" s="388">
        <f t="shared" si="13"/>
        <v>0</v>
      </c>
      <c r="BR46" s="388">
        <f t="shared" si="14"/>
        <v>0</v>
      </c>
      <c r="BS46" s="388">
        <f t="shared" si="15"/>
        <v>0</v>
      </c>
      <c r="BT46" s="388">
        <f t="shared" si="16"/>
        <v>0</v>
      </c>
      <c r="BU46" s="388">
        <f t="shared" si="17"/>
        <v>0</v>
      </c>
      <c r="BV46" s="388">
        <f t="shared" si="18"/>
        <v>0</v>
      </c>
      <c r="BW46" s="388">
        <f t="shared" si="19"/>
        <v>0</v>
      </c>
      <c r="BX46" s="388">
        <f t="shared" si="34"/>
        <v>0</v>
      </c>
      <c r="BY46" s="388">
        <f t="shared" si="35"/>
        <v>0</v>
      </c>
      <c r="BZ46" s="388">
        <f t="shared" si="36"/>
        <v>0</v>
      </c>
      <c r="CA46" s="388">
        <f t="shared" si="37"/>
        <v>0</v>
      </c>
      <c r="CB46" s="388">
        <f t="shared" si="38"/>
        <v>0</v>
      </c>
      <c r="CC46" s="388">
        <f t="shared" si="20"/>
        <v>0</v>
      </c>
      <c r="CD46" s="388">
        <f t="shared" si="21"/>
        <v>0</v>
      </c>
      <c r="CE46" s="388">
        <f t="shared" si="22"/>
        <v>0</v>
      </c>
      <c r="CF46" s="388">
        <f t="shared" si="23"/>
        <v>0</v>
      </c>
      <c r="CG46" s="388">
        <f t="shared" si="24"/>
        <v>0</v>
      </c>
      <c r="CH46" s="388">
        <f t="shared" si="25"/>
        <v>0</v>
      </c>
      <c r="CI46" s="388">
        <f t="shared" si="26"/>
        <v>0</v>
      </c>
      <c r="CJ46" s="388">
        <f t="shared" si="39"/>
        <v>0</v>
      </c>
      <c r="CK46" s="388" t="str">
        <f t="shared" si="40"/>
        <v/>
      </c>
      <c r="CL46" s="388" t="str">
        <f t="shared" si="41"/>
        <v/>
      </c>
      <c r="CM46" s="388" t="str">
        <f t="shared" si="42"/>
        <v/>
      </c>
      <c r="CN46" s="388" t="str">
        <f t="shared" si="43"/>
        <v>0001-00</v>
      </c>
    </row>
    <row r="47" spans="1:92" ht="15.75" thickBot="1" x14ac:dyDescent="0.3">
      <c r="A47" s="377" t="s">
        <v>162</v>
      </c>
      <c r="B47" s="377" t="s">
        <v>163</v>
      </c>
      <c r="C47" s="377" t="s">
        <v>396</v>
      </c>
      <c r="D47" s="377" t="s">
        <v>276</v>
      </c>
      <c r="E47" s="377" t="s">
        <v>265</v>
      </c>
      <c r="F47" s="378" t="s">
        <v>167</v>
      </c>
      <c r="G47" s="377" t="s">
        <v>266</v>
      </c>
      <c r="H47" s="379"/>
      <c r="I47" s="379"/>
      <c r="J47" s="377" t="s">
        <v>169</v>
      </c>
      <c r="K47" s="377" t="s">
        <v>277</v>
      </c>
      <c r="L47" s="377" t="s">
        <v>215</v>
      </c>
      <c r="M47" s="377" t="s">
        <v>172</v>
      </c>
      <c r="N47" s="377" t="s">
        <v>173</v>
      </c>
      <c r="O47" s="380">
        <v>1</v>
      </c>
      <c r="P47" s="386">
        <v>0.6</v>
      </c>
      <c r="Q47" s="386">
        <v>0.6</v>
      </c>
      <c r="R47" s="381">
        <v>80</v>
      </c>
      <c r="S47" s="386">
        <v>0.6</v>
      </c>
      <c r="T47" s="381">
        <v>34026.58</v>
      </c>
      <c r="U47" s="381">
        <v>0</v>
      </c>
      <c r="V47" s="381">
        <v>13886.38</v>
      </c>
      <c r="W47" s="381">
        <v>36029.760000000002</v>
      </c>
      <c r="X47" s="381">
        <v>14944.09</v>
      </c>
      <c r="Y47" s="381">
        <v>36029.760000000002</v>
      </c>
      <c r="Z47" s="381">
        <v>15434.67</v>
      </c>
      <c r="AA47" s="377" t="s">
        <v>397</v>
      </c>
      <c r="AB47" s="377" t="s">
        <v>398</v>
      </c>
      <c r="AC47" s="377" t="s">
        <v>399</v>
      </c>
      <c r="AD47" s="377" t="s">
        <v>400</v>
      </c>
      <c r="AE47" s="377" t="s">
        <v>277</v>
      </c>
      <c r="AF47" s="377" t="s">
        <v>231</v>
      </c>
      <c r="AG47" s="377" t="s">
        <v>179</v>
      </c>
      <c r="AH47" s="382">
        <v>28.87</v>
      </c>
      <c r="AI47" s="382">
        <v>35644.1</v>
      </c>
      <c r="AJ47" s="377" t="s">
        <v>180</v>
      </c>
      <c r="AK47" s="377" t="s">
        <v>181</v>
      </c>
      <c r="AL47" s="377" t="s">
        <v>182</v>
      </c>
      <c r="AM47" s="377" t="s">
        <v>183</v>
      </c>
      <c r="AN47" s="377" t="s">
        <v>66</v>
      </c>
      <c r="AO47" s="380">
        <v>80</v>
      </c>
      <c r="AP47" s="386">
        <v>1</v>
      </c>
      <c r="AQ47" s="386">
        <v>0.6</v>
      </c>
      <c r="AR47" s="384" t="s">
        <v>184</v>
      </c>
      <c r="AS47" s="388">
        <f t="shared" si="27"/>
        <v>0.6</v>
      </c>
      <c r="AT47">
        <f t="shared" si="28"/>
        <v>1</v>
      </c>
      <c r="AU47" s="388">
        <f>IF(AT47=0,"",IF(AND(AT47=1,M47="F",SUMIF(C2:C258,C47,AS2:AS258)&lt;=1),SUMIF(C2:C258,C47,AS2:AS258),IF(AND(AT47=1,M47="F",SUMIF(C2:C258,C47,AS2:AS258)&gt;1),1,"")))</f>
        <v>1</v>
      </c>
      <c r="AV47" s="388" t="str">
        <f>IF(AT47=0,"",IF(AND(AT47=3,M47="F",SUMIF(C2:C258,C47,AS2:AS258)&lt;=1),SUMIF(C2:C258,C47,AS2:AS258),IF(AND(AT47=3,M47="F",SUMIF(C2:C258,C47,AS2:AS258)&gt;1),1,"")))</f>
        <v/>
      </c>
      <c r="AW47" s="388">
        <f>SUMIF(C2:C258,C47,O2:O258)</f>
        <v>2</v>
      </c>
      <c r="AX47" s="388">
        <f>IF(AND(M47="F",AS47&lt;&gt;0),SUMIF(C2:C258,C47,W2:W258),0)</f>
        <v>60049.600000000006</v>
      </c>
      <c r="AY47" s="388">
        <f t="shared" si="29"/>
        <v>36029.760000000002</v>
      </c>
      <c r="AZ47" s="388" t="str">
        <f t="shared" si="30"/>
        <v/>
      </c>
      <c r="BA47" s="388">
        <f t="shared" si="31"/>
        <v>0</v>
      </c>
      <c r="BB47" s="388">
        <f t="shared" si="0"/>
        <v>7500</v>
      </c>
      <c r="BC47" s="388">
        <f t="shared" si="1"/>
        <v>0</v>
      </c>
      <c r="BD47" s="388">
        <f t="shared" si="2"/>
        <v>2233.84512</v>
      </c>
      <c r="BE47" s="388">
        <f t="shared" si="3"/>
        <v>522.43152000000009</v>
      </c>
      <c r="BF47" s="388">
        <f t="shared" si="4"/>
        <v>4301.9533440000005</v>
      </c>
      <c r="BG47" s="388">
        <f t="shared" si="5"/>
        <v>259.77456960000001</v>
      </c>
      <c r="BH47" s="388">
        <f t="shared" si="6"/>
        <v>0</v>
      </c>
      <c r="BI47" s="388">
        <f t="shared" si="7"/>
        <v>0</v>
      </c>
      <c r="BJ47" s="388">
        <f t="shared" si="8"/>
        <v>126.10416000000001</v>
      </c>
      <c r="BK47" s="388">
        <f t="shared" si="9"/>
        <v>0</v>
      </c>
      <c r="BL47" s="388">
        <f t="shared" si="32"/>
        <v>7444.1087136000006</v>
      </c>
      <c r="BM47" s="388">
        <f t="shared" si="33"/>
        <v>0</v>
      </c>
      <c r="BN47" s="388">
        <f t="shared" si="10"/>
        <v>8250</v>
      </c>
      <c r="BO47" s="388">
        <f t="shared" si="11"/>
        <v>0</v>
      </c>
      <c r="BP47" s="388">
        <f t="shared" si="12"/>
        <v>2233.84512</v>
      </c>
      <c r="BQ47" s="388">
        <f t="shared" si="13"/>
        <v>522.43152000000009</v>
      </c>
      <c r="BR47" s="388">
        <f t="shared" si="14"/>
        <v>4028.127168</v>
      </c>
      <c r="BS47" s="388">
        <f t="shared" si="15"/>
        <v>259.77456960000001</v>
      </c>
      <c r="BT47" s="388">
        <f t="shared" si="16"/>
        <v>0</v>
      </c>
      <c r="BU47" s="388">
        <f t="shared" si="17"/>
        <v>0</v>
      </c>
      <c r="BV47" s="388">
        <f t="shared" si="18"/>
        <v>140.516064</v>
      </c>
      <c r="BW47" s="388">
        <f t="shared" si="19"/>
        <v>0</v>
      </c>
      <c r="BX47" s="388">
        <f t="shared" si="34"/>
        <v>7184.6944416000006</v>
      </c>
      <c r="BY47" s="388">
        <f t="shared" si="35"/>
        <v>0</v>
      </c>
      <c r="BZ47" s="388">
        <f t="shared" si="36"/>
        <v>750</v>
      </c>
      <c r="CA47" s="388">
        <f t="shared" si="37"/>
        <v>0</v>
      </c>
      <c r="CB47" s="388">
        <f t="shared" si="38"/>
        <v>0</v>
      </c>
      <c r="CC47" s="388">
        <f t="shared" si="20"/>
        <v>0</v>
      </c>
      <c r="CD47" s="388">
        <f t="shared" si="21"/>
        <v>-273.82617600000037</v>
      </c>
      <c r="CE47" s="388">
        <f t="shared" si="22"/>
        <v>0</v>
      </c>
      <c r="CF47" s="388">
        <f t="shared" si="23"/>
        <v>0</v>
      </c>
      <c r="CG47" s="388">
        <f t="shared" si="24"/>
        <v>0</v>
      </c>
      <c r="CH47" s="388">
        <f t="shared" si="25"/>
        <v>14.411903999999991</v>
      </c>
      <c r="CI47" s="388">
        <f t="shared" si="26"/>
        <v>0</v>
      </c>
      <c r="CJ47" s="388">
        <f t="shared" si="39"/>
        <v>-259.41427200000038</v>
      </c>
      <c r="CK47" s="388" t="str">
        <f t="shared" si="40"/>
        <v/>
      </c>
      <c r="CL47" s="388" t="str">
        <f t="shared" si="41"/>
        <v/>
      </c>
      <c r="CM47" s="388" t="str">
        <f t="shared" si="42"/>
        <v/>
      </c>
      <c r="CN47" s="388" t="str">
        <f t="shared" si="43"/>
        <v>0001-00</v>
      </c>
    </row>
    <row r="48" spans="1:92" ht="15.75" thickBot="1" x14ac:dyDescent="0.3">
      <c r="A48" s="377" t="s">
        <v>162</v>
      </c>
      <c r="B48" s="377" t="s">
        <v>163</v>
      </c>
      <c r="C48" s="377" t="s">
        <v>237</v>
      </c>
      <c r="D48" s="377" t="s">
        <v>238</v>
      </c>
      <c r="E48" s="377" t="s">
        <v>265</v>
      </c>
      <c r="F48" s="378" t="s">
        <v>167</v>
      </c>
      <c r="G48" s="377" t="s">
        <v>266</v>
      </c>
      <c r="H48" s="379"/>
      <c r="I48" s="379"/>
      <c r="J48" s="377" t="s">
        <v>219</v>
      </c>
      <c r="K48" s="377" t="s">
        <v>239</v>
      </c>
      <c r="L48" s="377" t="s">
        <v>240</v>
      </c>
      <c r="M48" s="377" t="s">
        <v>172</v>
      </c>
      <c r="N48" s="377" t="s">
        <v>173</v>
      </c>
      <c r="O48" s="380">
        <v>1</v>
      </c>
      <c r="P48" s="386">
        <v>0</v>
      </c>
      <c r="Q48" s="386">
        <v>0</v>
      </c>
      <c r="R48" s="381">
        <v>80</v>
      </c>
      <c r="S48" s="386">
        <v>0</v>
      </c>
      <c r="T48" s="381">
        <v>15008.02</v>
      </c>
      <c r="U48" s="381">
        <v>0</v>
      </c>
      <c r="V48" s="381">
        <v>1573.95</v>
      </c>
      <c r="W48" s="381">
        <v>0</v>
      </c>
      <c r="X48" s="381">
        <v>0</v>
      </c>
      <c r="Y48" s="381">
        <v>0</v>
      </c>
      <c r="Z48" s="381">
        <v>0</v>
      </c>
      <c r="AA48" s="377" t="s">
        <v>241</v>
      </c>
      <c r="AB48" s="377" t="s">
        <v>242</v>
      </c>
      <c r="AC48" s="377" t="s">
        <v>243</v>
      </c>
      <c r="AD48" s="377" t="s">
        <v>211</v>
      </c>
      <c r="AE48" s="377" t="s">
        <v>244</v>
      </c>
      <c r="AF48" s="377" t="s">
        <v>207</v>
      </c>
      <c r="AG48" s="377" t="s">
        <v>179</v>
      </c>
      <c r="AH48" s="382">
        <v>47.19</v>
      </c>
      <c r="AI48" s="382">
        <v>6916.8</v>
      </c>
      <c r="AJ48" s="377" t="s">
        <v>180</v>
      </c>
      <c r="AK48" s="377" t="s">
        <v>181</v>
      </c>
      <c r="AL48" s="377" t="s">
        <v>182</v>
      </c>
      <c r="AM48" s="377" t="s">
        <v>183</v>
      </c>
      <c r="AN48" s="377" t="s">
        <v>66</v>
      </c>
      <c r="AO48" s="380">
        <v>80</v>
      </c>
      <c r="AP48" s="386">
        <v>1</v>
      </c>
      <c r="AQ48" s="386">
        <v>0</v>
      </c>
      <c r="AR48" s="384" t="s">
        <v>184</v>
      </c>
      <c r="AS48" s="388">
        <f t="shared" si="27"/>
        <v>0</v>
      </c>
      <c r="AT48">
        <f t="shared" si="28"/>
        <v>0</v>
      </c>
      <c r="AU48" s="388" t="str">
        <f>IF(AT48=0,"",IF(AND(AT48=1,M48="F",SUMIF(C2:C258,C48,AS2:AS258)&lt;=1),SUMIF(C2:C258,C48,AS2:AS258),IF(AND(AT48=1,M48="F",SUMIF(C2:C258,C48,AS2:AS258)&gt;1),1,"")))</f>
        <v/>
      </c>
      <c r="AV48" s="388" t="str">
        <f>IF(AT48=0,"",IF(AND(AT48=3,M48="F",SUMIF(C2:C258,C48,AS2:AS258)&lt;=1),SUMIF(C2:C258,C48,AS2:AS258),IF(AND(AT48=3,M48="F",SUMIF(C2:C258,C48,AS2:AS258)&gt;1),1,"")))</f>
        <v/>
      </c>
      <c r="AW48" s="388">
        <f>SUMIF(C2:C258,C48,O2:O258)</f>
        <v>7</v>
      </c>
      <c r="AX48" s="388">
        <f>IF(AND(M48="F",AS48&lt;&gt;0),SUMIF(C2:C258,C48,W2:W258),0)</f>
        <v>0</v>
      </c>
      <c r="AY48" s="388" t="str">
        <f t="shared" si="29"/>
        <v/>
      </c>
      <c r="AZ48" s="388" t="str">
        <f t="shared" si="30"/>
        <v/>
      </c>
      <c r="BA48" s="388">
        <f t="shared" si="31"/>
        <v>0</v>
      </c>
      <c r="BB48" s="388">
        <f t="shared" si="0"/>
        <v>0</v>
      </c>
      <c r="BC48" s="388">
        <f t="shared" si="1"/>
        <v>0</v>
      </c>
      <c r="BD48" s="388">
        <f t="shared" si="2"/>
        <v>0</v>
      </c>
      <c r="BE48" s="388">
        <f t="shared" si="3"/>
        <v>0</v>
      </c>
      <c r="BF48" s="388">
        <f t="shared" si="4"/>
        <v>0</v>
      </c>
      <c r="BG48" s="388">
        <f t="shared" si="5"/>
        <v>0</v>
      </c>
      <c r="BH48" s="388">
        <f t="shared" si="6"/>
        <v>0</v>
      </c>
      <c r="BI48" s="388">
        <f t="shared" si="7"/>
        <v>0</v>
      </c>
      <c r="BJ48" s="388">
        <f t="shared" si="8"/>
        <v>0</v>
      </c>
      <c r="BK48" s="388">
        <f t="shared" si="9"/>
        <v>0</v>
      </c>
      <c r="BL48" s="388">
        <f t="shared" si="32"/>
        <v>0</v>
      </c>
      <c r="BM48" s="388">
        <f t="shared" si="33"/>
        <v>0</v>
      </c>
      <c r="BN48" s="388">
        <f t="shared" si="10"/>
        <v>0</v>
      </c>
      <c r="BO48" s="388">
        <f t="shared" si="11"/>
        <v>0</v>
      </c>
      <c r="BP48" s="388">
        <f t="shared" si="12"/>
        <v>0</v>
      </c>
      <c r="BQ48" s="388">
        <f t="shared" si="13"/>
        <v>0</v>
      </c>
      <c r="BR48" s="388">
        <f t="shared" si="14"/>
        <v>0</v>
      </c>
      <c r="BS48" s="388">
        <f t="shared" si="15"/>
        <v>0</v>
      </c>
      <c r="BT48" s="388">
        <f t="shared" si="16"/>
        <v>0</v>
      </c>
      <c r="BU48" s="388">
        <f t="shared" si="17"/>
        <v>0</v>
      </c>
      <c r="BV48" s="388">
        <f t="shared" si="18"/>
        <v>0</v>
      </c>
      <c r="BW48" s="388">
        <f t="shared" si="19"/>
        <v>0</v>
      </c>
      <c r="BX48" s="388">
        <f t="shared" si="34"/>
        <v>0</v>
      </c>
      <c r="BY48" s="388">
        <f t="shared" si="35"/>
        <v>0</v>
      </c>
      <c r="BZ48" s="388">
        <f t="shared" si="36"/>
        <v>0</v>
      </c>
      <c r="CA48" s="388">
        <f t="shared" si="37"/>
        <v>0</v>
      </c>
      <c r="CB48" s="388">
        <f t="shared" si="38"/>
        <v>0</v>
      </c>
      <c r="CC48" s="388">
        <f t="shared" si="20"/>
        <v>0</v>
      </c>
      <c r="CD48" s="388">
        <f t="shared" si="21"/>
        <v>0</v>
      </c>
      <c r="CE48" s="388">
        <f t="shared" si="22"/>
        <v>0</v>
      </c>
      <c r="CF48" s="388">
        <f t="shared" si="23"/>
        <v>0</v>
      </c>
      <c r="CG48" s="388">
        <f t="shared" si="24"/>
        <v>0</v>
      </c>
      <c r="CH48" s="388">
        <f t="shared" si="25"/>
        <v>0</v>
      </c>
      <c r="CI48" s="388">
        <f t="shared" si="26"/>
        <v>0</v>
      </c>
      <c r="CJ48" s="388">
        <f t="shared" si="39"/>
        <v>0</v>
      </c>
      <c r="CK48" s="388" t="str">
        <f t="shared" si="40"/>
        <v/>
      </c>
      <c r="CL48" s="388" t="str">
        <f t="shared" si="41"/>
        <v/>
      </c>
      <c r="CM48" s="388" t="str">
        <f t="shared" si="42"/>
        <v/>
      </c>
      <c r="CN48" s="388" t="str">
        <f t="shared" si="43"/>
        <v>0001-00</v>
      </c>
    </row>
    <row r="49" spans="1:92" ht="15.75" thickBot="1" x14ac:dyDescent="0.3">
      <c r="A49" s="377" t="s">
        <v>162</v>
      </c>
      <c r="B49" s="377" t="s">
        <v>163</v>
      </c>
      <c r="C49" s="377" t="s">
        <v>401</v>
      </c>
      <c r="D49" s="377" t="s">
        <v>194</v>
      </c>
      <c r="E49" s="377" t="s">
        <v>265</v>
      </c>
      <c r="F49" s="378" t="s">
        <v>167</v>
      </c>
      <c r="G49" s="377" t="s">
        <v>266</v>
      </c>
      <c r="H49" s="379"/>
      <c r="I49" s="379"/>
      <c r="J49" s="377" t="s">
        <v>219</v>
      </c>
      <c r="K49" s="377" t="s">
        <v>226</v>
      </c>
      <c r="L49" s="377" t="s">
        <v>215</v>
      </c>
      <c r="M49" s="377" t="s">
        <v>172</v>
      </c>
      <c r="N49" s="377" t="s">
        <v>173</v>
      </c>
      <c r="O49" s="380">
        <v>1</v>
      </c>
      <c r="P49" s="386">
        <v>1</v>
      </c>
      <c r="Q49" s="386">
        <v>1</v>
      </c>
      <c r="R49" s="381">
        <v>80</v>
      </c>
      <c r="S49" s="386">
        <v>1</v>
      </c>
      <c r="T49" s="381">
        <v>53412.2</v>
      </c>
      <c r="U49" s="381">
        <v>0</v>
      </c>
      <c r="V49" s="381">
        <v>22447.11</v>
      </c>
      <c r="W49" s="381">
        <v>55598.400000000001</v>
      </c>
      <c r="X49" s="381">
        <v>23987.16</v>
      </c>
      <c r="Y49" s="381">
        <v>55598.400000000001</v>
      </c>
      <c r="Z49" s="381">
        <v>24836.86</v>
      </c>
      <c r="AA49" s="377" t="s">
        <v>402</v>
      </c>
      <c r="AB49" s="377" t="s">
        <v>403</v>
      </c>
      <c r="AC49" s="377" t="s">
        <v>404</v>
      </c>
      <c r="AD49" s="377" t="s">
        <v>215</v>
      </c>
      <c r="AE49" s="377" t="s">
        <v>226</v>
      </c>
      <c r="AF49" s="377" t="s">
        <v>231</v>
      </c>
      <c r="AG49" s="377" t="s">
        <v>179</v>
      </c>
      <c r="AH49" s="382">
        <v>26.73</v>
      </c>
      <c r="AI49" s="382">
        <v>11667.6</v>
      </c>
      <c r="AJ49" s="377" t="s">
        <v>180</v>
      </c>
      <c r="AK49" s="377" t="s">
        <v>181</v>
      </c>
      <c r="AL49" s="377" t="s">
        <v>182</v>
      </c>
      <c r="AM49" s="377" t="s">
        <v>183</v>
      </c>
      <c r="AN49" s="377" t="s">
        <v>66</v>
      </c>
      <c r="AO49" s="380">
        <v>80</v>
      </c>
      <c r="AP49" s="386">
        <v>1</v>
      </c>
      <c r="AQ49" s="386">
        <v>1</v>
      </c>
      <c r="AR49" s="384" t="s">
        <v>184</v>
      </c>
      <c r="AS49" s="388">
        <f t="shared" si="27"/>
        <v>1</v>
      </c>
      <c r="AT49">
        <f t="shared" si="28"/>
        <v>1</v>
      </c>
      <c r="AU49" s="388">
        <f>IF(AT49=0,"",IF(AND(AT49=1,M49="F",SUMIF(C2:C258,C49,AS2:AS258)&lt;=1),SUMIF(C2:C258,C49,AS2:AS258),IF(AND(AT49=1,M49="F",SUMIF(C2:C258,C49,AS2:AS258)&gt;1),1,"")))</f>
        <v>1</v>
      </c>
      <c r="AV49" s="388" t="str">
        <f>IF(AT49=0,"",IF(AND(AT49=3,M49="F",SUMIF(C2:C258,C49,AS2:AS258)&lt;=1),SUMIF(C2:C258,C49,AS2:AS258),IF(AND(AT49=3,M49="F",SUMIF(C2:C258,C49,AS2:AS258)&gt;1),1,"")))</f>
        <v/>
      </c>
      <c r="AW49" s="388">
        <f>SUMIF(C2:C258,C49,O2:O258)</f>
        <v>1</v>
      </c>
      <c r="AX49" s="388">
        <f>IF(AND(M49="F",AS49&lt;&gt;0),SUMIF(C2:C258,C49,W2:W258),0)</f>
        <v>55598.400000000001</v>
      </c>
      <c r="AY49" s="388">
        <f t="shared" si="29"/>
        <v>55598.400000000001</v>
      </c>
      <c r="AZ49" s="388" t="str">
        <f t="shared" si="30"/>
        <v/>
      </c>
      <c r="BA49" s="388">
        <f t="shared" si="31"/>
        <v>0</v>
      </c>
      <c r="BB49" s="388">
        <f t="shared" si="0"/>
        <v>12500</v>
      </c>
      <c r="BC49" s="388">
        <f t="shared" si="1"/>
        <v>0</v>
      </c>
      <c r="BD49" s="388">
        <f t="shared" si="2"/>
        <v>3447.1008000000002</v>
      </c>
      <c r="BE49" s="388">
        <f t="shared" si="3"/>
        <v>806.17680000000007</v>
      </c>
      <c r="BF49" s="388">
        <f t="shared" si="4"/>
        <v>6638.4489600000006</v>
      </c>
      <c r="BG49" s="388">
        <f t="shared" si="5"/>
        <v>400.864464</v>
      </c>
      <c r="BH49" s="388">
        <f t="shared" si="6"/>
        <v>0</v>
      </c>
      <c r="BI49" s="388">
        <f t="shared" si="7"/>
        <v>0</v>
      </c>
      <c r="BJ49" s="388">
        <f t="shared" si="8"/>
        <v>194.59440000000001</v>
      </c>
      <c r="BK49" s="388">
        <f t="shared" si="9"/>
        <v>0</v>
      </c>
      <c r="BL49" s="388">
        <f t="shared" si="32"/>
        <v>11487.185424000001</v>
      </c>
      <c r="BM49" s="388">
        <f t="shared" si="33"/>
        <v>0</v>
      </c>
      <c r="BN49" s="388">
        <f t="shared" si="10"/>
        <v>13750</v>
      </c>
      <c r="BO49" s="388">
        <f t="shared" si="11"/>
        <v>0</v>
      </c>
      <c r="BP49" s="388">
        <f t="shared" si="12"/>
        <v>3447.1008000000002</v>
      </c>
      <c r="BQ49" s="388">
        <f t="shared" si="13"/>
        <v>806.17680000000007</v>
      </c>
      <c r="BR49" s="388">
        <f t="shared" si="14"/>
        <v>6215.9011199999995</v>
      </c>
      <c r="BS49" s="388">
        <f t="shared" si="15"/>
        <v>400.864464</v>
      </c>
      <c r="BT49" s="388">
        <f t="shared" si="16"/>
        <v>0</v>
      </c>
      <c r="BU49" s="388">
        <f t="shared" si="17"/>
        <v>0</v>
      </c>
      <c r="BV49" s="388">
        <f t="shared" si="18"/>
        <v>216.83375999999998</v>
      </c>
      <c r="BW49" s="388">
        <f t="shared" si="19"/>
        <v>0</v>
      </c>
      <c r="BX49" s="388">
        <f t="shared" si="34"/>
        <v>11086.876944</v>
      </c>
      <c r="BY49" s="388">
        <f t="shared" si="35"/>
        <v>0</v>
      </c>
      <c r="BZ49" s="388">
        <f t="shared" si="36"/>
        <v>1250</v>
      </c>
      <c r="CA49" s="388">
        <f t="shared" si="37"/>
        <v>0</v>
      </c>
      <c r="CB49" s="388">
        <f t="shared" si="38"/>
        <v>0</v>
      </c>
      <c r="CC49" s="388">
        <f t="shared" si="20"/>
        <v>0</v>
      </c>
      <c r="CD49" s="388">
        <f t="shared" si="21"/>
        <v>-422.54784000000052</v>
      </c>
      <c r="CE49" s="388">
        <f t="shared" si="22"/>
        <v>0</v>
      </c>
      <c r="CF49" s="388">
        <f t="shared" si="23"/>
        <v>0</v>
      </c>
      <c r="CG49" s="388">
        <f t="shared" si="24"/>
        <v>0</v>
      </c>
      <c r="CH49" s="388">
        <f t="shared" si="25"/>
        <v>22.239359999999987</v>
      </c>
      <c r="CI49" s="388">
        <f t="shared" si="26"/>
        <v>0</v>
      </c>
      <c r="CJ49" s="388">
        <f t="shared" si="39"/>
        <v>-400.30848000000054</v>
      </c>
      <c r="CK49" s="388" t="str">
        <f t="shared" si="40"/>
        <v/>
      </c>
      <c r="CL49" s="388" t="str">
        <f t="shared" si="41"/>
        <v/>
      </c>
      <c r="CM49" s="388" t="str">
        <f t="shared" si="42"/>
        <v/>
      </c>
      <c r="CN49" s="388" t="str">
        <f t="shared" si="43"/>
        <v>0001-00</v>
      </c>
    </row>
    <row r="50" spans="1:92" ht="15.75" thickBot="1" x14ac:dyDescent="0.3">
      <c r="A50" s="377" t="s">
        <v>162</v>
      </c>
      <c r="B50" s="377" t="s">
        <v>163</v>
      </c>
      <c r="C50" s="377" t="s">
        <v>405</v>
      </c>
      <c r="D50" s="377" t="s">
        <v>251</v>
      </c>
      <c r="E50" s="377" t="s">
        <v>265</v>
      </c>
      <c r="F50" s="378" t="s">
        <v>167</v>
      </c>
      <c r="G50" s="377" t="s">
        <v>266</v>
      </c>
      <c r="H50" s="379"/>
      <c r="I50" s="379"/>
      <c r="J50" s="377" t="s">
        <v>283</v>
      </c>
      <c r="K50" s="377" t="s">
        <v>252</v>
      </c>
      <c r="L50" s="377" t="s">
        <v>179</v>
      </c>
      <c r="M50" s="377" t="s">
        <v>172</v>
      </c>
      <c r="N50" s="377" t="s">
        <v>173</v>
      </c>
      <c r="O50" s="380">
        <v>1</v>
      </c>
      <c r="P50" s="386">
        <v>0</v>
      </c>
      <c r="Q50" s="386">
        <v>0</v>
      </c>
      <c r="R50" s="381">
        <v>80</v>
      </c>
      <c r="S50" s="386">
        <v>0</v>
      </c>
      <c r="T50" s="381">
        <v>261.27999999999997</v>
      </c>
      <c r="U50" s="381">
        <v>0</v>
      </c>
      <c r="V50" s="381">
        <v>154.44</v>
      </c>
      <c r="W50" s="381">
        <v>0</v>
      </c>
      <c r="X50" s="381">
        <v>0</v>
      </c>
      <c r="Y50" s="381">
        <v>0</v>
      </c>
      <c r="Z50" s="381">
        <v>0</v>
      </c>
      <c r="AA50" s="377" t="s">
        <v>406</v>
      </c>
      <c r="AB50" s="377" t="s">
        <v>407</v>
      </c>
      <c r="AC50" s="377" t="s">
        <v>408</v>
      </c>
      <c r="AD50" s="377" t="s">
        <v>316</v>
      </c>
      <c r="AE50" s="377" t="s">
        <v>252</v>
      </c>
      <c r="AF50" s="377" t="s">
        <v>257</v>
      </c>
      <c r="AG50" s="377" t="s">
        <v>179</v>
      </c>
      <c r="AH50" s="382">
        <v>17.829999999999998</v>
      </c>
      <c r="AI50" s="380">
        <v>440</v>
      </c>
      <c r="AJ50" s="377" t="s">
        <v>180</v>
      </c>
      <c r="AK50" s="377" t="s">
        <v>181</v>
      </c>
      <c r="AL50" s="377" t="s">
        <v>182</v>
      </c>
      <c r="AM50" s="377" t="s">
        <v>183</v>
      </c>
      <c r="AN50" s="377" t="s">
        <v>66</v>
      </c>
      <c r="AO50" s="380">
        <v>80</v>
      </c>
      <c r="AP50" s="386">
        <v>1</v>
      </c>
      <c r="AQ50" s="386">
        <v>0</v>
      </c>
      <c r="AR50" s="384" t="s">
        <v>184</v>
      </c>
      <c r="AS50" s="388">
        <f t="shared" si="27"/>
        <v>0</v>
      </c>
      <c r="AT50">
        <f t="shared" si="28"/>
        <v>0</v>
      </c>
      <c r="AU50" s="388" t="str">
        <f>IF(AT50=0,"",IF(AND(AT50=1,M50="F",SUMIF(C2:C258,C50,AS2:AS258)&lt;=1),SUMIF(C2:C258,C50,AS2:AS258),IF(AND(AT50=1,M50="F",SUMIF(C2:C258,C50,AS2:AS258)&gt;1),1,"")))</f>
        <v/>
      </c>
      <c r="AV50" s="388" t="str">
        <f>IF(AT50=0,"",IF(AND(AT50=3,M50="F",SUMIF(C2:C258,C50,AS2:AS258)&lt;=1),SUMIF(C2:C258,C50,AS2:AS258),IF(AND(AT50=3,M50="F",SUMIF(C2:C258,C50,AS2:AS258)&gt;1),1,"")))</f>
        <v/>
      </c>
      <c r="AW50" s="388">
        <f>SUMIF(C2:C258,C50,O2:O258)</f>
        <v>6</v>
      </c>
      <c r="AX50" s="388">
        <f>IF(AND(M50="F",AS50&lt;&gt;0),SUMIF(C2:C258,C50,W2:W258),0)</f>
        <v>0</v>
      </c>
      <c r="AY50" s="388" t="str">
        <f t="shared" si="29"/>
        <v/>
      </c>
      <c r="AZ50" s="388" t="str">
        <f t="shared" si="30"/>
        <v/>
      </c>
      <c r="BA50" s="388">
        <f t="shared" si="31"/>
        <v>0</v>
      </c>
      <c r="BB50" s="388">
        <f t="shared" si="0"/>
        <v>0</v>
      </c>
      <c r="BC50" s="388">
        <f t="shared" si="1"/>
        <v>0</v>
      </c>
      <c r="BD50" s="388">
        <f t="shared" si="2"/>
        <v>0</v>
      </c>
      <c r="BE50" s="388">
        <f t="shared" si="3"/>
        <v>0</v>
      </c>
      <c r="BF50" s="388">
        <f t="shared" si="4"/>
        <v>0</v>
      </c>
      <c r="BG50" s="388">
        <f t="shared" si="5"/>
        <v>0</v>
      </c>
      <c r="BH50" s="388">
        <f t="shared" si="6"/>
        <v>0</v>
      </c>
      <c r="BI50" s="388">
        <f t="shared" si="7"/>
        <v>0</v>
      </c>
      <c r="BJ50" s="388">
        <f t="shared" si="8"/>
        <v>0</v>
      </c>
      <c r="BK50" s="388">
        <f t="shared" si="9"/>
        <v>0</v>
      </c>
      <c r="BL50" s="388">
        <f t="shared" si="32"/>
        <v>0</v>
      </c>
      <c r="BM50" s="388">
        <f t="shared" si="33"/>
        <v>0</v>
      </c>
      <c r="BN50" s="388">
        <f t="shared" si="10"/>
        <v>0</v>
      </c>
      <c r="BO50" s="388">
        <f t="shared" si="11"/>
        <v>0</v>
      </c>
      <c r="BP50" s="388">
        <f t="shared" si="12"/>
        <v>0</v>
      </c>
      <c r="BQ50" s="388">
        <f t="shared" si="13"/>
        <v>0</v>
      </c>
      <c r="BR50" s="388">
        <f t="shared" si="14"/>
        <v>0</v>
      </c>
      <c r="BS50" s="388">
        <f t="shared" si="15"/>
        <v>0</v>
      </c>
      <c r="BT50" s="388">
        <f t="shared" si="16"/>
        <v>0</v>
      </c>
      <c r="BU50" s="388">
        <f t="shared" si="17"/>
        <v>0</v>
      </c>
      <c r="BV50" s="388">
        <f t="shared" si="18"/>
        <v>0</v>
      </c>
      <c r="BW50" s="388">
        <f t="shared" si="19"/>
        <v>0</v>
      </c>
      <c r="BX50" s="388">
        <f t="shared" si="34"/>
        <v>0</v>
      </c>
      <c r="BY50" s="388">
        <f t="shared" si="35"/>
        <v>0</v>
      </c>
      <c r="BZ50" s="388">
        <f t="shared" si="36"/>
        <v>0</v>
      </c>
      <c r="CA50" s="388">
        <f t="shared" si="37"/>
        <v>0</v>
      </c>
      <c r="CB50" s="388">
        <f t="shared" si="38"/>
        <v>0</v>
      </c>
      <c r="CC50" s="388">
        <f t="shared" si="20"/>
        <v>0</v>
      </c>
      <c r="CD50" s="388">
        <f t="shared" si="21"/>
        <v>0</v>
      </c>
      <c r="CE50" s="388">
        <f t="shared" si="22"/>
        <v>0</v>
      </c>
      <c r="CF50" s="388">
        <f t="shared" si="23"/>
        <v>0</v>
      </c>
      <c r="CG50" s="388">
        <f t="shared" si="24"/>
        <v>0</v>
      </c>
      <c r="CH50" s="388">
        <f t="shared" si="25"/>
        <v>0</v>
      </c>
      <c r="CI50" s="388">
        <f t="shared" si="26"/>
        <v>0</v>
      </c>
      <c r="CJ50" s="388">
        <f t="shared" si="39"/>
        <v>0</v>
      </c>
      <c r="CK50" s="388" t="str">
        <f t="shared" si="40"/>
        <v/>
      </c>
      <c r="CL50" s="388" t="str">
        <f t="shared" si="41"/>
        <v/>
      </c>
      <c r="CM50" s="388" t="str">
        <f t="shared" si="42"/>
        <v/>
      </c>
      <c r="CN50" s="388" t="str">
        <f t="shared" si="43"/>
        <v>0001-00</v>
      </c>
    </row>
    <row r="51" spans="1:92" ht="15.75" thickBot="1" x14ac:dyDescent="0.3">
      <c r="A51" s="377" t="s">
        <v>162</v>
      </c>
      <c r="B51" s="377" t="s">
        <v>163</v>
      </c>
      <c r="C51" s="377" t="s">
        <v>409</v>
      </c>
      <c r="D51" s="377" t="s">
        <v>311</v>
      </c>
      <c r="E51" s="377" t="s">
        <v>265</v>
      </c>
      <c r="F51" s="378" t="s">
        <v>167</v>
      </c>
      <c r="G51" s="377" t="s">
        <v>266</v>
      </c>
      <c r="H51" s="379"/>
      <c r="I51" s="379"/>
      <c r="J51" s="377" t="s">
        <v>219</v>
      </c>
      <c r="K51" s="377" t="s">
        <v>312</v>
      </c>
      <c r="L51" s="377" t="s">
        <v>211</v>
      </c>
      <c r="M51" s="377" t="s">
        <v>172</v>
      </c>
      <c r="N51" s="377" t="s">
        <v>173</v>
      </c>
      <c r="O51" s="380">
        <v>1</v>
      </c>
      <c r="P51" s="386">
        <v>1</v>
      </c>
      <c r="Q51" s="386">
        <v>1</v>
      </c>
      <c r="R51" s="381">
        <v>80</v>
      </c>
      <c r="S51" s="386">
        <v>1</v>
      </c>
      <c r="T51" s="381">
        <v>41186.99</v>
      </c>
      <c r="U51" s="381">
        <v>0</v>
      </c>
      <c r="V51" s="381">
        <v>18981.09</v>
      </c>
      <c r="W51" s="381">
        <v>46009.599999999999</v>
      </c>
      <c r="X51" s="381">
        <v>22006.01</v>
      </c>
      <c r="Y51" s="381">
        <v>46009.599999999999</v>
      </c>
      <c r="Z51" s="381">
        <v>22924.74</v>
      </c>
      <c r="AA51" s="377" t="s">
        <v>410</v>
      </c>
      <c r="AB51" s="377" t="s">
        <v>307</v>
      </c>
      <c r="AC51" s="377" t="s">
        <v>411</v>
      </c>
      <c r="AD51" s="377" t="s">
        <v>412</v>
      </c>
      <c r="AE51" s="377" t="s">
        <v>312</v>
      </c>
      <c r="AF51" s="377" t="s">
        <v>216</v>
      </c>
      <c r="AG51" s="377" t="s">
        <v>179</v>
      </c>
      <c r="AH51" s="382">
        <v>22.12</v>
      </c>
      <c r="AI51" s="382">
        <v>5896.6</v>
      </c>
      <c r="AJ51" s="377" t="s">
        <v>180</v>
      </c>
      <c r="AK51" s="377" t="s">
        <v>181</v>
      </c>
      <c r="AL51" s="377" t="s">
        <v>182</v>
      </c>
      <c r="AM51" s="377" t="s">
        <v>183</v>
      </c>
      <c r="AN51" s="377" t="s">
        <v>66</v>
      </c>
      <c r="AO51" s="380">
        <v>80</v>
      </c>
      <c r="AP51" s="386">
        <v>1</v>
      </c>
      <c r="AQ51" s="386">
        <v>1</v>
      </c>
      <c r="AR51" s="384" t="s">
        <v>184</v>
      </c>
      <c r="AS51" s="388">
        <f t="shared" si="27"/>
        <v>1</v>
      </c>
      <c r="AT51">
        <f t="shared" si="28"/>
        <v>1</v>
      </c>
      <c r="AU51" s="388">
        <f>IF(AT51=0,"",IF(AND(AT51=1,M51="F",SUMIF(C2:C258,C51,AS2:AS258)&lt;=1),SUMIF(C2:C258,C51,AS2:AS258),IF(AND(AT51=1,M51="F",SUMIF(C2:C258,C51,AS2:AS258)&gt;1),1,"")))</f>
        <v>1</v>
      </c>
      <c r="AV51" s="388" t="str">
        <f>IF(AT51=0,"",IF(AND(AT51=3,M51="F",SUMIF(C2:C258,C51,AS2:AS258)&lt;=1),SUMIF(C2:C258,C51,AS2:AS258),IF(AND(AT51=3,M51="F",SUMIF(C2:C258,C51,AS2:AS258)&gt;1),1,"")))</f>
        <v/>
      </c>
      <c r="AW51" s="388">
        <f>SUMIF(C2:C258,C51,O2:O258)</f>
        <v>2</v>
      </c>
      <c r="AX51" s="388">
        <f>IF(AND(M51="F",AS51&lt;&gt;0),SUMIF(C2:C258,C51,W2:W258),0)</f>
        <v>46009.599999999999</v>
      </c>
      <c r="AY51" s="388">
        <f t="shared" si="29"/>
        <v>46009.599999999999</v>
      </c>
      <c r="AZ51" s="388" t="str">
        <f t="shared" si="30"/>
        <v/>
      </c>
      <c r="BA51" s="388">
        <f t="shared" si="31"/>
        <v>0</v>
      </c>
      <c r="BB51" s="388">
        <f t="shared" si="0"/>
        <v>12500</v>
      </c>
      <c r="BC51" s="388">
        <f t="shared" si="1"/>
        <v>0</v>
      </c>
      <c r="BD51" s="388">
        <f t="shared" si="2"/>
        <v>2852.5951999999997</v>
      </c>
      <c r="BE51" s="388">
        <f t="shared" si="3"/>
        <v>667.13919999999996</v>
      </c>
      <c r="BF51" s="388">
        <f t="shared" si="4"/>
        <v>5493.5462399999997</v>
      </c>
      <c r="BG51" s="388">
        <f t="shared" si="5"/>
        <v>331.72921600000001</v>
      </c>
      <c r="BH51" s="388">
        <f t="shared" si="6"/>
        <v>0</v>
      </c>
      <c r="BI51" s="388">
        <f t="shared" si="7"/>
        <v>0</v>
      </c>
      <c r="BJ51" s="388">
        <f t="shared" si="8"/>
        <v>161.03360000000001</v>
      </c>
      <c r="BK51" s="388">
        <f t="shared" si="9"/>
        <v>0</v>
      </c>
      <c r="BL51" s="388">
        <f t="shared" si="32"/>
        <v>9506.0434559999994</v>
      </c>
      <c r="BM51" s="388">
        <f t="shared" si="33"/>
        <v>0</v>
      </c>
      <c r="BN51" s="388">
        <f t="shared" si="10"/>
        <v>13750</v>
      </c>
      <c r="BO51" s="388">
        <f t="shared" si="11"/>
        <v>0</v>
      </c>
      <c r="BP51" s="388">
        <f t="shared" si="12"/>
        <v>2852.5951999999997</v>
      </c>
      <c r="BQ51" s="388">
        <f t="shared" si="13"/>
        <v>667.13919999999996</v>
      </c>
      <c r="BR51" s="388">
        <f t="shared" si="14"/>
        <v>5143.8732799999998</v>
      </c>
      <c r="BS51" s="388">
        <f t="shared" si="15"/>
        <v>331.72921600000001</v>
      </c>
      <c r="BT51" s="388">
        <f t="shared" si="16"/>
        <v>0</v>
      </c>
      <c r="BU51" s="388">
        <f t="shared" si="17"/>
        <v>0</v>
      </c>
      <c r="BV51" s="388">
        <f t="shared" si="18"/>
        <v>179.43743999999998</v>
      </c>
      <c r="BW51" s="388">
        <f t="shared" si="19"/>
        <v>0</v>
      </c>
      <c r="BX51" s="388">
        <f t="shared" si="34"/>
        <v>9174.7743359999986</v>
      </c>
      <c r="BY51" s="388">
        <f t="shared" si="35"/>
        <v>0</v>
      </c>
      <c r="BZ51" s="388">
        <f t="shared" si="36"/>
        <v>1250</v>
      </c>
      <c r="CA51" s="388">
        <f t="shared" si="37"/>
        <v>0</v>
      </c>
      <c r="CB51" s="388">
        <f t="shared" si="38"/>
        <v>0</v>
      </c>
      <c r="CC51" s="388">
        <f t="shared" si="20"/>
        <v>0</v>
      </c>
      <c r="CD51" s="388">
        <f t="shared" si="21"/>
        <v>-349.67296000000044</v>
      </c>
      <c r="CE51" s="388">
        <f t="shared" si="22"/>
        <v>0</v>
      </c>
      <c r="CF51" s="388">
        <f t="shared" si="23"/>
        <v>0</v>
      </c>
      <c r="CG51" s="388">
        <f t="shared" si="24"/>
        <v>0</v>
      </c>
      <c r="CH51" s="388">
        <f t="shared" si="25"/>
        <v>18.403839999999988</v>
      </c>
      <c r="CI51" s="388">
        <f t="shared" si="26"/>
        <v>0</v>
      </c>
      <c r="CJ51" s="388">
        <f t="shared" si="39"/>
        <v>-331.26912000000044</v>
      </c>
      <c r="CK51" s="388" t="str">
        <f t="shared" si="40"/>
        <v/>
      </c>
      <c r="CL51" s="388" t="str">
        <f t="shared" si="41"/>
        <v/>
      </c>
      <c r="CM51" s="388" t="str">
        <f t="shared" si="42"/>
        <v/>
      </c>
      <c r="CN51" s="388" t="str">
        <f t="shared" si="43"/>
        <v>0001-00</v>
      </c>
    </row>
    <row r="52" spans="1:92" ht="15.75" thickBot="1" x14ac:dyDescent="0.3">
      <c r="A52" s="377" t="s">
        <v>162</v>
      </c>
      <c r="B52" s="377" t="s">
        <v>163</v>
      </c>
      <c r="C52" s="377" t="s">
        <v>413</v>
      </c>
      <c r="D52" s="377" t="s">
        <v>386</v>
      </c>
      <c r="E52" s="377" t="s">
        <v>265</v>
      </c>
      <c r="F52" s="378" t="s">
        <v>167</v>
      </c>
      <c r="G52" s="377" t="s">
        <v>266</v>
      </c>
      <c r="H52" s="379"/>
      <c r="I52" s="379"/>
      <c r="J52" s="377" t="s">
        <v>219</v>
      </c>
      <c r="K52" s="377" t="s">
        <v>387</v>
      </c>
      <c r="L52" s="377" t="s">
        <v>388</v>
      </c>
      <c r="M52" s="377" t="s">
        <v>172</v>
      </c>
      <c r="N52" s="377" t="s">
        <v>173</v>
      </c>
      <c r="O52" s="380">
        <v>1</v>
      </c>
      <c r="P52" s="386">
        <v>1</v>
      </c>
      <c r="Q52" s="386">
        <v>1</v>
      </c>
      <c r="R52" s="381">
        <v>80</v>
      </c>
      <c r="S52" s="386">
        <v>1</v>
      </c>
      <c r="T52" s="381">
        <v>37732.93</v>
      </c>
      <c r="U52" s="381">
        <v>114.72</v>
      </c>
      <c r="V52" s="381">
        <v>17970.62</v>
      </c>
      <c r="W52" s="381">
        <v>40060.800000000003</v>
      </c>
      <c r="X52" s="381">
        <v>20776.93</v>
      </c>
      <c r="Y52" s="381">
        <v>40060.800000000003</v>
      </c>
      <c r="Z52" s="381">
        <v>21738.49</v>
      </c>
      <c r="AA52" s="377" t="s">
        <v>414</v>
      </c>
      <c r="AB52" s="377" t="s">
        <v>415</v>
      </c>
      <c r="AC52" s="377" t="s">
        <v>416</v>
      </c>
      <c r="AD52" s="377" t="s">
        <v>230</v>
      </c>
      <c r="AE52" s="377" t="s">
        <v>387</v>
      </c>
      <c r="AF52" s="377" t="s">
        <v>393</v>
      </c>
      <c r="AG52" s="377" t="s">
        <v>179</v>
      </c>
      <c r="AH52" s="382">
        <v>19.260000000000002</v>
      </c>
      <c r="AI52" s="382">
        <v>5407.5</v>
      </c>
      <c r="AJ52" s="377" t="s">
        <v>180</v>
      </c>
      <c r="AK52" s="377" t="s">
        <v>181</v>
      </c>
      <c r="AL52" s="377" t="s">
        <v>182</v>
      </c>
      <c r="AM52" s="377" t="s">
        <v>183</v>
      </c>
      <c r="AN52" s="377" t="s">
        <v>66</v>
      </c>
      <c r="AO52" s="380">
        <v>80</v>
      </c>
      <c r="AP52" s="386">
        <v>1</v>
      </c>
      <c r="AQ52" s="386">
        <v>1</v>
      </c>
      <c r="AR52" s="384" t="s">
        <v>184</v>
      </c>
      <c r="AS52" s="388">
        <f t="shared" si="27"/>
        <v>1</v>
      </c>
      <c r="AT52">
        <f t="shared" si="28"/>
        <v>1</v>
      </c>
      <c r="AU52" s="388">
        <f>IF(AT52=0,"",IF(AND(AT52=1,M52="F",SUMIF(C2:C258,C52,AS2:AS258)&lt;=1),SUMIF(C2:C258,C52,AS2:AS258),IF(AND(AT52=1,M52="F",SUMIF(C2:C258,C52,AS2:AS258)&gt;1),1,"")))</f>
        <v>1</v>
      </c>
      <c r="AV52" s="388" t="str">
        <f>IF(AT52=0,"",IF(AND(AT52=3,M52="F",SUMIF(C2:C258,C52,AS2:AS258)&lt;=1),SUMIF(C2:C258,C52,AS2:AS258),IF(AND(AT52=3,M52="F",SUMIF(C2:C258,C52,AS2:AS258)&gt;1),1,"")))</f>
        <v/>
      </c>
      <c r="AW52" s="388">
        <f>SUMIF(C2:C258,C52,O2:O258)</f>
        <v>2</v>
      </c>
      <c r="AX52" s="388">
        <f>IF(AND(M52="F",AS52&lt;&gt;0),SUMIF(C2:C258,C52,W2:W258),0)</f>
        <v>40060.800000000003</v>
      </c>
      <c r="AY52" s="388">
        <f t="shared" si="29"/>
        <v>40060.800000000003</v>
      </c>
      <c r="AZ52" s="388" t="str">
        <f t="shared" si="30"/>
        <v/>
      </c>
      <c r="BA52" s="388">
        <f t="shared" si="31"/>
        <v>0</v>
      </c>
      <c r="BB52" s="388">
        <f t="shared" si="0"/>
        <v>12500</v>
      </c>
      <c r="BC52" s="388">
        <f t="shared" si="1"/>
        <v>0</v>
      </c>
      <c r="BD52" s="388">
        <f t="shared" si="2"/>
        <v>2483.7696000000001</v>
      </c>
      <c r="BE52" s="388">
        <f t="shared" si="3"/>
        <v>580.88160000000005</v>
      </c>
      <c r="BF52" s="388">
        <f t="shared" si="4"/>
        <v>4783.2595200000005</v>
      </c>
      <c r="BG52" s="388">
        <f t="shared" si="5"/>
        <v>288.83836800000006</v>
      </c>
      <c r="BH52" s="388">
        <f t="shared" si="6"/>
        <v>0</v>
      </c>
      <c r="BI52" s="388">
        <f t="shared" si="7"/>
        <v>0</v>
      </c>
      <c r="BJ52" s="388">
        <f t="shared" si="8"/>
        <v>140.21280000000002</v>
      </c>
      <c r="BK52" s="388">
        <f t="shared" si="9"/>
        <v>0</v>
      </c>
      <c r="BL52" s="388">
        <f t="shared" si="32"/>
        <v>8276.9618879999998</v>
      </c>
      <c r="BM52" s="388">
        <f t="shared" si="33"/>
        <v>0</v>
      </c>
      <c r="BN52" s="388">
        <f t="shared" si="10"/>
        <v>13750</v>
      </c>
      <c r="BO52" s="388">
        <f t="shared" si="11"/>
        <v>0</v>
      </c>
      <c r="BP52" s="388">
        <f t="shared" si="12"/>
        <v>2483.7696000000001</v>
      </c>
      <c r="BQ52" s="388">
        <f t="shared" si="13"/>
        <v>580.88160000000005</v>
      </c>
      <c r="BR52" s="388">
        <f t="shared" si="14"/>
        <v>4478.7974400000003</v>
      </c>
      <c r="BS52" s="388">
        <f t="shared" si="15"/>
        <v>288.83836800000006</v>
      </c>
      <c r="BT52" s="388">
        <f t="shared" si="16"/>
        <v>0</v>
      </c>
      <c r="BU52" s="388">
        <f t="shared" si="17"/>
        <v>0</v>
      </c>
      <c r="BV52" s="388">
        <f t="shared" si="18"/>
        <v>156.23712</v>
      </c>
      <c r="BW52" s="388">
        <f t="shared" si="19"/>
        <v>0</v>
      </c>
      <c r="BX52" s="388">
        <f t="shared" si="34"/>
        <v>7988.524128</v>
      </c>
      <c r="BY52" s="388">
        <f t="shared" si="35"/>
        <v>0</v>
      </c>
      <c r="BZ52" s="388">
        <f t="shared" si="36"/>
        <v>1250</v>
      </c>
      <c r="CA52" s="388">
        <f t="shared" si="37"/>
        <v>0</v>
      </c>
      <c r="CB52" s="388">
        <f t="shared" si="38"/>
        <v>0</v>
      </c>
      <c r="CC52" s="388">
        <f t="shared" si="20"/>
        <v>0</v>
      </c>
      <c r="CD52" s="388">
        <f t="shared" si="21"/>
        <v>-304.46208000000041</v>
      </c>
      <c r="CE52" s="388">
        <f t="shared" si="22"/>
        <v>0</v>
      </c>
      <c r="CF52" s="388">
        <f t="shared" si="23"/>
        <v>0</v>
      </c>
      <c r="CG52" s="388">
        <f t="shared" si="24"/>
        <v>0</v>
      </c>
      <c r="CH52" s="388">
        <f t="shared" si="25"/>
        <v>16.024319999999992</v>
      </c>
      <c r="CI52" s="388">
        <f t="shared" si="26"/>
        <v>0</v>
      </c>
      <c r="CJ52" s="388">
        <f t="shared" si="39"/>
        <v>-288.43776000000042</v>
      </c>
      <c r="CK52" s="388" t="str">
        <f t="shared" si="40"/>
        <v/>
      </c>
      <c r="CL52" s="388" t="str">
        <f t="shared" si="41"/>
        <v/>
      </c>
      <c r="CM52" s="388" t="str">
        <f t="shared" si="42"/>
        <v/>
      </c>
      <c r="CN52" s="388" t="str">
        <f t="shared" si="43"/>
        <v>0001-00</v>
      </c>
    </row>
    <row r="53" spans="1:92" ht="15.75" thickBot="1" x14ac:dyDescent="0.3">
      <c r="A53" s="377" t="s">
        <v>162</v>
      </c>
      <c r="B53" s="377" t="s">
        <v>163</v>
      </c>
      <c r="C53" s="377" t="s">
        <v>245</v>
      </c>
      <c r="D53" s="377" t="s">
        <v>209</v>
      </c>
      <c r="E53" s="377" t="s">
        <v>265</v>
      </c>
      <c r="F53" s="378" t="s">
        <v>167</v>
      </c>
      <c r="G53" s="377" t="s">
        <v>266</v>
      </c>
      <c r="H53" s="379"/>
      <c r="I53" s="379"/>
      <c r="J53" s="377" t="s">
        <v>169</v>
      </c>
      <c r="K53" s="377" t="s">
        <v>210</v>
      </c>
      <c r="L53" s="377" t="s">
        <v>211</v>
      </c>
      <c r="M53" s="377" t="s">
        <v>172</v>
      </c>
      <c r="N53" s="377" t="s">
        <v>173</v>
      </c>
      <c r="O53" s="380">
        <v>1</v>
      </c>
      <c r="P53" s="386">
        <v>0.17</v>
      </c>
      <c r="Q53" s="386">
        <v>0.17</v>
      </c>
      <c r="R53" s="381">
        <v>80</v>
      </c>
      <c r="S53" s="386">
        <v>0.17</v>
      </c>
      <c r="T53" s="381">
        <v>11301.55</v>
      </c>
      <c r="U53" s="381">
        <v>0</v>
      </c>
      <c r="V53" s="381">
        <v>4775.09</v>
      </c>
      <c r="W53" s="381">
        <v>8815.24</v>
      </c>
      <c r="X53" s="381">
        <v>3946.31</v>
      </c>
      <c r="Y53" s="381">
        <v>8815.24</v>
      </c>
      <c r="Z53" s="381">
        <v>4095.34</v>
      </c>
      <c r="AA53" s="377" t="s">
        <v>246</v>
      </c>
      <c r="AB53" s="377" t="s">
        <v>247</v>
      </c>
      <c r="AC53" s="377" t="s">
        <v>248</v>
      </c>
      <c r="AD53" s="377" t="s">
        <v>249</v>
      </c>
      <c r="AE53" s="377" t="s">
        <v>210</v>
      </c>
      <c r="AF53" s="377" t="s">
        <v>216</v>
      </c>
      <c r="AG53" s="377" t="s">
        <v>179</v>
      </c>
      <c r="AH53" s="382">
        <v>24.93</v>
      </c>
      <c r="AI53" s="382">
        <v>15492.2</v>
      </c>
      <c r="AJ53" s="377" t="s">
        <v>180</v>
      </c>
      <c r="AK53" s="377" t="s">
        <v>181</v>
      </c>
      <c r="AL53" s="377" t="s">
        <v>182</v>
      </c>
      <c r="AM53" s="377" t="s">
        <v>183</v>
      </c>
      <c r="AN53" s="377" t="s">
        <v>66</v>
      </c>
      <c r="AO53" s="380">
        <v>80</v>
      </c>
      <c r="AP53" s="386">
        <v>1</v>
      </c>
      <c r="AQ53" s="386">
        <v>0.17</v>
      </c>
      <c r="AR53" s="384" t="s">
        <v>184</v>
      </c>
      <c r="AS53" s="388">
        <f t="shared" si="27"/>
        <v>0.17</v>
      </c>
      <c r="AT53">
        <f t="shared" si="28"/>
        <v>1</v>
      </c>
      <c r="AU53" s="388">
        <f>IF(AT53=0,"",IF(AND(AT53=1,M53="F",SUMIF(C2:C258,C53,AS2:AS258)&lt;=1),SUMIF(C2:C258,C53,AS2:AS258),IF(AND(AT53=1,M53="F",SUMIF(C2:C258,C53,AS2:AS258)&gt;1),1,"")))</f>
        <v>1</v>
      </c>
      <c r="AV53" s="388" t="str">
        <f>IF(AT53=0,"",IF(AND(AT53=3,M53="F",SUMIF(C2:C258,C53,AS2:AS258)&lt;=1),SUMIF(C2:C258,C53,AS2:AS258),IF(AND(AT53=3,M53="F",SUMIF(C2:C258,C53,AS2:AS258)&gt;1),1,"")))</f>
        <v/>
      </c>
      <c r="AW53" s="388">
        <f>SUMIF(C2:C258,C53,O2:O258)</f>
        <v>3</v>
      </c>
      <c r="AX53" s="388">
        <f>IF(AND(M53="F",AS53&lt;&gt;0),SUMIF(C2:C258,C53,W2:W258),0)</f>
        <v>51854.39</v>
      </c>
      <c r="AY53" s="388">
        <f t="shared" si="29"/>
        <v>8815.24</v>
      </c>
      <c r="AZ53" s="388" t="str">
        <f t="shared" si="30"/>
        <v/>
      </c>
      <c r="BA53" s="388">
        <f t="shared" si="31"/>
        <v>0</v>
      </c>
      <c r="BB53" s="388">
        <f t="shared" si="0"/>
        <v>2125</v>
      </c>
      <c r="BC53" s="388">
        <f t="shared" si="1"/>
        <v>0</v>
      </c>
      <c r="BD53" s="388">
        <f t="shared" si="2"/>
        <v>546.54488000000003</v>
      </c>
      <c r="BE53" s="388">
        <f t="shared" si="3"/>
        <v>127.82098000000001</v>
      </c>
      <c r="BF53" s="388">
        <f t="shared" si="4"/>
        <v>1052.5396559999999</v>
      </c>
      <c r="BG53" s="388">
        <f t="shared" si="5"/>
        <v>63.557880400000002</v>
      </c>
      <c r="BH53" s="388">
        <f t="shared" si="6"/>
        <v>0</v>
      </c>
      <c r="BI53" s="388">
        <f t="shared" si="7"/>
        <v>0</v>
      </c>
      <c r="BJ53" s="388">
        <f t="shared" si="8"/>
        <v>30.853339999999999</v>
      </c>
      <c r="BK53" s="388">
        <f t="shared" si="9"/>
        <v>0</v>
      </c>
      <c r="BL53" s="388">
        <f t="shared" si="32"/>
        <v>1821.3167363999996</v>
      </c>
      <c r="BM53" s="388">
        <f t="shared" si="33"/>
        <v>0</v>
      </c>
      <c r="BN53" s="388">
        <f t="shared" si="10"/>
        <v>2337.5</v>
      </c>
      <c r="BO53" s="388">
        <f t="shared" si="11"/>
        <v>0</v>
      </c>
      <c r="BP53" s="388">
        <f t="shared" si="12"/>
        <v>546.54488000000003</v>
      </c>
      <c r="BQ53" s="388">
        <f t="shared" si="13"/>
        <v>127.82098000000001</v>
      </c>
      <c r="BR53" s="388">
        <f t="shared" si="14"/>
        <v>985.54383199999995</v>
      </c>
      <c r="BS53" s="388">
        <f t="shared" si="15"/>
        <v>63.557880400000002</v>
      </c>
      <c r="BT53" s="388">
        <f t="shared" si="16"/>
        <v>0</v>
      </c>
      <c r="BU53" s="388">
        <f t="shared" si="17"/>
        <v>0</v>
      </c>
      <c r="BV53" s="388">
        <f t="shared" si="18"/>
        <v>34.379435999999998</v>
      </c>
      <c r="BW53" s="388">
        <f t="shared" si="19"/>
        <v>0</v>
      </c>
      <c r="BX53" s="388">
        <f t="shared" si="34"/>
        <v>1757.8470083999998</v>
      </c>
      <c r="BY53" s="388">
        <f t="shared" si="35"/>
        <v>0</v>
      </c>
      <c r="BZ53" s="388">
        <f t="shared" si="36"/>
        <v>212.5</v>
      </c>
      <c r="CA53" s="388">
        <f t="shared" si="37"/>
        <v>0</v>
      </c>
      <c r="CB53" s="388">
        <f t="shared" si="38"/>
        <v>0</v>
      </c>
      <c r="CC53" s="388">
        <f t="shared" si="20"/>
        <v>0</v>
      </c>
      <c r="CD53" s="388">
        <f t="shared" si="21"/>
        <v>-66.995824000000084</v>
      </c>
      <c r="CE53" s="388">
        <f t="shared" si="22"/>
        <v>0</v>
      </c>
      <c r="CF53" s="388">
        <f t="shared" si="23"/>
        <v>0</v>
      </c>
      <c r="CG53" s="388">
        <f t="shared" si="24"/>
        <v>0</v>
      </c>
      <c r="CH53" s="388">
        <f t="shared" si="25"/>
        <v>3.5260959999999977</v>
      </c>
      <c r="CI53" s="388">
        <f t="shared" si="26"/>
        <v>0</v>
      </c>
      <c r="CJ53" s="388">
        <f t="shared" si="39"/>
        <v>-63.469728000000089</v>
      </c>
      <c r="CK53" s="388" t="str">
        <f t="shared" si="40"/>
        <v/>
      </c>
      <c r="CL53" s="388" t="str">
        <f t="shared" si="41"/>
        <v/>
      </c>
      <c r="CM53" s="388" t="str">
        <f t="shared" si="42"/>
        <v/>
      </c>
      <c r="CN53" s="388" t="str">
        <f t="shared" si="43"/>
        <v>0001-00</v>
      </c>
    </row>
    <row r="54" spans="1:92" ht="15.75" thickBot="1" x14ac:dyDescent="0.3">
      <c r="A54" s="377" t="s">
        <v>162</v>
      </c>
      <c r="B54" s="377" t="s">
        <v>163</v>
      </c>
      <c r="C54" s="377" t="s">
        <v>381</v>
      </c>
      <c r="D54" s="377" t="s">
        <v>251</v>
      </c>
      <c r="E54" s="377" t="s">
        <v>417</v>
      </c>
      <c r="F54" s="383" t="s">
        <v>418</v>
      </c>
      <c r="G54" s="377" t="s">
        <v>266</v>
      </c>
      <c r="H54" s="379"/>
      <c r="I54" s="379"/>
      <c r="J54" s="377" t="s">
        <v>169</v>
      </c>
      <c r="K54" s="377" t="s">
        <v>252</v>
      </c>
      <c r="L54" s="377" t="s">
        <v>179</v>
      </c>
      <c r="M54" s="377" t="s">
        <v>172</v>
      </c>
      <c r="N54" s="377" t="s">
        <v>173</v>
      </c>
      <c r="O54" s="380">
        <v>1</v>
      </c>
      <c r="P54" s="386">
        <v>0.7</v>
      </c>
      <c r="Q54" s="386">
        <v>0.7</v>
      </c>
      <c r="R54" s="381">
        <v>80</v>
      </c>
      <c r="S54" s="386">
        <v>0.7</v>
      </c>
      <c r="T54" s="381">
        <v>28131.62</v>
      </c>
      <c r="U54" s="381">
        <v>3.56</v>
      </c>
      <c r="V54" s="381">
        <v>14180.74</v>
      </c>
      <c r="W54" s="381">
        <v>28042.560000000001</v>
      </c>
      <c r="X54" s="381">
        <v>14543.85</v>
      </c>
      <c r="Y54" s="381">
        <v>28042.560000000001</v>
      </c>
      <c r="Z54" s="381">
        <v>15216.94</v>
      </c>
      <c r="AA54" s="377" t="s">
        <v>382</v>
      </c>
      <c r="AB54" s="377" t="s">
        <v>383</v>
      </c>
      <c r="AC54" s="377" t="s">
        <v>384</v>
      </c>
      <c r="AD54" s="377" t="s">
        <v>316</v>
      </c>
      <c r="AE54" s="377" t="s">
        <v>252</v>
      </c>
      <c r="AF54" s="377" t="s">
        <v>257</v>
      </c>
      <c r="AG54" s="377" t="s">
        <v>179</v>
      </c>
      <c r="AH54" s="382">
        <v>19.260000000000002</v>
      </c>
      <c r="AI54" s="382">
        <v>5800.3</v>
      </c>
      <c r="AJ54" s="377" t="s">
        <v>180</v>
      </c>
      <c r="AK54" s="377" t="s">
        <v>181</v>
      </c>
      <c r="AL54" s="377" t="s">
        <v>182</v>
      </c>
      <c r="AM54" s="377" t="s">
        <v>183</v>
      </c>
      <c r="AN54" s="377" t="s">
        <v>66</v>
      </c>
      <c r="AO54" s="380">
        <v>80</v>
      </c>
      <c r="AP54" s="386">
        <v>1</v>
      </c>
      <c r="AQ54" s="386">
        <v>0.7</v>
      </c>
      <c r="AR54" s="384" t="s">
        <v>184</v>
      </c>
      <c r="AS54" s="388">
        <f t="shared" si="27"/>
        <v>0.7</v>
      </c>
      <c r="AT54">
        <f t="shared" si="28"/>
        <v>1</v>
      </c>
      <c r="AU54" s="388">
        <f>IF(AT54=0,"",IF(AND(AT54=1,M54="F",SUMIF(C2:C258,C54,AS2:AS258)&lt;=1),SUMIF(C2:C258,C54,AS2:AS258),IF(AND(AT54=1,M54="F",SUMIF(C2:C258,C54,AS2:AS258)&gt;1),1,"")))</f>
        <v>1</v>
      </c>
      <c r="AV54" s="388" t="str">
        <f>IF(AT54=0,"",IF(AND(AT54=3,M54="F",SUMIF(C2:C258,C54,AS2:AS258)&lt;=1),SUMIF(C2:C258,C54,AS2:AS258),IF(AND(AT54=3,M54="F",SUMIF(C2:C258,C54,AS2:AS258)&gt;1),1,"")))</f>
        <v/>
      </c>
      <c r="AW54" s="388">
        <f>SUMIF(C2:C258,C54,O2:O258)</f>
        <v>2</v>
      </c>
      <c r="AX54" s="388">
        <f>IF(AND(M54="F",AS54&lt;&gt;0),SUMIF(C2:C258,C54,W2:W258),0)</f>
        <v>40060.800000000003</v>
      </c>
      <c r="AY54" s="388">
        <f t="shared" si="29"/>
        <v>28042.560000000001</v>
      </c>
      <c r="AZ54" s="388" t="str">
        <f t="shared" si="30"/>
        <v/>
      </c>
      <c r="BA54" s="388">
        <f t="shared" si="31"/>
        <v>0</v>
      </c>
      <c r="BB54" s="388">
        <f t="shared" si="0"/>
        <v>8750</v>
      </c>
      <c r="BC54" s="388">
        <f t="shared" si="1"/>
        <v>0</v>
      </c>
      <c r="BD54" s="388">
        <f t="shared" si="2"/>
        <v>1738.6387200000001</v>
      </c>
      <c r="BE54" s="388">
        <f t="shared" si="3"/>
        <v>406.61712000000006</v>
      </c>
      <c r="BF54" s="388">
        <f t="shared" si="4"/>
        <v>3348.2816640000005</v>
      </c>
      <c r="BG54" s="388">
        <f t="shared" si="5"/>
        <v>202.18685760000002</v>
      </c>
      <c r="BH54" s="388">
        <f t="shared" si="6"/>
        <v>0</v>
      </c>
      <c r="BI54" s="388">
        <f t="shared" si="7"/>
        <v>0</v>
      </c>
      <c r="BJ54" s="388">
        <f t="shared" si="8"/>
        <v>98.148960000000002</v>
      </c>
      <c r="BK54" s="388">
        <f t="shared" si="9"/>
        <v>0</v>
      </c>
      <c r="BL54" s="388">
        <f t="shared" si="32"/>
        <v>5793.873321600001</v>
      </c>
      <c r="BM54" s="388">
        <f t="shared" si="33"/>
        <v>0</v>
      </c>
      <c r="BN54" s="388">
        <f t="shared" si="10"/>
        <v>9625</v>
      </c>
      <c r="BO54" s="388">
        <f t="shared" si="11"/>
        <v>0</v>
      </c>
      <c r="BP54" s="388">
        <f t="shared" si="12"/>
        <v>1738.6387200000001</v>
      </c>
      <c r="BQ54" s="388">
        <f t="shared" si="13"/>
        <v>406.61712000000006</v>
      </c>
      <c r="BR54" s="388">
        <f t="shared" si="14"/>
        <v>3135.1582079999998</v>
      </c>
      <c r="BS54" s="388">
        <f t="shared" si="15"/>
        <v>202.18685760000002</v>
      </c>
      <c r="BT54" s="388">
        <f t="shared" si="16"/>
        <v>0</v>
      </c>
      <c r="BU54" s="388">
        <f t="shared" si="17"/>
        <v>0</v>
      </c>
      <c r="BV54" s="388">
        <f t="shared" si="18"/>
        <v>109.365984</v>
      </c>
      <c r="BW54" s="388">
        <f t="shared" si="19"/>
        <v>0</v>
      </c>
      <c r="BX54" s="388">
        <f t="shared" si="34"/>
        <v>5591.9668896000003</v>
      </c>
      <c r="BY54" s="388">
        <f t="shared" si="35"/>
        <v>0</v>
      </c>
      <c r="BZ54" s="388">
        <f t="shared" si="36"/>
        <v>875</v>
      </c>
      <c r="CA54" s="388">
        <f t="shared" si="37"/>
        <v>0</v>
      </c>
      <c r="CB54" s="388">
        <f t="shared" si="38"/>
        <v>0</v>
      </c>
      <c r="CC54" s="388">
        <f t="shared" si="20"/>
        <v>0</v>
      </c>
      <c r="CD54" s="388">
        <f t="shared" si="21"/>
        <v>-213.12345600000029</v>
      </c>
      <c r="CE54" s="388">
        <f t="shared" si="22"/>
        <v>0</v>
      </c>
      <c r="CF54" s="388">
        <f t="shared" si="23"/>
        <v>0</v>
      </c>
      <c r="CG54" s="388">
        <f t="shared" si="24"/>
        <v>0</v>
      </c>
      <c r="CH54" s="388">
        <f t="shared" si="25"/>
        <v>11.217023999999993</v>
      </c>
      <c r="CI54" s="388">
        <f t="shared" si="26"/>
        <v>0</v>
      </c>
      <c r="CJ54" s="388">
        <f t="shared" si="39"/>
        <v>-201.90643200000031</v>
      </c>
      <c r="CK54" s="388" t="str">
        <f t="shared" si="40"/>
        <v/>
      </c>
      <c r="CL54" s="388" t="str">
        <f t="shared" si="41"/>
        <v/>
      </c>
      <c r="CM54" s="388" t="str">
        <f t="shared" si="42"/>
        <v/>
      </c>
      <c r="CN54" s="388" t="str">
        <f t="shared" si="43"/>
        <v>0325-03</v>
      </c>
    </row>
    <row r="55" spans="1:92" ht="15.75" thickBot="1" x14ac:dyDescent="0.3">
      <c r="A55" s="377" t="s">
        <v>162</v>
      </c>
      <c r="B55" s="377" t="s">
        <v>163</v>
      </c>
      <c r="C55" s="377" t="s">
        <v>385</v>
      </c>
      <c r="D55" s="377" t="s">
        <v>386</v>
      </c>
      <c r="E55" s="377" t="s">
        <v>417</v>
      </c>
      <c r="F55" s="383" t="s">
        <v>418</v>
      </c>
      <c r="G55" s="377" t="s">
        <v>266</v>
      </c>
      <c r="H55" s="379"/>
      <c r="I55" s="379"/>
      <c r="J55" s="377" t="s">
        <v>169</v>
      </c>
      <c r="K55" s="377" t="s">
        <v>387</v>
      </c>
      <c r="L55" s="377" t="s">
        <v>388</v>
      </c>
      <c r="M55" s="377" t="s">
        <v>172</v>
      </c>
      <c r="N55" s="377" t="s">
        <v>173</v>
      </c>
      <c r="O55" s="380">
        <v>1</v>
      </c>
      <c r="P55" s="386">
        <v>0.5</v>
      </c>
      <c r="Q55" s="386">
        <v>0.5</v>
      </c>
      <c r="R55" s="381">
        <v>80</v>
      </c>
      <c r="S55" s="386">
        <v>0.5</v>
      </c>
      <c r="T55" s="381">
        <v>8606.85</v>
      </c>
      <c r="U55" s="381">
        <v>0</v>
      </c>
      <c r="V55" s="381">
        <v>5153.51</v>
      </c>
      <c r="W55" s="381">
        <v>18543.2</v>
      </c>
      <c r="X55" s="381">
        <v>10081.200000000001</v>
      </c>
      <c r="Y55" s="381">
        <v>18543.2</v>
      </c>
      <c r="Z55" s="381">
        <v>10572.68</v>
      </c>
      <c r="AA55" s="377" t="s">
        <v>389</v>
      </c>
      <c r="AB55" s="377" t="s">
        <v>390</v>
      </c>
      <c r="AC55" s="377" t="s">
        <v>391</v>
      </c>
      <c r="AD55" s="377" t="s">
        <v>392</v>
      </c>
      <c r="AE55" s="377" t="s">
        <v>387</v>
      </c>
      <c r="AF55" s="377" t="s">
        <v>393</v>
      </c>
      <c r="AG55" s="377" t="s">
        <v>179</v>
      </c>
      <c r="AH55" s="382">
        <v>17.829999999999998</v>
      </c>
      <c r="AI55" s="380">
        <v>320</v>
      </c>
      <c r="AJ55" s="377" t="s">
        <v>180</v>
      </c>
      <c r="AK55" s="377" t="s">
        <v>181</v>
      </c>
      <c r="AL55" s="377" t="s">
        <v>182</v>
      </c>
      <c r="AM55" s="377" t="s">
        <v>183</v>
      </c>
      <c r="AN55" s="377" t="s">
        <v>66</v>
      </c>
      <c r="AO55" s="380">
        <v>80</v>
      </c>
      <c r="AP55" s="386">
        <v>1</v>
      </c>
      <c r="AQ55" s="386">
        <v>0.5</v>
      </c>
      <c r="AR55" s="384" t="s">
        <v>184</v>
      </c>
      <c r="AS55" s="388">
        <f t="shared" si="27"/>
        <v>0.5</v>
      </c>
      <c r="AT55">
        <f t="shared" si="28"/>
        <v>1</v>
      </c>
      <c r="AU55" s="388">
        <f>IF(AT55=0,"",IF(AND(AT55=1,M55="F",SUMIF(C2:C258,C55,AS2:AS258)&lt;=1),SUMIF(C2:C258,C55,AS2:AS258),IF(AND(AT55=1,M55="F",SUMIF(C2:C258,C55,AS2:AS258)&gt;1),1,"")))</f>
        <v>1</v>
      </c>
      <c r="AV55" s="388" t="str">
        <f>IF(AT55=0,"",IF(AND(AT55=3,M55="F",SUMIF(C2:C258,C55,AS2:AS258)&lt;=1),SUMIF(C2:C258,C55,AS2:AS258),IF(AND(AT55=3,M55="F",SUMIF(C2:C258,C55,AS2:AS258)&gt;1),1,"")))</f>
        <v/>
      </c>
      <c r="AW55" s="388">
        <f>SUMIF(C2:C258,C55,O2:O258)</f>
        <v>2</v>
      </c>
      <c r="AX55" s="388">
        <f>IF(AND(M55="F",AS55&lt;&gt;0),SUMIF(C2:C258,C55,W2:W258),0)</f>
        <v>37086.400000000001</v>
      </c>
      <c r="AY55" s="388">
        <f t="shared" si="29"/>
        <v>18543.2</v>
      </c>
      <c r="AZ55" s="388" t="str">
        <f t="shared" si="30"/>
        <v/>
      </c>
      <c r="BA55" s="388">
        <f t="shared" si="31"/>
        <v>0</v>
      </c>
      <c r="BB55" s="388">
        <f t="shared" si="0"/>
        <v>6250</v>
      </c>
      <c r="BC55" s="388">
        <f t="shared" si="1"/>
        <v>0</v>
      </c>
      <c r="BD55" s="388">
        <f t="shared" si="2"/>
        <v>1149.6784</v>
      </c>
      <c r="BE55" s="388">
        <f t="shared" si="3"/>
        <v>268.87640000000005</v>
      </c>
      <c r="BF55" s="388">
        <f t="shared" si="4"/>
        <v>2214.0580800000002</v>
      </c>
      <c r="BG55" s="388">
        <f t="shared" si="5"/>
        <v>133.696472</v>
      </c>
      <c r="BH55" s="388">
        <f t="shared" si="6"/>
        <v>0</v>
      </c>
      <c r="BI55" s="388">
        <f t="shared" si="7"/>
        <v>0</v>
      </c>
      <c r="BJ55" s="388">
        <f t="shared" si="8"/>
        <v>64.901200000000003</v>
      </c>
      <c r="BK55" s="388">
        <f t="shared" si="9"/>
        <v>0</v>
      </c>
      <c r="BL55" s="388">
        <f t="shared" si="32"/>
        <v>3831.2105520000005</v>
      </c>
      <c r="BM55" s="388">
        <f t="shared" si="33"/>
        <v>0</v>
      </c>
      <c r="BN55" s="388">
        <f t="shared" si="10"/>
        <v>6875</v>
      </c>
      <c r="BO55" s="388">
        <f t="shared" si="11"/>
        <v>0</v>
      </c>
      <c r="BP55" s="388">
        <f t="shared" si="12"/>
        <v>1149.6784</v>
      </c>
      <c r="BQ55" s="388">
        <f t="shared" si="13"/>
        <v>268.87640000000005</v>
      </c>
      <c r="BR55" s="388">
        <f t="shared" si="14"/>
        <v>2073.1297599999998</v>
      </c>
      <c r="BS55" s="388">
        <f t="shared" si="15"/>
        <v>133.696472</v>
      </c>
      <c r="BT55" s="388">
        <f t="shared" si="16"/>
        <v>0</v>
      </c>
      <c r="BU55" s="388">
        <f t="shared" si="17"/>
        <v>0</v>
      </c>
      <c r="BV55" s="388">
        <f t="shared" si="18"/>
        <v>72.318479999999994</v>
      </c>
      <c r="BW55" s="388">
        <f t="shared" si="19"/>
        <v>0</v>
      </c>
      <c r="BX55" s="388">
        <f t="shared" si="34"/>
        <v>3697.6995119999997</v>
      </c>
      <c r="BY55" s="388">
        <f t="shared" si="35"/>
        <v>0</v>
      </c>
      <c r="BZ55" s="388">
        <f t="shared" si="36"/>
        <v>625</v>
      </c>
      <c r="CA55" s="388">
        <f t="shared" si="37"/>
        <v>0</v>
      </c>
      <c r="CB55" s="388">
        <f t="shared" si="38"/>
        <v>0</v>
      </c>
      <c r="CC55" s="388">
        <f t="shared" si="20"/>
        <v>0</v>
      </c>
      <c r="CD55" s="388">
        <f t="shared" si="21"/>
        <v>-140.92832000000018</v>
      </c>
      <c r="CE55" s="388">
        <f t="shared" si="22"/>
        <v>0</v>
      </c>
      <c r="CF55" s="388">
        <f t="shared" si="23"/>
        <v>0</v>
      </c>
      <c r="CG55" s="388">
        <f t="shared" si="24"/>
        <v>0</v>
      </c>
      <c r="CH55" s="388">
        <f t="shared" si="25"/>
        <v>7.4172799999999954</v>
      </c>
      <c r="CI55" s="388">
        <f t="shared" si="26"/>
        <v>0</v>
      </c>
      <c r="CJ55" s="388">
        <f t="shared" si="39"/>
        <v>-133.51104000000018</v>
      </c>
      <c r="CK55" s="388" t="str">
        <f t="shared" si="40"/>
        <v/>
      </c>
      <c r="CL55" s="388" t="str">
        <f t="shared" si="41"/>
        <v/>
      </c>
      <c r="CM55" s="388" t="str">
        <f t="shared" si="42"/>
        <v/>
      </c>
      <c r="CN55" s="388" t="str">
        <f t="shared" si="43"/>
        <v>0325-03</v>
      </c>
    </row>
    <row r="56" spans="1:92" ht="15.75" thickBot="1" x14ac:dyDescent="0.3">
      <c r="A56" s="377" t="s">
        <v>162</v>
      </c>
      <c r="B56" s="377" t="s">
        <v>163</v>
      </c>
      <c r="C56" s="377" t="s">
        <v>396</v>
      </c>
      <c r="D56" s="377" t="s">
        <v>276</v>
      </c>
      <c r="E56" s="377" t="s">
        <v>417</v>
      </c>
      <c r="F56" s="383" t="s">
        <v>418</v>
      </c>
      <c r="G56" s="377" t="s">
        <v>266</v>
      </c>
      <c r="H56" s="379"/>
      <c r="I56" s="379"/>
      <c r="J56" s="377" t="s">
        <v>169</v>
      </c>
      <c r="K56" s="377" t="s">
        <v>277</v>
      </c>
      <c r="L56" s="377" t="s">
        <v>215</v>
      </c>
      <c r="M56" s="377" t="s">
        <v>172</v>
      </c>
      <c r="N56" s="377" t="s">
        <v>173</v>
      </c>
      <c r="O56" s="380">
        <v>1</v>
      </c>
      <c r="P56" s="386">
        <v>0.4</v>
      </c>
      <c r="Q56" s="386">
        <v>0.4</v>
      </c>
      <c r="R56" s="381">
        <v>80</v>
      </c>
      <c r="S56" s="386">
        <v>0.4</v>
      </c>
      <c r="T56" s="381">
        <v>22684.39</v>
      </c>
      <c r="U56" s="381">
        <v>0</v>
      </c>
      <c r="V56" s="381">
        <v>9257.68</v>
      </c>
      <c r="W56" s="381">
        <v>24019.84</v>
      </c>
      <c r="X56" s="381">
        <v>9962.7199999999993</v>
      </c>
      <c r="Y56" s="381">
        <v>24019.84</v>
      </c>
      <c r="Z56" s="381">
        <v>10289.780000000001</v>
      </c>
      <c r="AA56" s="377" t="s">
        <v>397</v>
      </c>
      <c r="AB56" s="377" t="s">
        <v>398</v>
      </c>
      <c r="AC56" s="377" t="s">
        <v>399</v>
      </c>
      <c r="AD56" s="377" t="s">
        <v>400</v>
      </c>
      <c r="AE56" s="377" t="s">
        <v>277</v>
      </c>
      <c r="AF56" s="377" t="s">
        <v>231</v>
      </c>
      <c r="AG56" s="377" t="s">
        <v>179</v>
      </c>
      <c r="AH56" s="382">
        <v>28.87</v>
      </c>
      <c r="AI56" s="382">
        <v>35644.1</v>
      </c>
      <c r="AJ56" s="377" t="s">
        <v>180</v>
      </c>
      <c r="AK56" s="377" t="s">
        <v>181</v>
      </c>
      <c r="AL56" s="377" t="s">
        <v>182</v>
      </c>
      <c r="AM56" s="377" t="s">
        <v>183</v>
      </c>
      <c r="AN56" s="377" t="s">
        <v>66</v>
      </c>
      <c r="AO56" s="380">
        <v>80</v>
      </c>
      <c r="AP56" s="386">
        <v>1</v>
      </c>
      <c r="AQ56" s="386">
        <v>0.4</v>
      </c>
      <c r="AR56" s="384" t="s">
        <v>184</v>
      </c>
      <c r="AS56" s="388">
        <f t="shared" si="27"/>
        <v>0.4</v>
      </c>
      <c r="AT56">
        <f t="shared" si="28"/>
        <v>1</v>
      </c>
      <c r="AU56" s="388">
        <f>IF(AT56=0,"",IF(AND(AT56=1,M56="F",SUMIF(C2:C258,C56,AS2:AS258)&lt;=1),SUMIF(C2:C258,C56,AS2:AS258),IF(AND(AT56=1,M56="F",SUMIF(C2:C258,C56,AS2:AS258)&gt;1),1,"")))</f>
        <v>1</v>
      </c>
      <c r="AV56" s="388" t="str">
        <f>IF(AT56=0,"",IF(AND(AT56=3,M56="F",SUMIF(C2:C258,C56,AS2:AS258)&lt;=1),SUMIF(C2:C258,C56,AS2:AS258),IF(AND(AT56=3,M56="F",SUMIF(C2:C258,C56,AS2:AS258)&gt;1),1,"")))</f>
        <v/>
      </c>
      <c r="AW56" s="388">
        <f>SUMIF(C2:C258,C56,O2:O258)</f>
        <v>2</v>
      </c>
      <c r="AX56" s="388">
        <f>IF(AND(M56="F",AS56&lt;&gt;0),SUMIF(C2:C258,C56,W2:W258),0)</f>
        <v>60049.600000000006</v>
      </c>
      <c r="AY56" s="388">
        <f t="shared" si="29"/>
        <v>24019.84</v>
      </c>
      <c r="AZ56" s="388" t="str">
        <f t="shared" si="30"/>
        <v/>
      </c>
      <c r="BA56" s="388">
        <f t="shared" si="31"/>
        <v>0</v>
      </c>
      <c r="BB56" s="388">
        <f t="shared" si="0"/>
        <v>5000</v>
      </c>
      <c r="BC56" s="388">
        <f t="shared" si="1"/>
        <v>0</v>
      </c>
      <c r="BD56" s="388">
        <f t="shared" si="2"/>
        <v>1489.23008</v>
      </c>
      <c r="BE56" s="388">
        <f t="shared" si="3"/>
        <v>348.28768000000002</v>
      </c>
      <c r="BF56" s="388">
        <f t="shared" si="4"/>
        <v>2867.9688960000003</v>
      </c>
      <c r="BG56" s="388">
        <f t="shared" si="5"/>
        <v>173.18304639999999</v>
      </c>
      <c r="BH56" s="388">
        <f t="shared" si="6"/>
        <v>0</v>
      </c>
      <c r="BI56" s="388">
        <f t="shared" si="7"/>
        <v>0</v>
      </c>
      <c r="BJ56" s="388">
        <f t="shared" si="8"/>
        <v>84.06944</v>
      </c>
      <c r="BK56" s="388">
        <f t="shared" si="9"/>
        <v>0</v>
      </c>
      <c r="BL56" s="388">
        <f t="shared" si="32"/>
        <v>4962.7391424000016</v>
      </c>
      <c r="BM56" s="388">
        <f t="shared" si="33"/>
        <v>0</v>
      </c>
      <c r="BN56" s="388">
        <f t="shared" si="10"/>
        <v>5500</v>
      </c>
      <c r="BO56" s="388">
        <f t="shared" si="11"/>
        <v>0</v>
      </c>
      <c r="BP56" s="388">
        <f t="shared" si="12"/>
        <v>1489.23008</v>
      </c>
      <c r="BQ56" s="388">
        <f t="shared" si="13"/>
        <v>348.28768000000002</v>
      </c>
      <c r="BR56" s="388">
        <f t="shared" si="14"/>
        <v>2685.4181119999998</v>
      </c>
      <c r="BS56" s="388">
        <f t="shared" si="15"/>
        <v>173.18304639999999</v>
      </c>
      <c r="BT56" s="388">
        <f t="shared" si="16"/>
        <v>0</v>
      </c>
      <c r="BU56" s="388">
        <f t="shared" si="17"/>
        <v>0</v>
      </c>
      <c r="BV56" s="388">
        <f t="shared" si="18"/>
        <v>93.677375999999995</v>
      </c>
      <c r="BW56" s="388">
        <f t="shared" si="19"/>
        <v>0</v>
      </c>
      <c r="BX56" s="388">
        <f t="shared" si="34"/>
        <v>4789.7962944000001</v>
      </c>
      <c r="BY56" s="388">
        <f t="shared" si="35"/>
        <v>0</v>
      </c>
      <c r="BZ56" s="388">
        <f t="shared" si="36"/>
        <v>500</v>
      </c>
      <c r="CA56" s="388">
        <f t="shared" si="37"/>
        <v>0</v>
      </c>
      <c r="CB56" s="388">
        <f t="shared" si="38"/>
        <v>0</v>
      </c>
      <c r="CC56" s="388">
        <f t="shared" si="20"/>
        <v>0</v>
      </c>
      <c r="CD56" s="388">
        <f t="shared" si="21"/>
        <v>-182.55078400000022</v>
      </c>
      <c r="CE56" s="388">
        <f t="shared" si="22"/>
        <v>0</v>
      </c>
      <c r="CF56" s="388">
        <f t="shared" si="23"/>
        <v>0</v>
      </c>
      <c r="CG56" s="388">
        <f t="shared" si="24"/>
        <v>0</v>
      </c>
      <c r="CH56" s="388">
        <f t="shared" si="25"/>
        <v>9.6079359999999934</v>
      </c>
      <c r="CI56" s="388">
        <f t="shared" si="26"/>
        <v>0</v>
      </c>
      <c r="CJ56" s="388">
        <f t="shared" si="39"/>
        <v>-172.94284800000023</v>
      </c>
      <c r="CK56" s="388" t="str">
        <f t="shared" si="40"/>
        <v/>
      </c>
      <c r="CL56" s="388" t="str">
        <f t="shared" si="41"/>
        <v/>
      </c>
      <c r="CM56" s="388" t="str">
        <f t="shared" si="42"/>
        <v/>
      </c>
      <c r="CN56" s="388" t="str">
        <f t="shared" si="43"/>
        <v>0325-03</v>
      </c>
    </row>
    <row r="57" spans="1:92" ht="15.75" thickBot="1" x14ac:dyDescent="0.3">
      <c r="A57" s="377" t="s">
        <v>162</v>
      </c>
      <c r="B57" s="377" t="s">
        <v>163</v>
      </c>
      <c r="C57" s="377" t="s">
        <v>419</v>
      </c>
      <c r="D57" s="377" t="s">
        <v>386</v>
      </c>
      <c r="E57" s="377" t="s">
        <v>417</v>
      </c>
      <c r="F57" s="383" t="s">
        <v>418</v>
      </c>
      <c r="G57" s="377" t="s">
        <v>266</v>
      </c>
      <c r="H57" s="379"/>
      <c r="I57" s="379"/>
      <c r="J57" s="377" t="s">
        <v>219</v>
      </c>
      <c r="K57" s="377" t="s">
        <v>387</v>
      </c>
      <c r="L57" s="377" t="s">
        <v>388</v>
      </c>
      <c r="M57" s="377" t="s">
        <v>172</v>
      </c>
      <c r="N57" s="377" t="s">
        <v>173</v>
      </c>
      <c r="O57" s="380">
        <v>1</v>
      </c>
      <c r="P57" s="386">
        <v>1</v>
      </c>
      <c r="Q57" s="386">
        <v>1</v>
      </c>
      <c r="R57" s="381">
        <v>80</v>
      </c>
      <c r="S57" s="386">
        <v>1</v>
      </c>
      <c r="T57" s="381">
        <v>50108.01</v>
      </c>
      <c r="U57" s="381">
        <v>0</v>
      </c>
      <c r="V57" s="381">
        <v>22159.59</v>
      </c>
      <c r="W57" s="381">
        <v>49566.400000000001</v>
      </c>
      <c r="X57" s="381">
        <v>22740.89</v>
      </c>
      <c r="Y57" s="381">
        <v>49566.400000000001</v>
      </c>
      <c r="Z57" s="381">
        <v>23634.01</v>
      </c>
      <c r="AA57" s="377" t="s">
        <v>420</v>
      </c>
      <c r="AB57" s="377" t="s">
        <v>421</v>
      </c>
      <c r="AC57" s="377" t="s">
        <v>422</v>
      </c>
      <c r="AD57" s="377" t="s">
        <v>423</v>
      </c>
      <c r="AE57" s="377" t="s">
        <v>387</v>
      </c>
      <c r="AF57" s="377" t="s">
        <v>393</v>
      </c>
      <c r="AG57" s="377" t="s">
        <v>179</v>
      </c>
      <c r="AH57" s="382">
        <v>23.83</v>
      </c>
      <c r="AI57" s="382">
        <v>62592.1</v>
      </c>
      <c r="AJ57" s="377" t="s">
        <v>180</v>
      </c>
      <c r="AK57" s="377" t="s">
        <v>181</v>
      </c>
      <c r="AL57" s="377" t="s">
        <v>182</v>
      </c>
      <c r="AM57" s="377" t="s">
        <v>183</v>
      </c>
      <c r="AN57" s="377" t="s">
        <v>66</v>
      </c>
      <c r="AO57" s="380">
        <v>80</v>
      </c>
      <c r="AP57" s="386">
        <v>1</v>
      </c>
      <c r="AQ57" s="386">
        <v>1</v>
      </c>
      <c r="AR57" s="384" t="s">
        <v>184</v>
      </c>
      <c r="AS57" s="388">
        <f t="shared" si="27"/>
        <v>1</v>
      </c>
      <c r="AT57">
        <f t="shared" si="28"/>
        <v>1</v>
      </c>
      <c r="AU57" s="388">
        <f>IF(AT57=0,"",IF(AND(AT57=1,M57="F",SUMIF(C2:C258,C57,AS2:AS258)&lt;=1),SUMIF(C2:C258,C57,AS2:AS258),IF(AND(AT57=1,M57="F",SUMIF(C2:C258,C57,AS2:AS258)&gt;1),1,"")))</f>
        <v>1</v>
      </c>
      <c r="AV57" s="388" t="str">
        <f>IF(AT57=0,"",IF(AND(AT57=3,M57="F",SUMIF(C2:C258,C57,AS2:AS258)&lt;=1),SUMIF(C2:C258,C57,AS2:AS258),IF(AND(AT57=3,M57="F",SUMIF(C2:C258,C57,AS2:AS258)&gt;1),1,"")))</f>
        <v/>
      </c>
      <c r="AW57" s="388">
        <f>SUMIF(C2:C258,C57,O2:O258)</f>
        <v>1</v>
      </c>
      <c r="AX57" s="388">
        <f>IF(AND(M57="F",AS57&lt;&gt;0),SUMIF(C2:C258,C57,W2:W258),0)</f>
        <v>49566.400000000001</v>
      </c>
      <c r="AY57" s="388">
        <f t="shared" si="29"/>
        <v>49566.400000000001</v>
      </c>
      <c r="AZ57" s="388" t="str">
        <f t="shared" si="30"/>
        <v/>
      </c>
      <c r="BA57" s="388">
        <f t="shared" si="31"/>
        <v>0</v>
      </c>
      <c r="BB57" s="388">
        <f t="shared" si="0"/>
        <v>12500</v>
      </c>
      <c r="BC57" s="388">
        <f t="shared" si="1"/>
        <v>0</v>
      </c>
      <c r="BD57" s="388">
        <f t="shared" si="2"/>
        <v>3073.1168000000002</v>
      </c>
      <c r="BE57" s="388">
        <f t="shared" si="3"/>
        <v>718.71280000000002</v>
      </c>
      <c r="BF57" s="388">
        <f t="shared" si="4"/>
        <v>5918.2281600000006</v>
      </c>
      <c r="BG57" s="388">
        <f t="shared" si="5"/>
        <v>357.37374400000004</v>
      </c>
      <c r="BH57" s="388">
        <f t="shared" si="6"/>
        <v>0</v>
      </c>
      <c r="BI57" s="388">
        <f t="shared" si="7"/>
        <v>0</v>
      </c>
      <c r="BJ57" s="388">
        <f t="shared" si="8"/>
        <v>173.48240000000001</v>
      </c>
      <c r="BK57" s="388">
        <f t="shared" si="9"/>
        <v>0</v>
      </c>
      <c r="BL57" s="388">
        <f t="shared" si="32"/>
        <v>10240.913904000001</v>
      </c>
      <c r="BM57" s="388">
        <f t="shared" si="33"/>
        <v>0</v>
      </c>
      <c r="BN57" s="388">
        <f t="shared" si="10"/>
        <v>13750</v>
      </c>
      <c r="BO57" s="388">
        <f t="shared" si="11"/>
        <v>0</v>
      </c>
      <c r="BP57" s="388">
        <f t="shared" si="12"/>
        <v>3073.1168000000002</v>
      </c>
      <c r="BQ57" s="388">
        <f t="shared" si="13"/>
        <v>718.71280000000002</v>
      </c>
      <c r="BR57" s="388">
        <f t="shared" si="14"/>
        <v>5541.5235199999997</v>
      </c>
      <c r="BS57" s="388">
        <f t="shared" si="15"/>
        <v>357.37374400000004</v>
      </c>
      <c r="BT57" s="388">
        <f t="shared" si="16"/>
        <v>0</v>
      </c>
      <c r="BU57" s="388">
        <f t="shared" si="17"/>
        <v>0</v>
      </c>
      <c r="BV57" s="388">
        <f t="shared" si="18"/>
        <v>193.30895999999998</v>
      </c>
      <c r="BW57" s="388">
        <f t="shared" si="19"/>
        <v>0</v>
      </c>
      <c r="BX57" s="388">
        <f t="shared" si="34"/>
        <v>9884.0358240000005</v>
      </c>
      <c r="BY57" s="388">
        <f t="shared" si="35"/>
        <v>0</v>
      </c>
      <c r="BZ57" s="388">
        <f t="shared" si="36"/>
        <v>1250</v>
      </c>
      <c r="CA57" s="388">
        <f t="shared" si="37"/>
        <v>0</v>
      </c>
      <c r="CB57" s="388">
        <f t="shared" si="38"/>
        <v>0</v>
      </c>
      <c r="CC57" s="388">
        <f t="shared" si="20"/>
        <v>0</v>
      </c>
      <c r="CD57" s="388">
        <f t="shared" si="21"/>
        <v>-376.7046400000005</v>
      </c>
      <c r="CE57" s="388">
        <f t="shared" si="22"/>
        <v>0</v>
      </c>
      <c r="CF57" s="388">
        <f t="shared" si="23"/>
        <v>0</v>
      </c>
      <c r="CG57" s="388">
        <f t="shared" si="24"/>
        <v>0</v>
      </c>
      <c r="CH57" s="388">
        <f t="shared" si="25"/>
        <v>19.826559999999986</v>
      </c>
      <c r="CI57" s="388">
        <f t="shared" si="26"/>
        <v>0</v>
      </c>
      <c r="CJ57" s="388">
        <f t="shared" si="39"/>
        <v>-356.87808000000052</v>
      </c>
      <c r="CK57" s="388" t="str">
        <f t="shared" si="40"/>
        <v/>
      </c>
      <c r="CL57" s="388" t="str">
        <f t="shared" si="41"/>
        <v/>
      </c>
      <c r="CM57" s="388" t="str">
        <f t="shared" si="42"/>
        <v/>
      </c>
      <c r="CN57" s="388" t="str">
        <f t="shared" si="43"/>
        <v>0325-03</v>
      </c>
    </row>
    <row r="58" spans="1:92" ht="15.75" thickBot="1" x14ac:dyDescent="0.3">
      <c r="A58" s="377" t="s">
        <v>162</v>
      </c>
      <c r="B58" s="377" t="s">
        <v>163</v>
      </c>
      <c r="C58" s="377" t="s">
        <v>424</v>
      </c>
      <c r="D58" s="377" t="s">
        <v>276</v>
      </c>
      <c r="E58" s="377" t="s">
        <v>417</v>
      </c>
      <c r="F58" s="383" t="s">
        <v>418</v>
      </c>
      <c r="G58" s="377" t="s">
        <v>266</v>
      </c>
      <c r="H58" s="379"/>
      <c r="I58" s="379"/>
      <c r="J58" s="377" t="s">
        <v>219</v>
      </c>
      <c r="K58" s="377" t="s">
        <v>277</v>
      </c>
      <c r="L58" s="377" t="s">
        <v>215</v>
      </c>
      <c r="M58" s="377" t="s">
        <v>172</v>
      </c>
      <c r="N58" s="377" t="s">
        <v>173</v>
      </c>
      <c r="O58" s="380">
        <v>1</v>
      </c>
      <c r="P58" s="386">
        <v>1</v>
      </c>
      <c r="Q58" s="386">
        <v>1</v>
      </c>
      <c r="R58" s="381">
        <v>80</v>
      </c>
      <c r="S58" s="386">
        <v>1</v>
      </c>
      <c r="T58" s="381">
        <v>53096.34</v>
      </c>
      <c r="U58" s="381">
        <v>0</v>
      </c>
      <c r="V58" s="381">
        <v>21643.68</v>
      </c>
      <c r="W58" s="381">
        <v>50814.400000000001</v>
      </c>
      <c r="X58" s="381">
        <v>22998.74</v>
      </c>
      <c r="Y58" s="381">
        <v>50814.400000000001</v>
      </c>
      <c r="Z58" s="381">
        <v>23882.87</v>
      </c>
      <c r="AA58" s="377" t="s">
        <v>425</v>
      </c>
      <c r="AB58" s="377" t="s">
        <v>426</v>
      </c>
      <c r="AC58" s="377" t="s">
        <v>427</v>
      </c>
      <c r="AD58" s="377" t="s">
        <v>428</v>
      </c>
      <c r="AE58" s="377" t="s">
        <v>277</v>
      </c>
      <c r="AF58" s="377" t="s">
        <v>231</v>
      </c>
      <c r="AG58" s="377" t="s">
        <v>179</v>
      </c>
      <c r="AH58" s="382">
        <v>24.43</v>
      </c>
      <c r="AI58" s="382">
        <v>12251.5</v>
      </c>
      <c r="AJ58" s="377" t="s">
        <v>180</v>
      </c>
      <c r="AK58" s="377" t="s">
        <v>181</v>
      </c>
      <c r="AL58" s="377" t="s">
        <v>182</v>
      </c>
      <c r="AM58" s="377" t="s">
        <v>183</v>
      </c>
      <c r="AN58" s="377" t="s">
        <v>66</v>
      </c>
      <c r="AO58" s="380">
        <v>80</v>
      </c>
      <c r="AP58" s="386">
        <v>1</v>
      </c>
      <c r="AQ58" s="386">
        <v>1</v>
      </c>
      <c r="AR58" s="384" t="s">
        <v>184</v>
      </c>
      <c r="AS58" s="388">
        <f t="shared" si="27"/>
        <v>1</v>
      </c>
      <c r="AT58">
        <f t="shared" si="28"/>
        <v>1</v>
      </c>
      <c r="AU58" s="388">
        <f>IF(AT58=0,"",IF(AND(AT58=1,M58="F",SUMIF(C2:C258,C58,AS2:AS258)&lt;=1),SUMIF(C2:C258,C58,AS2:AS258),IF(AND(AT58=1,M58="F",SUMIF(C2:C258,C58,AS2:AS258)&gt;1),1,"")))</f>
        <v>1</v>
      </c>
      <c r="AV58" s="388" t="str">
        <f>IF(AT58=0,"",IF(AND(AT58=3,M58="F",SUMIF(C2:C258,C58,AS2:AS258)&lt;=1),SUMIF(C2:C258,C58,AS2:AS258),IF(AND(AT58=3,M58="F",SUMIF(C2:C258,C58,AS2:AS258)&gt;1),1,"")))</f>
        <v/>
      </c>
      <c r="AW58" s="388">
        <f>SUMIF(C2:C258,C58,O2:O258)</f>
        <v>2</v>
      </c>
      <c r="AX58" s="388">
        <f>IF(AND(M58="F",AS58&lt;&gt;0),SUMIF(C2:C258,C58,W2:W258),0)</f>
        <v>50814.400000000001</v>
      </c>
      <c r="AY58" s="388">
        <f t="shared" si="29"/>
        <v>50814.400000000001</v>
      </c>
      <c r="AZ58" s="388" t="str">
        <f t="shared" si="30"/>
        <v/>
      </c>
      <c r="BA58" s="388">
        <f t="shared" si="31"/>
        <v>0</v>
      </c>
      <c r="BB58" s="388">
        <f t="shared" si="0"/>
        <v>12500</v>
      </c>
      <c r="BC58" s="388">
        <f t="shared" si="1"/>
        <v>0</v>
      </c>
      <c r="BD58" s="388">
        <f t="shared" si="2"/>
        <v>3150.4928</v>
      </c>
      <c r="BE58" s="388">
        <f t="shared" si="3"/>
        <v>736.80880000000002</v>
      </c>
      <c r="BF58" s="388">
        <f t="shared" si="4"/>
        <v>6067.2393600000005</v>
      </c>
      <c r="BG58" s="388">
        <f t="shared" si="5"/>
        <v>366.371824</v>
      </c>
      <c r="BH58" s="388">
        <f t="shared" si="6"/>
        <v>0</v>
      </c>
      <c r="BI58" s="388">
        <f t="shared" si="7"/>
        <v>0</v>
      </c>
      <c r="BJ58" s="388">
        <f t="shared" si="8"/>
        <v>177.85040000000001</v>
      </c>
      <c r="BK58" s="388">
        <f t="shared" si="9"/>
        <v>0</v>
      </c>
      <c r="BL58" s="388">
        <f t="shared" si="32"/>
        <v>10498.763183999999</v>
      </c>
      <c r="BM58" s="388">
        <f t="shared" si="33"/>
        <v>0</v>
      </c>
      <c r="BN58" s="388">
        <f t="shared" si="10"/>
        <v>13750</v>
      </c>
      <c r="BO58" s="388">
        <f t="shared" si="11"/>
        <v>0</v>
      </c>
      <c r="BP58" s="388">
        <f t="shared" si="12"/>
        <v>3150.4928</v>
      </c>
      <c r="BQ58" s="388">
        <f t="shared" si="13"/>
        <v>736.80880000000002</v>
      </c>
      <c r="BR58" s="388">
        <f t="shared" si="14"/>
        <v>5681.0499200000004</v>
      </c>
      <c r="BS58" s="388">
        <f t="shared" si="15"/>
        <v>366.371824</v>
      </c>
      <c r="BT58" s="388">
        <f t="shared" si="16"/>
        <v>0</v>
      </c>
      <c r="BU58" s="388">
        <f t="shared" si="17"/>
        <v>0</v>
      </c>
      <c r="BV58" s="388">
        <f t="shared" si="18"/>
        <v>198.17616000000001</v>
      </c>
      <c r="BW58" s="388">
        <f t="shared" si="19"/>
        <v>0</v>
      </c>
      <c r="BX58" s="388">
        <f t="shared" si="34"/>
        <v>10132.899504000001</v>
      </c>
      <c r="BY58" s="388">
        <f t="shared" si="35"/>
        <v>0</v>
      </c>
      <c r="BZ58" s="388">
        <f t="shared" si="36"/>
        <v>1250</v>
      </c>
      <c r="CA58" s="388">
        <f t="shared" si="37"/>
        <v>0</v>
      </c>
      <c r="CB58" s="388">
        <f t="shared" si="38"/>
        <v>0</v>
      </c>
      <c r="CC58" s="388">
        <f t="shared" si="20"/>
        <v>0</v>
      </c>
      <c r="CD58" s="388">
        <f t="shared" si="21"/>
        <v>-386.1894400000005</v>
      </c>
      <c r="CE58" s="388">
        <f t="shared" si="22"/>
        <v>0</v>
      </c>
      <c r="CF58" s="388">
        <f t="shared" si="23"/>
        <v>0</v>
      </c>
      <c r="CG58" s="388">
        <f t="shared" si="24"/>
        <v>0</v>
      </c>
      <c r="CH58" s="388">
        <f t="shared" si="25"/>
        <v>20.325759999999988</v>
      </c>
      <c r="CI58" s="388">
        <f t="shared" si="26"/>
        <v>0</v>
      </c>
      <c r="CJ58" s="388">
        <f t="shared" si="39"/>
        <v>-365.8636800000005</v>
      </c>
      <c r="CK58" s="388" t="str">
        <f t="shared" si="40"/>
        <v/>
      </c>
      <c r="CL58" s="388" t="str">
        <f t="shared" si="41"/>
        <v/>
      </c>
      <c r="CM58" s="388" t="str">
        <f t="shared" si="42"/>
        <v/>
      </c>
      <c r="CN58" s="388" t="str">
        <f t="shared" si="43"/>
        <v>0325-03</v>
      </c>
    </row>
    <row r="59" spans="1:92" ht="15.75" thickBot="1" x14ac:dyDescent="0.3">
      <c r="A59" s="377" t="s">
        <v>162</v>
      </c>
      <c r="B59" s="377" t="s">
        <v>163</v>
      </c>
      <c r="C59" s="377" t="s">
        <v>429</v>
      </c>
      <c r="D59" s="377" t="s">
        <v>300</v>
      </c>
      <c r="E59" s="377" t="s">
        <v>417</v>
      </c>
      <c r="F59" s="383" t="s">
        <v>418</v>
      </c>
      <c r="G59" s="377" t="s">
        <v>266</v>
      </c>
      <c r="H59" s="379"/>
      <c r="I59" s="379"/>
      <c r="J59" s="377" t="s">
        <v>219</v>
      </c>
      <c r="K59" s="377" t="s">
        <v>301</v>
      </c>
      <c r="L59" s="377" t="s">
        <v>167</v>
      </c>
      <c r="M59" s="377" t="s">
        <v>172</v>
      </c>
      <c r="N59" s="377" t="s">
        <v>173</v>
      </c>
      <c r="O59" s="380">
        <v>1</v>
      </c>
      <c r="P59" s="386">
        <v>1</v>
      </c>
      <c r="Q59" s="386">
        <v>1</v>
      </c>
      <c r="R59" s="381">
        <v>80</v>
      </c>
      <c r="S59" s="386">
        <v>1</v>
      </c>
      <c r="T59" s="381">
        <v>66548.5</v>
      </c>
      <c r="U59" s="381">
        <v>0</v>
      </c>
      <c r="V59" s="381">
        <v>25696.52</v>
      </c>
      <c r="W59" s="381">
        <v>65748.800000000003</v>
      </c>
      <c r="X59" s="381">
        <v>26084.33</v>
      </c>
      <c r="Y59" s="381">
        <v>65748.800000000003</v>
      </c>
      <c r="Z59" s="381">
        <v>26860.94</v>
      </c>
      <c r="AA59" s="377" t="s">
        <v>430</v>
      </c>
      <c r="AB59" s="377" t="s">
        <v>431</v>
      </c>
      <c r="AC59" s="377" t="s">
        <v>432</v>
      </c>
      <c r="AD59" s="377" t="s">
        <v>433</v>
      </c>
      <c r="AE59" s="377" t="s">
        <v>301</v>
      </c>
      <c r="AF59" s="377" t="s">
        <v>207</v>
      </c>
      <c r="AG59" s="377" t="s">
        <v>179</v>
      </c>
      <c r="AH59" s="382">
        <v>31.61</v>
      </c>
      <c r="AI59" s="382">
        <v>23363.9</v>
      </c>
      <c r="AJ59" s="377" t="s">
        <v>180</v>
      </c>
      <c r="AK59" s="377" t="s">
        <v>181</v>
      </c>
      <c r="AL59" s="377" t="s">
        <v>182</v>
      </c>
      <c r="AM59" s="377" t="s">
        <v>183</v>
      </c>
      <c r="AN59" s="377" t="s">
        <v>66</v>
      </c>
      <c r="AO59" s="380">
        <v>80</v>
      </c>
      <c r="AP59" s="386">
        <v>1</v>
      </c>
      <c r="AQ59" s="386">
        <v>1</v>
      </c>
      <c r="AR59" s="384" t="s">
        <v>184</v>
      </c>
      <c r="AS59" s="388">
        <f t="shared" si="27"/>
        <v>1</v>
      </c>
      <c r="AT59">
        <f t="shared" si="28"/>
        <v>1</v>
      </c>
      <c r="AU59" s="388">
        <f>IF(AT59=0,"",IF(AND(AT59=1,M59="F",SUMIF(C2:C258,C59,AS2:AS258)&lt;=1),SUMIF(C2:C258,C59,AS2:AS258),IF(AND(AT59=1,M59="F",SUMIF(C2:C258,C59,AS2:AS258)&gt;1),1,"")))</f>
        <v>1</v>
      </c>
      <c r="AV59" s="388" t="str">
        <f>IF(AT59=0,"",IF(AND(AT59=3,M59="F",SUMIF(C2:C258,C59,AS2:AS258)&lt;=1),SUMIF(C2:C258,C59,AS2:AS258),IF(AND(AT59=3,M59="F",SUMIF(C2:C258,C59,AS2:AS258)&gt;1),1,"")))</f>
        <v/>
      </c>
      <c r="AW59" s="388">
        <f>SUMIF(C2:C258,C59,O2:O258)</f>
        <v>1</v>
      </c>
      <c r="AX59" s="388">
        <f>IF(AND(M59="F",AS59&lt;&gt;0),SUMIF(C2:C258,C59,W2:W258),0)</f>
        <v>65748.800000000003</v>
      </c>
      <c r="AY59" s="388">
        <f t="shared" si="29"/>
        <v>65748.800000000003</v>
      </c>
      <c r="AZ59" s="388" t="str">
        <f t="shared" si="30"/>
        <v/>
      </c>
      <c r="BA59" s="388">
        <f t="shared" si="31"/>
        <v>0</v>
      </c>
      <c r="BB59" s="388">
        <f t="shared" si="0"/>
        <v>12500</v>
      </c>
      <c r="BC59" s="388">
        <f t="shared" si="1"/>
        <v>0</v>
      </c>
      <c r="BD59" s="388">
        <f t="shared" si="2"/>
        <v>4076.4256</v>
      </c>
      <c r="BE59" s="388">
        <f t="shared" si="3"/>
        <v>953.35760000000005</v>
      </c>
      <c r="BF59" s="388">
        <f t="shared" si="4"/>
        <v>7850.4067200000009</v>
      </c>
      <c r="BG59" s="388">
        <f t="shared" si="5"/>
        <v>474.04884800000002</v>
      </c>
      <c r="BH59" s="388">
        <f t="shared" si="6"/>
        <v>0</v>
      </c>
      <c r="BI59" s="388">
        <f t="shared" si="7"/>
        <v>0</v>
      </c>
      <c r="BJ59" s="388">
        <f t="shared" si="8"/>
        <v>230.1208</v>
      </c>
      <c r="BK59" s="388">
        <f t="shared" si="9"/>
        <v>0</v>
      </c>
      <c r="BL59" s="388">
        <f t="shared" si="32"/>
        <v>13584.359568000002</v>
      </c>
      <c r="BM59" s="388">
        <f t="shared" si="33"/>
        <v>0</v>
      </c>
      <c r="BN59" s="388">
        <f t="shared" si="10"/>
        <v>13750</v>
      </c>
      <c r="BO59" s="388">
        <f t="shared" si="11"/>
        <v>0</v>
      </c>
      <c r="BP59" s="388">
        <f t="shared" si="12"/>
        <v>4076.4256</v>
      </c>
      <c r="BQ59" s="388">
        <f t="shared" si="13"/>
        <v>953.35760000000005</v>
      </c>
      <c r="BR59" s="388">
        <f t="shared" si="14"/>
        <v>7350.7158399999998</v>
      </c>
      <c r="BS59" s="388">
        <f t="shared" si="15"/>
        <v>474.04884800000002</v>
      </c>
      <c r="BT59" s="388">
        <f t="shared" si="16"/>
        <v>0</v>
      </c>
      <c r="BU59" s="388">
        <f t="shared" si="17"/>
        <v>0</v>
      </c>
      <c r="BV59" s="388">
        <f t="shared" si="18"/>
        <v>256.42032</v>
      </c>
      <c r="BW59" s="388">
        <f t="shared" si="19"/>
        <v>0</v>
      </c>
      <c r="BX59" s="388">
        <f t="shared" si="34"/>
        <v>13110.968207999998</v>
      </c>
      <c r="BY59" s="388">
        <f t="shared" si="35"/>
        <v>0</v>
      </c>
      <c r="BZ59" s="388">
        <f t="shared" si="36"/>
        <v>1250</v>
      </c>
      <c r="CA59" s="388">
        <f t="shared" si="37"/>
        <v>0</v>
      </c>
      <c r="CB59" s="388">
        <f t="shared" si="38"/>
        <v>0</v>
      </c>
      <c r="CC59" s="388">
        <f t="shared" si="20"/>
        <v>0</v>
      </c>
      <c r="CD59" s="388">
        <f t="shared" si="21"/>
        <v>-499.69088000000067</v>
      </c>
      <c r="CE59" s="388">
        <f t="shared" si="22"/>
        <v>0</v>
      </c>
      <c r="CF59" s="388">
        <f t="shared" si="23"/>
        <v>0</v>
      </c>
      <c r="CG59" s="388">
        <f t="shared" si="24"/>
        <v>0</v>
      </c>
      <c r="CH59" s="388">
        <f t="shared" si="25"/>
        <v>26.299519999999983</v>
      </c>
      <c r="CI59" s="388">
        <f t="shared" si="26"/>
        <v>0</v>
      </c>
      <c r="CJ59" s="388">
        <f t="shared" si="39"/>
        <v>-473.3913600000007</v>
      </c>
      <c r="CK59" s="388" t="str">
        <f t="shared" si="40"/>
        <v/>
      </c>
      <c r="CL59" s="388" t="str">
        <f t="shared" si="41"/>
        <v/>
      </c>
      <c r="CM59" s="388" t="str">
        <f t="shared" si="42"/>
        <v/>
      </c>
      <c r="CN59" s="388" t="str">
        <f t="shared" si="43"/>
        <v>0325-03</v>
      </c>
    </row>
    <row r="60" spans="1:92" ht="15.75" thickBot="1" x14ac:dyDescent="0.3">
      <c r="A60" s="377" t="s">
        <v>162</v>
      </c>
      <c r="B60" s="377" t="s">
        <v>163</v>
      </c>
      <c r="C60" s="377" t="s">
        <v>281</v>
      </c>
      <c r="D60" s="377" t="s">
        <v>282</v>
      </c>
      <c r="E60" s="377" t="s">
        <v>417</v>
      </c>
      <c r="F60" s="383" t="s">
        <v>418</v>
      </c>
      <c r="G60" s="377" t="s">
        <v>266</v>
      </c>
      <c r="H60" s="379"/>
      <c r="I60" s="379"/>
      <c r="J60" s="377" t="s">
        <v>283</v>
      </c>
      <c r="K60" s="377" t="s">
        <v>244</v>
      </c>
      <c r="L60" s="377" t="s">
        <v>167</v>
      </c>
      <c r="M60" s="377" t="s">
        <v>172</v>
      </c>
      <c r="N60" s="377" t="s">
        <v>173</v>
      </c>
      <c r="O60" s="380">
        <v>1</v>
      </c>
      <c r="P60" s="386">
        <v>0.45</v>
      </c>
      <c r="Q60" s="386">
        <v>0.45</v>
      </c>
      <c r="R60" s="381">
        <v>80</v>
      </c>
      <c r="S60" s="386">
        <v>0.45</v>
      </c>
      <c r="T60" s="381">
        <v>38844.5</v>
      </c>
      <c r="U60" s="381">
        <v>0</v>
      </c>
      <c r="V60" s="381">
        <v>13078.83</v>
      </c>
      <c r="W60" s="381">
        <v>40837.68</v>
      </c>
      <c r="X60" s="381">
        <v>14062.46</v>
      </c>
      <c r="Y60" s="381">
        <v>40837.68</v>
      </c>
      <c r="Z60" s="381">
        <v>14330.93</v>
      </c>
      <c r="AA60" s="377" t="s">
        <v>284</v>
      </c>
      <c r="AB60" s="377" t="s">
        <v>242</v>
      </c>
      <c r="AC60" s="377" t="s">
        <v>285</v>
      </c>
      <c r="AD60" s="377" t="s">
        <v>286</v>
      </c>
      <c r="AE60" s="377" t="s">
        <v>244</v>
      </c>
      <c r="AF60" s="377" t="s">
        <v>207</v>
      </c>
      <c r="AG60" s="377" t="s">
        <v>179</v>
      </c>
      <c r="AH60" s="382">
        <v>43.63</v>
      </c>
      <c r="AI60" s="382">
        <v>10567.1</v>
      </c>
      <c r="AJ60" s="377" t="s">
        <v>180</v>
      </c>
      <c r="AK60" s="377" t="s">
        <v>181</v>
      </c>
      <c r="AL60" s="377" t="s">
        <v>182</v>
      </c>
      <c r="AM60" s="377" t="s">
        <v>183</v>
      </c>
      <c r="AN60" s="377" t="s">
        <v>66</v>
      </c>
      <c r="AO60" s="380">
        <v>80</v>
      </c>
      <c r="AP60" s="386">
        <v>1</v>
      </c>
      <c r="AQ60" s="386">
        <v>0.45</v>
      </c>
      <c r="AR60" s="384" t="s">
        <v>184</v>
      </c>
      <c r="AS60" s="388">
        <f t="shared" si="27"/>
        <v>0.45</v>
      </c>
      <c r="AT60">
        <f t="shared" si="28"/>
        <v>1</v>
      </c>
      <c r="AU60" s="388">
        <f>IF(AT60=0,"",IF(AND(AT60=1,M60="F",SUMIF(C2:C258,C60,AS2:AS258)&lt;=1),SUMIF(C2:C258,C60,AS2:AS258),IF(AND(AT60=1,M60="F",SUMIF(C2:C258,C60,AS2:AS258)&gt;1),1,"")))</f>
        <v>1</v>
      </c>
      <c r="AV60" s="388" t="str">
        <f>IF(AT60=0,"",IF(AND(AT60=3,M60="F",SUMIF(C2:C258,C60,AS2:AS258)&lt;=1),SUMIF(C2:C258,C60,AS2:AS258),IF(AND(AT60=3,M60="F",SUMIF(C2:C258,C60,AS2:AS258)&gt;1),1,"")))</f>
        <v/>
      </c>
      <c r="AW60" s="388">
        <f>SUMIF(C2:C258,C60,O2:O258)</f>
        <v>4</v>
      </c>
      <c r="AX60" s="388">
        <f>IF(AND(M60="F",AS60&lt;&gt;0),SUMIF(C2:C258,C60,W2:W258),0)</f>
        <v>90750.400000000009</v>
      </c>
      <c r="AY60" s="388">
        <f t="shared" si="29"/>
        <v>40837.68</v>
      </c>
      <c r="AZ60" s="388" t="str">
        <f t="shared" si="30"/>
        <v/>
      </c>
      <c r="BA60" s="388">
        <f t="shared" si="31"/>
        <v>0</v>
      </c>
      <c r="BB60" s="388">
        <f t="shared" si="0"/>
        <v>5625</v>
      </c>
      <c r="BC60" s="388">
        <f t="shared" si="1"/>
        <v>0</v>
      </c>
      <c r="BD60" s="388">
        <f t="shared" si="2"/>
        <v>2531.9361600000002</v>
      </c>
      <c r="BE60" s="388">
        <f t="shared" si="3"/>
        <v>592.14636000000007</v>
      </c>
      <c r="BF60" s="388">
        <f t="shared" si="4"/>
        <v>4876.0189920000003</v>
      </c>
      <c r="BG60" s="388">
        <f t="shared" si="5"/>
        <v>294.43967280000004</v>
      </c>
      <c r="BH60" s="388">
        <f t="shared" si="6"/>
        <v>0</v>
      </c>
      <c r="BI60" s="388">
        <f t="shared" si="7"/>
        <v>0</v>
      </c>
      <c r="BJ60" s="388">
        <f t="shared" si="8"/>
        <v>142.93188000000001</v>
      </c>
      <c r="BK60" s="388">
        <f t="shared" si="9"/>
        <v>0</v>
      </c>
      <c r="BL60" s="388">
        <f t="shared" si="32"/>
        <v>8437.4730648000004</v>
      </c>
      <c r="BM60" s="388">
        <f t="shared" si="33"/>
        <v>0</v>
      </c>
      <c r="BN60" s="388">
        <f t="shared" si="10"/>
        <v>6187.5</v>
      </c>
      <c r="BO60" s="388">
        <f t="shared" si="11"/>
        <v>0</v>
      </c>
      <c r="BP60" s="388">
        <f t="shared" si="12"/>
        <v>2531.9361600000002</v>
      </c>
      <c r="BQ60" s="388">
        <f t="shared" si="13"/>
        <v>592.14636000000007</v>
      </c>
      <c r="BR60" s="388">
        <f t="shared" si="14"/>
        <v>4565.6526240000003</v>
      </c>
      <c r="BS60" s="388">
        <f t="shared" si="15"/>
        <v>294.43967280000004</v>
      </c>
      <c r="BT60" s="388">
        <f t="shared" si="16"/>
        <v>0</v>
      </c>
      <c r="BU60" s="388">
        <f t="shared" si="17"/>
        <v>0</v>
      </c>
      <c r="BV60" s="388">
        <f t="shared" si="18"/>
        <v>159.266952</v>
      </c>
      <c r="BW60" s="388">
        <f t="shared" si="19"/>
        <v>0</v>
      </c>
      <c r="BX60" s="388">
        <f t="shared" si="34"/>
        <v>8143.4417688000003</v>
      </c>
      <c r="BY60" s="388">
        <f t="shared" si="35"/>
        <v>0</v>
      </c>
      <c r="BZ60" s="388">
        <f t="shared" si="36"/>
        <v>562.5</v>
      </c>
      <c r="CA60" s="388">
        <f t="shared" si="37"/>
        <v>0</v>
      </c>
      <c r="CB60" s="388">
        <f t="shared" si="38"/>
        <v>0</v>
      </c>
      <c r="CC60" s="388">
        <f t="shared" si="20"/>
        <v>0</v>
      </c>
      <c r="CD60" s="388">
        <f t="shared" si="21"/>
        <v>-310.36636800000036</v>
      </c>
      <c r="CE60" s="388">
        <f t="shared" si="22"/>
        <v>0</v>
      </c>
      <c r="CF60" s="388">
        <f t="shared" si="23"/>
        <v>0</v>
      </c>
      <c r="CG60" s="388">
        <f t="shared" si="24"/>
        <v>0</v>
      </c>
      <c r="CH60" s="388">
        <f t="shared" si="25"/>
        <v>16.33507199999999</v>
      </c>
      <c r="CI60" s="388">
        <f t="shared" si="26"/>
        <v>0</v>
      </c>
      <c r="CJ60" s="388">
        <f t="shared" si="39"/>
        <v>-294.0312960000004</v>
      </c>
      <c r="CK60" s="388" t="str">
        <f t="shared" si="40"/>
        <v/>
      </c>
      <c r="CL60" s="388" t="str">
        <f t="shared" si="41"/>
        <v/>
      </c>
      <c r="CM60" s="388" t="str">
        <f t="shared" si="42"/>
        <v/>
      </c>
      <c r="CN60" s="388" t="str">
        <f t="shared" si="43"/>
        <v>0325-03</v>
      </c>
    </row>
    <row r="61" spans="1:92" ht="15.75" thickBot="1" x14ac:dyDescent="0.3">
      <c r="A61" s="377" t="s">
        <v>162</v>
      </c>
      <c r="B61" s="377" t="s">
        <v>163</v>
      </c>
      <c r="C61" s="377" t="s">
        <v>166</v>
      </c>
      <c r="D61" s="377" t="s">
        <v>300</v>
      </c>
      <c r="E61" s="377" t="s">
        <v>417</v>
      </c>
      <c r="F61" s="383" t="s">
        <v>418</v>
      </c>
      <c r="G61" s="377" t="s">
        <v>266</v>
      </c>
      <c r="H61" s="379"/>
      <c r="I61" s="379"/>
      <c r="J61" s="377" t="s">
        <v>169</v>
      </c>
      <c r="K61" s="377" t="s">
        <v>301</v>
      </c>
      <c r="L61" s="377" t="s">
        <v>167</v>
      </c>
      <c r="M61" s="377" t="s">
        <v>172</v>
      </c>
      <c r="N61" s="377" t="s">
        <v>173</v>
      </c>
      <c r="O61" s="380">
        <v>1</v>
      </c>
      <c r="P61" s="386">
        <v>0.9</v>
      </c>
      <c r="Q61" s="386">
        <v>0.9</v>
      </c>
      <c r="R61" s="381">
        <v>80</v>
      </c>
      <c r="S61" s="386">
        <v>0.9</v>
      </c>
      <c r="T61" s="381">
        <v>80260.37</v>
      </c>
      <c r="U61" s="381">
        <v>0</v>
      </c>
      <c r="V61" s="381">
        <v>27065.94</v>
      </c>
      <c r="W61" s="381">
        <v>79522.559999999998</v>
      </c>
      <c r="X61" s="381">
        <v>27680.13</v>
      </c>
      <c r="Y61" s="381">
        <v>79522.559999999998</v>
      </c>
      <c r="Z61" s="381">
        <v>28232.560000000001</v>
      </c>
      <c r="AA61" s="377" t="s">
        <v>434</v>
      </c>
      <c r="AB61" s="377" t="s">
        <v>435</v>
      </c>
      <c r="AC61" s="377" t="s">
        <v>436</v>
      </c>
      <c r="AD61" s="377" t="s">
        <v>171</v>
      </c>
      <c r="AE61" s="377" t="s">
        <v>301</v>
      </c>
      <c r="AF61" s="377" t="s">
        <v>207</v>
      </c>
      <c r="AG61" s="377" t="s">
        <v>179</v>
      </c>
      <c r="AH61" s="382">
        <v>42.48</v>
      </c>
      <c r="AI61" s="382">
        <v>42277.9</v>
      </c>
      <c r="AJ61" s="377" t="s">
        <v>180</v>
      </c>
      <c r="AK61" s="377" t="s">
        <v>181</v>
      </c>
      <c r="AL61" s="377" t="s">
        <v>182</v>
      </c>
      <c r="AM61" s="377" t="s">
        <v>183</v>
      </c>
      <c r="AN61" s="377" t="s">
        <v>66</v>
      </c>
      <c r="AO61" s="380">
        <v>80</v>
      </c>
      <c r="AP61" s="386">
        <v>1</v>
      </c>
      <c r="AQ61" s="386">
        <v>0.9</v>
      </c>
      <c r="AR61" s="384" t="s">
        <v>184</v>
      </c>
      <c r="AS61" s="388">
        <f t="shared" si="27"/>
        <v>0.9</v>
      </c>
      <c r="AT61">
        <f t="shared" si="28"/>
        <v>1</v>
      </c>
      <c r="AU61" s="388">
        <f>IF(AT61=0,"",IF(AND(AT61=1,M61="F",SUMIF(C2:C258,C61,AS2:AS258)&lt;=1),SUMIF(C2:C258,C61,AS2:AS258),IF(AND(AT61=1,M61="F",SUMIF(C2:C258,C61,AS2:AS258)&gt;1),1,"")))</f>
        <v>1</v>
      </c>
      <c r="AV61" s="388" t="str">
        <f>IF(AT61=0,"",IF(AND(AT61=3,M61="F",SUMIF(C2:C258,C61,AS2:AS258)&lt;=1),SUMIF(C2:C258,C61,AS2:AS258),IF(AND(AT61=3,M61="F",SUMIF(C2:C258,C61,AS2:AS258)&gt;1),1,"")))</f>
        <v/>
      </c>
      <c r="AW61" s="388">
        <f>SUMIF(C2:C258,C61,O2:O258)</f>
        <v>2</v>
      </c>
      <c r="AX61" s="388">
        <f>IF(AND(M61="F",AS61&lt;&gt;0),SUMIF(C2:C258,C61,W2:W258),0)</f>
        <v>88358.399999999994</v>
      </c>
      <c r="AY61" s="388">
        <f t="shared" si="29"/>
        <v>79522.559999999998</v>
      </c>
      <c r="AZ61" s="388" t="str">
        <f t="shared" si="30"/>
        <v/>
      </c>
      <c r="BA61" s="388">
        <f t="shared" si="31"/>
        <v>0</v>
      </c>
      <c r="BB61" s="388">
        <f t="shared" si="0"/>
        <v>11250</v>
      </c>
      <c r="BC61" s="388">
        <f t="shared" si="1"/>
        <v>0</v>
      </c>
      <c r="BD61" s="388">
        <f t="shared" si="2"/>
        <v>4930.3987200000001</v>
      </c>
      <c r="BE61" s="388">
        <f t="shared" si="3"/>
        <v>1153.0771199999999</v>
      </c>
      <c r="BF61" s="388">
        <f t="shared" si="4"/>
        <v>9494.9936639999996</v>
      </c>
      <c r="BG61" s="388">
        <f t="shared" si="5"/>
        <v>573.35765760000004</v>
      </c>
      <c r="BH61" s="388">
        <f t="shared" si="6"/>
        <v>0</v>
      </c>
      <c r="BI61" s="388">
        <f t="shared" si="7"/>
        <v>0</v>
      </c>
      <c r="BJ61" s="388">
        <f t="shared" si="8"/>
        <v>278.32896</v>
      </c>
      <c r="BK61" s="388">
        <f t="shared" si="9"/>
        <v>0</v>
      </c>
      <c r="BL61" s="388">
        <f t="shared" si="32"/>
        <v>16430.156121600001</v>
      </c>
      <c r="BM61" s="388">
        <f t="shared" si="33"/>
        <v>0</v>
      </c>
      <c r="BN61" s="388">
        <f t="shared" si="10"/>
        <v>12375</v>
      </c>
      <c r="BO61" s="388">
        <f t="shared" si="11"/>
        <v>0</v>
      </c>
      <c r="BP61" s="388">
        <f t="shared" si="12"/>
        <v>4930.3987200000001</v>
      </c>
      <c r="BQ61" s="388">
        <f t="shared" si="13"/>
        <v>1153.0771199999999</v>
      </c>
      <c r="BR61" s="388">
        <f t="shared" si="14"/>
        <v>8890.6222079999989</v>
      </c>
      <c r="BS61" s="388">
        <f t="shared" si="15"/>
        <v>573.35765760000004</v>
      </c>
      <c r="BT61" s="388">
        <f t="shared" si="16"/>
        <v>0</v>
      </c>
      <c r="BU61" s="388">
        <f t="shared" si="17"/>
        <v>0</v>
      </c>
      <c r="BV61" s="388">
        <f t="shared" si="18"/>
        <v>310.13798399999996</v>
      </c>
      <c r="BW61" s="388">
        <f t="shared" si="19"/>
        <v>0</v>
      </c>
      <c r="BX61" s="388">
        <f t="shared" si="34"/>
        <v>15857.593689599998</v>
      </c>
      <c r="BY61" s="388">
        <f t="shared" si="35"/>
        <v>0</v>
      </c>
      <c r="BZ61" s="388">
        <f t="shared" si="36"/>
        <v>1125</v>
      </c>
      <c r="CA61" s="388">
        <f t="shared" si="37"/>
        <v>0</v>
      </c>
      <c r="CB61" s="388">
        <f t="shared" si="38"/>
        <v>0</v>
      </c>
      <c r="CC61" s="388">
        <f t="shared" si="20"/>
        <v>0</v>
      </c>
      <c r="CD61" s="388">
        <f t="shared" si="21"/>
        <v>-604.37145600000076</v>
      </c>
      <c r="CE61" s="388">
        <f t="shared" si="22"/>
        <v>0</v>
      </c>
      <c r="CF61" s="388">
        <f t="shared" si="23"/>
        <v>0</v>
      </c>
      <c r="CG61" s="388">
        <f t="shared" si="24"/>
        <v>0</v>
      </c>
      <c r="CH61" s="388">
        <f t="shared" si="25"/>
        <v>31.80902399999998</v>
      </c>
      <c r="CI61" s="388">
        <f t="shared" si="26"/>
        <v>0</v>
      </c>
      <c r="CJ61" s="388">
        <f t="shared" si="39"/>
        <v>-572.56243200000074</v>
      </c>
      <c r="CK61" s="388" t="str">
        <f t="shared" si="40"/>
        <v/>
      </c>
      <c r="CL61" s="388" t="str">
        <f t="shared" si="41"/>
        <v/>
      </c>
      <c r="CM61" s="388" t="str">
        <f t="shared" si="42"/>
        <v/>
      </c>
      <c r="CN61" s="388" t="str">
        <f t="shared" si="43"/>
        <v>0325-03</v>
      </c>
    </row>
    <row r="62" spans="1:92" ht="15.75" thickBot="1" x14ac:dyDescent="0.3">
      <c r="A62" s="377" t="s">
        <v>162</v>
      </c>
      <c r="B62" s="377" t="s">
        <v>163</v>
      </c>
      <c r="C62" s="377" t="s">
        <v>281</v>
      </c>
      <c r="D62" s="377" t="s">
        <v>282</v>
      </c>
      <c r="E62" s="377" t="s">
        <v>417</v>
      </c>
      <c r="F62" s="383" t="s">
        <v>437</v>
      </c>
      <c r="G62" s="377" t="s">
        <v>266</v>
      </c>
      <c r="H62" s="379"/>
      <c r="I62" s="379"/>
      <c r="J62" s="377" t="s">
        <v>283</v>
      </c>
      <c r="K62" s="377" t="s">
        <v>244</v>
      </c>
      <c r="L62" s="377" t="s">
        <v>167</v>
      </c>
      <c r="M62" s="377" t="s">
        <v>172</v>
      </c>
      <c r="N62" s="377" t="s">
        <v>173</v>
      </c>
      <c r="O62" s="380">
        <v>1</v>
      </c>
      <c r="P62" s="386">
        <v>0.05</v>
      </c>
      <c r="Q62" s="386">
        <v>0.05</v>
      </c>
      <c r="R62" s="381">
        <v>80</v>
      </c>
      <c r="S62" s="386">
        <v>0.05</v>
      </c>
      <c r="T62" s="381">
        <v>5086.51</v>
      </c>
      <c r="U62" s="381">
        <v>0</v>
      </c>
      <c r="V62" s="381">
        <v>1692.9</v>
      </c>
      <c r="W62" s="381">
        <v>4537.5200000000004</v>
      </c>
      <c r="X62" s="381">
        <v>1562.49</v>
      </c>
      <c r="Y62" s="381">
        <v>4537.5200000000004</v>
      </c>
      <c r="Z62" s="381">
        <v>1592.32</v>
      </c>
      <c r="AA62" s="377" t="s">
        <v>284</v>
      </c>
      <c r="AB62" s="377" t="s">
        <v>242</v>
      </c>
      <c r="AC62" s="377" t="s">
        <v>285</v>
      </c>
      <c r="AD62" s="377" t="s">
        <v>286</v>
      </c>
      <c r="AE62" s="377" t="s">
        <v>244</v>
      </c>
      <c r="AF62" s="377" t="s">
        <v>207</v>
      </c>
      <c r="AG62" s="377" t="s">
        <v>179</v>
      </c>
      <c r="AH62" s="382">
        <v>43.63</v>
      </c>
      <c r="AI62" s="382">
        <v>10567.1</v>
      </c>
      <c r="AJ62" s="377" t="s">
        <v>180</v>
      </c>
      <c r="AK62" s="377" t="s">
        <v>181</v>
      </c>
      <c r="AL62" s="377" t="s">
        <v>182</v>
      </c>
      <c r="AM62" s="377" t="s">
        <v>183</v>
      </c>
      <c r="AN62" s="377" t="s">
        <v>66</v>
      </c>
      <c r="AO62" s="380">
        <v>80</v>
      </c>
      <c r="AP62" s="386">
        <v>1</v>
      </c>
      <c r="AQ62" s="386">
        <v>0.05</v>
      </c>
      <c r="AR62" s="384" t="s">
        <v>184</v>
      </c>
      <c r="AS62" s="388">
        <f t="shared" si="27"/>
        <v>0.05</v>
      </c>
      <c r="AT62">
        <f t="shared" si="28"/>
        <v>1</v>
      </c>
      <c r="AU62" s="388">
        <f>IF(AT62=0,"",IF(AND(AT62=1,M62="F",SUMIF(C2:C258,C62,AS2:AS258)&lt;=1),SUMIF(C2:C258,C62,AS2:AS258),IF(AND(AT62=1,M62="F",SUMIF(C2:C258,C62,AS2:AS258)&gt;1),1,"")))</f>
        <v>1</v>
      </c>
      <c r="AV62" s="388" t="str">
        <f>IF(AT62=0,"",IF(AND(AT62=3,M62="F",SUMIF(C2:C258,C62,AS2:AS258)&lt;=1),SUMIF(C2:C258,C62,AS2:AS258),IF(AND(AT62=3,M62="F",SUMIF(C2:C258,C62,AS2:AS258)&gt;1),1,"")))</f>
        <v/>
      </c>
      <c r="AW62" s="388">
        <f>SUMIF(C2:C258,C62,O2:O258)</f>
        <v>4</v>
      </c>
      <c r="AX62" s="388">
        <f>IF(AND(M62="F",AS62&lt;&gt;0),SUMIF(C2:C258,C62,W2:W258),0)</f>
        <v>90750.400000000009</v>
      </c>
      <c r="AY62" s="388">
        <f t="shared" si="29"/>
        <v>4537.5200000000004</v>
      </c>
      <c r="AZ62" s="388" t="str">
        <f t="shared" si="30"/>
        <v/>
      </c>
      <c r="BA62" s="388">
        <f t="shared" si="31"/>
        <v>0</v>
      </c>
      <c r="BB62" s="388">
        <f t="shared" si="0"/>
        <v>625</v>
      </c>
      <c r="BC62" s="388">
        <f t="shared" si="1"/>
        <v>0</v>
      </c>
      <c r="BD62" s="388">
        <f t="shared" si="2"/>
        <v>281.32624000000004</v>
      </c>
      <c r="BE62" s="388">
        <f t="shared" si="3"/>
        <v>65.79404000000001</v>
      </c>
      <c r="BF62" s="388">
        <f t="shared" si="4"/>
        <v>541.77988800000003</v>
      </c>
      <c r="BG62" s="388">
        <f t="shared" si="5"/>
        <v>32.715519200000003</v>
      </c>
      <c r="BH62" s="388">
        <f t="shared" si="6"/>
        <v>0</v>
      </c>
      <c r="BI62" s="388">
        <f t="shared" si="7"/>
        <v>0</v>
      </c>
      <c r="BJ62" s="388">
        <f t="shared" si="8"/>
        <v>15.881320000000002</v>
      </c>
      <c r="BK62" s="388">
        <f t="shared" si="9"/>
        <v>0</v>
      </c>
      <c r="BL62" s="388">
        <f t="shared" si="32"/>
        <v>937.4970072000001</v>
      </c>
      <c r="BM62" s="388">
        <f t="shared" si="33"/>
        <v>0</v>
      </c>
      <c r="BN62" s="388">
        <f t="shared" si="10"/>
        <v>687.5</v>
      </c>
      <c r="BO62" s="388">
        <f t="shared" si="11"/>
        <v>0</v>
      </c>
      <c r="BP62" s="388">
        <f t="shared" si="12"/>
        <v>281.32624000000004</v>
      </c>
      <c r="BQ62" s="388">
        <f t="shared" si="13"/>
        <v>65.79404000000001</v>
      </c>
      <c r="BR62" s="388">
        <f t="shared" si="14"/>
        <v>507.29473600000006</v>
      </c>
      <c r="BS62" s="388">
        <f t="shared" si="15"/>
        <v>32.715519200000003</v>
      </c>
      <c r="BT62" s="388">
        <f t="shared" si="16"/>
        <v>0</v>
      </c>
      <c r="BU62" s="388">
        <f t="shared" si="17"/>
        <v>0</v>
      </c>
      <c r="BV62" s="388">
        <f t="shared" si="18"/>
        <v>17.696328000000001</v>
      </c>
      <c r="BW62" s="388">
        <f t="shared" si="19"/>
        <v>0</v>
      </c>
      <c r="BX62" s="388">
        <f t="shared" si="34"/>
        <v>904.82686320000016</v>
      </c>
      <c r="BY62" s="388">
        <f t="shared" si="35"/>
        <v>0</v>
      </c>
      <c r="BZ62" s="388">
        <f t="shared" si="36"/>
        <v>62.5</v>
      </c>
      <c r="CA62" s="388">
        <f t="shared" si="37"/>
        <v>0</v>
      </c>
      <c r="CB62" s="388">
        <f t="shared" si="38"/>
        <v>0</v>
      </c>
      <c r="CC62" s="388">
        <f t="shared" si="20"/>
        <v>0</v>
      </c>
      <c r="CD62" s="388">
        <f t="shared" si="21"/>
        <v>-34.485152000000049</v>
      </c>
      <c r="CE62" s="388">
        <f t="shared" si="22"/>
        <v>0</v>
      </c>
      <c r="CF62" s="388">
        <f t="shared" si="23"/>
        <v>0</v>
      </c>
      <c r="CG62" s="388">
        <f t="shared" si="24"/>
        <v>0</v>
      </c>
      <c r="CH62" s="388">
        <f t="shared" si="25"/>
        <v>1.8150079999999991</v>
      </c>
      <c r="CI62" s="388">
        <f t="shared" si="26"/>
        <v>0</v>
      </c>
      <c r="CJ62" s="388">
        <f t="shared" si="39"/>
        <v>-32.67014400000005</v>
      </c>
      <c r="CK62" s="388" t="str">
        <f t="shared" si="40"/>
        <v/>
      </c>
      <c r="CL62" s="388" t="str">
        <f t="shared" si="41"/>
        <v/>
      </c>
      <c r="CM62" s="388" t="str">
        <f t="shared" si="42"/>
        <v/>
      </c>
      <c r="CN62" s="388" t="str">
        <f t="shared" si="43"/>
        <v>0325-04</v>
      </c>
    </row>
    <row r="63" spans="1:92" ht="15.75" thickBot="1" x14ac:dyDescent="0.3">
      <c r="A63" s="377" t="s">
        <v>162</v>
      </c>
      <c r="B63" s="377" t="s">
        <v>163</v>
      </c>
      <c r="C63" s="377" t="s">
        <v>438</v>
      </c>
      <c r="D63" s="377" t="s">
        <v>300</v>
      </c>
      <c r="E63" s="377" t="s">
        <v>265</v>
      </c>
      <c r="F63" s="378" t="s">
        <v>167</v>
      </c>
      <c r="G63" s="377" t="s">
        <v>439</v>
      </c>
      <c r="H63" s="379"/>
      <c r="I63" s="379"/>
      <c r="J63" s="377" t="s">
        <v>219</v>
      </c>
      <c r="K63" s="377" t="s">
        <v>301</v>
      </c>
      <c r="L63" s="377" t="s">
        <v>167</v>
      </c>
      <c r="M63" s="377" t="s">
        <v>172</v>
      </c>
      <c r="N63" s="377" t="s">
        <v>173</v>
      </c>
      <c r="O63" s="380">
        <v>1</v>
      </c>
      <c r="P63" s="386">
        <v>1</v>
      </c>
      <c r="Q63" s="386">
        <v>1</v>
      </c>
      <c r="R63" s="381">
        <v>80</v>
      </c>
      <c r="S63" s="386">
        <v>1</v>
      </c>
      <c r="T63" s="381">
        <v>89948.55</v>
      </c>
      <c r="U63" s="381">
        <v>0</v>
      </c>
      <c r="V63" s="381">
        <v>30567.01</v>
      </c>
      <c r="W63" s="381">
        <v>88462.399999999994</v>
      </c>
      <c r="X63" s="381">
        <v>30777.19</v>
      </c>
      <c r="Y63" s="381">
        <v>88462.399999999994</v>
      </c>
      <c r="Z63" s="381">
        <v>31390.26</v>
      </c>
      <c r="AA63" s="377" t="s">
        <v>440</v>
      </c>
      <c r="AB63" s="377" t="s">
        <v>441</v>
      </c>
      <c r="AC63" s="377" t="s">
        <v>442</v>
      </c>
      <c r="AD63" s="377" t="s">
        <v>443</v>
      </c>
      <c r="AE63" s="377" t="s">
        <v>301</v>
      </c>
      <c r="AF63" s="377" t="s">
        <v>207</v>
      </c>
      <c r="AG63" s="377" t="s">
        <v>179</v>
      </c>
      <c r="AH63" s="382">
        <v>42.53</v>
      </c>
      <c r="AI63" s="380">
        <v>5316</v>
      </c>
      <c r="AJ63" s="377" t="s">
        <v>180</v>
      </c>
      <c r="AK63" s="377" t="s">
        <v>181</v>
      </c>
      <c r="AL63" s="377" t="s">
        <v>182</v>
      </c>
      <c r="AM63" s="377" t="s">
        <v>183</v>
      </c>
      <c r="AN63" s="377" t="s">
        <v>66</v>
      </c>
      <c r="AO63" s="380">
        <v>80</v>
      </c>
      <c r="AP63" s="386">
        <v>1</v>
      </c>
      <c r="AQ63" s="386">
        <v>1</v>
      </c>
      <c r="AR63" s="384" t="s">
        <v>184</v>
      </c>
      <c r="AS63" s="388">
        <f t="shared" si="27"/>
        <v>1</v>
      </c>
      <c r="AT63">
        <f t="shared" si="28"/>
        <v>1</v>
      </c>
      <c r="AU63" s="388">
        <f>IF(AT63=0,"",IF(AND(AT63=1,M63="F",SUMIF(C2:C258,C63,AS2:AS258)&lt;=1),SUMIF(C2:C258,C63,AS2:AS258),IF(AND(AT63=1,M63="F",SUMIF(C2:C258,C63,AS2:AS258)&gt;1),1,"")))</f>
        <v>1</v>
      </c>
      <c r="AV63" s="388" t="str">
        <f>IF(AT63=0,"",IF(AND(AT63=3,M63="F",SUMIF(C2:C258,C63,AS2:AS258)&lt;=1),SUMIF(C2:C258,C63,AS2:AS258),IF(AND(AT63=3,M63="F",SUMIF(C2:C258,C63,AS2:AS258)&gt;1),1,"")))</f>
        <v/>
      </c>
      <c r="AW63" s="388">
        <f>SUMIF(C2:C258,C63,O2:O258)</f>
        <v>1</v>
      </c>
      <c r="AX63" s="388">
        <f>IF(AND(M63="F",AS63&lt;&gt;0),SUMIF(C2:C258,C63,W2:W258),0)</f>
        <v>88462.399999999994</v>
      </c>
      <c r="AY63" s="388">
        <f t="shared" si="29"/>
        <v>88462.399999999994</v>
      </c>
      <c r="AZ63" s="388" t="str">
        <f t="shared" si="30"/>
        <v/>
      </c>
      <c r="BA63" s="388">
        <f t="shared" si="31"/>
        <v>0</v>
      </c>
      <c r="BB63" s="388">
        <f t="shared" si="0"/>
        <v>12500</v>
      </c>
      <c r="BC63" s="388">
        <f t="shared" si="1"/>
        <v>0</v>
      </c>
      <c r="BD63" s="388">
        <f t="shared" si="2"/>
        <v>5484.6687999999995</v>
      </c>
      <c r="BE63" s="388">
        <f t="shared" si="3"/>
        <v>1282.7048</v>
      </c>
      <c r="BF63" s="388">
        <f t="shared" si="4"/>
        <v>10562.41056</v>
      </c>
      <c r="BG63" s="388">
        <f t="shared" si="5"/>
        <v>637.81390399999998</v>
      </c>
      <c r="BH63" s="388">
        <f t="shared" si="6"/>
        <v>0</v>
      </c>
      <c r="BI63" s="388">
        <f t="shared" si="7"/>
        <v>0</v>
      </c>
      <c r="BJ63" s="388">
        <f t="shared" si="8"/>
        <v>309.61840000000001</v>
      </c>
      <c r="BK63" s="388">
        <f t="shared" si="9"/>
        <v>0</v>
      </c>
      <c r="BL63" s="388">
        <f t="shared" si="32"/>
        <v>18277.216463999997</v>
      </c>
      <c r="BM63" s="388">
        <f t="shared" si="33"/>
        <v>0</v>
      </c>
      <c r="BN63" s="388">
        <f t="shared" si="10"/>
        <v>13750</v>
      </c>
      <c r="BO63" s="388">
        <f t="shared" si="11"/>
        <v>0</v>
      </c>
      <c r="BP63" s="388">
        <f t="shared" si="12"/>
        <v>5484.6687999999995</v>
      </c>
      <c r="BQ63" s="388">
        <f t="shared" si="13"/>
        <v>1282.7048</v>
      </c>
      <c r="BR63" s="388">
        <f t="shared" si="14"/>
        <v>9890.0963199999987</v>
      </c>
      <c r="BS63" s="388">
        <f t="shared" si="15"/>
        <v>637.81390399999998</v>
      </c>
      <c r="BT63" s="388">
        <f t="shared" si="16"/>
        <v>0</v>
      </c>
      <c r="BU63" s="388">
        <f t="shared" si="17"/>
        <v>0</v>
      </c>
      <c r="BV63" s="388">
        <f t="shared" si="18"/>
        <v>345.00335999999999</v>
      </c>
      <c r="BW63" s="388">
        <f t="shared" si="19"/>
        <v>0</v>
      </c>
      <c r="BX63" s="388">
        <f t="shared" si="34"/>
        <v>17640.287183999993</v>
      </c>
      <c r="BY63" s="388">
        <f t="shared" si="35"/>
        <v>0</v>
      </c>
      <c r="BZ63" s="388">
        <f t="shared" si="36"/>
        <v>1250</v>
      </c>
      <c r="CA63" s="388">
        <f t="shared" si="37"/>
        <v>0</v>
      </c>
      <c r="CB63" s="388">
        <f t="shared" si="38"/>
        <v>0</v>
      </c>
      <c r="CC63" s="388">
        <f t="shared" si="20"/>
        <v>0</v>
      </c>
      <c r="CD63" s="388">
        <f t="shared" si="21"/>
        <v>-672.31424000000084</v>
      </c>
      <c r="CE63" s="388">
        <f t="shared" si="22"/>
        <v>0</v>
      </c>
      <c r="CF63" s="388">
        <f t="shared" si="23"/>
        <v>0</v>
      </c>
      <c r="CG63" s="388">
        <f t="shared" si="24"/>
        <v>0</v>
      </c>
      <c r="CH63" s="388">
        <f t="shared" si="25"/>
        <v>35.384959999999978</v>
      </c>
      <c r="CI63" s="388">
        <f t="shared" si="26"/>
        <v>0</v>
      </c>
      <c r="CJ63" s="388">
        <f t="shared" si="39"/>
        <v>-636.92928000000086</v>
      </c>
      <c r="CK63" s="388" t="str">
        <f t="shared" si="40"/>
        <v/>
      </c>
      <c r="CL63" s="388" t="str">
        <f t="shared" si="41"/>
        <v/>
      </c>
      <c r="CM63" s="388" t="str">
        <f t="shared" si="42"/>
        <v/>
      </c>
      <c r="CN63" s="388" t="str">
        <f t="shared" si="43"/>
        <v>0001-00</v>
      </c>
    </row>
    <row r="64" spans="1:92" ht="15.75" thickBot="1" x14ac:dyDescent="0.3">
      <c r="A64" s="377" t="s">
        <v>162</v>
      </c>
      <c r="B64" s="377" t="s">
        <v>163</v>
      </c>
      <c r="C64" s="377" t="s">
        <v>444</v>
      </c>
      <c r="D64" s="377" t="s">
        <v>251</v>
      </c>
      <c r="E64" s="377" t="s">
        <v>265</v>
      </c>
      <c r="F64" s="378" t="s">
        <v>167</v>
      </c>
      <c r="G64" s="377" t="s">
        <v>439</v>
      </c>
      <c r="H64" s="379"/>
      <c r="I64" s="379"/>
      <c r="J64" s="377" t="s">
        <v>169</v>
      </c>
      <c r="K64" s="377" t="s">
        <v>252</v>
      </c>
      <c r="L64" s="377" t="s">
        <v>179</v>
      </c>
      <c r="M64" s="377" t="s">
        <v>395</v>
      </c>
      <c r="N64" s="377" t="s">
        <v>173</v>
      </c>
      <c r="O64" s="380">
        <v>0</v>
      </c>
      <c r="P64" s="386">
        <v>0</v>
      </c>
      <c r="Q64" s="386">
        <v>0</v>
      </c>
      <c r="R64" s="381">
        <v>80</v>
      </c>
      <c r="S64" s="386">
        <v>0</v>
      </c>
      <c r="T64" s="381">
        <v>527.96</v>
      </c>
      <c r="U64" s="381">
        <v>107.32</v>
      </c>
      <c r="V64" s="381">
        <v>93.73</v>
      </c>
      <c r="W64" s="381">
        <v>0</v>
      </c>
      <c r="X64" s="381">
        <v>0</v>
      </c>
      <c r="Y64" s="381">
        <v>0</v>
      </c>
      <c r="Z64" s="381">
        <v>0</v>
      </c>
      <c r="AA64" s="379"/>
      <c r="AB64" s="377" t="s">
        <v>45</v>
      </c>
      <c r="AC64" s="377" t="s">
        <v>45</v>
      </c>
      <c r="AD64" s="379"/>
      <c r="AE64" s="379"/>
      <c r="AF64" s="379"/>
      <c r="AG64" s="379"/>
      <c r="AH64" s="380">
        <v>0</v>
      </c>
      <c r="AI64" s="380">
        <v>0</v>
      </c>
      <c r="AJ64" s="379"/>
      <c r="AK64" s="379"/>
      <c r="AL64" s="377" t="s">
        <v>182</v>
      </c>
      <c r="AM64" s="379"/>
      <c r="AN64" s="379"/>
      <c r="AO64" s="380">
        <v>0</v>
      </c>
      <c r="AP64" s="386">
        <v>0</v>
      </c>
      <c r="AQ64" s="386">
        <v>0</v>
      </c>
      <c r="AR64" s="385"/>
      <c r="AS64" s="388">
        <f t="shared" si="27"/>
        <v>0</v>
      </c>
      <c r="AT64">
        <f t="shared" si="28"/>
        <v>0</v>
      </c>
      <c r="AU64" s="388" t="str">
        <f>IF(AT64=0,"",IF(AND(AT64=1,M64="F",SUMIF(C2:C258,C64,AS2:AS258)&lt;=1),SUMIF(C2:C258,C64,AS2:AS258),IF(AND(AT64=1,M64="F",SUMIF(C2:C258,C64,AS2:AS258)&gt;1),1,"")))</f>
        <v/>
      </c>
      <c r="AV64" s="388" t="str">
        <f>IF(AT64=0,"",IF(AND(AT64=3,M64="F",SUMIF(C2:C258,C64,AS2:AS258)&lt;=1),SUMIF(C2:C258,C64,AS2:AS258),IF(AND(AT64=3,M64="F",SUMIF(C2:C258,C64,AS2:AS258)&gt;1),1,"")))</f>
        <v/>
      </c>
      <c r="AW64" s="388">
        <f>SUMIF(C2:C258,C64,O2:O258)</f>
        <v>0</v>
      </c>
      <c r="AX64" s="388">
        <f>IF(AND(M64="F",AS64&lt;&gt;0),SUMIF(C2:C258,C64,W2:W258),0)</f>
        <v>0</v>
      </c>
      <c r="AY64" s="388" t="str">
        <f t="shared" si="29"/>
        <v/>
      </c>
      <c r="AZ64" s="388" t="str">
        <f t="shared" si="30"/>
        <v/>
      </c>
      <c r="BA64" s="388">
        <f t="shared" si="31"/>
        <v>0</v>
      </c>
      <c r="BB64" s="388">
        <f t="shared" si="0"/>
        <v>0</v>
      </c>
      <c r="BC64" s="388">
        <f t="shared" si="1"/>
        <v>0</v>
      </c>
      <c r="BD64" s="388">
        <f t="shared" si="2"/>
        <v>0</v>
      </c>
      <c r="BE64" s="388">
        <f t="shared" si="3"/>
        <v>0</v>
      </c>
      <c r="BF64" s="388">
        <f t="shared" si="4"/>
        <v>0</v>
      </c>
      <c r="BG64" s="388">
        <f t="shared" si="5"/>
        <v>0</v>
      </c>
      <c r="BH64" s="388">
        <f t="shared" si="6"/>
        <v>0</v>
      </c>
      <c r="BI64" s="388">
        <f t="shared" si="7"/>
        <v>0</v>
      </c>
      <c r="BJ64" s="388">
        <f t="shared" si="8"/>
        <v>0</v>
      </c>
      <c r="BK64" s="388">
        <f t="shared" si="9"/>
        <v>0</v>
      </c>
      <c r="BL64" s="388">
        <f t="shared" si="32"/>
        <v>0</v>
      </c>
      <c r="BM64" s="388">
        <f t="shared" si="33"/>
        <v>0</v>
      </c>
      <c r="BN64" s="388">
        <f t="shared" si="10"/>
        <v>0</v>
      </c>
      <c r="BO64" s="388">
        <f t="shared" si="11"/>
        <v>0</v>
      </c>
      <c r="BP64" s="388">
        <f t="shared" si="12"/>
        <v>0</v>
      </c>
      <c r="BQ64" s="388">
        <f t="shared" si="13"/>
        <v>0</v>
      </c>
      <c r="BR64" s="388">
        <f t="shared" si="14"/>
        <v>0</v>
      </c>
      <c r="BS64" s="388">
        <f t="shared" si="15"/>
        <v>0</v>
      </c>
      <c r="BT64" s="388">
        <f t="shared" si="16"/>
        <v>0</v>
      </c>
      <c r="BU64" s="388">
        <f t="shared" si="17"/>
        <v>0</v>
      </c>
      <c r="BV64" s="388">
        <f t="shared" si="18"/>
        <v>0</v>
      </c>
      <c r="BW64" s="388">
        <f t="shared" si="19"/>
        <v>0</v>
      </c>
      <c r="BX64" s="388">
        <f t="shared" si="34"/>
        <v>0</v>
      </c>
      <c r="BY64" s="388">
        <f t="shared" si="35"/>
        <v>0</v>
      </c>
      <c r="BZ64" s="388">
        <f t="shared" si="36"/>
        <v>0</v>
      </c>
      <c r="CA64" s="388">
        <f t="shared" si="37"/>
        <v>0</v>
      </c>
      <c r="CB64" s="388">
        <f t="shared" si="38"/>
        <v>0</v>
      </c>
      <c r="CC64" s="388">
        <f t="shared" si="20"/>
        <v>0</v>
      </c>
      <c r="CD64" s="388">
        <f t="shared" si="21"/>
        <v>0</v>
      </c>
      <c r="CE64" s="388">
        <f t="shared" si="22"/>
        <v>0</v>
      </c>
      <c r="CF64" s="388">
        <f t="shared" si="23"/>
        <v>0</v>
      </c>
      <c r="CG64" s="388">
        <f t="shared" si="24"/>
        <v>0</v>
      </c>
      <c r="CH64" s="388">
        <f t="shared" si="25"/>
        <v>0</v>
      </c>
      <c r="CI64" s="388">
        <f t="shared" si="26"/>
        <v>0</v>
      </c>
      <c r="CJ64" s="388">
        <f t="shared" si="39"/>
        <v>0</v>
      </c>
      <c r="CK64" s="388" t="str">
        <f t="shared" si="40"/>
        <v/>
      </c>
      <c r="CL64" s="388" t="str">
        <f t="shared" si="41"/>
        <v/>
      </c>
      <c r="CM64" s="388" t="str">
        <f t="shared" si="42"/>
        <v/>
      </c>
      <c r="CN64" s="388" t="str">
        <f t="shared" si="43"/>
        <v>0001-00</v>
      </c>
    </row>
    <row r="65" spans="1:92" ht="15.75" thickBot="1" x14ac:dyDescent="0.3">
      <c r="A65" s="377" t="s">
        <v>162</v>
      </c>
      <c r="B65" s="377" t="s">
        <v>163</v>
      </c>
      <c r="C65" s="377" t="s">
        <v>445</v>
      </c>
      <c r="D65" s="377" t="s">
        <v>300</v>
      </c>
      <c r="E65" s="377" t="s">
        <v>265</v>
      </c>
      <c r="F65" s="378" t="s">
        <v>167</v>
      </c>
      <c r="G65" s="377" t="s">
        <v>439</v>
      </c>
      <c r="H65" s="379"/>
      <c r="I65" s="379"/>
      <c r="J65" s="377" t="s">
        <v>169</v>
      </c>
      <c r="K65" s="377" t="s">
        <v>301</v>
      </c>
      <c r="L65" s="377" t="s">
        <v>167</v>
      </c>
      <c r="M65" s="377" t="s">
        <v>172</v>
      </c>
      <c r="N65" s="377" t="s">
        <v>173</v>
      </c>
      <c r="O65" s="380">
        <v>1</v>
      </c>
      <c r="P65" s="386">
        <v>0.5</v>
      </c>
      <c r="Q65" s="386">
        <v>0.5</v>
      </c>
      <c r="R65" s="381">
        <v>80</v>
      </c>
      <c r="S65" s="386">
        <v>0.5</v>
      </c>
      <c r="T65" s="381">
        <v>37429.82</v>
      </c>
      <c r="U65" s="381">
        <v>0</v>
      </c>
      <c r="V65" s="381">
        <v>13771.18</v>
      </c>
      <c r="W65" s="381">
        <v>36452</v>
      </c>
      <c r="X65" s="381">
        <v>13781.33</v>
      </c>
      <c r="Y65" s="381">
        <v>36452</v>
      </c>
      <c r="Z65" s="381">
        <v>14143.87</v>
      </c>
      <c r="AA65" s="377" t="s">
        <v>446</v>
      </c>
      <c r="AB65" s="377" t="s">
        <v>447</v>
      </c>
      <c r="AC65" s="377" t="s">
        <v>448</v>
      </c>
      <c r="AD65" s="377" t="s">
        <v>449</v>
      </c>
      <c r="AE65" s="377" t="s">
        <v>301</v>
      </c>
      <c r="AF65" s="377" t="s">
        <v>207</v>
      </c>
      <c r="AG65" s="377" t="s">
        <v>179</v>
      </c>
      <c r="AH65" s="382">
        <v>35.049999999999997</v>
      </c>
      <c r="AI65" s="382">
        <v>6968.1</v>
      </c>
      <c r="AJ65" s="377" t="s">
        <v>180</v>
      </c>
      <c r="AK65" s="377" t="s">
        <v>181</v>
      </c>
      <c r="AL65" s="377" t="s">
        <v>182</v>
      </c>
      <c r="AM65" s="377" t="s">
        <v>183</v>
      </c>
      <c r="AN65" s="377" t="s">
        <v>66</v>
      </c>
      <c r="AO65" s="380">
        <v>80</v>
      </c>
      <c r="AP65" s="386">
        <v>1</v>
      </c>
      <c r="AQ65" s="386">
        <v>0.5</v>
      </c>
      <c r="AR65" s="384" t="s">
        <v>184</v>
      </c>
      <c r="AS65" s="388">
        <f t="shared" si="27"/>
        <v>0.5</v>
      </c>
      <c r="AT65">
        <f t="shared" si="28"/>
        <v>1</v>
      </c>
      <c r="AU65" s="388">
        <f>IF(AT65=0,"",IF(AND(AT65=1,M65="F",SUMIF(C2:C258,C65,AS2:AS258)&lt;=1),SUMIF(C2:C258,C65,AS2:AS258),IF(AND(AT65=1,M65="F",SUMIF(C2:C258,C65,AS2:AS258)&gt;1),1,"")))</f>
        <v>1</v>
      </c>
      <c r="AV65" s="388" t="str">
        <f>IF(AT65=0,"",IF(AND(AT65=3,M65="F",SUMIF(C2:C258,C65,AS2:AS258)&lt;=1),SUMIF(C2:C258,C65,AS2:AS258),IF(AND(AT65=3,M65="F",SUMIF(C2:C258,C65,AS2:AS258)&gt;1),1,"")))</f>
        <v/>
      </c>
      <c r="AW65" s="388">
        <f>SUMIF(C2:C258,C65,O2:O258)</f>
        <v>2</v>
      </c>
      <c r="AX65" s="388">
        <f>IF(AND(M65="F",AS65&lt;&gt;0),SUMIF(C2:C258,C65,W2:W258),0)</f>
        <v>72904</v>
      </c>
      <c r="AY65" s="388">
        <f t="shared" si="29"/>
        <v>36452</v>
      </c>
      <c r="AZ65" s="388" t="str">
        <f t="shared" si="30"/>
        <v/>
      </c>
      <c r="BA65" s="388">
        <f t="shared" si="31"/>
        <v>0</v>
      </c>
      <c r="BB65" s="388">
        <f t="shared" si="0"/>
        <v>6250</v>
      </c>
      <c r="BC65" s="388">
        <f t="shared" si="1"/>
        <v>0</v>
      </c>
      <c r="BD65" s="388">
        <f t="shared" si="2"/>
        <v>2260.0239999999999</v>
      </c>
      <c r="BE65" s="388">
        <f t="shared" si="3"/>
        <v>528.55399999999997</v>
      </c>
      <c r="BF65" s="388">
        <f t="shared" si="4"/>
        <v>4352.3688000000002</v>
      </c>
      <c r="BG65" s="388">
        <f t="shared" si="5"/>
        <v>262.81891999999999</v>
      </c>
      <c r="BH65" s="388">
        <f t="shared" si="6"/>
        <v>0</v>
      </c>
      <c r="BI65" s="388">
        <f t="shared" si="7"/>
        <v>0</v>
      </c>
      <c r="BJ65" s="388">
        <f t="shared" si="8"/>
        <v>127.58200000000001</v>
      </c>
      <c r="BK65" s="388">
        <f t="shared" si="9"/>
        <v>0</v>
      </c>
      <c r="BL65" s="388">
        <f t="shared" si="32"/>
        <v>7531.3477199999998</v>
      </c>
      <c r="BM65" s="388">
        <f t="shared" si="33"/>
        <v>0</v>
      </c>
      <c r="BN65" s="388">
        <f t="shared" si="10"/>
        <v>6875</v>
      </c>
      <c r="BO65" s="388">
        <f t="shared" si="11"/>
        <v>0</v>
      </c>
      <c r="BP65" s="388">
        <f t="shared" si="12"/>
        <v>2260.0239999999999</v>
      </c>
      <c r="BQ65" s="388">
        <f t="shared" si="13"/>
        <v>528.55399999999997</v>
      </c>
      <c r="BR65" s="388">
        <f t="shared" si="14"/>
        <v>4075.3335999999999</v>
      </c>
      <c r="BS65" s="388">
        <f t="shared" si="15"/>
        <v>262.81891999999999</v>
      </c>
      <c r="BT65" s="388">
        <f t="shared" si="16"/>
        <v>0</v>
      </c>
      <c r="BU65" s="388">
        <f t="shared" si="17"/>
        <v>0</v>
      </c>
      <c r="BV65" s="388">
        <f t="shared" si="18"/>
        <v>142.1628</v>
      </c>
      <c r="BW65" s="388">
        <f t="shared" si="19"/>
        <v>0</v>
      </c>
      <c r="BX65" s="388">
        <f t="shared" si="34"/>
        <v>7268.8933199999992</v>
      </c>
      <c r="BY65" s="388">
        <f t="shared" si="35"/>
        <v>0</v>
      </c>
      <c r="BZ65" s="388">
        <f t="shared" si="36"/>
        <v>625</v>
      </c>
      <c r="CA65" s="388">
        <f t="shared" si="37"/>
        <v>0</v>
      </c>
      <c r="CB65" s="388">
        <f t="shared" si="38"/>
        <v>0</v>
      </c>
      <c r="CC65" s="388">
        <f t="shared" si="20"/>
        <v>0</v>
      </c>
      <c r="CD65" s="388">
        <f t="shared" si="21"/>
        <v>-277.03520000000037</v>
      </c>
      <c r="CE65" s="388">
        <f t="shared" si="22"/>
        <v>0</v>
      </c>
      <c r="CF65" s="388">
        <f t="shared" si="23"/>
        <v>0</v>
      </c>
      <c r="CG65" s="388">
        <f t="shared" si="24"/>
        <v>0</v>
      </c>
      <c r="CH65" s="388">
        <f t="shared" si="25"/>
        <v>14.580799999999991</v>
      </c>
      <c r="CI65" s="388">
        <f t="shared" si="26"/>
        <v>0</v>
      </c>
      <c r="CJ65" s="388">
        <f t="shared" si="39"/>
        <v>-262.45440000000036</v>
      </c>
      <c r="CK65" s="388" t="str">
        <f t="shared" si="40"/>
        <v/>
      </c>
      <c r="CL65" s="388" t="str">
        <f t="shared" si="41"/>
        <v/>
      </c>
      <c r="CM65" s="388" t="str">
        <f t="shared" si="42"/>
        <v/>
      </c>
      <c r="CN65" s="388" t="str">
        <f t="shared" si="43"/>
        <v>0001-00</v>
      </c>
    </row>
    <row r="66" spans="1:92" ht="15.75" thickBot="1" x14ac:dyDescent="0.3">
      <c r="A66" s="377" t="s">
        <v>162</v>
      </c>
      <c r="B66" s="377" t="s">
        <v>163</v>
      </c>
      <c r="C66" s="377" t="s">
        <v>450</v>
      </c>
      <c r="D66" s="377" t="s">
        <v>300</v>
      </c>
      <c r="E66" s="377" t="s">
        <v>265</v>
      </c>
      <c r="F66" s="378" t="s">
        <v>167</v>
      </c>
      <c r="G66" s="377" t="s">
        <v>439</v>
      </c>
      <c r="H66" s="379"/>
      <c r="I66" s="379"/>
      <c r="J66" s="377" t="s">
        <v>219</v>
      </c>
      <c r="K66" s="377" t="s">
        <v>301</v>
      </c>
      <c r="L66" s="377" t="s">
        <v>167</v>
      </c>
      <c r="M66" s="377" t="s">
        <v>172</v>
      </c>
      <c r="N66" s="377" t="s">
        <v>173</v>
      </c>
      <c r="O66" s="380">
        <v>1</v>
      </c>
      <c r="P66" s="386">
        <v>1</v>
      </c>
      <c r="Q66" s="386">
        <v>1</v>
      </c>
      <c r="R66" s="381">
        <v>80</v>
      </c>
      <c r="S66" s="386">
        <v>1</v>
      </c>
      <c r="T66" s="381">
        <v>96809.74</v>
      </c>
      <c r="U66" s="381">
        <v>0</v>
      </c>
      <c r="V66" s="381">
        <v>31898.1</v>
      </c>
      <c r="W66" s="381">
        <v>95763.199999999997</v>
      </c>
      <c r="X66" s="381">
        <v>32285.61</v>
      </c>
      <c r="Y66" s="381">
        <v>95763.199999999997</v>
      </c>
      <c r="Z66" s="381">
        <v>32846.11</v>
      </c>
      <c r="AA66" s="377" t="s">
        <v>451</v>
      </c>
      <c r="AB66" s="377" t="s">
        <v>452</v>
      </c>
      <c r="AC66" s="377" t="s">
        <v>372</v>
      </c>
      <c r="AD66" s="377" t="s">
        <v>453</v>
      </c>
      <c r="AE66" s="377" t="s">
        <v>301</v>
      </c>
      <c r="AF66" s="377" t="s">
        <v>207</v>
      </c>
      <c r="AG66" s="377" t="s">
        <v>179</v>
      </c>
      <c r="AH66" s="382">
        <v>46.04</v>
      </c>
      <c r="AI66" s="382">
        <v>37333.5</v>
      </c>
      <c r="AJ66" s="377" t="s">
        <v>180</v>
      </c>
      <c r="AK66" s="377" t="s">
        <v>181</v>
      </c>
      <c r="AL66" s="377" t="s">
        <v>182</v>
      </c>
      <c r="AM66" s="377" t="s">
        <v>183</v>
      </c>
      <c r="AN66" s="377" t="s">
        <v>66</v>
      </c>
      <c r="AO66" s="380">
        <v>80</v>
      </c>
      <c r="AP66" s="386">
        <v>1</v>
      </c>
      <c r="AQ66" s="386">
        <v>1</v>
      </c>
      <c r="AR66" s="384" t="s">
        <v>184</v>
      </c>
      <c r="AS66" s="388">
        <f t="shared" si="27"/>
        <v>1</v>
      </c>
      <c r="AT66">
        <f t="shared" si="28"/>
        <v>1</v>
      </c>
      <c r="AU66" s="388">
        <f>IF(AT66=0,"",IF(AND(AT66=1,M66="F",SUMIF(C2:C258,C66,AS2:AS258)&lt;=1),SUMIF(C2:C258,C66,AS2:AS258),IF(AND(AT66=1,M66="F",SUMIF(C2:C258,C66,AS2:AS258)&gt;1),1,"")))</f>
        <v>1</v>
      </c>
      <c r="AV66" s="388" t="str">
        <f>IF(AT66=0,"",IF(AND(AT66=3,M66="F",SUMIF(C2:C258,C66,AS2:AS258)&lt;=1),SUMIF(C2:C258,C66,AS2:AS258),IF(AND(AT66=3,M66="F",SUMIF(C2:C258,C66,AS2:AS258)&gt;1),1,"")))</f>
        <v/>
      </c>
      <c r="AW66" s="388">
        <f>SUMIF(C2:C258,C66,O2:O258)</f>
        <v>1</v>
      </c>
      <c r="AX66" s="388">
        <f>IF(AND(M66="F",AS66&lt;&gt;0),SUMIF(C2:C258,C66,W2:W258),0)</f>
        <v>95763.199999999997</v>
      </c>
      <c r="AY66" s="388">
        <f t="shared" si="29"/>
        <v>95763.199999999997</v>
      </c>
      <c r="AZ66" s="388" t="str">
        <f t="shared" si="30"/>
        <v/>
      </c>
      <c r="BA66" s="388">
        <f t="shared" si="31"/>
        <v>0</v>
      </c>
      <c r="BB66" s="388">
        <f t="shared" ref="BB66:BB129" si="44">IF(AND(AT66=1,AK66="E",AU66&gt;=0.75,AW66=1),Health,IF(AND(AT66=1,AK66="E",AU66&gt;=0.75),Health*P66,IF(AND(AT66=1,AK66="E",AU66&gt;=0.5,AW66=1),PTHealth,IF(AND(AT66=1,AK66="E",AU66&gt;=0.5),PTHealth*P66,0))))</f>
        <v>12500</v>
      </c>
      <c r="BC66" s="388">
        <f t="shared" ref="BC66:BC129" si="45">IF(AND(AT66=3,AK66="E",AV66&gt;=0.75,AW66=1),Health,IF(AND(AT66=3,AK66="E",AV66&gt;=0.75),Health*P66,IF(AND(AT66=3,AK66="E",AV66&gt;=0.5,AW66=1),PTHealth,IF(AND(AT66=3,AK66="E",AV66&gt;=0.5),PTHealth*P66,0))))</f>
        <v>0</v>
      </c>
      <c r="BD66" s="388">
        <f t="shared" ref="BD66:BD129" si="46">IF(AND(AT66&lt;&gt;0,AX66&gt;=MAXSSDI),SSDI*MAXSSDI*P66,IF(AT66&lt;&gt;0,SSDI*W66,0))</f>
        <v>5937.3184000000001</v>
      </c>
      <c r="BE66" s="388">
        <f t="shared" ref="BE66:BE129" si="47">IF(AT66&lt;&gt;0,SSHI*W66,0)</f>
        <v>1388.5663999999999</v>
      </c>
      <c r="BF66" s="388">
        <f t="shared" ref="BF66:BF129" si="48">IF(AND(AT66&lt;&gt;0,AN66&lt;&gt;"NE"),VLOOKUP(AN66,Retirement_Rates,3,FALSE)*W66,0)</f>
        <v>11434.12608</v>
      </c>
      <c r="BG66" s="388">
        <f t="shared" ref="BG66:BG129" si="49">IF(AND(AT66&lt;&gt;0,AJ66&lt;&gt;"PF"),Life*W66,0)</f>
        <v>690.45267200000001</v>
      </c>
      <c r="BH66" s="388">
        <f t="shared" ref="BH66:BH129" si="50">IF(AND(AT66&lt;&gt;0,AM66="Y"),UI*W66,0)</f>
        <v>0</v>
      </c>
      <c r="BI66" s="388">
        <f t="shared" ref="BI66:BI129" si="51">IF(AND(AT66&lt;&gt;0,N66&lt;&gt;"NR"),DHR*W66,0)</f>
        <v>0</v>
      </c>
      <c r="BJ66" s="388">
        <f t="shared" ref="BJ66:BJ129" si="52">IF(AT66&lt;&gt;0,WC*W66,0)</f>
        <v>335.1712</v>
      </c>
      <c r="BK66" s="388">
        <f t="shared" ref="BK66:BK129" si="53">IF(OR(AND(AT66&lt;&gt;0,AJ66&lt;&gt;"PF",AN66&lt;&gt;"NE",AG66&lt;&gt;"A"),AND(AL66="E",OR(AT66=1,AT66=3))),Sick*W66,0)</f>
        <v>0</v>
      </c>
      <c r="BL66" s="388">
        <f t="shared" si="32"/>
        <v>19785.634752000002</v>
      </c>
      <c r="BM66" s="388">
        <f t="shared" si="33"/>
        <v>0</v>
      </c>
      <c r="BN66" s="388">
        <f t="shared" ref="BN66:BN129" si="54">IF(AND(AT66=1,AK66="E",AU66&gt;=0.75,AW66=1),HealthBY,IF(AND(AT66=1,AK66="E",AU66&gt;=0.75),HealthBY*P66,IF(AND(AT66=1,AK66="E",AU66&gt;=0.5,AW66=1),PTHealthBY,IF(AND(AT66=1,AK66="E",AU66&gt;=0.5),PTHealthBY*P66,0))))</f>
        <v>13750</v>
      </c>
      <c r="BO66" s="388">
        <f t="shared" ref="BO66:BO129" si="55">IF(AND(AT66=3,AK66="E",AV66&gt;=0.75,AW66=1),HealthBY,IF(AND(AT66=3,AK66="E",AV66&gt;=0.75),HealthBY*P66,IF(AND(AT66=3,AK66="E",AV66&gt;=0.5,AW66=1),PTHealthBY,IF(AND(AT66=3,AK66="E",AV66&gt;=0.5),PTHealthBY*P66,0))))</f>
        <v>0</v>
      </c>
      <c r="BP66" s="388">
        <f t="shared" ref="BP66:BP129" si="56">IF(AND(AT66&lt;&gt;0,(AX66+BA66)&gt;=MAXSSDIBY),SSDIBY*MAXSSDIBY*P66,IF(AT66&lt;&gt;0,SSDIBY*W66,0))</f>
        <v>5937.3184000000001</v>
      </c>
      <c r="BQ66" s="388">
        <f t="shared" ref="BQ66:BQ129" si="57">IF(AT66&lt;&gt;0,SSHIBY*W66,0)</f>
        <v>1388.5663999999999</v>
      </c>
      <c r="BR66" s="388">
        <f t="shared" ref="BR66:BR129" si="58">IF(AND(AT66&lt;&gt;0,AN66&lt;&gt;"NE"),VLOOKUP(AN66,Retirement_Rates,4,FALSE)*W66,0)</f>
        <v>10706.32576</v>
      </c>
      <c r="BS66" s="388">
        <f t="shared" ref="BS66:BS129" si="59">IF(AND(AT66&lt;&gt;0,AJ66&lt;&gt;"PF"),LifeBY*W66,0)</f>
        <v>690.45267200000001</v>
      </c>
      <c r="BT66" s="388">
        <f t="shared" ref="BT66:BT129" si="60">IF(AND(AT66&lt;&gt;0,AM66="Y"),UIBY*W66,0)</f>
        <v>0</v>
      </c>
      <c r="BU66" s="388">
        <f t="shared" ref="BU66:BU129" si="61">IF(AND(AT66&lt;&gt;0,N66&lt;&gt;"NR"),DHRBY*W66,0)</f>
        <v>0</v>
      </c>
      <c r="BV66" s="388">
        <f t="shared" ref="BV66:BV129" si="62">IF(AT66&lt;&gt;0,WCBY*W66,0)</f>
        <v>373.47647999999998</v>
      </c>
      <c r="BW66" s="388">
        <f t="shared" ref="BW66:BW129" si="63">IF(OR(AND(AT66&lt;&gt;0,AJ66&lt;&gt;"PF",AN66&lt;&gt;"NE",AG66&lt;&gt;"A"),AND(AL66="E",OR(AT66=1,AT66=3))),SickBY*W66,0)</f>
        <v>0</v>
      </c>
      <c r="BX66" s="388">
        <f t="shared" si="34"/>
        <v>19096.139712</v>
      </c>
      <c r="BY66" s="388">
        <f t="shared" si="35"/>
        <v>0</v>
      </c>
      <c r="BZ66" s="388">
        <f t="shared" si="36"/>
        <v>1250</v>
      </c>
      <c r="CA66" s="388">
        <f t="shared" si="37"/>
        <v>0</v>
      </c>
      <c r="CB66" s="388">
        <f t="shared" si="38"/>
        <v>0</v>
      </c>
      <c r="CC66" s="388">
        <f t="shared" ref="CC66:CC129" si="64">IF(AT66&lt;&gt;0,SSHICHG*Y66,0)</f>
        <v>0</v>
      </c>
      <c r="CD66" s="388">
        <f t="shared" ref="CD66:CD129" si="65">IF(AND(AT66&lt;&gt;0,AN66&lt;&gt;"NE"),VLOOKUP(AN66,Retirement_Rates,5,FALSE)*Y66,0)</f>
        <v>-727.80032000000085</v>
      </c>
      <c r="CE66" s="388">
        <f t="shared" ref="CE66:CE129" si="66">IF(AND(AT66&lt;&gt;0,AJ66&lt;&gt;"PF"),LifeCHG*Y66,0)</f>
        <v>0</v>
      </c>
      <c r="CF66" s="388">
        <f t="shared" ref="CF66:CF129" si="67">IF(AND(AT66&lt;&gt;0,AM66="Y"),UICHG*Y66,0)</f>
        <v>0</v>
      </c>
      <c r="CG66" s="388">
        <f t="shared" ref="CG66:CG129" si="68">IF(AND(AT66&lt;&gt;0,N66&lt;&gt;"NR"),DHRCHG*Y66,0)</f>
        <v>0</v>
      </c>
      <c r="CH66" s="388">
        <f t="shared" ref="CH66:CH129" si="69">IF(AT66&lt;&gt;0,WCCHG*Y66,0)</f>
        <v>38.305279999999975</v>
      </c>
      <c r="CI66" s="388">
        <f t="shared" ref="CI66:CI129" si="70">IF(OR(AND(AT66&lt;&gt;0,AJ66&lt;&gt;"PF",AN66&lt;&gt;"NE",AG66&lt;&gt;"A"),AND(AL66="E",OR(AT66=1,AT66=3))),SickCHG*Y66,0)</f>
        <v>0</v>
      </c>
      <c r="CJ66" s="388">
        <f t="shared" si="39"/>
        <v>-689.49504000000093</v>
      </c>
      <c r="CK66" s="388" t="str">
        <f t="shared" si="40"/>
        <v/>
      </c>
      <c r="CL66" s="388" t="str">
        <f t="shared" si="41"/>
        <v/>
      </c>
      <c r="CM66" s="388" t="str">
        <f t="shared" si="42"/>
        <v/>
      </c>
      <c r="CN66" s="388" t="str">
        <f t="shared" si="43"/>
        <v>0001-00</v>
      </c>
    </row>
    <row r="67" spans="1:92" ht="15.75" thickBot="1" x14ac:dyDescent="0.3">
      <c r="A67" s="377" t="s">
        <v>162</v>
      </c>
      <c r="B67" s="377" t="s">
        <v>163</v>
      </c>
      <c r="C67" s="377" t="s">
        <v>454</v>
      </c>
      <c r="D67" s="377" t="s">
        <v>300</v>
      </c>
      <c r="E67" s="377" t="s">
        <v>265</v>
      </c>
      <c r="F67" s="378" t="s">
        <v>167</v>
      </c>
      <c r="G67" s="377" t="s">
        <v>439</v>
      </c>
      <c r="H67" s="379"/>
      <c r="I67" s="379"/>
      <c r="J67" s="377" t="s">
        <v>219</v>
      </c>
      <c r="K67" s="377" t="s">
        <v>301</v>
      </c>
      <c r="L67" s="377" t="s">
        <v>167</v>
      </c>
      <c r="M67" s="377" t="s">
        <v>172</v>
      </c>
      <c r="N67" s="377" t="s">
        <v>173</v>
      </c>
      <c r="O67" s="380">
        <v>1</v>
      </c>
      <c r="P67" s="386">
        <v>1</v>
      </c>
      <c r="Q67" s="386">
        <v>1</v>
      </c>
      <c r="R67" s="381">
        <v>80</v>
      </c>
      <c r="S67" s="386">
        <v>1</v>
      </c>
      <c r="T67" s="381">
        <v>69454.42</v>
      </c>
      <c r="U67" s="381">
        <v>0</v>
      </c>
      <c r="V67" s="381">
        <v>26254.84</v>
      </c>
      <c r="W67" s="381">
        <v>68702.399999999994</v>
      </c>
      <c r="X67" s="381">
        <v>26694.57</v>
      </c>
      <c r="Y67" s="381">
        <v>68702.399999999994</v>
      </c>
      <c r="Z67" s="381">
        <v>27449.91</v>
      </c>
      <c r="AA67" s="377" t="s">
        <v>455</v>
      </c>
      <c r="AB67" s="377" t="s">
        <v>456</v>
      </c>
      <c r="AC67" s="377" t="s">
        <v>359</v>
      </c>
      <c r="AD67" s="377" t="s">
        <v>457</v>
      </c>
      <c r="AE67" s="377" t="s">
        <v>301</v>
      </c>
      <c r="AF67" s="377" t="s">
        <v>207</v>
      </c>
      <c r="AG67" s="377" t="s">
        <v>179</v>
      </c>
      <c r="AH67" s="382">
        <v>33.03</v>
      </c>
      <c r="AI67" s="380">
        <v>24641</v>
      </c>
      <c r="AJ67" s="377" t="s">
        <v>180</v>
      </c>
      <c r="AK67" s="377" t="s">
        <v>181</v>
      </c>
      <c r="AL67" s="377" t="s">
        <v>182</v>
      </c>
      <c r="AM67" s="377" t="s">
        <v>183</v>
      </c>
      <c r="AN67" s="377" t="s">
        <v>66</v>
      </c>
      <c r="AO67" s="380">
        <v>80</v>
      </c>
      <c r="AP67" s="386">
        <v>1</v>
      </c>
      <c r="AQ67" s="386">
        <v>1</v>
      </c>
      <c r="AR67" s="384" t="s">
        <v>184</v>
      </c>
      <c r="AS67" s="388">
        <f t="shared" ref="AS67:AS130" si="71">IF(((AO67/80)*AP67*P67)&gt;1,AQ67,((AO67/80)*AP67*P67))</f>
        <v>1</v>
      </c>
      <c r="AT67">
        <f t="shared" ref="AT67:AT130" si="72">IF(AND(M67="F",N67&lt;&gt;"NG",AS67&lt;&gt;0,AND(AR67&lt;&gt;6,AR67&lt;&gt;36,AR67&lt;&gt;56),AG67&lt;&gt;"A",OR(AG67="H",AJ67="FS")),1,IF(AND(M67="F",N67&lt;&gt;"NG",AS67&lt;&gt;0,AG67="A"),3,0))</f>
        <v>1</v>
      </c>
      <c r="AU67" s="388">
        <f>IF(AT67=0,"",IF(AND(AT67=1,M67="F",SUMIF(C2:C258,C67,AS2:AS258)&lt;=1),SUMIF(C2:C258,C67,AS2:AS258),IF(AND(AT67=1,M67="F",SUMIF(C2:C258,C67,AS2:AS258)&gt;1),1,"")))</f>
        <v>1</v>
      </c>
      <c r="AV67" s="388" t="str">
        <f>IF(AT67=0,"",IF(AND(AT67=3,M67="F",SUMIF(C2:C258,C67,AS2:AS258)&lt;=1),SUMIF(C2:C258,C67,AS2:AS258),IF(AND(AT67=3,M67="F",SUMIF(C2:C258,C67,AS2:AS258)&gt;1),1,"")))</f>
        <v/>
      </c>
      <c r="AW67" s="388">
        <f>SUMIF(C2:C258,C67,O2:O258)</f>
        <v>1</v>
      </c>
      <c r="AX67" s="388">
        <f>IF(AND(M67="F",AS67&lt;&gt;0),SUMIF(C2:C258,C67,W2:W258),0)</f>
        <v>68702.399999999994</v>
      </c>
      <c r="AY67" s="388">
        <f t="shared" ref="AY67:AY130" si="73">IF(AT67=1,W67,"")</f>
        <v>68702.399999999994</v>
      </c>
      <c r="AZ67" s="388" t="str">
        <f t="shared" ref="AZ67:AZ130" si="74">IF(AT67=3,W67,"")</f>
        <v/>
      </c>
      <c r="BA67" s="388">
        <f t="shared" ref="BA67:BA130" si="75">IF(AT67=1,Y67-W67,0)</f>
        <v>0</v>
      </c>
      <c r="BB67" s="388">
        <f t="shared" si="44"/>
        <v>12500</v>
      </c>
      <c r="BC67" s="388">
        <f t="shared" si="45"/>
        <v>0</v>
      </c>
      <c r="BD67" s="388">
        <f t="shared" si="46"/>
        <v>4259.5487999999996</v>
      </c>
      <c r="BE67" s="388">
        <f t="shared" si="47"/>
        <v>996.1848</v>
      </c>
      <c r="BF67" s="388">
        <f t="shared" si="48"/>
        <v>8203.0665599999993</v>
      </c>
      <c r="BG67" s="388">
        <f t="shared" si="49"/>
        <v>495.34430399999997</v>
      </c>
      <c r="BH67" s="388">
        <f t="shared" si="50"/>
        <v>0</v>
      </c>
      <c r="BI67" s="388">
        <f t="shared" si="51"/>
        <v>0</v>
      </c>
      <c r="BJ67" s="388">
        <f t="shared" si="52"/>
        <v>240.45839999999998</v>
      </c>
      <c r="BK67" s="388">
        <f t="shared" si="53"/>
        <v>0</v>
      </c>
      <c r="BL67" s="388">
        <f t="shared" ref="BL67:BL130" si="76">IF(AT67=1,SUM(BD67:BK67),0)</f>
        <v>14194.602863999999</v>
      </c>
      <c r="BM67" s="388">
        <f t="shared" ref="BM67:BM130" si="77">IF(AT67=3,SUM(BD67:BK67),0)</f>
        <v>0</v>
      </c>
      <c r="BN67" s="388">
        <f t="shared" si="54"/>
        <v>13750</v>
      </c>
      <c r="BO67" s="388">
        <f t="shared" si="55"/>
        <v>0</v>
      </c>
      <c r="BP67" s="388">
        <f t="shared" si="56"/>
        <v>4259.5487999999996</v>
      </c>
      <c r="BQ67" s="388">
        <f t="shared" si="57"/>
        <v>996.1848</v>
      </c>
      <c r="BR67" s="388">
        <f t="shared" si="58"/>
        <v>7680.9283199999991</v>
      </c>
      <c r="BS67" s="388">
        <f t="shared" si="59"/>
        <v>495.34430399999997</v>
      </c>
      <c r="BT67" s="388">
        <f t="shared" si="60"/>
        <v>0</v>
      </c>
      <c r="BU67" s="388">
        <f t="shared" si="61"/>
        <v>0</v>
      </c>
      <c r="BV67" s="388">
        <f t="shared" si="62"/>
        <v>267.93935999999997</v>
      </c>
      <c r="BW67" s="388">
        <f t="shared" si="63"/>
        <v>0</v>
      </c>
      <c r="BX67" s="388">
        <f t="shared" ref="BX67:BX130" si="78">IF(AT67=1,SUM(BP67:BW67),0)</f>
        <v>13699.945583999999</v>
      </c>
      <c r="BY67" s="388">
        <f t="shared" ref="BY67:BY130" si="79">IF(AT67=3,SUM(BP67:BW67),0)</f>
        <v>0</v>
      </c>
      <c r="BZ67" s="388">
        <f t="shared" ref="BZ67:BZ130" si="80">IF(AT67=1,BN67-BB67,0)</f>
        <v>1250</v>
      </c>
      <c r="CA67" s="388">
        <f t="shared" ref="CA67:CA130" si="81">IF(AT67=3,BO67-BC67,0)</f>
        <v>0</v>
      </c>
      <c r="CB67" s="388">
        <f t="shared" ref="CB67:CB130" si="82">BP67-BD67</f>
        <v>0</v>
      </c>
      <c r="CC67" s="388">
        <f t="shared" si="64"/>
        <v>0</v>
      </c>
      <c r="CD67" s="388">
        <f t="shared" si="65"/>
        <v>-522.13824000000056</v>
      </c>
      <c r="CE67" s="388">
        <f t="shared" si="66"/>
        <v>0</v>
      </c>
      <c r="CF67" s="388">
        <f t="shared" si="67"/>
        <v>0</v>
      </c>
      <c r="CG67" s="388">
        <f t="shared" si="68"/>
        <v>0</v>
      </c>
      <c r="CH67" s="388">
        <f t="shared" si="69"/>
        <v>27.480959999999982</v>
      </c>
      <c r="CI67" s="388">
        <f t="shared" si="70"/>
        <v>0</v>
      </c>
      <c r="CJ67" s="388">
        <f t="shared" ref="CJ67:CJ130" si="83">IF(AT67=1,SUM(CB67:CI67),0)</f>
        <v>-494.65728000000058</v>
      </c>
      <c r="CK67" s="388" t="str">
        <f t="shared" ref="CK67:CK130" si="84">IF(AT67=3,SUM(CB67:CI67),"")</f>
        <v/>
      </c>
      <c r="CL67" s="388" t="str">
        <f t="shared" ref="CL67:CL130" si="85">IF(OR(N67="NG",AG67="D"),(T67+U67),"")</f>
        <v/>
      </c>
      <c r="CM67" s="388" t="str">
        <f t="shared" ref="CM67:CM130" si="86">IF(OR(N67="NG",AG67="D"),V67,"")</f>
        <v/>
      </c>
      <c r="CN67" s="388" t="str">
        <f t="shared" ref="CN67:CN130" si="87">E67 &amp; "-" &amp; F67</f>
        <v>0001-00</v>
      </c>
    </row>
    <row r="68" spans="1:92" ht="15.75" thickBot="1" x14ac:dyDescent="0.3">
      <c r="A68" s="377" t="s">
        <v>162</v>
      </c>
      <c r="B68" s="377" t="s">
        <v>163</v>
      </c>
      <c r="C68" s="377" t="s">
        <v>458</v>
      </c>
      <c r="D68" s="377" t="s">
        <v>300</v>
      </c>
      <c r="E68" s="377" t="s">
        <v>265</v>
      </c>
      <c r="F68" s="378" t="s">
        <v>167</v>
      </c>
      <c r="G68" s="377" t="s">
        <v>439</v>
      </c>
      <c r="H68" s="379"/>
      <c r="I68" s="379"/>
      <c r="J68" s="377" t="s">
        <v>219</v>
      </c>
      <c r="K68" s="377" t="s">
        <v>301</v>
      </c>
      <c r="L68" s="377" t="s">
        <v>167</v>
      </c>
      <c r="M68" s="377" t="s">
        <v>172</v>
      </c>
      <c r="N68" s="377" t="s">
        <v>173</v>
      </c>
      <c r="O68" s="380">
        <v>1</v>
      </c>
      <c r="P68" s="386">
        <v>0</v>
      </c>
      <c r="Q68" s="386">
        <v>0</v>
      </c>
      <c r="R68" s="381">
        <v>80</v>
      </c>
      <c r="S68" s="386">
        <v>0</v>
      </c>
      <c r="T68" s="381">
        <v>7196.16</v>
      </c>
      <c r="U68" s="381">
        <v>0</v>
      </c>
      <c r="V68" s="381">
        <v>717.08</v>
      </c>
      <c r="W68" s="381">
        <v>0</v>
      </c>
      <c r="X68" s="381">
        <v>0</v>
      </c>
      <c r="Y68" s="381">
        <v>0</v>
      </c>
      <c r="Z68" s="381">
        <v>0</v>
      </c>
      <c r="AA68" s="377" t="s">
        <v>459</v>
      </c>
      <c r="AB68" s="377" t="s">
        <v>460</v>
      </c>
      <c r="AC68" s="377" t="s">
        <v>461</v>
      </c>
      <c r="AD68" s="377" t="s">
        <v>462</v>
      </c>
      <c r="AE68" s="377" t="s">
        <v>301</v>
      </c>
      <c r="AF68" s="377" t="s">
        <v>207</v>
      </c>
      <c r="AG68" s="377" t="s">
        <v>179</v>
      </c>
      <c r="AH68" s="382">
        <v>35.020000000000003</v>
      </c>
      <c r="AI68" s="382">
        <v>429.6</v>
      </c>
      <c r="AJ68" s="377" t="s">
        <v>180</v>
      </c>
      <c r="AK68" s="377" t="s">
        <v>181</v>
      </c>
      <c r="AL68" s="377" t="s">
        <v>182</v>
      </c>
      <c r="AM68" s="377" t="s">
        <v>183</v>
      </c>
      <c r="AN68" s="377" t="s">
        <v>66</v>
      </c>
      <c r="AO68" s="380">
        <v>80</v>
      </c>
      <c r="AP68" s="386">
        <v>1</v>
      </c>
      <c r="AQ68" s="386">
        <v>0</v>
      </c>
      <c r="AR68" s="384" t="s">
        <v>184</v>
      </c>
      <c r="AS68" s="388">
        <f t="shared" si="71"/>
        <v>0</v>
      </c>
      <c r="AT68">
        <f t="shared" si="72"/>
        <v>0</v>
      </c>
      <c r="AU68" s="388" t="str">
        <f>IF(AT68=0,"",IF(AND(AT68=1,M68="F",SUMIF(C2:C258,C68,AS2:AS258)&lt;=1),SUMIF(C2:C258,C68,AS2:AS258),IF(AND(AT68=1,M68="F",SUMIF(C2:C258,C68,AS2:AS258)&gt;1),1,"")))</f>
        <v/>
      </c>
      <c r="AV68" s="388" t="str">
        <f>IF(AT68=0,"",IF(AND(AT68=3,M68="F",SUMIF(C2:C258,C68,AS2:AS258)&lt;=1),SUMIF(C2:C258,C68,AS2:AS258),IF(AND(AT68=3,M68="F",SUMIF(C2:C258,C68,AS2:AS258)&gt;1),1,"")))</f>
        <v/>
      </c>
      <c r="AW68" s="388">
        <f>SUMIF(C2:C258,C68,O2:O258)</f>
        <v>2</v>
      </c>
      <c r="AX68" s="388">
        <f>IF(AND(M68="F",AS68&lt;&gt;0),SUMIF(C2:C258,C68,W2:W258),0)</f>
        <v>0</v>
      </c>
      <c r="AY68" s="388" t="str">
        <f t="shared" si="73"/>
        <v/>
      </c>
      <c r="AZ68" s="388" t="str">
        <f t="shared" si="74"/>
        <v/>
      </c>
      <c r="BA68" s="388">
        <f t="shared" si="75"/>
        <v>0</v>
      </c>
      <c r="BB68" s="388">
        <f t="shared" si="44"/>
        <v>0</v>
      </c>
      <c r="BC68" s="388">
        <f t="shared" si="45"/>
        <v>0</v>
      </c>
      <c r="BD68" s="388">
        <f t="shared" si="46"/>
        <v>0</v>
      </c>
      <c r="BE68" s="388">
        <f t="shared" si="47"/>
        <v>0</v>
      </c>
      <c r="BF68" s="388">
        <f t="shared" si="48"/>
        <v>0</v>
      </c>
      <c r="BG68" s="388">
        <f t="shared" si="49"/>
        <v>0</v>
      </c>
      <c r="BH68" s="388">
        <f t="shared" si="50"/>
        <v>0</v>
      </c>
      <c r="BI68" s="388">
        <f t="shared" si="51"/>
        <v>0</v>
      </c>
      <c r="BJ68" s="388">
        <f t="shared" si="52"/>
        <v>0</v>
      </c>
      <c r="BK68" s="388">
        <f t="shared" si="53"/>
        <v>0</v>
      </c>
      <c r="BL68" s="388">
        <f t="shared" si="76"/>
        <v>0</v>
      </c>
      <c r="BM68" s="388">
        <f t="shared" si="77"/>
        <v>0</v>
      </c>
      <c r="BN68" s="388">
        <f t="shared" si="54"/>
        <v>0</v>
      </c>
      <c r="BO68" s="388">
        <f t="shared" si="55"/>
        <v>0</v>
      </c>
      <c r="BP68" s="388">
        <f t="shared" si="56"/>
        <v>0</v>
      </c>
      <c r="BQ68" s="388">
        <f t="shared" si="57"/>
        <v>0</v>
      </c>
      <c r="BR68" s="388">
        <f t="shared" si="58"/>
        <v>0</v>
      </c>
      <c r="BS68" s="388">
        <f t="shared" si="59"/>
        <v>0</v>
      </c>
      <c r="BT68" s="388">
        <f t="shared" si="60"/>
        <v>0</v>
      </c>
      <c r="BU68" s="388">
        <f t="shared" si="61"/>
        <v>0</v>
      </c>
      <c r="BV68" s="388">
        <f t="shared" si="62"/>
        <v>0</v>
      </c>
      <c r="BW68" s="388">
        <f t="shared" si="63"/>
        <v>0</v>
      </c>
      <c r="BX68" s="388">
        <f t="shared" si="78"/>
        <v>0</v>
      </c>
      <c r="BY68" s="388">
        <f t="shared" si="79"/>
        <v>0</v>
      </c>
      <c r="BZ68" s="388">
        <f t="shared" si="80"/>
        <v>0</v>
      </c>
      <c r="CA68" s="388">
        <f t="shared" si="81"/>
        <v>0</v>
      </c>
      <c r="CB68" s="388">
        <f t="shared" si="82"/>
        <v>0</v>
      </c>
      <c r="CC68" s="388">
        <f t="shared" si="64"/>
        <v>0</v>
      </c>
      <c r="CD68" s="388">
        <f t="shared" si="65"/>
        <v>0</v>
      </c>
      <c r="CE68" s="388">
        <f t="shared" si="66"/>
        <v>0</v>
      </c>
      <c r="CF68" s="388">
        <f t="shared" si="67"/>
        <v>0</v>
      </c>
      <c r="CG68" s="388">
        <f t="shared" si="68"/>
        <v>0</v>
      </c>
      <c r="CH68" s="388">
        <f t="shared" si="69"/>
        <v>0</v>
      </c>
      <c r="CI68" s="388">
        <f t="shared" si="70"/>
        <v>0</v>
      </c>
      <c r="CJ68" s="388">
        <f t="shared" si="83"/>
        <v>0</v>
      </c>
      <c r="CK68" s="388" t="str">
        <f t="shared" si="84"/>
        <v/>
      </c>
      <c r="CL68" s="388" t="str">
        <f t="shared" si="85"/>
        <v/>
      </c>
      <c r="CM68" s="388" t="str">
        <f t="shared" si="86"/>
        <v/>
      </c>
      <c r="CN68" s="388" t="str">
        <f t="shared" si="87"/>
        <v>0001-00</v>
      </c>
    </row>
    <row r="69" spans="1:92" ht="15.75" thickBot="1" x14ac:dyDescent="0.3">
      <c r="A69" s="377" t="s">
        <v>162</v>
      </c>
      <c r="B69" s="377" t="s">
        <v>163</v>
      </c>
      <c r="C69" s="377" t="s">
        <v>463</v>
      </c>
      <c r="D69" s="377" t="s">
        <v>464</v>
      </c>
      <c r="E69" s="377" t="s">
        <v>265</v>
      </c>
      <c r="F69" s="378" t="s">
        <v>167</v>
      </c>
      <c r="G69" s="377" t="s">
        <v>439</v>
      </c>
      <c r="H69" s="379"/>
      <c r="I69" s="379"/>
      <c r="J69" s="377" t="s">
        <v>169</v>
      </c>
      <c r="K69" s="377" t="s">
        <v>465</v>
      </c>
      <c r="L69" s="377" t="s">
        <v>167</v>
      </c>
      <c r="M69" s="377" t="s">
        <v>172</v>
      </c>
      <c r="N69" s="377" t="s">
        <v>173</v>
      </c>
      <c r="O69" s="380">
        <v>1</v>
      </c>
      <c r="P69" s="386">
        <v>0.35</v>
      </c>
      <c r="Q69" s="386">
        <v>0.35</v>
      </c>
      <c r="R69" s="381">
        <v>80</v>
      </c>
      <c r="S69" s="386">
        <v>0.35</v>
      </c>
      <c r="T69" s="381">
        <v>23296.37</v>
      </c>
      <c r="U69" s="381">
        <v>0</v>
      </c>
      <c r="V69" s="381">
        <v>9188.24</v>
      </c>
      <c r="W69" s="381">
        <v>22997.52</v>
      </c>
      <c r="X69" s="381">
        <v>9126.5</v>
      </c>
      <c r="Y69" s="381">
        <v>22997.52</v>
      </c>
      <c r="Z69" s="381">
        <v>9398.42</v>
      </c>
      <c r="AA69" s="377" t="s">
        <v>466</v>
      </c>
      <c r="AB69" s="377" t="s">
        <v>467</v>
      </c>
      <c r="AC69" s="377" t="s">
        <v>468</v>
      </c>
      <c r="AD69" s="377" t="s">
        <v>469</v>
      </c>
      <c r="AE69" s="377" t="s">
        <v>465</v>
      </c>
      <c r="AF69" s="377" t="s">
        <v>207</v>
      </c>
      <c r="AG69" s="377" t="s">
        <v>179</v>
      </c>
      <c r="AH69" s="382">
        <v>31.59</v>
      </c>
      <c r="AI69" s="382">
        <v>6381.7</v>
      </c>
      <c r="AJ69" s="377" t="s">
        <v>180</v>
      </c>
      <c r="AK69" s="377" t="s">
        <v>181</v>
      </c>
      <c r="AL69" s="377" t="s">
        <v>182</v>
      </c>
      <c r="AM69" s="377" t="s">
        <v>183</v>
      </c>
      <c r="AN69" s="377" t="s">
        <v>66</v>
      </c>
      <c r="AO69" s="380">
        <v>80</v>
      </c>
      <c r="AP69" s="386">
        <v>1</v>
      </c>
      <c r="AQ69" s="386">
        <v>0.35</v>
      </c>
      <c r="AR69" s="384" t="s">
        <v>184</v>
      </c>
      <c r="AS69" s="388">
        <f t="shared" si="71"/>
        <v>0.35</v>
      </c>
      <c r="AT69">
        <f t="shared" si="72"/>
        <v>1</v>
      </c>
      <c r="AU69" s="388">
        <f>IF(AT69=0,"",IF(AND(AT69=1,M69="F",SUMIF(C2:C258,C69,AS2:AS258)&lt;=1),SUMIF(C2:C258,C69,AS2:AS258),IF(AND(AT69=1,M69="F",SUMIF(C2:C258,C69,AS2:AS258)&gt;1),1,"")))</f>
        <v>1</v>
      </c>
      <c r="AV69" s="388" t="str">
        <f>IF(AT69=0,"",IF(AND(AT69=3,M69="F",SUMIF(C2:C258,C69,AS2:AS258)&lt;=1),SUMIF(C2:C258,C69,AS2:AS258),IF(AND(AT69=3,M69="F",SUMIF(C2:C258,C69,AS2:AS258)&gt;1),1,"")))</f>
        <v/>
      </c>
      <c r="AW69" s="388">
        <f>SUMIF(C2:C258,C69,O2:O258)</f>
        <v>3</v>
      </c>
      <c r="AX69" s="388">
        <f>IF(AND(M69="F",AS69&lt;&gt;0),SUMIF(C2:C258,C69,W2:W258),0)</f>
        <v>65707.199999999997</v>
      </c>
      <c r="AY69" s="388">
        <f t="shared" si="73"/>
        <v>22997.52</v>
      </c>
      <c r="AZ69" s="388" t="str">
        <f t="shared" si="74"/>
        <v/>
      </c>
      <c r="BA69" s="388">
        <f t="shared" si="75"/>
        <v>0</v>
      </c>
      <c r="BB69" s="388">
        <f t="shared" si="44"/>
        <v>4375</v>
      </c>
      <c r="BC69" s="388">
        <f t="shared" si="45"/>
        <v>0</v>
      </c>
      <c r="BD69" s="388">
        <f t="shared" si="46"/>
        <v>1425.8462400000001</v>
      </c>
      <c r="BE69" s="388">
        <f t="shared" si="47"/>
        <v>333.46404000000001</v>
      </c>
      <c r="BF69" s="388">
        <f t="shared" si="48"/>
        <v>2745.9038880000003</v>
      </c>
      <c r="BG69" s="388">
        <f t="shared" si="49"/>
        <v>165.81211920000001</v>
      </c>
      <c r="BH69" s="388">
        <f t="shared" si="50"/>
        <v>0</v>
      </c>
      <c r="BI69" s="388">
        <f t="shared" si="51"/>
        <v>0</v>
      </c>
      <c r="BJ69" s="388">
        <f t="shared" si="52"/>
        <v>80.491320000000002</v>
      </c>
      <c r="BK69" s="388">
        <f t="shared" si="53"/>
        <v>0</v>
      </c>
      <c r="BL69" s="388">
        <f t="shared" si="76"/>
        <v>4751.5176072000004</v>
      </c>
      <c r="BM69" s="388">
        <f t="shared" si="77"/>
        <v>0</v>
      </c>
      <c r="BN69" s="388">
        <f t="shared" si="54"/>
        <v>4812.5</v>
      </c>
      <c r="BO69" s="388">
        <f t="shared" si="55"/>
        <v>0</v>
      </c>
      <c r="BP69" s="388">
        <f t="shared" si="56"/>
        <v>1425.8462400000001</v>
      </c>
      <c r="BQ69" s="388">
        <f t="shared" si="57"/>
        <v>333.46404000000001</v>
      </c>
      <c r="BR69" s="388">
        <f t="shared" si="58"/>
        <v>2571.1227359999998</v>
      </c>
      <c r="BS69" s="388">
        <f t="shared" si="59"/>
        <v>165.81211920000001</v>
      </c>
      <c r="BT69" s="388">
        <f t="shared" si="60"/>
        <v>0</v>
      </c>
      <c r="BU69" s="388">
        <f t="shared" si="61"/>
        <v>0</v>
      </c>
      <c r="BV69" s="388">
        <f t="shared" si="62"/>
        <v>89.690327999999994</v>
      </c>
      <c r="BW69" s="388">
        <f t="shared" si="63"/>
        <v>0</v>
      </c>
      <c r="BX69" s="388">
        <f t="shared" si="78"/>
        <v>4585.9354631999995</v>
      </c>
      <c r="BY69" s="388">
        <f t="shared" si="79"/>
        <v>0</v>
      </c>
      <c r="BZ69" s="388">
        <f t="shared" si="80"/>
        <v>437.5</v>
      </c>
      <c r="CA69" s="388">
        <f t="shared" si="81"/>
        <v>0</v>
      </c>
      <c r="CB69" s="388">
        <f t="shared" si="82"/>
        <v>0</v>
      </c>
      <c r="CC69" s="388">
        <f t="shared" si="64"/>
        <v>0</v>
      </c>
      <c r="CD69" s="388">
        <f t="shared" si="65"/>
        <v>-174.78115200000022</v>
      </c>
      <c r="CE69" s="388">
        <f t="shared" si="66"/>
        <v>0</v>
      </c>
      <c r="CF69" s="388">
        <f t="shared" si="67"/>
        <v>0</v>
      </c>
      <c r="CG69" s="388">
        <f t="shared" si="68"/>
        <v>0</v>
      </c>
      <c r="CH69" s="388">
        <f t="shared" si="69"/>
        <v>9.1990079999999939</v>
      </c>
      <c r="CI69" s="388">
        <f t="shared" si="70"/>
        <v>0</v>
      </c>
      <c r="CJ69" s="388">
        <f t="shared" si="83"/>
        <v>-165.58214400000023</v>
      </c>
      <c r="CK69" s="388" t="str">
        <f t="shared" si="84"/>
        <v/>
      </c>
      <c r="CL69" s="388" t="str">
        <f t="shared" si="85"/>
        <v/>
      </c>
      <c r="CM69" s="388" t="str">
        <f t="shared" si="86"/>
        <v/>
      </c>
      <c r="CN69" s="388" t="str">
        <f t="shared" si="87"/>
        <v>0001-00</v>
      </c>
    </row>
    <row r="70" spans="1:92" ht="15.75" thickBot="1" x14ac:dyDescent="0.3">
      <c r="A70" s="377" t="s">
        <v>162</v>
      </c>
      <c r="B70" s="377" t="s">
        <v>163</v>
      </c>
      <c r="C70" s="377" t="s">
        <v>470</v>
      </c>
      <c r="D70" s="377" t="s">
        <v>300</v>
      </c>
      <c r="E70" s="377" t="s">
        <v>265</v>
      </c>
      <c r="F70" s="378" t="s">
        <v>167</v>
      </c>
      <c r="G70" s="377" t="s">
        <v>439</v>
      </c>
      <c r="H70" s="379"/>
      <c r="I70" s="379"/>
      <c r="J70" s="377" t="s">
        <v>219</v>
      </c>
      <c r="K70" s="377" t="s">
        <v>301</v>
      </c>
      <c r="L70" s="377" t="s">
        <v>167</v>
      </c>
      <c r="M70" s="377" t="s">
        <v>172</v>
      </c>
      <c r="N70" s="377" t="s">
        <v>173</v>
      </c>
      <c r="O70" s="380">
        <v>1</v>
      </c>
      <c r="P70" s="386">
        <v>1</v>
      </c>
      <c r="Q70" s="386">
        <v>1</v>
      </c>
      <c r="R70" s="381">
        <v>80</v>
      </c>
      <c r="S70" s="386">
        <v>1</v>
      </c>
      <c r="T70" s="381">
        <v>69577.88</v>
      </c>
      <c r="U70" s="381">
        <v>0</v>
      </c>
      <c r="V70" s="381">
        <v>25962.03</v>
      </c>
      <c r="W70" s="381">
        <v>68702.399999999994</v>
      </c>
      <c r="X70" s="381">
        <v>26694.57</v>
      </c>
      <c r="Y70" s="381">
        <v>68702.399999999994</v>
      </c>
      <c r="Z70" s="381">
        <v>27449.91</v>
      </c>
      <c r="AA70" s="377" t="s">
        <v>471</v>
      </c>
      <c r="AB70" s="377" t="s">
        <v>472</v>
      </c>
      <c r="AC70" s="377" t="s">
        <v>473</v>
      </c>
      <c r="AD70" s="377" t="s">
        <v>316</v>
      </c>
      <c r="AE70" s="377" t="s">
        <v>301</v>
      </c>
      <c r="AF70" s="377" t="s">
        <v>207</v>
      </c>
      <c r="AG70" s="377" t="s">
        <v>179</v>
      </c>
      <c r="AH70" s="382">
        <v>33.03</v>
      </c>
      <c r="AI70" s="380">
        <v>6248</v>
      </c>
      <c r="AJ70" s="377" t="s">
        <v>180</v>
      </c>
      <c r="AK70" s="377" t="s">
        <v>181</v>
      </c>
      <c r="AL70" s="377" t="s">
        <v>182</v>
      </c>
      <c r="AM70" s="377" t="s">
        <v>183</v>
      </c>
      <c r="AN70" s="377" t="s">
        <v>66</v>
      </c>
      <c r="AO70" s="380">
        <v>80</v>
      </c>
      <c r="AP70" s="386">
        <v>1</v>
      </c>
      <c r="AQ70" s="386">
        <v>1</v>
      </c>
      <c r="AR70" s="384" t="s">
        <v>184</v>
      </c>
      <c r="AS70" s="388">
        <f t="shared" si="71"/>
        <v>1</v>
      </c>
      <c r="AT70">
        <f t="shared" si="72"/>
        <v>1</v>
      </c>
      <c r="AU70" s="388">
        <f>IF(AT70=0,"",IF(AND(AT70=1,M70="F",SUMIF(C2:C258,C70,AS2:AS258)&lt;=1),SUMIF(C2:C258,C70,AS2:AS258),IF(AND(AT70=1,M70="F",SUMIF(C2:C258,C70,AS2:AS258)&gt;1),1,"")))</f>
        <v>1</v>
      </c>
      <c r="AV70" s="388" t="str">
        <f>IF(AT70=0,"",IF(AND(AT70=3,M70="F",SUMIF(C2:C258,C70,AS2:AS258)&lt;=1),SUMIF(C2:C258,C70,AS2:AS258),IF(AND(AT70=3,M70="F",SUMIF(C2:C258,C70,AS2:AS258)&gt;1),1,"")))</f>
        <v/>
      </c>
      <c r="AW70" s="388">
        <f>SUMIF(C2:C258,C70,O2:O258)</f>
        <v>1</v>
      </c>
      <c r="AX70" s="388">
        <f>IF(AND(M70="F",AS70&lt;&gt;0),SUMIF(C2:C258,C70,W2:W258),0)</f>
        <v>68702.399999999994</v>
      </c>
      <c r="AY70" s="388">
        <f t="shared" si="73"/>
        <v>68702.399999999994</v>
      </c>
      <c r="AZ70" s="388" t="str">
        <f t="shared" si="74"/>
        <v/>
      </c>
      <c r="BA70" s="388">
        <f t="shared" si="75"/>
        <v>0</v>
      </c>
      <c r="BB70" s="388">
        <f t="shared" si="44"/>
        <v>12500</v>
      </c>
      <c r="BC70" s="388">
        <f t="shared" si="45"/>
        <v>0</v>
      </c>
      <c r="BD70" s="388">
        <f t="shared" si="46"/>
        <v>4259.5487999999996</v>
      </c>
      <c r="BE70" s="388">
        <f t="shared" si="47"/>
        <v>996.1848</v>
      </c>
      <c r="BF70" s="388">
        <f t="shared" si="48"/>
        <v>8203.0665599999993</v>
      </c>
      <c r="BG70" s="388">
        <f t="shared" si="49"/>
        <v>495.34430399999997</v>
      </c>
      <c r="BH70" s="388">
        <f t="shared" si="50"/>
        <v>0</v>
      </c>
      <c r="BI70" s="388">
        <f t="shared" si="51"/>
        <v>0</v>
      </c>
      <c r="BJ70" s="388">
        <f t="shared" si="52"/>
        <v>240.45839999999998</v>
      </c>
      <c r="BK70" s="388">
        <f t="shared" si="53"/>
        <v>0</v>
      </c>
      <c r="BL70" s="388">
        <f t="shared" si="76"/>
        <v>14194.602863999999</v>
      </c>
      <c r="BM70" s="388">
        <f t="shared" si="77"/>
        <v>0</v>
      </c>
      <c r="BN70" s="388">
        <f t="shared" si="54"/>
        <v>13750</v>
      </c>
      <c r="BO70" s="388">
        <f t="shared" si="55"/>
        <v>0</v>
      </c>
      <c r="BP70" s="388">
        <f t="shared" si="56"/>
        <v>4259.5487999999996</v>
      </c>
      <c r="BQ70" s="388">
        <f t="shared" si="57"/>
        <v>996.1848</v>
      </c>
      <c r="BR70" s="388">
        <f t="shared" si="58"/>
        <v>7680.9283199999991</v>
      </c>
      <c r="BS70" s="388">
        <f t="shared" si="59"/>
        <v>495.34430399999997</v>
      </c>
      <c r="BT70" s="388">
        <f t="shared" si="60"/>
        <v>0</v>
      </c>
      <c r="BU70" s="388">
        <f t="shared" si="61"/>
        <v>0</v>
      </c>
      <c r="BV70" s="388">
        <f t="shared" si="62"/>
        <v>267.93935999999997</v>
      </c>
      <c r="BW70" s="388">
        <f t="shared" si="63"/>
        <v>0</v>
      </c>
      <c r="BX70" s="388">
        <f t="shared" si="78"/>
        <v>13699.945583999999</v>
      </c>
      <c r="BY70" s="388">
        <f t="shared" si="79"/>
        <v>0</v>
      </c>
      <c r="BZ70" s="388">
        <f t="shared" si="80"/>
        <v>1250</v>
      </c>
      <c r="CA70" s="388">
        <f t="shared" si="81"/>
        <v>0</v>
      </c>
      <c r="CB70" s="388">
        <f t="shared" si="82"/>
        <v>0</v>
      </c>
      <c r="CC70" s="388">
        <f t="shared" si="64"/>
        <v>0</v>
      </c>
      <c r="CD70" s="388">
        <f t="shared" si="65"/>
        <v>-522.13824000000056</v>
      </c>
      <c r="CE70" s="388">
        <f t="shared" si="66"/>
        <v>0</v>
      </c>
      <c r="CF70" s="388">
        <f t="shared" si="67"/>
        <v>0</v>
      </c>
      <c r="CG70" s="388">
        <f t="shared" si="68"/>
        <v>0</v>
      </c>
      <c r="CH70" s="388">
        <f t="shared" si="69"/>
        <v>27.480959999999982</v>
      </c>
      <c r="CI70" s="388">
        <f t="shared" si="70"/>
        <v>0</v>
      </c>
      <c r="CJ70" s="388">
        <f t="shared" si="83"/>
        <v>-494.65728000000058</v>
      </c>
      <c r="CK70" s="388" t="str">
        <f t="shared" si="84"/>
        <v/>
      </c>
      <c r="CL70" s="388" t="str">
        <f t="shared" si="85"/>
        <v/>
      </c>
      <c r="CM70" s="388" t="str">
        <f t="shared" si="86"/>
        <v/>
      </c>
      <c r="CN70" s="388" t="str">
        <f t="shared" si="87"/>
        <v>0001-00</v>
      </c>
    </row>
    <row r="71" spans="1:92" ht="15.75" thickBot="1" x14ac:dyDescent="0.3">
      <c r="A71" s="377" t="s">
        <v>162</v>
      </c>
      <c r="B71" s="377" t="s">
        <v>163</v>
      </c>
      <c r="C71" s="377" t="s">
        <v>474</v>
      </c>
      <c r="D71" s="377" t="s">
        <v>194</v>
      </c>
      <c r="E71" s="377" t="s">
        <v>265</v>
      </c>
      <c r="F71" s="378" t="s">
        <v>167</v>
      </c>
      <c r="G71" s="377" t="s">
        <v>439</v>
      </c>
      <c r="H71" s="379"/>
      <c r="I71" s="379"/>
      <c r="J71" s="377" t="s">
        <v>169</v>
      </c>
      <c r="K71" s="377" t="s">
        <v>195</v>
      </c>
      <c r="L71" s="377" t="s">
        <v>171</v>
      </c>
      <c r="M71" s="377" t="s">
        <v>395</v>
      </c>
      <c r="N71" s="377" t="s">
        <v>173</v>
      </c>
      <c r="O71" s="380">
        <v>0</v>
      </c>
      <c r="P71" s="386">
        <v>0.52</v>
      </c>
      <c r="Q71" s="386">
        <v>0.52</v>
      </c>
      <c r="R71" s="381">
        <v>80</v>
      </c>
      <c r="S71" s="386">
        <v>0.52</v>
      </c>
      <c r="T71" s="381">
        <v>22906.21</v>
      </c>
      <c r="U71" s="381">
        <v>0</v>
      </c>
      <c r="V71" s="381">
        <v>9885.26</v>
      </c>
      <c r="W71" s="381">
        <v>25958.400000000001</v>
      </c>
      <c r="X71" s="381">
        <v>11681.28</v>
      </c>
      <c r="Y71" s="381">
        <v>25958.400000000001</v>
      </c>
      <c r="Z71" s="381">
        <v>12096.61</v>
      </c>
      <c r="AA71" s="379"/>
      <c r="AB71" s="377" t="s">
        <v>45</v>
      </c>
      <c r="AC71" s="377" t="s">
        <v>45</v>
      </c>
      <c r="AD71" s="379"/>
      <c r="AE71" s="379"/>
      <c r="AF71" s="379"/>
      <c r="AG71" s="379"/>
      <c r="AH71" s="380">
        <v>0</v>
      </c>
      <c r="AI71" s="380">
        <v>0</v>
      </c>
      <c r="AJ71" s="379"/>
      <c r="AK71" s="379"/>
      <c r="AL71" s="377" t="s">
        <v>182</v>
      </c>
      <c r="AM71" s="379"/>
      <c r="AN71" s="379"/>
      <c r="AO71" s="380">
        <v>0</v>
      </c>
      <c r="AP71" s="386">
        <v>0</v>
      </c>
      <c r="AQ71" s="386">
        <v>0</v>
      </c>
      <c r="AR71" s="385"/>
      <c r="AS71" s="388">
        <f t="shared" si="71"/>
        <v>0</v>
      </c>
      <c r="AT71">
        <f t="shared" si="72"/>
        <v>0</v>
      </c>
      <c r="AU71" s="388" t="str">
        <f>IF(AT71=0,"",IF(AND(AT71=1,M71="F",SUMIF(C2:C258,C71,AS2:AS258)&lt;=1),SUMIF(C2:C258,C71,AS2:AS258),IF(AND(AT71=1,M71="F",SUMIF(C2:C258,C71,AS2:AS258)&gt;1),1,"")))</f>
        <v/>
      </c>
      <c r="AV71" s="388" t="str">
        <f>IF(AT71=0,"",IF(AND(AT71=3,M71="F",SUMIF(C2:C258,C71,AS2:AS258)&lt;=1),SUMIF(C2:C258,C71,AS2:AS258),IF(AND(AT71=3,M71="F",SUMIF(C2:C258,C71,AS2:AS258)&gt;1),1,"")))</f>
        <v/>
      </c>
      <c r="AW71" s="388">
        <f>SUMIF(C2:C258,C71,O2:O258)</f>
        <v>0</v>
      </c>
      <c r="AX71" s="388">
        <f>IF(AND(M71="F",AS71&lt;&gt;0),SUMIF(C2:C258,C71,W2:W258),0)</f>
        <v>0</v>
      </c>
      <c r="AY71" s="388" t="str">
        <f t="shared" si="73"/>
        <v/>
      </c>
      <c r="AZ71" s="388" t="str">
        <f t="shared" si="74"/>
        <v/>
      </c>
      <c r="BA71" s="388">
        <f t="shared" si="75"/>
        <v>0</v>
      </c>
      <c r="BB71" s="388">
        <f t="shared" si="44"/>
        <v>0</v>
      </c>
      <c r="BC71" s="388">
        <f t="shared" si="45"/>
        <v>0</v>
      </c>
      <c r="BD71" s="388">
        <f t="shared" si="46"/>
        <v>0</v>
      </c>
      <c r="BE71" s="388">
        <f t="shared" si="47"/>
        <v>0</v>
      </c>
      <c r="BF71" s="388">
        <f t="shared" si="48"/>
        <v>0</v>
      </c>
      <c r="BG71" s="388">
        <f t="shared" si="49"/>
        <v>0</v>
      </c>
      <c r="BH71" s="388">
        <f t="shared" si="50"/>
        <v>0</v>
      </c>
      <c r="BI71" s="388">
        <f t="shared" si="51"/>
        <v>0</v>
      </c>
      <c r="BJ71" s="388">
        <f t="shared" si="52"/>
        <v>0</v>
      </c>
      <c r="BK71" s="388">
        <f t="shared" si="53"/>
        <v>0</v>
      </c>
      <c r="BL71" s="388">
        <f t="shared" si="76"/>
        <v>0</v>
      </c>
      <c r="BM71" s="388">
        <f t="shared" si="77"/>
        <v>0</v>
      </c>
      <c r="BN71" s="388">
        <f t="shared" si="54"/>
        <v>0</v>
      </c>
      <c r="BO71" s="388">
        <f t="shared" si="55"/>
        <v>0</v>
      </c>
      <c r="BP71" s="388">
        <f t="shared" si="56"/>
        <v>0</v>
      </c>
      <c r="BQ71" s="388">
        <f t="shared" si="57"/>
        <v>0</v>
      </c>
      <c r="BR71" s="388">
        <f t="shared" si="58"/>
        <v>0</v>
      </c>
      <c r="BS71" s="388">
        <f t="shared" si="59"/>
        <v>0</v>
      </c>
      <c r="BT71" s="388">
        <f t="shared" si="60"/>
        <v>0</v>
      </c>
      <c r="BU71" s="388">
        <f t="shared" si="61"/>
        <v>0</v>
      </c>
      <c r="BV71" s="388">
        <f t="shared" si="62"/>
        <v>0</v>
      </c>
      <c r="BW71" s="388">
        <f t="shared" si="63"/>
        <v>0</v>
      </c>
      <c r="BX71" s="388">
        <f t="shared" si="78"/>
        <v>0</v>
      </c>
      <c r="BY71" s="388">
        <f t="shared" si="79"/>
        <v>0</v>
      </c>
      <c r="BZ71" s="388">
        <f t="shared" si="80"/>
        <v>0</v>
      </c>
      <c r="CA71" s="388">
        <f t="shared" si="81"/>
        <v>0</v>
      </c>
      <c r="CB71" s="388">
        <f t="shared" si="82"/>
        <v>0</v>
      </c>
      <c r="CC71" s="388">
        <f t="shared" si="64"/>
        <v>0</v>
      </c>
      <c r="CD71" s="388">
        <f t="shared" si="65"/>
        <v>0</v>
      </c>
      <c r="CE71" s="388">
        <f t="shared" si="66"/>
        <v>0</v>
      </c>
      <c r="CF71" s="388">
        <f t="shared" si="67"/>
        <v>0</v>
      </c>
      <c r="CG71" s="388">
        <f t="shared" si="68"/>
        <v>0</v>
      </c>
      <c r="CH71" s="388">
        <f t="shared" si="69"/>
        <v>0</v>
      </c>
      <c r="CI71" s="388">
        <f t="shared" si="70"/>
        <v>0</v>
      </c>
      <c r="CJ71" s="388">
        <f t="shared" si="83"/>
        <v>0</v>
      </c>
      <c r="CK71" s="388" t="str">
        <f t="shared" si="84"/>
        <v/>
      </c>
      <c r="CL71" s="388" t="str">
        <f t="shared" si="85"/>
        <v/>
      </c>
      <c r="CM71" s="388" t="str">
        <f t="shared" si="86"/>
        <v/>
      </c>
      <c r="CN71" s="388" t="str">
        <f t="shared" si="87"/>
        <v>0001-00</v>
      </c>
    </row>
    <row r="72" spans="1:92" ht="15.75" thickBot="1" x14ac:dyDescent="0.3">
      <c r="A72" s="377" t="s">
        <v>162</v>
      </c>
      <c r="B72" s="377" t="s">
        <v>163</v>
      </c>
      <c r="C72" s="377" t="s">
        <v>475</v>
      </c>
      <c r="D72" s="377" t="s">
        <v>251</v>
      </c>
      <c r="E72" s="377" t="s">
        <v>265</v>
      </c>
      <c r="F72" s="378" t="s">
        <v>167</v>
      </c>
      <c r="G72" s="377" t="s">
        <v>439</v>
      </c>
      <c r="H72" s="379"/>
      <c r="I72" s="379"/>
      <c r="J72" s="377" t="s">
        <v>219</v>
      </c>
      <c r="K72" s="377" t="s">
        <v>252</v>
      </c>
      <c r="L72" s="377" t="s">
        <v>179</v>
      </c>
      <c r="M72" s="377" t="s">
        <v>172</v>
      </c>
      <c r="N72" s="377" t="s">
        <v>173</v>
      </c>
      <c r="O72" s="380">
        <v>1</v>
      </c>
      <c r="P72" s="386">
        <v>1</v>
      </c>
      <c r="Q72" s="386">
        <v>1</v>
      </c>
      <c r="R72" s="381">
        <v>80</v>
      </c>
      <c r="S72" s="386">
        <v>1</v>
      </c>
      <c r="T72" s="381">
        <v>41715.230000000003</v>
      </c>
      <c r="U72" s="381">
        <v>0</v>
      </c>
      <c r="V72" s="381">
        <v>20418.86</v>
      </c>
      <c r="W72" s="381">
        <v>41267.199999999997</v>
      </c>
      <c r="X72" s="381">
        <v>21026.19</v>
      </c>
      <c r="Y72" s="381">
        <v>41267.199999999997</v>
      </c>
      <c r="Z72" s="381">
        <v>21979.07</v>
      </c>
      <c r="AA72" s="377" t="s">
        <v>476</v>
      </c>
      <c r="AB72" s="377" t="s">
        <v>477</v>
      </c>
      <c r="AC72" s="377" t="s">
        <v>478</v>
      </c>
      <c r="AD72" s="377" t="s">
        <v>199</v>
      </c>
      <c r="AE72" s="377" t="s">
        <v>252</v>
      </c>
      <c r="AF72" s="377" t="s">
        <v>257</v>
      </c>
      <c r="AG72" s="377" t="s">
        <v>179</v>
      </c>
      <c r="AH72" s="382">
        <v>19.84</v>
      </c>
      <c r="AI72" s="382">
        <v>8218.5</v>
      </c>
      <c r="AJ72" s="377" t="s">
        <v>180</v>
      </c>
      <c r="AK72" s="377" t="s">
        <v>181</v>
      </c>
      <c r="AL72" s="377" t="s">
        <v>182</v>
      </c>
      <c r="AM72" s="377" t="s">
        <v>183</v>
      </c>
      <c r="AN72" s="377" t="s">
        <v>66</v>
      </c>
      <c r="AO72" s="380">
        <v>80</v>
      </c>
      <c r="AP72" s="386">
        <v>1</v>
      </c>
      <c r="AQ72" s="386">
        <v>1</v>
      </c>
      <c r="AR72" s="384" t="s">
        <v>184</v>
      </c>
      <c r="AS72" s="388">
        <f t="shared" si="71"/>
        <v>1</v>
      </c>
      <c r="AT72">
        <f t="shared" si="72"/>
        <v>1</v>
      </c>
      <c r="AU72" s="388">
        <f>IF(AT72=0,"",IF(AND(AT72=1,M72="F",SUMIF(C2:C258,C72,AS2:AS258)&lt;=1),SUMIF(C2:C258,C72,AS2:AS258),IF(AND(AT72=1,M72="F",SUMIF(C2:C258,C72,AS2:AS258)&gt;1),1,"")))</f>
        <v>1</v>
      </c>
      <c r="AV72" s="388" t="str">
        <f>IF(AT72=0,"",IF(AND(AT72=3,M72="F",SUMIF(C2:C258,C72,AS2:AS258)&lt;=1),SUMIF(C2:C258,C72,AS2:AS258),IF(AND(AT72=3,M72="F",SUMIF(C2:C258,C72,AS2:AS258)&gt;1),1,"")))</f>
        <v/>
      </c>
      <c r="AW72" s="388">
        <f>SUMIF(C2:C258,C72,O2:O258)</f>
        <v>1</v>
      </c>
      <c r="AX72" s="388">
        <f>IF(AND(M72="F",AS72&lt;&gt;0),SUMIF(C2:C258,C72,W2:W258),0)</f>
        <v>41267.199999999997</v>
      </c>
      <c r="AY72" s="388">
        <f t="shared" si="73"/>
        <v>41267.199999999997</v>
      </c>
      <c r="AZ72" s="388" t="str">
        <f t="shared" si="74"/>
        <v/>
      </c>
      <c r="BA72" s="388">
        <f t="shared" si="75"/>
        <v>0</v>
      </c>
      <c r="BB72" s="388">
        <f t="shared" si="44"/>
        <v>12500</v>
      </c>
      <c r="BC72" s="388">
        <f t="shared" si="45"/>
        <v>0</v>
      </c>
      <c r="BD72" s="388">
        <f t="shared" si="46"/>
        <v>2558.5663999999997</v>
      </c>
      <c r="BE72" s="388">
        <f t="shared" si="47"/>
        <v>598.37440000000004</v>
      </c>
      <c r="BF72" s="388">
        <f t="shared" si="48"/>
        <v>4927.30368</v>
      </c>
      <c r="BG72" s="388">
        <f t="shared" si="49"/>
        <v>297.53651200000002</v>
      </c>
      <c r="BH72" s="388">
        <f t="shared" si="50"/>
        <v>0</v>
      </c>
      <c r="BI72" s="388">
        <f t="shared" si="51"/>
        <v>0</v>
      </c>
      <c r="BJ72" s="388">
        <f t="shared" si="52"/>
        <v>144.43519999999998</v>
      </c>
      <c r="BK72" s="388">
        <f t="shared" si="53"/>
        <v>0</v>
      </c>
      <c r="BL72" s="388">
        <f t="shared" si="76"/>
        <v>8526.2161919999999</v>
      </c>
      <c r="BM72" s="388">
        <f t="shared" si="77"/>
        <v>0</v>
      </c>
      <c r="BN72" s="388">
        <f t="shared" si="54"/>
        <v>13750</v>
      </c>
      <c r="BO72" s="388">
        <f t="shared" si="55"/>
        <v>0</v>
      </c>
      <c r="BP72" s="388">
        <f t="shared" si="56"/>
        <v>2558.5663999999997</v>
      </c>
      <c r="BQ72" s="388">
        <f t="shared" si="57"/>
        <v>598.37440000000004</v>
      </c>
      <c r="BR72" s="388">
        <f t="shared" si="58"/>
        <v>4613.6729599999999</v>
      </c>
      <c r="BS72" s="388">
        <f t="shared" si="59"/>
        <v>297.53651200000002</v>
      </c>
      <c r="BT72" s="388">
        <f t="shared" si="60"/>
        <v>0</v>
      </c>
      <c r="BU72" s="388">
        <f t="shared" si="61"/>
        <v>0</v>
      </c>
      <c r="BV72" s="388">
        <f t="shared" si="62"/>
        <v>160.94207999999998</v>
      </c>
      <c r="BW72" s="388">
        <f t="shared" si="63"/>
        <v>0</v>
      </c>
      <c r="BX72" s="388">
        <f t="shared" si="78"/>
        <v>8229.0923519999997</v>
      </c>
      <c r="BY72" s="388">
        <f t="shared" si="79"/>
        <v>0</v>
      </c>
      <c r="BZ72" s="388">
        <f t="shared" si="80"/>
        <v>1250</v>
      </c>
      <c r="CA72" s="388">
        <f t="shared" si="81"/>
        <v>0</v>
      </c>
      <c r="CB72" s="388">
        <f t="shared" si="82"/>
        <v>0</v>
      </c>
      <c r="CC72" s="388">
        <f t="shared" si="64"/>
        <v>0</v>
      </c>
      <c r="CD72" s="388">
        <f t="shared" si="65"/>
        <v>-313.63072000000039</v>
      </c>
      <c r="CE72" s="388">
        <f t="shared" si="66"/>
        <v>0</v>
      </c>
      <c r="CF72" s="388">
        <f t="shared" si="67"/>
        <v>0</v>
      </c>
      <c r="CG72" s="388">
        <f t="shared" si="68"/>
        <v>0</v>
      </c>
      <c r="CH72" s="388">
        <f t="shared" si="69"/>
        <v>16.506879999999988</v>
      </c>
      <c r="CI72" s="388">
        <f t="shared" si="70"/>
        <v>0</v>
      </c>
      <c r="CJ72" s="388">
        <f t="shared" si="83"/>
        <v>-297.12384000000043</v>
      </c>
      <c r="CK72" s="388" t="str">
        <f t="shared" si="84"/>
        <v/>
      </c>
      <c r="CL72" s="388" t="str">
        <f t="shared" si="85"/>
        <v/>
      </c>
      <c r="CM72" s="388" t="str">
        <f t="shared" si="86"/>
        <v/>
      </c>
      <c r="CN72" s="388" t="str">
        <f t="shared" si="87"/>
        <v>0001-00</v>
      </c>
    </row>
    <row r="73" spans="1:92" ht="15.75" thickBot="1" x14ac:dyDescent="0.3">
      <c r="A73" s="377" t="s">
        <v>162</v>
      </c>
      <c r="B73" s="377" t="s">
        <v>163</v>
      </c>
      <c r="C73" s="377" t="s">
        <v>479</v>
      </c>
      <c r="D73" s="377" t="s">
        <v>300</v>
      </c>
      <c r="E73" s="377" t="s">
        <v>265</v>
      </c>
      <c r="F73" s="378" t="s">
        <v>167</v>
      </c>
      <c r="G73" s="377" t="s">
        <v>439</v>
      </c>
      <c r="H73" s="379"/>
      <c r="I73" s="379"/>
      <c r="J73" s="377" t="s">
        <v>219</v>
      </c>
      <c r="K73" s="377" t="s">
        <v>301</v>
      </c>
      <c r="L73" s="377" t="s">
        <v>167</v>
      </c>
      <c r="M73" s="377" t="s">
        <v>172</v>
      </c>
      <c r="N73" s="377" t="s">
        <v>173</v>
      </c>
      <c r="O73" s="380">
        <v>1</v>
      </c>
      <c r="P73" s="386">
        <v>0</v>
      </c>
      <c r="Q73" s="386">
        <v>0</v>
      </c>
      <c r="R73" s="381">
        <v>80</v>
      </c>
      <c r="S73" s="386">
        <v>0</v>
      </c>
      <c r="T73" s="381">
        <v>9910.56</v>
      </c>
      <c r="U73" s="381">
        <v>0</v>
      </c>
      <c r="V73" s="381">
        <v>3160.55</v>
      </c>
      <c r="W73" s="381">
        <v>0</v>
      </c>
      <c r="X73" s="381">
        <v>0</v>
      </c>
      <c r="Y73" s="381">
        <v>0</v>
      </c>
      <c r="Z73" s="381">
        <v>0</v>
      </c>
      <c r="AA73" s="377" t="s">
        <v>480</v>
      </c>
      <c r="AB73" s="377" t="s">
        <v>481</v>
      </c>
      <c r="AC73" s="377" t="s">
        <v>482</v>
      </c>
      <c r="AD73" s="377" t="s">
        <v>316</v>
      </c>
      <c r="AE73" s="377" t="s">
        <v>301</v>
      </c>
      <c r="AF73" s="377" t="s">
        <v>207</v>
      </c>
      <c r="AG73" s="377" t="s">
        <v>179</v>
      </c>
      <c r="AH73" s="382">
        <v>38.67</v>
      </c>
      <c r="AI73" s="382">
        <v>47362.400000000001</v>
      </c>
      <c r="AJ73" s="377" t="s">
        <v>180</v>
      </c>
      <c r="AK73" s="377" t="s">
        <v>181</v>
      </c>
      <c r="AL73" s="377" t="s">
        <v>182</v>
      </c>
      <c r="AM73" s="377" t="s">
        <v>183</v>
      </c>
      <c r="AN73" s="377" t="s">
        <v>66</v>
      </c>
      <c r="AO73" s="380">
        <v>80</v>
      </c>
      <c r="AP73" s="386">
        <v>1</v>
      </c>
      <c r="AQ73" s="386">
        <v>0</v>
      </c>
      <c r="AR73" s="384" t="s">
        <v>184</v>
      </c>
      <c r="AS73" s="388">
        <f t="shared" si="71"/>
        <v>0</v>
      </c>
      <c r="AT73">
        <f t="shared" si="72"/>
        <v>0</v>
      </c>
      <c r="AU73" s="388" t="str">
        <f>IF(AT73=0,"",IF(AND(AT73=1,M73="F",SUMIF(C2:C258,C73,AS2:AS258)&lt;=1),SUMIF(C2:C258,C73,AS2:AS258),IF(AND(AT73=1,M73="F",SUMIF(C2:C258,C73,AS2:AS258)&gt;1),1,"")))</f>
        <v/>
      </c>
      <c r="AV73" s="388" t="str">
        <f>IF(AT73=0,"",IF(AND(AT73=3,M73="F",SUMIF(C2:C258,C73,AS2:AS258)&lt;=1),SUMIF(C2:C258,C73,AS2:AS258),IF(AND(AT73=3,M73="F",SUMIF(C2:C258,C73,AS2:AS258)&gt;1),1,"")))</f>
        <v/>
      </c>
      <c r="AW73" s="388">
        <f>SUMIF(C2:C258,C73,O2:O258)</f>
        <v>2</v>
      </c>
      <c r="AX73" s="388">
        <f>IF(AND(M73="F",AS73&lt;&gt;0),SUMIF(C2:C258,C73,W2:W258),0)</f>
        <v>0</v>
      </c>
      <c r="AY73" s="388" t="str">
        <f t="shared" si="73"/>
        <v/>
      </c>
      <c r="AZ73" s="388" t="str">
        <f t="shared" si="74"/>
        <v/>
      </c>
      <c r="BA73" s="388">
        <f t="shared" si="75"/>
        <v>0</v>
      </c>
      <c r="BB73" s="388">
        <f t="shared" si="44"/>
        <v>0</v>
      </c>
      <c r="BC73" s="388">
        <f t="shared" si="45"/>
        <v>0</v>
      </c>
      <c r="BD73" s="388">
        <f t="shared" si="46"/>
        <v>0</v>
      </c>
      <c r="BE73" s="388">
        <f t="shared" si="47"/>
        <v>0</v>
      </c>
      <c r="BF73" s="388">
        <f t="shared" si="48"/>
        <v>0</v>
      </c>
      <c r="BG73" s="388">
        <f t="shared" si="49"/>
        <v>0</v>
      </c>
      <c r="BH73" s="388">
        <f t="shared" si="50"/>
        <v>0</v>
      </c>
      <c r="BI73" s="388">
        <f t="shared" si="51"/>
        <v>0</v>
      </c>
      <c r="BJ73" s="388">
        <f t="shared" si="52"/>
        <v>0</v>
      </c>
      <c r="BK73" s="388">
        <f t="shared" si="53"/>
        <v>0</v>
      </c>
      <c r="BL73" s="388">
        <f t="shared" si="76"/>
        <v>0</v>
      </c>
      <c r="BM73" s="388">
        <f t="shared" si="77"/>
        <v>0</v>
      </c>
      <c r="BN73" s="388">
        <f t="shared" si="54"/>
        <v>0</v>
      </c>
      <c r="BO73" s="388">
        <f t="shared" si="55"/>
        <v>0</v>
      </c>
      <c r="BP73" s="388">
        <f t="shared" si="56"/>
        <v>0</v>
      </c>
      <c r="BQ73" s="388">
        <f t="shared" si="57"/>
        <v>0</v>
      </c>
      <c r="BR73" s="388">
        <f t="shared" si="58"/>
        <v>0</v>
      </c>
      <c r="BS73" s="388">
        <f t="shared" si="59"/>
        <v>0</v>
      </c>
      <c r="BT73" s="388">
        <f t="shared" si="60"/>
        <v>0</v>
      </c>
      <c r="BU73" s="388">
        <f t="shared" si="61"/>
        <v>0</v>
      </c>
      <c r="BV73" s="388">
        <f t="shared" si="62"/>
        <v>0</v>
      </c>
      <c r="BW73" s="388">
        <f t="shared" si="63"/>
        <v>0</v>
      </c>
      <c r="BX73" s="388">
        <f t="shared" si="78"/>
        <v>0</v>
      </c>
      <c r="BY73" s="388">
        <f t="shared" si="79"/>
        <v>0</v>
      </c>
      <c r="BZ73" s="388">
        <f t="shared" si="80"/>
        <v>0</v>
      </c>
      <c r="CA73" s="388">
        <f t="shared" si="81"/>
        <v>0</v>
      </c>
      <c r="CB73" s="388">
        <f t="shared" si="82"/>
        <v>0</v>
      </c>
      <c r="CC73" s="388">
        <f t="shared" si="64"/>
        <v>0</v>
      </c>
      <c r="CD73" s="388">
        <f t="shared" si="65"/>
        <v>0</v>
      </c>
      <c r="CE73" s="388">
        <f t="shared" si="66"/>
        <v>0</v>
      </c>
      <c r="CF73" s="388">
        <f t="shared" si="67"/>
        <v>0</v>
      </c>
      <c r="CG73" s="388">
        <f t="shared" si="68"/>
        <v>0</v>
      </c>
      <c r="CH73" s="388">
        <f t="shared" si="69"/>
        <v>0</v>
      </c>
      <c r="CI73" s="388">
        <f t="shared" si="70"/>
        <v>0</v>
      </c>
      <c r="CJ73" s="388">
        <f t="shared" si="83"/>
        <v>0</v>
      </c>
      <c r="CK73" s="388" t="str">
        <f t="shared" si="84"/>
        <v/>
      </c>
      <c r="CL73" s="388" t="str">
        <f t="shared" si="85"/>
        <v/>
      </c>
      <c r="CM73" s="388" t="str">
        <f t="shared" si="86"/>
        <v/>
      </c>
      <c r="CN73" s="388" t="str">
        <f t="shared" si="87"/>
        <v>0001-00</v>
      </c>
    </row>
    <row r="74" spans="1:92" ht="15.75" thickBot="1" x14ac:dyDescent="0.3">
      <c r="A74" s="377" t="s">
        <v>162</v>
      </c>
      <c r="B74" s="377" t="s">
        <v>163</v>
      </c>
      <c r="C74" s="377" t="s">
        <v>483</v>
      </c>
      <c r="D74" s="377" t="s">
        <v>300</v>
      </c>
      <c r="E74" s="377" t="s">
        <v>265</v>
      </c>
      <c r="F74" s="378" t="s">
        <v>167</v>
      </c>
      <c r="G74" s="377" t="s">
        <v>439</v>
      </c>
      <c r="H74" s="379"/>
      <c r="I74" s="379"/>
      <c r="J74" s="377" t="s">
        <v>219</v>
      </c>
      <c r="K74" s="377" t="s">
        <v>301</v>
      </c>
      <c r="L74" s="377" t="s">
        <v>167</v>
      </c>
      <c r="M74" s="377" t="s">
        <v>172</v>
      </c>
      <c r="N74" s="377" t="s">
        <v>173</v>
      </c>
      <c r="O74" s="380">
        <v>1</v>
      </c>
      <c r="P74" s="386">
        <v>1</v>
      </c>
      <c r="Q74" s="386">
        <v>1</v>
      </c>
      <c r="R74" s="381">
        <v>80</v>
      </c>
      <c r="S74" s="386">
        <v>1</v>
      </c>
      <c r="T74" s="381">
        <v>48730</v>
      </c>
      <c r="U74" s="381">
        <v>0</v>
      </c>
      <c r="V74" s="381">
        <v>18970.82</v>
      </c>
      <c r="W74" s="381">
        <v>64272</v>
      </c>
      <c r="X74" s="381">
        <v>25779.22</v>
      </c>
      <c r="Y74" s="381">
        <v>64272</v>
      </c>
      <c r="Z74" s="381">
        <v>26566.46</v>
      </c>
      <c r="AA74" s="377" t="s">
        <v>484</v>
      </c>
      <c r="AB74" s="377" t="s">
        <v>485</v>
      </c>
      <c r="AC74" s="377" t="s">
        <v>486</v>
      </c>
      <c r="AD74" s="377" t="s">
        <v>182</v>
      </c>
      <c r="AE74" s="377" t="s">
        <v>301</v>
      </c>
      <c r="AF74" s="377" t="s">
        <v>207</v>
      </c>
      <c r="AG74" s="377" t="s">
        <v>179</v>
      </c>
      <c r="AH74" s="382">
        <v>30.9</v>
      </c>
      <c r="AI74" s="380">
        <v>817</v>
      </c>
      <c r="AJ74" s="377" t="s">
        <v>180</v>
      </c>
      <c r="AK74" s="377" t="s">
        <v>181</v>
      </c>
      <c r="AL74" s="377" t="s">
        <v>182</v>
      </c>
      <c r="AM74" s="377" t="s">
        <v>183</v>
      </c>
      <c r="AN74" s="377" t="s">
        <v>66</v>
      </c>
      <c r="AO74" s="380">
        <v>80</v>
      </c>
      <c r="AP74" s="386">
        <v>1</v>
      </c>
      <c r="AQ74" s="386">
        <v>1</v>
      </c>
      <c r="AR74" s="384" t="s">
        <v>184</v>
      </c>
      <c r="AS74" s="388">
        <f t="shared" si="71"/>
        <v>1</v>
      </c>
      <c r="AT74">
        <f t="shared" si="72"/>
        <v>1</v>
      </c>
      <c r="AU74" s="388">
        <f>IF(AT74=0,"",IF(AND(AT74=1,M74="F",SUMIF(C2:C258,C74,AS2:AS258)&lt;=1),SUMIF(C2:C258,C74,AS2:AS258),IF(AND(AT74=1,M74="F",SUMIF(C2:C258,C74,AS2:AS258)&gt;1),1,"")))</f>
        <v>1</v>
      </c>
      <c r="AV74" s="388" t="str">
        <f>IF(AT74=0,"",IF(AND(AT74=3,M74="F",SUMIF(C2:C258,C74,AS2:AS258)&lt;=1),SUMIF(C2:C258,C74,AS2:AS258),IF(AND(AT74=3,M74="F",SUMIF(C2:C258,C74,AS2:AS258)&gt;1),1,"")))</f>
        <v/>
      </c>
      <c r="AW74" s="388">
        <f>SUMIF(C2:C258,C74,O2:O258)</f>
        <v>1</v>
      </c>
      <c r="AX74" s="388">
        <f>IF(AND(M74="F",AS74&lt;&gt;0),SUMIF(C2:C258,C74,W2:W258),0)</f>
        <v>64272</v>
      </c>
      <c r="AY74" s="388">
        <f t="shared" si="73"/>
        <v>64272</v>
      </c>
      <c r="AZ74" s="388" t="str">
        <f t="shared" si="74"/>
        <v/>
      </c>
      <c r="BA74" s="388">
        <f t="shared" si="75"/>
        <v>0</v>
      </c>
      <c r="BB74" s="388">
        <f t="shared" si="44"/>
        <v>12500</v>
      </c>
      <c r="BC74" s="388">
        <f t="shared" si="45"/>
        <v>0</v>
      </c>
      <c r="BD74" s="388">
        <f t="shared" si="46"/>
        <v>3984.864</v>
      </c>
      <c r="BE74" s="388">
        <f t="shared" si="47"/>
        <v>931.94400000000007</v>
      </c>
      <c r="BF74" s="388">
        <f t="shared" si="48"/>
        <v>7674.0768000000007</v>
      </c>
      <c r="BG74" s="388">
        <f t="shared" si="49"/>
        <v>463.40111999999999</v>
      </c>
      <c r="BH74" s="388">
        <f t="shared" si="50"/>
        <v>0</v>
      </c>
      <c r="BI74" s="388">
        <f t="shared" si="51"/>
        <v>0</v>
      </c>
      <c r="BJ74" s="388">
        <f t="shared" si="52"/>
        <v>224.952</v>
      </c>
      <c r="BK74" s="388">
        <f t="shared" si="53"/>
        <v>0</v>
      </c>
      <c r="BL74" s="388">
        <f t="shared" si="76"/>
        <v>13279.23792</v>
      </c>
      <c r="BM74" s="388">
        <f t="shared" si="77"/>
        <v>0</v>
      </c>
      <c r="BN74" s="388">
        <f t="shared" si="54"/>
        <v>13750</v>
      </c>
      <c r="BO74" s="388">
        <f t="shared" si="55"/>
        <v>0</v>
      </c>
      <c r="BP74" s="388">
        <f t="shared" si="56"/>
        <v>3984.864</v>
      </c>
      <c r="BQ74" s="388">
        <f t="shared" si="57"/>
        <v>931.94400000000007</v>
      </c>
      <c r="BR74" s="388">
        <f t="shared" si="58"/>
        <v>7185.6095999999998</v>
      </c>
      <c r="BS74" s="388">
        <f t="shared" si="59"/>
        <v>463.40111999999999</v>
      </c>
      <c r="BT74" s="388">
        <f t="shared" si="60"/>
        <v>0</v>
      </c>
      <c r="BU74" s="388">
        <f t="shared" si="61"/>
        <v>0</v>
      </c>
      <c r="BV74" s="388">
        <f t="shared" si="62"/>
        <v>250.66079999999999</v>
      </c>
      <c r="BW74" s="388">
        <f t="shared" si="63"/>
        <v>0</v>
      </c>
      <c r="BX74" s="388">
        <f t="shared" si="78"/>
        <v>12816.479520000001</v>
      </c>
      <c r="BY74" s="388">
        <f t="shared" si="79"/>
        <v>0</v>
      </c>
      <c r="BZ74" s="388">
        <f t="shared" si="80"/>
        <v>1250</v>
      </c>
      <c r="CA74" s="388">
        <f t="shared" si="81"/>
        <v>0</v>
      </c>
      <c r="CB74" s="388">
        <f t="shared" si="82"/>
        <v>0</v>
      </c>
      <c r="CC74" s="388">
        <f t="shared" si="64"/>
        <v>0</v>
      </c>
      <c r="CD74" s="388">
        <f t="shared" si="65"/>
        <v>-488.46720000000062</v>
      </c>
      <c r="CE74" s="388">
        <f t="shared" si="66"/>
        <v>0</v>
      </c>
      <c r="CF74" s="388">
        <f t="shared" si="67"/>
        <v>0</v>
      </c>
      <c r="CG74" s="388">
        <f t="shared" si="68"/>
        <v>0</v>
      </c>
      <c r="CH74" s="388">
        <f t="shared" si="69"/>
        <v>25.708799999999982</v>
      </c>
      <c r="CI74" s="388">
        <f t="shared" si="70"/>
        <v>0</v>
      </c>
      <c r="CJ74" s="388">
        <f t="shared" si="83"/>
        <v>-462.75840000000062</v>
      </c>
      <c r="CK74" s="388" t="str">
        <f t="shared" si="84"/>
        <v/>
      </c>
      <c r="CL74" s="388" t="str">
        <f t="shared" si="85"/>
        <v/>
      </c>
      <c r="CM74" s="388" t="str">
        <f t="shared" si="86"/>
        <v/>
      </c>
      <c r="CN74" s="388" t="str">
        <f t="shared" si="87"/>
        <v>0001-00</v>
      </c>
    </row>
    <row r="75" spans="1:92" ht="15.75" thickBot="1" x14ac:dyDescent="0.3">
      <c r="A75" s="377" t="s">
        <v>162</v>
      </c>
      <c r="B75" s="377" t="s">
        <v>163</v>
      </c>
      <c r="C75" s="377" t="s">
        <v>487</v>
      </c>
      <c r="D75" s="377" t="s">
        <v>300</v>
      </c>
      <c r="E75" s="377" t="s">
        <v>265</v>
      </c>
      <c r="F75" s="378" t="s">
        <v>167</v>
      </c>
      <c r="G75" s="377" t="s">
        <v>439</v>
      </c>
      <c r="H75" s="379"/>
      <c r="I75" s="379"/>
      <c r="J75" s="377" t="s">
        <v>269</v>
      </c>
      <c r="K75" s="377" t="s">
        <v>301</v>
      </c>
      <c r="L75" s="377" t="s">
        <v>167</v>
      </c>
      <c r="M75" s="377" t="s">
        <v>172</v>
      </c>
      <c r="N75" s="377" t="s">
        <v>173</v>
      </c>
      <c r="O75" s="380">
        <v>1</v>
      </c>
      <c r="P75" s="386">
        <v>0</v>
      </c>
      <c r="Q75" s="386">
        <v>0</v>
      </c>
      <c r="R75" s="381">
        <v>80</v>
      </c>
      <c r="S75" s="386">
        <v>0</v>
      </c>
      <c r="T75" s="381">
        <v>2726.82</v>
      </c>
      <c r="U75" s="381">
        <v>0</v>
      </c>
      <c r="V75" s="381">
        <v>653.74</v>
      </c>
      <c r="W75" s="381">
        <v>0</v>
      </c>
      <c r="X75" s="381">
        <v>0</v>
      </c>
      <c r="Y75" s="381">
        <v>0</v>
      </c>
      <c r="Z75" s="381">
        <v>0</v>
      </c>
      <c r="AA75" s="377" t="s">
        <v>488</v>
      </c>
      <c r="AB75" s="377" t="s">
        <v>489</v>
      </c>
      <c r="AC75" s="377" t="s">
        <v>490</v>
      </c>
      <c r="AD75" s="377" t="s">
        <v>491</v>
      </c>
      <c r="AE75" s="377" t="s">
        <v>301</v>
      </c>
      <c r="AF75" s="377" t="s">
        <v>207</v>
      </c>
      <c r="AG75" s="377" t="s">
        <v>179</v>
      </c>
      <c r="AH75" s="382">
        <v>35.159999999999997</v>
      </c>
      <c r="AI75" s="382">
        <v>3729.2</v>
      </c>
      <c r="AJ75" s="377" t="s">
        <v>180</v>
      </c>
      <c r="AK75" s="377" t="s">
        <v>181</v>
      </c>
      <c r="AL75" s="377" t="s">
        <v>182</v>
      </c>
      <c r="AM75" s="377" t="s">
        <v>183</v>
      </c>
      <c r="AN75" s="377" t="s">
        <v>66</v>
      </c>
      <c r="AO75" s="380">
        <v>80</v>
      </c>
      <c r="AP75" s="386">
        <v>1</v>
      </c>
      <c r="AQ75" s="386">
        <v>0</v>
      </c>
      <c r="AR75" s="384" t="s">
        <v>184</v>
      </c>
      <c r="AS75" s="388">
        <f t="shared" si="71"/>
        <v>0</v>
      </c>
      <c r="AT75">
        <f t="shared" si="72"/>
        <v>0</v>
      </c>
      <c r="AU75" s="388" t="str">
        <f>IF(AT75=0,"",IF(AND(AT75=1,M75="F",SUMIF(C2:C258,C75,AS2:AS258)&lt;=1),SUMIF(C2:C258,C75,AS2:AS258),IF(AND(AT75=1,M75="F",SUMIF(C2:C258,C75,AS2:AS258)&gt;1),1,"")))</f>
        <v/>
      </c>
      <c r="AV75" s="388" t="str">
        <f>IF(AT75=0,"",IF(AND(AT75=3,M75="F",SUMIF(C2:C258,C75,AS2:AS258)&lt;=1),SUMIF(C2:C258,C75,AS2:AS258),IF(AND(AT75=3,M75="F",SUMIF(C2:C258,C75,AS2:AS258)&gt;1),1,"")))</f>
        <v/>
      </c>
      <c r="AW75" s="388">
        <f>SUMIF(C2:C258,C75,O2:O258)</f>
        <v>2</v>
      </c>
      <c r="AX75" s="388">
        <f>IF(AND(M75="F",AS75&lt;&gt;0),SUMIF(C2:C258,C75,W2:W258),0)</f>
        <v>0</v>
      </c>
      <c r="AY75" s="388" t="str">
        <f t="shared" si="73"/>
        <v/>
      </c>
      <c r="AZ75" s="388" t="str">
        <f t="shared" si="74"/>
        <v/>
      </c>
      <c r="BA75" s="388">
        <f t="shared" si="75"/>
        <v>0</v>
      </c>
      <c r="BB75" s="388">
        <f t="shared" si="44"/>
        <v>0</v>
      </c>
      <c r="BC75" s="388">
        <f t="shared" si="45"/>
        <v>0</v>
      </c>
      <c r="BD75" s="388">
        <f t="shared" si="46"/>
        <v>0</v>
      </c>
      <c r="BE75" s="388">
        <f t="shared" si="47"/>
        <v>0</v>
      </c>
      <c r="BF75" s="388">
        <f t="shared" si="48"/>
        <v>0</v>
      </c>
      <c r="BG75" s="388">
        <f t="shared" si="49"/>
        <v>0</v>
      </c>
      <c r="BH75" s="388">
        <f t="shared" si="50"/>
        <v>0</v>
      </c>
      <c r="BI75" s="388">
        <f t="shared" si="51"/>
        <v>0</v>
      </c>
      <c r="BJ75" s="388">
        <f t="shared" si="52"/>
        <v>0</v>
      </c>
      <c r="BK75" s="388">
        <f t="shared" si="53"/>
        <v>0</v>
      </c>
      <c r="BL75" s="388">
        <f t="shared" si="76"/>
        <v>0</v>
      </c>
      <c r="BM75" s="388">
        <f t="shared" si="77"/>
        <v>0</v>
      </c>
      <c r="BN75" s="388">
        <f t="shared" si="54"/>
        <v>0</v>
      </c>
      <c r="BO75" s="388">
        <f t="shared" si="55"/>
        <v>0</v>
      </c>
      <c r="BP75" s="388">
        <f t="shared" si="56"/>
        <v>0</v>
      </c>
      <c r="BQ75" s="388">
        <f t="shared" si="57"/>
        <v>0</v>
      </c>
      <c r="BR75" s="388">
        <f t="shared" si="58"/>
        <v>0</v>
      </c>
      <c r="BS75" s="388">
        <f t="shared" si="59"/>
        <v>0</v>
      </c>
      <c r="BT75" s="388">
        <f t="shared" si="60"/>
        <v>0</v>
      </c>
      <c r="BU75" s="388">
        <f t="shared" si="61"/>
        <v>0</v>
      </c>
      <c r="BV75" s="388">
        <f t="shared" si="62"/>
        <v>0</v>
      </c>
      <c r="BW75" s="388">
        <f t="shared" si="63"/>
        <v>0</v>
      </c>
      <c r="BX75" s="388">
        <f t="shared" si="78"/>
        <v>0</v>
      </c>
      <c r="BY75" s="388">
        <f t="shared" si="79"/>
        <v>0</v>
      </c>
      <c r="BZ75" s="388">
        <f t="shared" si="80"/>
        <v>0</v>
      </c>
      <c r="CA75" s="388">
        <f t="shared" si="81"/>
        <v>0</v>
      </c>
      <c r="CB75" s="388">
        <f t="shared" si="82"/>
        <v>0</v>
      </c>
      <c r="CC75" s="388">
        <f t="shared" si="64"/>
        <v>0</v>
      </c>
      <c r="CD75" s="388">
        <f t="shared" si="65"/>
        <v>0</v>
      </c>
      <c r="CE75" s="388">
        <f t="shared" si="66"/>
        <v>0</v>
      </c>
      <c r="CF75" s="388">
        <f t="shared" si="67"/>
        <v>0</v>
      </c>
      <c r="CG75" s="388">
        <f t="shared" si="68"/>
        <v>0</v>
      </c>
      <c r="CH75" s="388">
        <f t="shared" si="69"/>
        <v>0</v>
      </c>
      <c r="CI75" s="388">
        <f t="shared" si="70"/>
        <v>0</v>
      </c>
      <c r="CJ75" s="388">
        <f t="shared" si="83"/>
        <v>0</v>
      </c>
      <c r="CK75" s="388" t="str">
        <f t="shared" si="84"/>
        <v/>
      </c>
      <c r="CL75" s="388" t="str">
        <f t="shared" si="85"/>
        <v/>
      </c>
      <c r="CM75" s="388" t="str">
        <f t="shared" si="86"/>
        <v/>
      </c>
      <c r="CN75" s="388" t="str">
        <f t="shared" si="87"/>
        <v>0001-00</v>
      </c>
    </row>
    <row r="76" spans="1:92" ht="15.75" thickBot="1" x14ac:dyDescent="0.3">
      <c r="A76" s="377" t="s">
        <v>162</v>
      </c>
      <c r="B76" s="377" t="s">
        <v>163</v>
      </c>
      <c r="C76" s="377" t="s">
        <v>492</v>
      </c>
      <c r="D76" s="377" t="s">
        <v>276</v>
      </c>
      <c r="E76" s="377" t="s">
        <v>265</v>
      </c>
      <c r="F76" s="378" t="s">
        <v>167</v>
      </c>
      <c r="G76" s="377" t="s">
        <v>439</v>
      </c>
      <c r="H76" s="379"/>
      <c r="I76" s="379"/>
      <c r="J76" s="377" t="s">
        <v>169</v>
      </c>
      <c r="K76" s="377" t="s">
        <v>277</v>
      </c>
      <c r="L76" s="377" t="s">
        <v>215</v>
      </c>
      <c r="M76" s="377" t="s">
        <v>172</v>
      </c>
      <c r="N76" s="377" t="s">
        <v>173</v>
      </c>
      <c r="O76" s="380">
        <v>1</v>
      </c>
      <c r="P76" s="386">
        <v>0</v>
      </c>
      <c r="Q76" s="386">
        <v>0</v>
      </c>
      <c r="R76" s="381">
        <v>80</v>
      </c>
      <c r="S76" s="386">
        <v>0</v>
      </c>
      <c r="T76" s="381">
        <v>153.99</v>
      </c>
      <c r="U76" s="381">
        <v>0</v>
      </c>
      <c r="V76" s="381">
        <v>29.23</v>
      </c>
      <c r="W76" s="381">
        <v>0</v>
      </c>
      <c r="X76" s="381">
        <v>0</v>
      </c>
      <c r="Y76" s="381">
        <v>0</v>
      </c>
      <c r="Z76" s="381">
        <v>0</v>
      </c>
      <c r="AA76" s="377" t="s">
        <v>493</v>
      </c>
      <c r="AB76" s="377" t="s">
        <v>494</v>
      </c>
      <c r="AC76" s="377" t="s">
        <v>495</v>
      </c>
      <c r="AD76" s="377" t="s">
        <v>171</v>
      </c>
      <c r="AE76" s="377" t="s">
        <v>277</v>
      </c>
      <c r="AF76" s="377" t="s">
        <v>231</v>
      </c>
      <c r="AG76" s="377" t="s">
        <v>179</v>
      </c>
      <c r="AH76" s="382">
        <v>22.48</v>
      </c>
      <c r="AI76" s="382">
        <v>1745.2</v>
      </c>
      <c r="AJ76" s="377" t="s">
        <v>180</v>
      </c>
      <c r="AK76" s="377" t="s">
        <v>181</v>
      </c>
      <c r="AL76" s="377" t="s">
        <v>182</v>
      </c>
      <c r="AM76" s="377" t="s">
        <v>183</v>
      </c>
      <c r="AN76" s="377" t="s">
        <v>66</v>
      </c>
      <c r="AO76" s="380">
        <v>80</v>
      </c>
      <c r="AP76" s="386">
        <v>1</v>
      </c>
      <c r="AQ76" s="386">
        <v>0</v>
      </c>
      <c r="AR76" s="384" t="s">
        <v>184</v>
      </c>
      <c r="AS76" s="388">
        <f t="shared" si="71"/>
        <v>0</v>
      </c>
      <c r="AT76">
        <f t="shared" si="72"/>
        <v>0</v>
      </c>
      <c r="AU76" s="388" t="str">
        <f>IF(AT76=0,"",IF(AND(AT76=1,M76="F",SUMIF(C2:C258,C76,AS2:AS258)&lt;=1),SUMIF(C2:C258,C76,AS2:AS258),IF(AND(AT76=1,M76="F",SUMIF(C2:C258,C76,AS2:AS258)&gt;1),1,"")))</f>
        <v/>
      </c>
      <c r="AV76" s="388" t="str">
        <f>IF(AT76=0,"",IF(AND(AT76=3,M76="F",SUMIF(C2:C258,C76,AS2:AS258)&lt;=1),SUMIF(C2:C258,C76,AS2:AS258),IF(AND(AT76=3,M76="F",SUMIF(C2:C258,C76,AS2:AS258)&gt;1),1,"")))</f>
        <v/>
      </c>
      <c r="AW76" s="388">
        <f>SUMIF(C2:C258,C76,O2:O258)</f>
        <v>3</v>
      </c>
      <c r="AX76" s="388">
        <f>IF(AND(M76="F",AS76&lt;&gt;0),SUMIF(C2:C258,C76,W2:W258),0)</f>
        <v>0</v>
      </c>
      <c r="AY76" s="388" t="str">
        <f t="shared" si="73"/>
        <v/>
      </c>
      <c r="AZ76" s="388" t="str">
        <f t="shared" si="74"/>
        <v/>
      </c>
      <c r="BA76" s="388">
        <f t="shared" si="75"/>
        <v>0</v>
      </c>
      <c r="BB76" s="388">
        <f t="shared" si="44"/>
        <v>0</v>
      </c>
      <c r="BC76" s="388">
        <f t="shared" si="45"/>
        <v>0</v>
      </c>
      <c r="BD76" s="388">
        <f t="shared" si="46"/>
        <v>0</v>
      </c>
      <c r="BE76" s="388">
        <f t="shared" si="47"/>
        <v>0</v>
      </c>
      <c r="BF76" s="388">
        <f t="shared" si="48"/>
        <v>0</v>
      </c>
      <c r="BG76" s="388">
        <f t="shared" si="49"/>
        <v>0</v>
      </c>
      <c r="BH76" s="388">
        <f t="shared" si="50"/>
        <v>0</v>
      </c>
      <c r="BI76" s="388">
        <f t="shared" si="51"/>
        <v>0</v>
      </c>
      <c r="BJ76" s="388">
        <f t="shared" si="52"/>
        <v>0</v>
      </c>
      <c r="BK76" s="388">
        <f t="shared" si="53"/>
        <v>0</v>
      </c>
      <c r="BL76" s="388">
        <f t="shared" si="76"/>
        <v>0</v>
      </c>
      <c r="BM76" s="388">
        <f t="shared" si="77"/>
        <v>0</v>
      </c>
      <c r="BN76" s="388">
        <f t="shared" si="54"/>
        <v>0</v>
      </c>
      <c r="BO76" s="388">
        <f t="shared" si="55"/>
        <v>0</v>
      </c>
      <c r="BP76" s="388">
        <f t="shared" si="56"/>
        <v>0</v>
      </c>
      <c r="BQ76" s="388">
        <f t="shared" si="57"/>
        <v>0</v>
      </c>
      <c r="BR76" s="388">
        <f t="shared" si="58"/>
        <v>0</v>
      </c>
      <c r="BS76" s="388">
        <f t="shared" si="59"/>
        <v>0</v>
      </c>
      <c r="BT76" s="388">
        <f t="shared" si="60"/>
        <v>0</v>
      </c>
      <c r="BU76" s="388">
        <f t="shared" si="61"/>
        <v>0</v>
      </c>
      <c r="BV76" s="388">
        <f t="shared" si="62"/>
        <v>0</v>
      </c>
      <c r="BW76" s="388">
        <f t="shared" si="63"/>
        <v>0</v>
      </c>
      <c r="BX76" s="388">
        <f t="shared" si="78"/>
        <v>0</v>
      </c>
      <c r="BY76" s="388">
        <f t="shared" si="79"/>
        <v>0</v>
      </c>
      <c r="BZ76" s="388">
        <f t="shared" si="80"/>
        <v>0</v>
      </c>
      <c r="CA76" s="388">
        <f t="shared" si="81"/>
        <v>0</v>
      </c>
      <c r="CB76" s="388">
        <f t="shared" si="82"/>
        <v>0</v>
      </c>
      <c r="CC76" s="388">
        <f t="shared" si="64"/>
        <v>0</v>
      </c>
      <c r="CD76" s="388">
        <f t="shared" si="65"/>
        <v>0</v>
      </c>
      <c r="CE76" s="388">
        <f t="shared" si="66"/>
        <v>0</v>
      </c>
      <c r="CF76" s="388">
        <f t="shared" si="67"/>
        <v>0</v>
      </c>
      <c r="CG76" s="388">
        <f t="shared" si="68"/>
        <v>0</v>
      </c>
      <c r="CH76" s="388">
        <f t="shared" si="69"/>
        <v>0</v>
      </c>
      <c r="CI76" s="388">
        <f t="shared" si="70"/>
        <v>0</v>
      </c>
      <c r="CJ76" s="388">
        <f t="shared" si="83"/>
        <v>0</v>
      </c>
      <c r="CK76" s="388" t="str">
        <f t="shared" si="84"/>
        <v/>
      </c>
      <c r="CL76" s="388" t="str">
        <f t="shared" si="85"/>
        <v/>
      </c>
      <c r="CM76" s="388" t="str">
        <f t="shared" si="86"/>
        <v/>
      </c>
      <c r="CN76" s="388" t="str">
        <f t="shared" si="87"/>
        <v>0001-00</v>
      </c>
    </row>
    <row r="77" spans="1:92" ht="15.75" thickBot="1" x14ac:dyDescent="0.3">
      <c r="A77" s="377" t="s">
        <v>162</v>
      </c>
      <c r="B77" s="377" t="s">
        <v>163</v>
      </c>
      <c r="C77" s="377" t="s">
        <v>496</v>
      </c>
      <c r="D77" s="377" t="s">
        <v>282</v>
      </c>
      <c r="E77" s="377" t="s">
        <v>265</v>
      </c>
      <c r="F77" s="378" t="s">
        <v>167</v>
      </c>
      <c r="G77" s="377" t="s">
        <v>439</v>
      </c>
      <c r="H77" s="379"/>
      <c r="I77" s="379"/>
      <c r="J77" s="377" t="s">
        <v>169</v>
      </c>
      <c r="K77" s="377" t="s">
        <v>244</v>
      </c>
      <c r="L77" s="377" t="s">
        <v>167</v>
      </c>
      <c r="M77" s="377" t="s">
        <v>172</v>
      </c>
      <c r="N77" s="377" t="s">
        <v>173</v>
      </c>
      <c r="O77" s="380">
        <v>1</v>
      </c>
      <c r="P77" s="386">
        <v>0.55000000000000004</v>
      </c>
      <c r="Q77" s="386">
        <v>0.55000000000000004</v>
      </c>
      <c r="R77" s="381">
        <v>80</v>
      </c>
      <c r="S77" s="386">
        <v>0.55000000000000004</v>
      </c>
      <c r="T77" s="381">
        <v>55387.31</v>
      </c>
      <c r="U77" s="381">
        <v>0</v>
      </c>
      <c r="V77" s="381">
        <v>16169.82</v>
      </c>
      <c r="W77" s="381">
        <v>49912.72</v>
      </c>
      <c r="X77" s="381">
        <v>17187.45</v>
      </c>
      <c r="Y77" s="381">
        <v>49912.72</v>
      </c>
      <c r="Z77" s="381">
        <v>17515.580000000002</v>
      </c>
      <c r="AA77" s="377" t="s">
        <v>497</v>
      </c>
      <c r="AB77" s="377" t="s">
        <v>498</v>
      </c>
      <c r="AC77" s="377" t="s">
        <v>499</v>
      </c>
      <c r="AD77" s="377" t="s">
        <v>500</v>
      </c>
      <c r="AE77" s="377" t="s">
        <v>244</v>
      </c>
      <c r="AF77" s="377" t="s">
        <v>207</v>
      </c>
      <c r="AG77" s="377" t="s">
        <v>179</v>
      </c>
      <c r="AH77" s="382">
        <v>43.63</v>
      </c>
      <c r="AI77" s="382">
        <v>6935.5</v>
      </c>
      <c r="AJ77" s="377" t="s">
        <v>180</v>
      </c>
      <c r="AK77" s="377" t="s">
        <v>181</v>
      </c>
      <c r="AL77" s="377" t="s">
        <v>182</v>
      </c>
      <c r="AM77" s="377" t="s">
        <v>183</v>
      </c>
      <c r="AN77" s="377" t="s">
        <v>66</v>
      </c>
      <c r="AO77" s="380">
        <v>80</v>
      </c>
      <c r="AP77" s="386">
        <v>1</v>
      </c>
      <c r="AQ77" s="386">
        <v>0.55000000000000004</v>
      </c>
      <c r="AR77" s="384" t="s">
        <v>184</v>
      </c>
      <c r="AS77" s="388">
        <f t="shared" si="71"/>
        <v>0.55000000000000004</v>
      </c>
      <c r="AT77">
        <f t="shared" si="72"/>
        <v>1</v>
      </c>
      <c r="AU77" s="388">
        <f>IF(AT77=0,"",IF(AND(AT77=1,M77="F",SUMIF(C2:C258,C77,AS2:AS258)&lt;=1),SUMIF(C2:C258,C77,AS2:AS258),IF(AND(AT77=1,M77="F",SUMIF(C2:C258,C77,AS2:AS258)&gt;1),1,"")))</f>
        <v>1</v>
      </c>
      <c r="AV77" s="388" t="str">
        <f>IF(AT77=0,"",IF(AND(AT77=3,M77="F",SUMIF(C2:C258,C77,AS2:AS258)&lt;=1),SUMIF(C2:C258,C77,AS2:AS258),IF(AND(AT77=3,M77="F",SUMIF(C2:C258,C77,AS2:AS258)&gt;1),1,"")))</f>
        <v/>
      </c>
      <c r="AW77" s="388">
        <f>SUMIF(C2:C258,C77,O2:O258)</f>
        <v>2</v>
      </c>
      <c r="AX77" s="388">
        <f>IF(AND(M77="F",AS77&lt;&gt;0),SUMIF(C2:C258,C77,W2:W258),0)</f>
        <v>90750.399999999994</v>
      </c>
      <c r="AY77" s="388">
        <f t="shared" si="73"/>
        <v>49912.72</v>
      </c>
      <c r="AZ77" s="388" t="str">
        <f t="shared" si="74"/>
        <v/>
      </c>
      <c r="BA77" s="388">
        <f t="shared" si="75"/>
        <v>0</v>
      </c>
      <c r="BB77" s="388">
        <f t="shared" si="44"/>
        <v>6875.0000000000009</v>
      </c>
      <c r="BC77" s="388">
        <f t="shared" si="45"/>
        <v>0</v>
      </c>
      <c r="BD77" s="388">
        <f t="shared" si="46"/>
        <v>3094.5886399999999</v>
      </c>
      <c r="BE77" s="388">
        <f t="shared" si="47"/>
        <v>723.73444000000006</v>
      </c>
      <c r="BF77" s="388">
        <f t="shared" si="48"/>
        <v>5959.5787680000003</v>
      </c>
      <c r="BG77" s="388">
        <f t="shared" si="49"/>
        <v>359.87071120000002</v>
      </c>
      <c r="BH77" s="388">
        <f t="shared" si="50"/>
        <v>0</v>
      </c>
      <c r="BI77" s="388">
        <f t="shared" si="51"/>
        <v>0</v>
      </c>
      <c r="BJ77" s="388">
        <f t="shared" si="52"/>
        <v>174.69452000000001</v>
      </c>
      <c r="BK77" s="388">
        <f t="shared" si="53"/>
        <v>0</v>
      </c>
      <c r="BL77" s="388">
        <f t="shared" si="76"/>
        <v>10312.4670792</v>
      </c>
      <c r="BM77" s="388">
        <f t="shared" si="77"/>
        <v>0</v>
      </c>
      <c r="BN77" s="388">
        <f t="shared" si="54"/>
        <v>7562.5000000000009</v>
      </c>
      <c r="BO77" s="388">
        <f t="shared" si="55"/>
        <v>0</v>
      </c>
      <c r="BP77" s="388">
        <f t="shared" si="56"/>
        <v>3094.5886399999999</v>
      </c>
      <c r="BQ77" s="388">
        <f t="shared" si="57"/>
        <v>723.73444000000006</v>
      </c>
      <c r="BR77" s="388">
        <f t="shared" si="58"/>
        <v>5580.2420959999999</v>
      </c>
      <c r="BS77" s="388">
        <f t="shared" si="59"/>
        <v>359.87071120000002</v>
      </c>
      <c r="BT77" s="388">
        <f t="shared" si="60"/>
        <v>0</v>
      </c>
      <c r="BU77" s="388">
        <f t="shared" si="61"/>
        <v>0</v>
      </c>
      <c r="BV77" s="388">
        <f t="shared" si="62"/>
        <v>194.65960799999999</v>
      </c>
      <c r="BW77" s="388">
        <f t="shared" si="63"/>
        <v>0</v>
      </c>
      <c r="BX77" s="388">
        <f t="shared" si="78"/>
        <v>9953.0954951999993</v>
      </c>
      <c r="BY77" s="388">
        <f t="shared" si="79"/>
        <v>0</v>
      </c>
      <c r="BZ77" s="388">
        <f t="shared" si="80"/>
        <v>687.5</v>
      </c>
      <c r="CA77" s="388">
        <f t="shared" si="81"/>
        <v>0</v>
      </c>
      <c r="CB77" s="388">
        <f t="shared" si="82"/>
        <v>0</v>
      </c>
      <c r="CC77" s="388">
        <f t="shared" si="64"/>
        <v>0</v>
      </c>
      <c r="CD77" s="388">
        <f t="shared" si="65"/>
        <v>-379.33667200000048</v>
      </c>
      <c r="CE77" s="388">
        <f t="shared" si="66"/>
        <v>0</v>
      </c>
      <c r="CF77" s="388">
        <f t="shared" si="67"/>
        <v>0</v>
      </c>
      <c r="CG77" s="388">
        <f t="shared" si="68"/>
        <v>0</v>
      </c>
      <c r="CH77" s="388">
        <f t="shared" si="69"/>
        <v>19.965087999999987</v>
      </c>
      <c r="CI77" s="388">
        <f t="shared" si="70"/>
        <v>0</v>
      </c>
      <c r="CJ77" s="388">
        <f t="shared" si="83"/>
        <v>-359.3715840000005</v>
      </c>
      <c r="CK77" s="388" t="str">
        <f t="shared" si="84"/>
        <v/>
      </c>
      <c r="CL77" s="388" t="str">
        <f t="shared" si="85"/>
        <v/>
      </c>
      <c r="CM77" s="388" t="str">
        <f t="shared" si="86"/>
        <v/>
      </c>
      <c r="CN77" s="388" t="str">
        <f t="shared" si="87"/>
        <v>0001-00</v>
      </c>
    </row>
    <row r="78" spans="1:92" ht="15.75" thickBot="1" x14ac:dyDescent="0.3">
      <c r="A78" s="377" t="s">
        <v>162</v>
      </c>
      <c r="B78" s="377" t="s">
        <v>163</v>
      </c>
      <c r="C78" s="377" t="s">
        <v>501</v>
      </c>
      <c r="D78" s="377" t="s">
        <v>464</v>
      </c>
      <c r="E78" s="377" t="s">
        <v>265</v>
      </c>
      <c r="F78" s="378" t="s">
        <v>167</v>
      </c>
      <c r="G78" s="377" t="s">
        <v>439</v>
      </c>
      <c r="H78" s="379"/>
      <c r="I78" s="379"/>
      <c r="J78" s="377" t="s">
        <v>169</v>
      </c>
      <c r="K78" s="377" t="s">
        <v>465</v>
      </c>
      <c r="L78" s="377" t="s">
        <v>167</v>
      </c>
      <c r="M78" s="377" t="s">
        <v>395</v>
      </c>
      <c r="N78" s="377" t="s">
        <v>173</v>
      </c>
      <c r="O78" s="380">
        <v>0</v>
      </c>
      <c r="P78" s="386">
        <v>0.5</v>
      </c>
      <c r="Q78" s="386">
        <v>0.5</v>
      </c>
      <c r="R78" s="381">
        <v>80</v>
      </c>
      <c r="S78" s="386">
        <v>0.5</v>
      </c>
      <c r="T78" s="381">
        <v>18778.150000000001</v>
      </c>
      <c r="U78" s="381">
        <v>0</v>
      </c>
      <c r="V78" s="381">
        <v>7729.37</v>
      </c>
      <c r="W78" s="381">
        <v>26520</v>
      </c>
      <c r="X78" s="381">
        <v>11934</v>
      </c>
      <c r="Y78" s="381">
        <v>26520</v>
      </c>
      <c r="Z78" s="381">
        <v>12358.32</v>
      </c>
      <c r="AA78" s="379"/>
      <c r="AB78" s="377" t="s">
        <v>45</v>
      </c>
      <c r="AC78" s="377" t="s">
        <v>45</v>
      </c>
      <c r="AD78" s="379"/>
      <c r="AE78" s="379"/>
      <c r="AF78" s="379"/>
      <c r="AG78" s="379"/>
      <c r="AH78" s="380">
        <v>0</v>
      </c>
      <c r="AI78" s="380">
        <v>0</v>
      </c>
      <c r="AJ78" s="379"/>
      <c r="AK78" s="379"/>
      <c r="AL78" s="377" t="s">
        <v>182</v>
      </c>
      <c r="AM78" s="379"/>
      <c r="AN78" s="379"/>
      <c r="AO78" s="380">
        <v>0</v>
      </c>
      <c r="AP78" s="386">
        <v>0</v>
      </c>
      <c r="AQ78" s="386">
        <v>0</v>
      </c>
      <c r="AR78" s="385"/>
      <c r="AS78" s="388">
        <f t="shared" si="71"/>
        <v>0</v>
      </c>
      <c r="AT78">
        <f t="shared" si="72"/>
        <v>0</v>
      </c>
      <c r="AU78" s="388" t="str">
        <f>IF(AT78=0,"",IF(AND(AT78=1,M78="F",SUMIF(C2:C258,C78,AS2:AS258)&lt;=1),SUMIF(C2:C258,C78,AS2:AS258),IF(AND(AT78=1,M78="F",SUMIF(C2:C258,C78,AS2:AS258)&gt;1),1,"")))</f>
        <v/>
      </c>
      <c r="AV78" s="388" t="str">
        <f>IF(AT78=0,"",IF(AND(AT78=3,M78="F",SUMIF(C2:C258,C78,AS2:AS258)&lt;=1),SUMIF(C2:C258,C78,AS2:AS258),IF(AND(AT78=3,M78="F",SUMIF(C2:C258,C78,AS2:AS258)&gt;1),1,"")))</f>
        <v/>
      </c>
      <c r="AW78" s="388">
        <f>SUMIF(C2:C258,C78,O2:O258)</f>
        <v>0</v>
      </c>
      <c r="AX78" s="388">
        <f>IF(AND(M78="F",AS78&lt;&gt;0),SUMIF(C2:C258,C78,W2:W258),0)</f>
        <v>0</v>
      </c>
      <c r="AY78" s="388" t="str">
        <f t="shared" si="73"/>
        <v/>
      </c>
      <c r="AZ78" s="388" t="str">
        <f t="shared" si="74"/>
        <v/>
      </c>
      <c r="BA78" s="388">
        <f t="shared" si="75"/>
        <v>0</v>
      </c>
      <c r="BB78" s="388">
        <f t="shared" si="44"/>
        <v>0</v>
      </c>
      <c r="BC78" s="388">
        <f t="shared" si="45"/>
        <v>0</v>
      </c>
      <c r="BD78" s="388">
        <f t="shared" si="46"/>
        <v>0</v>
      </c>
      <c r="BE78" s="388">
        <f t="shared" si="47"/>
        <v>0</v>
      </c>
      <c r="BF78" s="388">
        <f t="shared" si="48"/>
        <v>0</v>
      </c>
      <c r="BG78" s="388">
        <f t="shared" si="49"/>
        <v>0</v>
      </c>
      <c r="BH78" s="388">
        <f t="shared" si="50"/>
        <v>0</v>
      </c>
      <c r="BI78" s="388">
        <f t="shared" si="51"/>
        <v>0</v>
      </c>
      <c r="BJ78" s="388">
        <f t="shared" si="52"/>
        <v>0</v>
      </c>
      <c r="BK78" s="388">
        <f t="shared" si="53"/>
        <v>0</v>
      </c>
      <c r="BL78" s="388">
        <f t="shared" si="76"/>
        <v>0</v>
      </c>
      <c r="BM78" s="388">
        <f t="shared" si="77"/>
        <v>0</v>
      </c>
      <c r="BN78" s="388">
        <f t="shared" si="54"/>
        <v>0</v>
      </c>
      <c r="BO78" s="388">
        <f t="shared" si="55"/>
        <v>0</v>
      </c>
      <c r="BP78" s="388">
        <f t="shared" si="56"/>
        <v>0</v>
      </c>
      <c r="BQ78" s="388">
        <f t="shared" si="57"/>
        <v>0</v>
      </c>
      <c r="BR78" s="388">
        <f t="shared" si="58"/>
        <v>0</v>
      </c>
      <c r="BS78" s="388">
        <f t="shared" si="59"/>
        <v>0</v>
      </c>
      <c r="BT78" s="388">
        <f t="shared" si="60"/>
        <v>0</v>
      </c>
      <c r="BU78" s="388">
        <f t="shared" si="61"/>
        <v>0</v>
      </c>
      <c r="BV78" s="388">
        <f t="shared" si="62"/>
        <v>0</v>
      </c>
      <c r="BW78" s="388">
        <f t="shared" si="63"/>
        <v>0</v>
      </c>
      <c r="BX78" s="388">
        <f t="shared" si="78"/>
        <v>0</v>
      </c>
      <c r="BY78" s="388">
        <f t="shared" si="79"/>
        <v>0</v>
      </c>
      <c r="BZ78" s="388">
        <f t="shared" si="80"/>
        <v>0</v>
      </c>
      <c r="CA78" s="388">
        <f t="shared" si="81"/>
        <v>0</v>
      </c>
      <c r="CB78" s="388">
        <f t="shared" si="82"/>
        <v>0</v>
      </c>
      <c r="CC78" s="388">
        <f t="shared" si="64"/>
        <v>0</v>
      </c>
      <c r="CD78" s="388">
        <f t="shared" si="65"/>
        <v>0</v>
      </c>
      <c r="CE78" s="388">
        <f t="shared" si="66"/>
        <v>0</v>
      </c>
      <c r="CF78" s="388">
        <f t="shared" si="67"/>
        <v>0</v>
      </c>
      <c r="CG78" s="388">
        <f t="shared" si="68"/>
        <v>0</v>
      </c>
      <c r="CH78" s="388">
        <f t="shared" si="69"/>
        <v>0</v>
      </c>
      <c r="CI78" s="388">
        <f t="shared" si="70"/>
        <v>0</v>
      </c>
      <c r="CJ78" s="388">
        <f t="shared" si="83"/>
        <v>0</v>
      </c>
      <c r="CK78" s="388" t="str">
        <f t="shared" si="84"/>
        <v/>
      </c>
      <c r="CL78" s="388" t="str">
        <f t="shared" si="85"/>
        <v/>
      </c>
      <c r="CM78" s="388" t="str">
        <f t="shared" si="86"/>
        <v/>
      </c>
      <c r="CN78" s="388" t="str">
        <f t="shared" si="87"/>
        <v>0001-00</v>
      </c>
    </row>
    <row r="79" spans="1:92" ht="15.75" thickBot="1" x14ac:dyDescent="0.3">
      <c r="A79" s="377" t="s">
        <v>162</v>
      </c>
      <c r="B79" s="377" t="s">
        <v>163</v>
      </c>
      <c r="C79" s="377" t="s">
        <v>502</v>
      </c>
      <c r="D79" s="377" t="s">
        <v>503</v>
      </c>
      <c r="E79" s="377" t="s">
        <v>265</v>
      </c>
      <c r="F79" s="378" t="s">
        <v>167</v>
      </c>
      <c r="G79" s="377" t="s">
        <v>439</v>
      </c>
      <c r="H79" s="379"/>
      <c r="I79" s="379"/>
      <c r="J79" s="377" t="s">
        <v>219</v>
      </c>
      <c r="K79" s="377" t="s">
        <v>504</v>
      </c>
      <c r="L79" s="377" t="s">
        <v>211</v>
      </c>
      <c r="M79" s="377" t="s">
        <v>172</v>
      </c>
      <c r="N79" s="377" t="s">
        <v>173</v>
      </c>
      <c r="O79" s="380">
        <v>1</v>
      </c>
      <c r="P79" s="386">
        <v>1</v>
      </c>
      <c r="Q79" s="386">
        <v>1</v>
      </c>
      <c r="R79" s="381">
        <v>80</v>
      </c>
      <c r="S79" s="386">
        <v>1</v>
      </c>
      <c r="T79" s="381">
        <v>46241.760000000002</v>
      </c>
      <c r="U79" s="381">
        <v>125.32</v>
      </c>
      <c r="V79" s="381">
        <v>21381.16</v>
      </c>
      <c r="W79" s="381">
        <v>45489.599999999999</v>
      </c>
      <c r="X79" s="381">
        <v>21898.58</v>
      </c>
      <c r="Y79" s="381">
        <v>45489.599999999999</v>
      </c>
      <c r="Z79" s="381">
        <v>22821.05</v>
      </c>
      <c r="AA79" s="377" t="s">
        <v>505</v>
      </c>
      <c r="AB79" s="377" t="s">
        <v>506</v>
      </c>
      <c r="AC79" s="377" t="s">
        <v>507</v>
      </c>
      <c r="AD79" s="377" t="s">
        <v>508</v>
      </c>
      <c r="AE79" s="377" t="s">
        <v>504</v>
      </c>
      <c r="AF79" s="377" t="s">
        <v>216</v>
      </c>
      <c r="AG79" s="377" t="s">
        <v>179</v>
      </c>
      <c r="AH79" s="382">
        <v>21.87</v>
      </c>
      <c r="AI79" s="382">
        <v>6791.9</v>
      </c>
      <c r="AJ79" s="377" t="s">
        <v>180</v>
      </c>
      <c r="AK79" s="377" t="s">
        <v>181</v>
      </c>
      <c r="AL79" s="377" t="s">
        <v>182</v>
      </c>
      <c r="AM79" s="377" t="s">
        <v>183</v>
      </c>
      <c r="AN79" s="377" t="s">
        <v>66</v>
      </c>
      <c r="AO79" s="380">
        <v>80</v>
      </c>
      <c r="AP79" s="386">
        <v>1</v>
      </c>
      <c r="AQ79" s="386">
        <v>1</v>
      </c>
      <c r="AR79" s="384" t="s">
        <v>184</v>
      </c>
      <c r="AS79" s="388">
        <f t="shared" si="71"/>
        <v>1</v>
      </c>
      <c r="AT79">
        <f t="shared" si="72"/>
        <v>1</v>
      </c>
      <c r="AU79" s="388">
        <f>IF(AT79=0,"",IF(AND(AT79=1,M79="F",SUMIF(C2:C258,C79,AS2:AS258)&lt;=1),SUMIF(C2:C258,C79,AS2:AS258),IF(AND(AT79=1,M79="F",SUMIF(C2:C258,C79,AS2:AS258)&gt;1),1,"")))</f>
        <v>1</v>
      </c>
      <c r="AV79" s="388" t="str">
        <f>IF(AT79=0,"",IF(AND(AT79=3,M79="F",SUMIF(C2:C258,C79,AS2:AS258)&lt;=1),SUMIF(C2:C258,C79,AS2:AS258),IF(AND(AT79=3,M79="F",SUMIF(C2:C258,C79,AS2:AS258)&gt;1),1,"")))</f>
        <v/>
      </c>
      <c r="AW79" s="388">
        <f>SUMIF(C2:C258,C79,O2:O258)</f>
        <v>1</v>
      </c>
      <c r="AX79" s="388">
        <f>IF(AND(M79="F",AS79&lt;&gt;0),SUMIF(C2:C258,C79,W2:W258),0)</f>
        <v>45489.599999999999</v>
      </c>
      <c r="AY79" s="388">
        <f t="shared" si="73"/>
        <v>45489.599999999999</v>
      </c>
      <c r="AZ79" s="388" t="str">
        <f t="shared" si="74"/>
        <v/>
      </c>
      <c r="BA79" s="388">
        <f t="shared" si="75"/>
        <v>0</v>
      </c>
      <c r="BB79" s="388">
        <f t="shared" si="44"/>
        <v>12500</v>
      </c>
      <c r="BC79" s="388">
        <f t="shared" si="45"/>
        <v>0</v>
      </c>
      <c r="BD79" s="388">
        <f t="shared" si="46"/>
        <v>2820.3552</v>
      </c>
      <c r="BE79" s="388">
        <f t="shared" si="47"/>
        <v>659.5992</v>
      </c>
      <c r="BF79" s="388">
        <f t="shared" si="48"/>
        <v>5431.4582399999999</v>
      </c>
      <c r="BG79" s="388">
        <f t="shared" si="49"/>
        <v>327.98001599999998</v>
      </c>
      <c r="BH79" s="388">
        <f t="shared" si="50"/>
        <v>0</v>
      </c>
      <c r="BI79" s="388">
        <f t="shared" si="51"/>
        <v>0</v>
      </c>
      <c r="BJ79" s="388">
        <f t="shared" si="52"/>
        <v>159.21359999999999</v>
      </c>
      <c r="BK79" s="388">
        <f t="shared" si="53"/>
        <v>0</v>
      </c>
      <c r="BL79" s="388">
        <f t="shared" si="76"/>
        <v>9398.6062559999991</v>
      </c>
      <c r="BM79" s="388">
        <f t="shared" si="77"/>
        <v>0</v>
      </c>
      <c r="BN79" s="388">
        <f t="shared" si="54"/>
        <v>13750</v>
      </c>
      <c r="BO79" s="388">
        <f t="shared" si="55"/>
        <v>0</v>
      </c>
      <c r="BP79" s="388">
        <f t="shared" si="56"/>
        <v>2820.3552</v>
      </c>
      <c r="BQ79" s="388">
        <f t="shared" si="57"/>
        <v>659.5992</v>
      </c>
      <c r="BR79" s="388">
        <f t="shared" si="58"/>
        <v>5085.7372799999994</v>
      </c>
      <c r="BS79" s="388">
        <f t="shared" si="59"/>
        <v>327.98001599999998</v>
      </c>
      <c r="BT79" s="388">
        <f t="shared" si="60"/>
        <v>0</v>
      </c>
      <c r="BU79" s="388">
        <f t="shared" si="61"/>
        <v>0</v>
      </c>
      <c r="BV79" s="388">
        <f t="shared" si="62"/>
        <v>177.40943999999999</v>
      </c>
      <c r="BW79" s="388">
        <f t="shared" si="63"/>
        <v>0</v>
      </c>
      <c r="BX79" s="388">
        <f t="shared" si="78"/>
        <v>9071.0811359999989</v>
      </c>
      <c r="BY79" s="388">
        <f t="shared" si="79"/>
        <v>0</v>
      </c>
      <c r="BZ79" s="388">
        <f t="shared" si="80"/>
        <v>1250</v>
      </c>
      <c r="CA79" s="388">
        <f t="shared" si="81"/>
        <v>0</v>
      </c>
      <c r="CB79" s="388">
        <f t="shared" si="82"/>
        <v>0</v>
      </c>
      <c r="CC79" s="388">
        <f t="shared" si="64"/>
        <v>0</v>
      </c>
      <c r="CD79" s="388">
        <f t="shared" si="65"/>
        <v>-345.72096000000045</v>
      </c>
      <c r="CE79" s="388">
        <f t="shared" si="66"/>
        <v>0</v>
      </c>
      <c r="CF79" s="388">
        <f t="shared" si="67"/>
        <v>0</v>
      </c>
      <c r="CG79" s="388">
        <f t="shared" si="68"/>
        <v>0</v>
      </c>
      <c r="CH79" s="388">
        <f t="shared" si="69"/>
        <v>18.195839999999986</v>
      </c>
      <c r="CI79" s="388">
        <f t="shared" si="70"/>
        <v>0</v>
      </c>
      <c r="CJ79" s="388">
        <f t="shared" si="83"/>
        <v>-327.52512000000047</v>
      </c>
      <c r="CK79" s="388" t="str">
        <f t="shared" si="84"/>
        <v/>
      </c>
      <c r="CL79" s="388" t="str">
        <f t="shared" si="85"/>
        <v/>
      </c>
      <c r="CM79" s="388" t="str">
        <f t="shared" si="86"/>
        <v/>
      </c>
      <c r="CN79" s="388" t="str">
        <f t="shared" si="87"/>
        <v>0001-00</v>
      </c>
    </row>
    <row r="80" spans="1:92" ht="15.75" thickBot="1" x14ac:dyDescent="0.3">
      <c r="A80" s="377" t="s">
        <v>162</v>
      </c>
      <c r="B80" s="377" t="s">
        <v>163</v>
      </c>
      <c r="C80" s="377" t="s">
        <v>355</v>
      </c>
      <c r="D80" s="377" t="s">
        <v>251</v>
      </c>
      <c r="E80" s="377" t="s">
        <v>265</v>
      </c>
      <c r="F80" s="378" t="s">
        <v>167</v>
      </c>
      <c r="G80" s="377" t="s">
        <v>439</v>
      </c>
      <c r="H80" s="379"/>
      <c r="I80" s="379"/>
      <c r="J80" s="377" t="s">
        <v>219</v>
      </c>
      <c r="K80" s="377" t="s">
        <v>252</v>
      </c>
      <c r="L80" s="377" t="s">
        <v>179</v>
      </c>
      <c r="M80" s="377" t="s">
        <v>172</v>
      </c>
      <c r="N80" s="377" t="s">
        <v>173</v>
      </c>
      <c r="O80" s="380">
        <v>1</v>
      </c>
      <c r="P80" s="386">
        <v>1</v>
      </c>
      <c r="Q80" s="386">
        <v>1</v>
      </c>
      <c r="R80" s="381">
        <v>80</v>
      </c>
      <c r="S80" s="386">
        <v>1</v>
      </c>
      <c r="T80" s="381">
        <v>3874.24</v>
      </c>
      <c r="U80" s="381">
        <v>22.86</v>
      </c>
      <c r="V80" s="381">
        <v>2690.38</v>
      </c>
      <c r="W80" s="381">
        <v>36004.800000000003</v>
      </c>
      <c r="X80" s="381">
        <v>19938.919999999998</v>
      </c>
      <c r="Y80" s="381">
        <v>36004.800000000003</v>
      </c>
      <c r="Z80" s="381">
        <v>20929.68</v>
      </c>
      <c r="AA80" s="377" t="s">
        <v>356</v>
      </c>
      <c r="AB80" s="377" t="s">
        <v>357</v>
      </c>
      <c r="AC80" s="377" t="s">
        <v>358</v>
      </c>
      <c r="AD80" s="377" t="s">
        <v>359</v>
      </c>
      <c r="AE80" s="377" t="s">
        <v>252</v>
      </c>
      <c r="AF80" s="377" t="s">
        <v>257</v>
      </c>
      <c r="AG80" s="377" t="s">
        <v>179</v>
      </c>
      <c r="AH80" s="382">
        <v>17.309999999999999</v>
      </c>
      <c r="AI80" s="380">
        <v>161</v>
      </c>
      <c r="AJ80" s="377" t="s">
        <v>180</v>
      </c>
      <c r="AK80" s="377" t="s">
        <v>181</v>
      </c>
      <c r="AL80" s="377" t="s">
        <v>182</v>
      </c>
      <c r="AM80" s="377" t="s">
        <v>183</v>
      </c>
      <c r="AN80" s="377" t="s">
        <v>66</v>
      </c>
      <c r="AO80" s="380">
        <v>80</v>
      </c>
      <c r="AP80" s="386">
        <v>1</v>
      </c>
      <c r="AQ80" s="386">
        <v>1</v>
      </c>
      <c r="AR80" s="384" t="s">
        <v>184</v>
      </c>
      <c r="AS80" s="388">
        <f t="shared" si="71"/>
        <v>1</v>
      </c>
      <c r="AT80">
        <f t="shared" si="72"/>
        <v>1</v>
      </c>
      <c r="AU80" s="388">
        <f>IF(AT80=0,"",IF(AND(AT80=1,M80="F",SUMIF(C2:C258,C80,AS2:AS258)&lt;=1),SUMIF(C2:C258,C80,AS2:AS258),IF(AND(AT80=1,M80="F",SUMIF(C2:C258,C80,AS2:AS258)&gt;1),1,"")))</f>
        <v>1</v>
      </c>
      <c r="AV80" s="388" t="str">
        <f>IF(AT80=0,"",IF(AND(AT80=3,M80="F",SUMIF(C2:C258,C80,AS2:AS258)&lt;=1),SUMIF(C2:C258,C80,AS2:AS258),IF(AND(AT80=3,M80="F",SUMIF(C2:C258,C80,AS2:AS258)&gt;1),1,"")))</f>
        <v/>
      </c>
      <c r="AW80" s="388">
        <f>SUMIF(C2:C258,C80,O2:O258)</f>
        <v>2</v>
      </c>
      <c r="AX80" s="388">
        <f>IF(AND(M80="F",AS80&lt;&gt;0),SUMIF(C2:C258,C80,W2:W258),0)</f>
        <v>36004.800000000003</v>
      </c>
      <c r="AY80" s="388">
        <f t="shared" si="73"/>
        <v>36004.800000000003</v>
      </c>
      <c r="AZ80" s="388" t="str">
        <f t="shared" si="74"/>
        <v/>
      </c>
      <c r="BA80" s="388">
        <f t="shared" si="75"/>
        <v>0</v>
      </c>
      <c r="BB80" s="388">
        <f t="shared" si="44"/>
        <v>12500</v>
      </c>
      <c r="BC80" s="388">
        <f t="shared" si="45"/>
        <v>0</v>
      </c>
      <c r="BD80" s="388">
        <f t="shared" si="46"/>
        <v>2232.2976000000003</v>
      </c>
      <c r="BE80" s="388">
        <f t="shared" si="47"/>
        <v>522.06960000000004</v>
      </c>
      <c r="BF80" s="388">
        <f t="shared" si="48"/>
        <v>4298.9731200000006</v>
      </c>
      <c r="BG80" s="388">
        <f t="shared" si="49"/>
        <v>259.59460800000005</v>
      </c>
      <c r="BH80" s="388">
        <f t="shared" si="50"/>
        <v>0</v>
      </c>
      <c r="BI80" s="388">
        <f t="shared" si="51"/>
        <v>0</v>
      </c>
      <c r="BJ80" s="388">
        <f t="shared" si="52"/>
        <v>126.01680000000002</v>
      </c>
      <c r="BK80" s="388">
        <f t="shared" si="53"/>
        <v>0</v>
      </c>
      <c r="BL80" s="388">
        <f t="shared" si="76"/>
        <v>7438.9517280000018</v>
      </c>
      <c r="BM80" s="388">
        <f t="shared" si="77"/>
        <v>0</v>
      </c>
      <c r="BN80" s="388">
        <f t="shared" si="54"/>
        <v>13750</v>
      </c>
      <c r="BO80" s="388">
        <f t="shared" si="55"/>
        <v>0</v>
      </c>
      <c r="BP80" s="388">
        <f t="shared" si="56"/>
        <v>2232.2976000000003</v>
      </c>
      <c r="BQ80" s="388">
        <f t="shared" si="57"/>
        <v>522.06960000000004</v>
      </c>
      <c r="BR80" s="388">
        <f t="shared" si="58"/>
        <v>4025.33664</v>
      </c>
      <c r="BS80" s="388">
        <f t="shared" si="59"/>
        <v>259.59460800000005</v>
      </c>
      <c r="BT80" s="388">
        <f t="shared" si="60"/>
        <v>0</v>
      </c>
      <c r="BU80" s="388">
        <f t="shared" si="61"/>
        <v>0</v>
      </c>
      <c r="BV80" s="388">
        <f t="shared" si="62"/>
        <v>140.41872000000001</v>
      </c>
      <c r="BW80" s="388">
        <f t="shared" si="63"/>
        <v>0</v>
      </c>
      <c r="BX80" s="388">
        <f t="shared" si="78"/>
        <v>7179.7171680000001</v>
      </c>
      <c r="BY80" s="388">
        <f t="shared" si="79"/>
        <v>0</v>
      </c>
      <c r="BZ80" s="388">
        <f t="shared" si="80"/>
        <v>1250</v>
      </c>
      <c r="CA80" s="388">
        <f t="shared" si="81"/>
        <v>0</v>
      </c>
      <c r="CB80" s="388">
        <f t="shared" si="82"/>
        <v>0</v>
      </c>
      <c r="CC80" s="388">
        <f t="shared" si="64"/>
        <v>0</v>
      </c>
      <c r="CD80" s="388">
        <f t="shared" si="65"/>
        <v>-273.63648000000035</v>
      </c>
      <c r="CE80" s="388">
        <f t="shared" si="66"/>
        <v>0</v>
      </c>
      <c r="CF80" s="388">
        <f t="shared" si="67"/>
        <v>0</v>
      </c>
      <c r="CG80" s="388">
        <f t="shared" si="68"/>
        <v>0</v>
      </c>
      <c r="CH80" s="388">
        <f t="shared" si="69"/>
        <v>14.401919999999992</v>
      </c>
      <c r="CI80" s="388">
        <f t="shared" si="70"/>
        <v>0</v>
      </c>
      <c r="CJ80" s="388">
        <f t="shared" si="83"/>
        <v>-259.23456000000033</v>
      </c>
      <c r="CK80" s="388" t="str">
        <f t="shared" si="84"/>
        <v/>
      </c>
      <c r="CL80" s="388" t="str">
        <f t="shared" si="85"/>
        <v/>
      </c>
      <c r="CM80" s="388" t="str">
        <f t="shared" si="86"/>
        <v/>
      </c>
      <c r="CN80" s="388" t="str">
        <f t="shared" si="87"/>
        <v>0001-00</v>
      </c>
    </row>
    <row r="81" spans="1:92" ht="15.75" thickBot="1" x14ac:dyDescent="0.3">
      <c r="A81" s="377" t="s">
        <v>162</v>
      </c>
      <c r="B81" s="377" t="s">
        <v>163</v>
      </c>
      <c r="C81" s="377" t="s">
        <v>237</v>
      </c>
      <c r="D81" s="377" t="s">
        <v>238</v>
      </c>
      <c r="E81" s="377" t="s">
        <v>265</v>
      </c>
      <c r="F81" s="378" t="s">
        <v>167</v>
      </c>
      <c r="G81" s="377" t="s">
        <v>439</v>
      </c>
      <c r="H81" s="379"/>
      <c r="I81" s="379"/>
      <c r="J81" s="377" t="s">
        <v>219</v>
      </c>
      <c r="K81" s="377" t="s">
        <v>239</v>
      </c>
      <c r="L81" s="377" t="s">
        <v>240</v>
      </c>
      <c r="M81" s="377" t="s">
        <v>172</v>
      </c>
      <c r="N81" s="377" t="s">
        <v>173</v>
      </c>
      <c r="O81" s="380">
        <v>1</v>
      </c>
      <c r="P81" s="386">
        <v>0</v>
      </c>
      <c r="Q81" s="386">
        <v>0</v>
      </c>
      <c r="R81" s="381">
        <v>80</v>
      </c>
      <c r="S81" s="386">
        <v>0</v>
      </c>
      <c r="T81" s="381">
        <v>7337.97</v>
      </c>
      <c r="U81" s="381">
        <v>0</v>
      </c>
      <c r="V81" s="381">
        <v>2199.0300000000002</v>
      </c>
      <c r="W81" s="381">
        <v>0</v>
      </c>
      <c r="X81" s="381">
        <v>0</v>
      </c>
      <c r="Y81" s="381">
        <v>0</v>
      </c>
      <c r="Z81" s="381">
        <v>0</v>
      </c>
      <c r="AA81" s="377" t="s">
        <v>241</v>
      </c>
      <c r="AB81" s="377" t="s">
        <v>242</v>
      </c>
      <c r="AC81" s="377" t="s">
        <v>243</v>
      </c>
      <c r="AD81" s="377" t="s">
        <v>211</v>
      </c>
      <c r="AE81" s="377" t="s">
        <v>244</v>
      </c>
      <c r="AF81" s="377" t="s">
        <v>207</v>
      </c>
      <c r="AG81" s="377" t="s">
        <v>179</v>
      </c>
      <c r="AH81" s="382">
        <v>47.19</v>
      </c>
      <c r="AI81" s="382">
        <v>6916.8</v>
      </c>
      <c r="AJ81" s="377" t="s">
        <v>180</v>
      </c>
      <c r="AK81" s="377" t="s">
        <v>181</v>
      </c>
      <c r="AL81" s="377" t="s">
        <v>182</v>
      </c>
      <c r="AM81" s="377" t="s">
        <v>183</v>
      </c>
      <c r="AN81" s="377" t="s">
        <v>66</v>
      </c>
      <c r="AO81" s="380">
        <v>80</v>
      </c>
      <c r="AP81" s="386">
        <v>1</v>
      </c>
      <c r="AQ81" s="386">
        <v>0</v>
      </c>
      <c r="AR81" s="384" t="s">
        <v>184</v>
      </c>
      <c r="AS81" s="388">
        <f t="shared" si="71"/>
        <v>0</v>
      </c>
      <c r="AT81">
        <f t="shared" si="72"/>
        <v>0</v>
      </c>
      <c r="AU81" s="388" t="str">
        <f>IF(AT81=0,"",IF(AND(AT81=1,M81="F",SUMIF(C2:C258,C81,AS2:AS258)&lt;=1),SUMIF(C2:C258,C81,AS2:AS258),IF(AND(AT81=1,M81="F",SUMIF(C2:C258,C81,AS2:AS258)&gt;1),1,"")))</f>
        <v/>
      </c>
      <c r="AV81" s="388" t="str">
        <f>IF(AT81=0,"",IF(AND(AT81=3,M81="F",SUMIF(C2:C258,C81,AS2:AS258)&lt;=1),SUMIF(C2:C258,C81,AS2:AS258),IF(AND(AT81=3,M81="F",SUMIF(C2:C258,C81,AS2:AS258)&gt;1),1,"")))</f>
        <v/>
      </c>
      <c r="AW81" s="388">
        <f>SUMIF(C2:C258,C81,O2:O258)</f>
        <v>7</v>
      </c>
      <c r="AX81" s="388">
        <f>IF(AND(M81="F",AS81&lt;&gt;0),SUMIF(C2:C258,C81,W2:W258),0)</f>
        <v>0</v>
      </c>
      <c r="AY81" s="388" t="str">
        <f t="shared" si="73"/>
        <v/>
      </c>
      <c r="AZ81" s="388" t="str">
        <f t="shared" si="74"/>
        <v/>
      </c>
      <c r="BA81" s="388">
        <f t="shared" si="75"/>
        <v>0</v>
      </c>
      <c r="BB81" s="388">
        <f t="shared" si="44"/>
        <v>0</v>
      </c>
      <c r="BC81" s="388">
        <f t="shared" si="45"/>
        <v>0</v>
      </c>
      <c r="BD81" s="388">
        <f t="shared" si="46"/>
        <v>0</v>
      </c>
      <c r="BE81" s="388">
        <f t="shared" si="47"/>
        <v>0</v>
      </c>
      <c r="BF81" s="388">
        <f t="shared" si="48"/>
        <v>0</v>
      </c>
      <c r="BG81" s="388">
        <f t="shared" si="49"/>
        <v>0</v>
      </c>
      <c r="BH81" s="388">
        <f t="shared" si="50"/>
        <v>0</v>
      </c>
      <c r="BI81" s="388">
        <f t="shared" si="51"/>
        <v>0</v>
      </c>
      <c r="BJ81" s="388">
        <f t="shared" si="52"/>
        <v>0</v>
      </c>
      <c r="BK81" s="388">
        <f t="shared" si="53"/>
        <v>0</v>
      </c>
      <c r="BL81" s="388">
        <f t="shared" si="76"/>
        <v>0</v>
      </c>
      <c r="BM81" s="388">
        <f t="shared" si="77"/>
        <v>0</v>
      </c>
      <c r="BN81" s="388">
        <f t="shared" si="54"/>
        <v>0</v>
      </c>
      <c r="BO81" s="388">
        <f t="shared" si="55"/>
        <v>0</v>
      </c>
      <c r="BP81" s="388">
        <f t="shared" si="56"/>
        <v>0</v>
      </c>
      <c r="BQ81" s="388">
        <f t="shared" si="57"/>
        <v>0</v>
      </c>
      <c r="BR81" s="388">
        <f t="shared" si="58"/>
        <v>0</v>
      </c>
      <c r="BS81" s="388">
        <f t="shared" si="59"/>
        <v>0</v>
      </c>
      <c r="BT81" s="388">
        <f t="shared" si="60"/>
        <v>0</v>
      </c>
      <c r="BU81" s="388">
        <f t="shared" si="61"/>
        <v>0</v>
      </c>
      <c r="BV81" s="388">
        <f t="shared" si="62"/>
        <v>0</v>
      </c>
      <c r="BW81" s="388">
        <f t="shared" si="63"/>
        <v>0</v>
      </c>
      <c r="BX81" s="388">
        <f t="shared" si="78"/>
        <v>0</v>
      </c>
      <c r="BY81" s="388">
        <f t="shared" si="79"/>
        <v>0</v>
      </c>
      <c r="BZ81" s="388">
        <f t="shared" si="80"/>
        <v>0</v>
      </c>
      <c r="CA81" s="388">
        <f t="shared" si="81"/>
        <v>0</v>
      </c>
      <c r="CB81" s="388">
        <f t="shared" si="82"/>
        <v>0</v>
      </c>
      <c r="CC81" s="388">
        <f t="shared" si="64"/>
        <v>0</v>
      </c>
      <c r="CD81" s="388">
        <f t="shared" si="65"/>
        <v>0</v>
      </c>
      <c r="CE81" s="388">
        <f t="shared" si="66"/>
        <v>0</v>
      </c>
      <c r="CF81" s="388">
        <f t="shared" si="67"/>
        <v>0</v>
      </c>
      <c r="CG81" s="388">
        <f t="shared" si="68"/>
        <v>0</v>
      </c>
      <c r="CH81" s="388">
        <f t="shared" si="69"/>
        <v>0</v>
      </c>
      <c r="CI81" s="388">
        <f t="shared" si="70"/>
        <v>0</v>
      </c>
      <c r="CJ81" s="388">
        <f t="shared" si="83"/>
        <v>0</v>
      </c>
      <c r="CK81" s="388" t="str">
        <f t="shared" si="84"/>
        <v/>
      </c>
      <c r="CL81" s="388" t="str">
        <f t="shared" si="85"/>
        <v/>
      </c>
      <c r="CM81" s="388" t="str">
        <f t="shared" si="86"/>
        <v/>
      </c>
      <c r="CN81" s="388" t="str">
        <f t="shared" si="87"/>
        <v>0001-00</v>
      </c>
    </row>
    <row r="82" spans="1:92" ht="15.75" thickBot="1" x14ac:dyDescent="0.3">
      <c r="A82" s="377" t="s">
        <v>162</v>
      </c>
      <c r="B82" s="377" t="s">
        <v>163</v>
      </c>
      <c r="C82" s="377" t="s">
        <v>360</v>
      </c>
      <c r="D82" s="377" t="s">
        <v>361</v>
      </c>
      <c r="E82" s="377" t="s">
        <v>265</v>
      </c>
      <c r="F82" s="378" t="s">
        <v>167</v>
      </c>
      <c r="G82" s="377" t="s">
        <v>439</v>
      </c>
      <c r="H82" s="379"/>
      <c r="I82" s="379"/>
      <c r="J82" s="377" t="s">
        <v>219</v>
      </c>
      <c r="K82" s="377" t="s">
        <v>362</v>
      </c>
      <c r="L82" s="377" t="s">
        <v>167</v>
      </c>
      <c r="M82" s="377" t="s">
        <v>172</v>
      </c>
      <c r="N82" s="377" t="s">
        <v>173</v>
      </c>
      <c r="O82" s="380">
        <v>1</v>
      </c>
      <c r="P82" s="386">
        <v>0</v>
      </c>
      <c r="Q82" s="386">
        <v>0</v>
      </c>
      <c r="R82" s="381">
        <v>80</v>
      </c>
      <c r="S82" s="386">
        <v>0</v>
      </c>
      <c r="T82" s="381">
        <v>466.26</v>
      </c>
      <c r="U82" s="381">
        <v>0</v>
      </c>
      <c r="V82" s="381">
        <v>177.77</v>
      </c>
      <c r="W82" s="381">
        <v>0</v>
      </c>
      <c r="X82" s="381">
        <v>0</v>
      </c>
      <c r="Y82" s="381">
        <v>0</v>
      </c>
      <c r="Z82" s="381">
        <v>0</v>
      </c>
      <c r="AA82" s="377" t="s">
        <v>363</v>
      </c>
      <c r="AB82" s="377" t="s">
        <v>364</v>
      </c>
      <c r="AC82" s="377" t="s">
        <v>365</v>
      </c>
      <c r="AD82" s="377" t="s">
        <v>366</v>
      </c>
      <c r="AE82" s="377" t="s">
        <v>362</v>
      </c>
      <c r="AF82" s="377" t="s">
        <v>207</v>
      </c>
      <c r="AG82" s="377" t="s">
        <v>179</v>
      </c>
      <c r="AH82" s="382">
        <v>43.63</v>
      </c>
      <c r="AI82" s="382">
        <v>21905.4</v>
      </c>
      <c r="AJ82" s="377" t="s">
        <v>180</v>
      </c>
      <c r="AK82" s="377" t="s">
        <v>181</v>
      </c>
      <c r="AL82" s="377" t="s">
        <v>182</v>
      </c>
      <c r="AM82" s="377" t="s">
        <v>183</v>
      </c>
      <c r="AN82" s="377" t="s">
        <v>66</v>
      </c>
      <c r="AO82" s="380">
        <v>80</v>
      </c>
      <c r="AP82" s="386">
        <v>1</v>
      </c>
      <c r="AQ82" s="386">
        <v>0</v>
      </c>
      <c r="AR82" s="384" t="s">
        <v>184</v>
      </c>
      <c r="AS82" s="388">
        <f t="shared" si="71"/>
        <v>0</v>
      </c>
      <c r="AT82">
        <f t="shared" si="72"/>
        <v>0</v>
      </c>
      <c r="AU82" s="388" t="str">
        <f>IF(AT82=0,"",IF(AND(AT82=1,M82="F",SUMIF(C2:C258,C82,AS2:AS258)&lt;=1),SUMIF(C2:C258,C82,AS2:AS258),IF(AND(AT82=1,M82="F",SUMIF(C2:C258,C82,AS2:AS258)&gt;1),1,"")))</f>
        <v/>
      </c>
      <c r="AV82" s="388" t="str">
        <f>IF(AT82=0,"",IF(AND(AT82=3,M82="F",SUMIF(C2:C258,C82,AS2:AS258)&lt;=1),SUMIF(C2:C258,C82,AS2:AS258),IF(AND(AT82=3,M82="F",SUMIF(C2:C258,C82,AS2:AS258)&gt;1),1,"")))</f>
        <v/>
      </c>
      <c r="AW82" s="388">
        <f>SUMIF(C2:C258,C82,O2:O258)</f>
        <v>2</v>
      </c>
      <c r="AX82" s="388">
        <f>IF(AND(M82="F",AS82&lt;&gt;0),SUMIF(C2:C258,C82,W2:W258),0)</f>
        <v>0</v>
      </c>
      <c r="AY82" s="388" t="str">
        <f t="shared" si="73"/>
        <v/>
      </c>
      <c r="AZ82" s="388" t="str">
        <f t="shared" si="74"/>
        <v/>
      </c>
      <c r="BA82" s="388">
        <f t="shared" si="75"/>
        <v>0</v>
      </c>
      <c r="BB82" s="388">
        <f t="shared" si="44"/>
        <v>0</v>
      </c>
      <c r="BC82" s="388">
        <f t="shared" si="45"/>
        <v>0</v>
      </c>
      <c r="BD82" s="388">
        <f t="shared" si="46"/>
        <v>0</v>
      </c>
      <c r="BE82" s="388">
        <f t="shared" si="47"/>
        <v>0</v>
      </c>
      <c r="BF82" s="388">
        <f t="shared" si="48"/>
        <v>0</v>
      </c>
      <c r="BG82" s="388">
        <f t="shared" si="49"/>
        <v>0</v>
      </c>
      <c r="BH82" s="388">
        <f t="shared" si="50"/>
        <v>0</v>
      </c>
      <c r="BI82" s="388">
        <f t="shared" si="51"/>
        <v>0</v>
      </c>
      <c r="BJ82" s="388">
        <f t="shared" si="52"/>
        <v>0</v>
      </c>
      <c r="BK82" s="388">
        <f t="shared" si="53"/>
        <v>0</v>
      </c>
      <c r="BL82" s="388">
        <f t="shared" si="76"/>
        <v>0</v>
      </c>
      <c r="BM82" s="388">
        <f t="shared" si="77"/>
        <v>0</v>
      </c>
      <c r="BN82" s="388">
        <f t="shared" si="54"/>
        <v>0</v>
      </c>
      <c r="BO82" s="388">
        <f t="shared" si="55"/>
        <v>0</v>
      </c>
      <c r="BP82" s="388">
        <f t="shared" si="56"/>
        <v>0</v>
      </c>
      <c r="BQ82" s="388">
        <f t="shared" si="57"/>
        <v>0</v>
      </c>
      <c r="BR82" s="388">
        <f t="shared" si="58"/>
        <v>0</v>
      </c>
      <c r="BS82" s="388">
        <f t="shared" si="59"/>
        <v>0</v>
      </c>
      <c r="BT82" s="388">
        <f t="shared" si="60"/>
        <v>0</v>
      </c>
      <c r="BU82" s="388">
        <f t="shared" si="61"/>
        <v>0</v>
      </c>
      <c r="BV82" s="388">
        <f t="shared" si="62"/>
        <v>0</v>
      </c>
      <c r="BW82" s="388">
        <f t="shared" si="63"/>
        <v>0</v>
      </c>
      <c r="BX82" s="388">
        <f t="shared" si="78"/>
        <v>0</v>
      </c>
      <c r="BY82" s="388">
        <f t="shared" si="79"/>
        <v>0</v>
      </c>
      <c r="BZ82" s="388">
        <f t="shared" si="80"/>
        <v>0</v>
      </c>
      <c r="CA82" s="388">
        <f t="shared" si="81"/>
        <v>0</v>
      </c>
      <c r="CB82" s="388">
        <f t="shared" si="82"/>
        <v>0</v>
      </c>
      <c r="CC82" s="388">
        <f t="shared" si="64"/>
        <v>0</v>
      </c>
      <c r="CD82" s="388">
        <f t="shared" si="65"/>
        <v>0</v>
      </c>
      <c r="CE82" s="388">
        <f t="shared" si="66"/>
        <v>0</v>
      </c>
      <c r="CF82" s="388">
        <f t="shared" si="67"/>
        <v>0</v>
      </c>
      <c r="CG82" s="388">
        <f t="shared" si="68"/>
        <v>0</v>
      </c>
      <c r="CH82" s="388">
        <f t="shared" si="69"/>
        <v>0</v>
      </c>
      <c r="CI82" s="388">
        <f t="shared" si="70"/>
        <v>0</v>
      </c>
      <c r="CJ82" s="388">
        <f t="shared" si="83"/>
        <v>0</v>
      </c>
      <c r="CK82" s="388" t="str">
        <f t="shared" si="84"/>
        <v/>
      </c>
      <c r="CL82" s="388" t="str">
        <f t="shared" si="85"/>
        <v/>
      </c>
      <c r="CM82" s="388" t="str">
        <f t="shared" si="86"/>
        <v/>
      </c>
      <c r="CN82" s="388" t="str">
        <f t="shared" si="87"/>
        <v>0001-00</v>
      </c>
    </row>
    <row r="83" spans="1:92" ht="15.75" thickBot="1" x14ac:dyDescent="0.3">
      <c r="A83" s="377" t="s">
        <v>162</v>
      </c>
      <c r="B83" s="377" t="s">
        <v>163</v>
      </c>
      <c r="C83" s="377" t="s">
        <v>405</v>
      </c>
      <c r="D83" s="377" t="s">
        <v>251</v>
      </c>
      <c r="E83" s="377" t="s">
        <v>265</v>
      </c>
      <c r="F83" s="378" t="s">
        <v>167</v>
      </c>
      <c r="G83" s="377" t="s">
        <v>439</v>
      </c>
      <c r="H83" s="379"/>
      <c r="I83" s="379"/>
      <c r="J83" s="377" t="s">
        <v>283</v>
      </c>
      <c r="K83" s="377" t="s">
        <v>252</v>
      </c>
      <c r="L83" s="377" t="s">
        <v>179</v>
      </c>
      <c r="M83" s="377" t="s">
        <v>172</v>
      </c>
      <c r="N83" s="377" t="s">
        <v>173</v>
      </c>
      <c r="O83" s="380">
        <v>1</v>
      </c>
      <c r="P83" s="386">
        <v>0</v>
      </c>
      <c r="Q83" s="386">
        <v>0</v>
      </c>
      <c r="R83" s="381">
        <v>80</v>
      </c>
      <c r="S83" s="386">
        <v>0</v>
      </c>
      <c r="T83" s="381">
        <v>851.21</v>
      </c>
      <c r="U83" s="381">
        <v>10.6</v>
      </c>
      <c r="V83" s="381">
        <v>71.47</v>
      </c>
      <c r="W83" s="381">
        <v>0</v>
      </c>
      <c r="X83" s="381">
        <v>0</v>
      </c>
      <c r="Y83" s="381">
        <v>0</v>
      </c>
      <c r="Z83" s="381">
        <v>0</v>
      </c>
      <c r="AA83" s="377" t="s">
        <v>406</v>
      </c>
      <c r="AB83" s="377" t="s">
        <v>407</v>
      </c>
      <c r="AC83" s="377" t="s">
        <v>408</v>
      </c>
      <c r="AD83" s="377" t="s">
        <v>316</v>
      </c>
      <c r="AE83" s="377" t="s">
        <v>252</v>
      </c>
      <c r="AF83" s="377" t="s">
        <v>257</v>
      </c>
      <c r="AG83" s="377" t="s">
        <v>179</v>
      </c>
      <c r="AH83" s="382">
        <v>17.829999999999998</v>
      </c>
      <c r="AI83" s="380">
        <v>440</v>
      </c>
      <c r="AJ83" s="377" t="s">
        <v>180</v>
      </c>
      <c r="AK83" s="377" t="s">
        <v>181</v>
      </c>
      <c r="AL83" s="377" t="s">
        <v>182</v>
      </c>
      <c r="AM83" s="377" t="s">
        <v>183</v>
      </c>
      <c r="AN83" s="377" t="s">
        <v>66</v>
      </c>
      <c r="AO83" s="380">
        <v>80</v>
      </c>
      <c r="AP83" s="386">
        <v>1</v>
      </c>
      <c r="AQ83" s="386">
        <v>0</v>
      </c>
      <c r="AR83" s="384" t="s">
        <v>184</v>
      </c>
      <c r="AS83" s="388">
        <f t="shared" si="71"/>
        <v>0</v>
      </c>
      <c r="AT83">
        <f t="shared" si="72"/>
        <v>0</v>
      </c>
      <c r="AU83" s="388" t="str">
        <f>IF(AT83=0,"",IF(AND(AT83=1,M83="F",SUMIF(C2:C258,C83,AS2:AS258)&lt;=1),SUMIF(C2:C258,C83,AS2:AS258),IF(AND(AT83=1,M83="F",SUMIF(C2:C258,C83,AS2:AS258)&gt;1),1,"")))</f>
        <v/>
      </c>
      <c r="AV83" s="388" t="str">
        <f>IF(AT83=0,"",IF(AND(AT83=3,M83="F",SUMIF(C2:C258,C83,AS2:AS258)&lt;=1),SUMIF(C2:C258,C83,AS2:AS258),IF(AND(AT83=3,M83="F",SUMIF(C2:C258,C83,AS2:AS258)&gt;1),1,"")))</f>
        <v/>
      </c>
      <c r="AW83" s="388">
        <f>SUMIF(C2:C258,C83,O2:O258)</f>
        <v>6</v>
      </c>
      <c r="AX83" s="388">
        <f>IF(AND(M83="F",AS83&lt;&gt;0),SUMIF(C2:C258,C83,W2:W258),0)</f>
        <v>0</v>
      </c>
      <c r="AY83" s="388" t="str">
        <f t="shared" si="73"/>
        <v/>
      </c>
      <c r="AZ83" s="388" t="str">
        <f t="shared" si="74"/>
        <v/>
      </c>
      <c r="BA83" s="388">
        <f t="shared" si="75"/>
        <v>0</v>
      </c>
      <c r="BB83" s="388">
        <f t="shared" si="44"/>
        <v>0</v>
      </c>
      <c r="BC83" s="388">
        <f t="shared" si="45"/>
        <v>0</v>
      </c>
      <c r="BD83" s="388">
        <f t="shared" si="46"/>
        <v>0</v>
      </c>
      <c r="BE83" s="388">
        <f t="shared" si="47"/>
        <v>0</v>
      </c>
      <c r="BF83" s="388">
        <f t="shared" si="48"/>
        <v>0</v>
      </c>
      <c r="BG83" s="388">
        <f t="shared" si="49"/>
        <v>0</v>
      </c>
      <c r="BH83" s="388">
        <f t="shared" si="50"/>
        <v>0</v>
      </c>
      <c r="BI83" s="388">
        <f t="shared" si="51"/>
        <v>0</v>
      </c>
      <c r="BJ83" s="388">
        <f t="shared" si="52"/>
        <v>0</v>
      </c>
      <c r="BK83" s="388">
        <f t="shared" si="53"/>
        <v>0</v>
      </c>
      <c r="BL83" s="388">
        <f t="shared" si="76"/>
        <v>0</v>
      </c>
      <c r="BM83" s="388">
        <f t="shared" si="77"/>
        <v>0</v>
      </c>
      <c r="BN83" s="388">
        <f t="shared" si="54"/>
        <v>0</v>
      </c>
      <c r="BO83" s="388">
        <f t="shared" si="55"/>
        <v>0</v>
      </c>
      <c r="BP83" s="388">
        <f t="shared" si="56"/>
        <v>0</v>
      </c>
      <c r="BQ83" s="388">
        <f t="shared" si="57"/>
        <v>0</v>
      </c>
      <c r="BR83" s="388">
        <f t="shared" si="58"/>
        <v>0</v>
      </c>
      <c r="BS83" s="388">
        <f t="shared" si="59"/>
        <v>0</v>
      </c>
      <c r="BT83" s="388">
        <f t="shared" si="60"/>
        <v>0</v>
      </c>
      <c r="BU83" s="388">
        <f t="shared" si="61"/>
        <v>0</v>
      </c>
      <c r="BV83" s="388">
        <f t="shared" si="62"/>
        <v>0</v>
      </c>
      <c r="BW83" s="388">
        <f t="shared" si="63"/>
        <v>0</v>
      </c>
      <c r="BX83" s="388">
        <f t="shared" si="78"/>
        <v>0</v>
      </c>
      <c r="BY83" s="388">
        <f t="shared" si="79"/>
        <v>0</v>
      </c>
      <c r="BZ83" s="388">
        <f t="shared" si="80"/>
        <v>0</v>
      </c>
      <c r="CA83" s="388">
        <f t="shared" si="81"/>
        <v>0</v>
      </c>
      <c r="CB83" s="388">
        <f t="shared" si="82"/>
        <v>0</v>
      </c>
      <c r="CC83" s="388">
        <f t="shared" si="64"/>
        <v>0</v>
      </c>
      <c r="CD83" s="388">
        <f t="shared" si="65"/>
        <v>0</v>
      </c>
      <c r="CE83" s="388">
        <f t="shared" si="66"/>
        <v>0</v>
      </c>
      <c r="CF83" s="388">
        <f t="shared" si="67"/>
        <v>0</v>
      </c>
      <c r="CG83" s="388">
        <f t="shared" si="68"/>
        <v>0</v>
      </c>
      <c r="CH83" s="388">
        <f t="shared" si="69"/>
        <v>0</v>
      </c>
      <c r="CI83" s="388">
        <f t="shared" si="70"/>
        <v>0</v>
      </c>
      <c r="CJ83" s="388">
        <f t="shared" si="83"/>
        <v>0</v>
      </c>
      <c r="CK83" s="388" t="str">
        <f t="shared" si="84"/>
        <v/>
      </c>
      <c r="CL83" s="388" t="str">
        <f t="shared" si="85"/>
        <v/>
      </c>
      <c r="CM83" s="388" t="str">
        <f t="shared" si="86"/>
        <v/>
      </c>
      <c r="CN83" s="388" t="str">
        <f t="shared" si="87"/>
        <v>0001-00</v>
      </c>
    </row>
    <row r="84" spans="1:92" ht="15.75" thickBot="1" x14ac:dyDescent="0.3">
      <c r="A84" s="377" t="s">
        <v>162</v>
      </c>
      <c r="B84" s="377" t="s">
        <v>163</v>
      </c>
      <c r="C84" s="377" t="s">
        <v>409</v>
      </c>
      <c r="D84" s="377" t="s">
        <v>311</v>
      </c>
      <c r="E84" s="377" t="s">
        <v>265</v>
      </c>
      <c r="F84" s="378" t="s">
        <v>167</v>
      </c>
      <c r="G84" s="377" t="s">
        <v>439</v>
      </c>
      <c r="H84" s="379"/>
      <c r="I84" s="379"/>
      <c r="J84" s="377" t="s">
        <v>219</v>
      </c>
      <c r="K84" s="377" t="s">
        <v>312</v>
      </c>
      <c r="L84" s="377" t="s">
        <v>211</v>
      </c>
      <c r="M84" s="377" t="s">
        <v>172</v>
      </c>
      <c r="N84" s="377" t="s">
        <v>173</v>
      </c>
      <c r="O84" s="380">
        <v>1</v>
      </c>
      <c r="P84" s="386">
        <v>0</v>
      </c>
      <c r="Q84" s="386">
        <v>0</v>
      </c>
      <c r="R84" s="381">
        <v>80</v>
      </c>
      <c r="S84" s="386">
        <v>0</v>
      </c>
      <c r="T84" s="381">
        <v>3149.25</v>
      </c>
      <c r="U84" s="381">
        <v>0</v>
      </c>
      <c r="V84" s="381">
        <v>1577.83</v>
      </c>
      <c r="W84" s="381">
        <v>0</v>
      </c>
      <c r="X84" s="381">
        <v>0</v>
      </c>
      <c r="Y84" s="381">
        <v>0</v>
      </c>
      <c r="Z84" s="381">
        <v>0</v>
      </c>
      <c r="AA84" s="377" t="s">
        <v>410</v>
      </c>
      <c r="AB84" s="377" t="s">
        <v>307</v>
      </c>
      <c r="AC84" s="377" t="s">
        <v>411</v>
      </c>
      <c r="AD84" s="377" t="s">
        <v>412</v>
      </c>
      <c r="AE84" s="377" t="s">
        <v>312</v>
      </c>
      <c r="AF84" s="377" t="s">
        <v>216</v>
      </c>
      <c r="AG84" s="377" t="s">
        <v>179</v>
      </c>
      <c r="AH84" s="382">
        <v>22.12</v>
      </c>
      <c r="AI84" s="382">
        <v>5896.6</v>
      </c>
      <c r="AJ84" s="377" t="s">
        <v>180</v>
      </c>
      <c r="AK84" s="377" t="s">
        <v>181</v>
      </c>
      <c r="AL84" s="377" t="s">
        <v>182</v>
      </c>
      <c r="AM84" s="377" t="s">
        <v>183</v>
      </c>
      <c r="AN84" s="377" t="s">
        <v>66</v>
      </c>
      <c r="AO84" s="380">
        <v>80</v>
      </c>
      <c r="AP84" s="386">
        <v>1</v>
      </c>
      <c r="AQ84" s="386">
        <v>0</v>
      </c>
      <c r="AR84" s="384" t="s">
        <v>184</v>
      </c>
      <c r="AS84" s="388">
        <f t="shared" si="71"/>
        <v>0</v>
      </c>
      <c r="AT84">
        <f t="shared" si="72"/>
        <v>0</v>
      </c>
      <c r="AU84" s="388" t="str">
        <f>IF(AT84=0,"",IF(AND(AT84=1,M84="F",SUMIF(C2:C258,C84,AS2:AS258)&lt;=1),SUMIF(C2:C258,C84,AS2:AS258),IF(AND(AT84=1,M84="F",SUMIF(C2:C258,C84,AS2:AS258)&gt;1),1,"")))</f>
        <v/>
      </c>
      <c r="AV84" s="388" t="str">
        <f>IF(AT84=0,"",IF(AND(AT84=3,M84="F",SUMIF(C2:C258,C84,AS2:AS258)&lt;=1),SUMIF(C2:C258,C84,AS2:AS258),IF(AND(AT84=3,M84="F",SUMIF(C2:C258,C84,AS2:AS258)&gt;1),1,"")))</f>
        <v/>
      </c>
      <c r="AW84" s="388">
        <f>SUMIF(C2:C258,C84,O2:O258)</f>
        <v>2</v>
      </c>
      <c r="AX84" s="388">
        <f>IF(AND(M84="F",AS84&lt;&gt;0),SUMIF(C2:C258,C84,W2:W258),0)</f>
        <v>0</v>
      </c>
      <c r="AY84" s="388" t="str">
        <f t="shared" si="73"/>
        <v/>
      </c>
      <c r="AZ84" s="388" t="str">
        <f t="shared" si="74"/>
        <v/>
      </c>
      <c r="BA84" s="388">
        <f t="shared" si="75"/>
        <v>0</v>
      </c>
      <c r="BB84" s="388">
        <f t="shared" si="44"/>
        <v>0</v>
      </c>
      <c r="BC84" s="388">
        <f t="shared" si="45"/>
        <v>0</v>
      </c>
      <c r="BD84" s="388">
        <f t="shared" si="46"/>
        <v>0</v>
      </c>
      <c r="BE84" s="388">
        <f t="shared" si="47"/>
        <v>0</v>
      </c>
      <c r="BF84" s="388">
        <f t="shared" si="48"/>
        <v>0</v>
      </c>
      <c r="BG84" s="388">
        <f t="shared" si="49"/>
        <v>0</v>
      </c>
      <c r="BH84" s="388">
        <f t="shared" si="50"/>
        <v>0</v>
      </c>
      <c r="BI84" s="388">
        <f t="shared" si="51"/>
        <v>0</v>
      </c>
      <c r="BJ84" s="388">
        <f t="shared" si="52"/>
        <v>0</v>
      </c>
      <c r="BK84" s="388">
        <f t="shared" si="53"/>
        <v>0</v>
      </c>
      <c r="BL84" s="388">
        <f t="shared" si="76"/>
        <v>0</v>
      </c>
      <c r="BM84" s="388">
        <f t="shared" si="77"/>
        <v>0</v>
      </c>
      <c r="BN84" s="388">
        <f t="shared" si="54"/>
        <v>0</v>
      </c>
      <c r="BO84" s="388">
        <f t="shared" si="55"/>
        <v>0</v>
      </c>
      <c r="BP84" s="388">
        <f t="shared" si="56"/>
        <v>0</v>
      </c>
      <c r="BQ84" s="388">
        <f t="shared" si="57"/>
        <v>0</v>
      </c>
      <c r="BR84" s="388">
        <f t="shared" si="58"/>
        <v>0</v>
      </c>
      <c r="BS84" s="388">
        <f t="shared" si="59"/>
        <v>0</v>
      </c>
      <c r="BT84" s="388">
        <f t="shared" si="60"/>
        <v>0</v>
      </c>
      <c r="BU84" s="388">
        <f t="shared" si="61"/>
        <v>0</v>
      </c>
      <c r="BV84" s="388">
        <f t="shared" si="62"/>
        <v>0</v>
      </c>
      <c r="BW84" s="388">
        <f t="shared" si="63"/>
        <v>0</v>
      </c>
      <c r="BX84" s="388">
        <f t="shared" si="78"/>
        <v>0</v>
      </c>
      <c r="BY84" s="388">
        <f t="shared" si="79"/>
        <v>0</v>
      </c>
      <c r="BZ84" s="388">
        <f t="shared" si="80"/>
        <v>0</v>
      </c>
      <c r="CA84" s="388">
        <f t="shared" si="81"/>
        <v>0</v>
      </c>
      <c r="CB84" s="388">
        <f t="shared" si="82"/>
        <v>0</v>
      </c>
      <c r="CC84" s="388">
        <f t="shared" si="64"/>
        <v>0</v>
      </c>
      <c r="CD84" s="388">
        <f t="shared" si="65"/>
        <v>0</v>
      </c>
      <c r="CE84" s="388">
        <f t="shared" si="66"/>
        <v>0</v>
      </c>
      <c r="CF84" s="388">
        <f t="shared" si="67"/>
        <v>0</v>
      </c>
      <c r="CG84" s="388">
        <f t="shared" si="68"/>
        <v>0</v>
      </c>
      <c r="CH84" s="388">
        <f t="shared" si="69"/>
        <v>0</v>
      </c>
      <c r="CI84" s="388">
        <f t="shared" si="70"/>
        <v>0</v>
      </c>
      <c r="CJ84" s="388">
        <f t="shared" si="83"/>
        <v>0</v>
      </c>
      <c r="CK84" s="388" t="str">
        <f t="shared" si="84"/>
        <v/>
      </c>
      <c r="CL84" s="388" t="str">
        <f t="shared" si="85"/>
        <v/>
      </c>
      <c r="CM84" s="388" t="str">
        <f t="shared" si="86"/>
        <v/>
      </c>
      <c r="CN84" s="388" t="str">
        <f t="shared" si="87"/>
        <v>0001-00</v>
      </c>
    </row>
    <row r="85" spans="1:92" ht="15.75" thickBot="1" x14ac:dyDescent="0.3">
      <c r="A85" s="377" t="s">
        <v>162</v>
      </c>
      <c r="B85" s="377" t="s">
        <v>163</v>
      </c>
      <c r="C85" s="377" t="s">
        <v>509</v>
      </c>
      <c r="D85" s="377" t="s">
        <v>300</v>
      </c>
      <c r="E85" s="377" t="s">
        <v>265</v>
      </c>
      <c r="F85" s="378" t="s">
        <v>167</v>
      </c>
      <c r="G85" s="377" t="s">
        <v>439</v>
      </c>
      <c r="H85" s="379"/>
      <c r="I85" s="379"/>
      <c r="J85" s="377" t="s">
        <v>169</v>
      </c>
      <c r="K85" s="377" t="s">
        <v>301</v>
      </c>
      <c r="L85" s="377" t="s">
        <v>167</v>
      </c>
      <c r="M85" s="377" t="s">
        <v>172</v>
      </c>
      <c r="N85" s="377" t="s">
        <v>173</v>
      </c>
      <c r="O85" s="380">
        <v>1</v>
      </c>
      <c r="P85" s="386">
        <v>0.2</v>
      </c>
      <c r="Q85" s="386">
        <v>0.2</v>
      </c>
      <c r="R85" s="381">
        <v>80</v>
      </c>
      <c r="S85" s="386">
        <v>0.2</v>
      </c>
      <c r="T85" s="381">
        <v>16903.189999999999</v>
      </c>
      <c r="U85" s="381">
        <v>0</v>
      </c>
      <c r="V85" s="381">
        <v>5750.27</v>
      </c>
      <c r="W85" s="381">
        <v>16598.400000000001</v>
      </c>
      <c r="X85" s="381">
        <v>5929.39</v>
      </c>
      <c r="Y85" s="381">
        <v>16598.400000000001</v>
      </c>
      <c r="Z85" s="381">
        <v>6059.88</v>
      </c>
      <c r="AA85" s="377" t="s">
        <v>510</v>
      </c>
      <c r="AB85" s="377" t="s">
        <v>511</v>
      </c>
      <c r="AC85" s="377" t="s">
        <v>512</v>
      </c>
      <c r="AD85" s="377" t="s">
        <v>171</v>
      </c>
      <c r="AE85" s="377" t="s">
        <v>301</v>
      </c>
      <c r="AF85" s="377" t="s">
        <v>207</v>
      </c>
      <c r="AG85" s="377" t="s">
        <v>179</v>
      </c>
      <c r="AH85" s="382">
        <v>39.9</v>
      </c>
      <c r="AI85" s="382">
        <v>16942.5</v>
      </c>
      <c r="AJ85" s="377" t="s">
        <v>180</v>
      </c>
      <c r="AK85" s="377" t="s">
        <v>181</v>
      </c>
      <c r="AL85" s="377" t="s">
        <v>182</v>
      </c>
      <c r="AM85" s="377" t="s">
        <v>183</v>
      </c>
      <c r="AN85" s="377" t="s">
        <v>66</v>
      </c>
      <c r="AO85" s="380">
        <v>80</v>
      </c>
      <c r="AP85" s="386">
        <v>1</v>
      </c>
      <c r="AQ85" s="386">
        <v>0.2</v>
      </c>
      <c r="AR85" s="384" t="s">
        <v>184</v>
      </c>
      <c r="AS85" s="388">
        <f t="shared" si="71"/>
        <v>0.2</v>
      </c>
      <c r="AT85">
        <f t="shared" si="72"/>
        <v>1</v>
      </c>
      <c r="AU85" s="388">
        <f>IF(AT85=0,"",IF(AND(AT85=1,M85="F",SUMIF(C2:C258,C85,AS2:AS258)&lt;=1),SUMIF(C2:C258,C85,AS2:AS258),IF(AND(AT85=1,M85="F",SUMIF(C2:C258,C85,AS2:AS258)&gt;1),1,"")))</f>
        <v>1</v>
      </c>
      <c r="AV85" s="388" t="str">
        <f>IF(AT85=0,"",IF(AND(AT85=3,M85="F",SUMIF(C2:C258,C85,AS2:AS258)&lt;=1),SUMIF(C2:C258,C85,AS2:AS258),IF(AND(AT85=3,M85="F",SUMIF(C2:C258,C85,AS2:AS258)&gt;1),1,"")))</f>
        <v/>
      </c>
      <c r="AW85" s="388">
        <f>SUMIF(C2:C258,C85,O2:O258)</f>
        <v>3</v>
      </c>
      <c r="AX85" s="388">
        <f>IF(AND(M85="F",AS85&lt;&gt;0),SUMIF(C2:C258,C85,W2:W258),0)</f>
        <v>82992</v>
      </c>
      <c r="AY85" s="388">
        <f t="shared" si="73"/>
        <v>16598.400000000001</v>
      </c>
      <c r="AZ85" s="388" t="str">
        <f t="shared" si="74"/>
        <v/>
      </c>
      <c r="BA85" s="388">
        <f t="shared" si="75"/>
        <v>0</v>
      </c>
      <c r="BB85" s="388">
        <f t="shared" si="44"/>
        <v>2500</v>
      </c>
      <c r="BC85" s="388">
        <f t="shared" si="45"/>
        <v>0</v>
      </c>
      <c r="BD85" s="388">
        <f t="shared" si="46"/>
        <v>1029.1008000000002</v>
      </c>
      <c r="BE85" s="388">
        <f t="shared" si="47"/>
        <v>240.67680000000004</v>
      </c>
      <c r="BF85" s="388">
        <f t="shared" si="48"/>
        <v>1981.8489600000003</v>
      </c>
      <c r="BG85" s="388">
        <f t="shared" si="49"/>
        <v>119.67446400000001</v>
      </c>
      <c r="BH85" s="388">
        <f t="shared" si="50"/>
        <v>0</v>
      </c>
      <c r="BI85" s="388">
        <f t="shared" si="51"/>
        <v>0</v>
      </c>
      <c r="BJ85" s="388">
        <f t="shared" si="52"/>
        <v>58.094400000000007</v>
      </c>
      <c r="BK85" s="388">
        <f t="shared" si="53"/>
        <v>0</v>
      </c>
      <c r="BL85" s="388">
        <f t="shared" si="76"/>
        <v>3429.3954240000007</v>
      </c>
      <c r="BM85" s="388">
        <f t="shared" si="77"/>
        <v>0</v>
      </c>
      <c r="BN85" s="388">
        <f t="shared" si="54"/>
        <v>2750</v>
      </c>
      <c r="BO85" s="388">
        <f t="shared" si="55"/>
        <v>0</v>
      </c>
      <c r="BP85" s="388">
        <f t="shared" si="56"/>
        <v>1029.1008000000002</v>
      </c>
      <c r="BQ85" s="388">
        <f t="shared" si="57"/>
        <v>240.67680000000004</v>
      </c>
      <c r="BR85" s="388">
        <f t="shared" si="58"/>
        <v>1855.7011200000002</v>
      </c>
      <c r="BS85" s="388">
        <f t="shared" si="59"/>
        <v>119.67446400000001</v>
      </c>
      <c r="BT85" s="388">
        <f t="shared" si="60"/>
        <v>0</v>
      </c>
      <c r="BU85" s="388">
        <f t="shared" si="61"/>
        <v>0</v>
      </c>
      <c r="BV85" s="388">
        <f t="shared" si="62"/>
        <v>64.733760000000004</v>
      </c>
      <c r="BW85" s="388">
        <f t="shared" si="63"/>
        <v>0</v>
      </c>
      <c r="BX85" s="388">
        <f t="shared" si="78"/>
        <v>3309.8869440000003</v>
      </c>
      <c r="BY85" s="388">
        <f t="shared" si="79"/>
        <v>0</v>
      </c>
      <c r="BZ85" s="388">
        <f t="shared" si="80"/>
        <v>250</v>
      </c>
      <c r="CA85" s="388">
        <f t="shared" si="81"/>
        <v>0</v>
      </c>
      <c r="CB85" s="388">
        <f t="shared" si="82"/>
        <v>0</v>
      </c>
      <c r="CC85" s="388">
        <f t="shared" si="64"/>
        <v>0</v>
      </c>
      <c r="CD85" s="388">
        <f t="shared" si="65"/>
        <v>-126.14784000000017</v>
      </c>
      <c r="CE85" s="388">
        <f t="shared" si="66"/>
        <v>0</v>
      </c>
      <c r="CF85" s="388">
        <f t="shared" si="67"/>
        <v>0</v>
      </c>
      <c r="CG85" s="388">
        <f t="shared" si="68"/>
        <v>0</v>
      </c>
      <c r="CH85" s="388">
        <f t="shared" si="69"/>
        <v>6.6393599999999964</v>
      </c>
      <c r="CI85" s="388">
        <f t="shared" si="70"/>
        <v>0</v>
      </c>
      <c r="CJ85" s="388">
        <f t="shared" si="83"/>
        <v>-119.50848000000018</v>
      </c>
      <c r="CK85" s="388" t="str">
        <f t="shared" si="84"/>
        <v/>
      </c>
      <c r="CL85" s="388" t="str">
        <f t="shared" si="85"/>
        <v/>
      </c>
      <c r="CM85" s="388" t="str">
        <f t="shared" si="86"/>
        <v/>
      </c>
      <c r="CN85" s="388" t="str">
        <f t="shared" si="87"/>
        <v>0001-00</v>
      </c>
    </row>
    <row r="86" spans="1:92" ht="15.75" thickBot="1" x14ac:dyDescent="0.3">
      <c r="A86" s="377" t="s">
        <v>162</v>
      </c>
      <c r="B86" s="377" t="s">
        <v>163</v>
      </c>
      <c r="C86" s="377" t="s">
        <v>413</v>
      </c>
      <c r="D86" s="377" t="s">
        <v>386</v>
      </c>
      <c r="E86" s="377" t="s">
        <v>265</v>
      </c>
      <c r="F86" s="378" t="s">
        <v>167</v>
      </c>
      <c r="G86" s="377" t="s">
        <v>439</v>
      </c>
      <c r="H86" s="379"/>
      <c r="I86" s="379"/>
      <c r="J86" s="377" t="s">
        <v>219</v>
      </c>
      <c r="K86" s="377" t="s">
        <v>387</v>
      </c>
      <c r="L86" s="377" t="s">
        <v>388</v>
      </c>
      <c r="M86" s="377" t="s">
        <v>172</v>
      </c>
      <c r="N86" s="377" t="s">
        <v>173</v>
      </c>
      <c r="O86" s="380">
        <v>1</v>
      </c>
      <c r="P86" s="386">
        <v>0</v>
      </c>
      <c r="Q86" s="386">
        <v>0</v>
      </c>
      <c r="R86" s="381">
        <v>80</v>
      </c>
      <c r="S86" s="386">
        <v>0</v>
      </c>
      <c r="T86" s="381">
        <v>458.46</v>
      </c>
      <c r="U86" s="381">
        <v>0</v>
      </c>
      <c r="V86" s="381">
        <v>239.56</v>
      </c>
      <c r="W86" s="381">
        <v>0</v>
      </c>
      <c r="X86" s="381">
        <v>0</v>
      </c>
      <c r="Y86" s="381">
        <v>0</v>
      </c>
      <c r="Z86" s="381">
        <v>0</v>
      </c>
      <c r="AA86" s="377" t="s">
        <v>414</v>
      </c>
      <c r="AB86" s="377" t="s">
        <v>415</v>
      </c>
      <c r="AC86" s="377" t="s">
        <v>416</v>
      </c>
      <c r="AD86" s="377" t="s">
        <v>230</v>
      </c>
      <c r="AE86" s="377" t="s">
        <v>387</v>
      </c>
      <c r="AF86" s="377" t="s">
        <v>393</v>
      </c>
      <c r="AG86" s="377" t="s">
        <v>179</v>
      </c>
      <c r="AH86" s="382">
        <v>19.260000000000002</v>
      </c>
      <c r="AI86" s="382">
        <v>5407.5</v>
      </c>
      <c r="AJ86" s="377" t="s">
        <v>180</v>
      </c>
      <c r="AK86" s="377" t="s">
        <v>181</v>
      </c>
      <c r="AL86" s="377" t="s">
        <v>182</v>
      </c>
      <c r="AM86" s="377" t="s">
        <v>183</v>
      </c>
      <c r="AN86" s="377" t="s">
        <v>66</v>
      </c>
      <c r="AO86" s="380">
        <v>80</v>
      </c>
      <c r="AP86" s="386">
        <v>1</v>
      </c>
      <c r="AQ86" s="386">
        <v>0</v>
      </c>
      <c r="AR86" s="384" t="s">
        <v>184</v>
      </c>
      <c r="AS86" s="388">
        <f t="shared" si="71"/>
        <v>0</v>
      </c>
      <c r="AT86">
        <f t="shared" si="72"/>
        <v>0</v>
      </c>
      <c r="AU86" s="388" t="str">
        <f>IF(AT86=0,"",IF(AND(AT86=1,M86="F",SUMIF(C2:C258,C86,AS2:AS258)&lt;=1),SUMIF(C2:C258,C86,AS2:AS258),IF(AND(AT86=1,M86="F",SUMIF(C2:C258,C86,AS2:AS258)&gt;1),1,"")))</f>
        <v/>
      </c>
      <c r="AV86" s="388" t="str">
        <f>IF(AT86=0,"",IF(AND(AT86=3,M86="F",SUMIF(C2:C258,C86,AS2:AS258)&lt;=1),SUMIF(C2:C258,C86,AS2:AS258),IF(AND(AT86=3,M86="F",SUMIF(C2:C258,C86,AS2:AS258)&gt;1),1,"")))</f>
        <v/>
      </c>
      <c r="AW86" s="388">
        <f>SUMIF(C2:C258,C86,O2:O258)</f>
        <v>2</v>
      </c>
      <c r="AX86" s="388">
        <f>IF(AND(M86="F",AS86&lt;&gt;0),SUMIF(C2:C258,C86,W2:W258),0)</f>
        <v>0</v>
      </c>
      <c r="AY86" s="388" t="str">
        <f t="shared" si="73"/>
        <v/>
      </c>
      <c r="AZ86" s="388" t="str">
        <f t="shared" si="74"/>
        <v/>
      </c>
      <c r="BA86" s="388">
        <f t="shared" si="75"/>
        <v>0</v>
      </c>
      <c r="BB86" s="388">
        <f t="shared" si="44"/>
        <v>0</v>
      </c>
      <c r="BC86" s="388">
        <f t="shared" si="45"/>
        <v>0</v>
      </c>
      <c r="BD86" s="388">
        <f t="shared" si="46"/>
        <v>0</v>
      </c>
      <c r="BE86" s="388">
        <f t="shared" si="47"/>
        <v>0</v>
      </c>
      <c r="BF86" s="388">
        <f t="shared" si="48"/>
        <v>0</v>
      </c>
      <c r="BG86" s="388">
        <f t="shared" si="49"/>
        <v>0</v>
      </c>
      <c r="BH86" s="388">
        <f t="shared" si="50"/>
        <v>0</v>
      </c>
      <c r="BI86" s="388">
        <f t="shared" si="51"/>
        <v>0</v>
      </c>
      <c r="BJ86" s="388">
        <f t="shared" si="52"/>
        <v>0</v>
      </c>
      <c r="BK86" s="388">
        <f t="shared" si="53"/>
        <v>0</v>
      </c>
      <c r="BL86" s="388">
        <f t="shared" si="76"/>
        <v>0</v>
      </c>
      <c r="BM86" s="388">
        <f t="shared" si="77"/>
        <v>0</v>
      </c>
      <c r="BN86" s="388">
        <f t="shared" si="54"/>
        <v>0</v>
      </c>
      <c r="BO86" s="388">
        <f t="shared" si="55"/>
        <v>0</v>
      </c>
      <c r="BP86" s="388">
        <f t="shared" si="56"/>
        <v>0</v>
      </c>
      <c r="BQ86" s="388">
        <f t="shared" si="57"/>
        <v>0</v>
      </c>
      <c r="BR86" s="388">
        <f t="shared" si="58"/>
        <v>0</v>
      </c>
      <c r="BS86" s="388">
        <f t="shared" si="59"/>
        <v>0</v>
      </c>
      <c r="BT86" s="388">
        <f t="shared" si="60"/>
        <v>0</v>
      </c>
      <c r="BU86" s="388">
        <f t="shared" si="61"/>
        <v>0</v>
      </c>
      <c r="BV86" s="388">
        <f t="shared" si="62"/>
        <v>0</v>
      </c>
      <c r="BW86" s="388">
        <f t="shared" si="63"/>
        <v>0</v>
      </c>
      <c r="BX86" s="388">
        <f t="shared" si="78"/>
        <v>0</v>
      </c>
      <c r="BY86" s="388">
        <f t="shared" si="79"/>
        <v>0</v>
      </c>
      <c r="BZ86" s="388">
        <f t="shared" si="80"/>
        <v>0</v>
      </c>
      <c r="CA86" s="388">
        <f t="shared" si="81"/>
        <v>0</v>
      </c>
      <c r="CB86" s="388">
        <f t="shared" si="82"/>
        <v>0</v>
      </c>
      <c r="CC86" s="388">
        <f t="shared" si="64"/>
        <v>0</v>
      </c>
      <c r="CD86" s="388">
        <f t="shared" si="65"/>
        <v>0</v>
      </c>
      <c r="CE86" s="388">
        <f t="shared" si="66"/>
        <v>0</v>
      </c>
      <c r="CF86" s="388">
        <f t="shared" si="67"/>
        <v>0</v>
      </c>
      <c r="CG86" s="388">
        <f t="shared" si="68"/>
        <v>0</v>
      </c>
      <c r="CH86" s="388">
        <f t="shared" si="69"/>
        <v>0</v>
      </c>
      <c r="CI86" s="388">
        <f t="shared" si="70"/>
        <v>0</v>
      </c>
      <c r="CJ86" s="388">
        <f t="shared" si="83"/>
        <v>0</v>
      </c>
      <c r="CK86" s="388" t="str">
        <f t="shared" si="84"/>
        <v/>
      </c>
      <c r="CL86" s="388" t="str">
        <f t="shared" si="85"/>
        <v/>
      </c>
      <c r="CM86" s="388" t="str">
        <f t="shared" si="86"/>
        <v/>
      </c>
      <c r="CN86" s="388" t="str">
        <f t="shared" si="87"/>
        <v>0001-00</v>
      </c>
    </row>
    <row r="87" spans="1:92" ht="15.75" thickBot="1" x14ac:dyDescent="0.3">
      <c r="A87" s="377" t="s">
        <v>162</v>
      </c>
      <c r="B87" s="377" t="s">
        <v>163</v>
      </c>
      <c r="C87" s="377" t="s">
        <v>513</v>
      </c>
      <c r="D87" s="377" t="s">
        <v>300</v>
      </c>
      <c r="E87" s="377" t="s">
        <v>265</v>
      </c>
      <c r="F87" s="378" t="s">
        <v>167</v>
      </c>
      <c r="G87" s="377" t="s">
        <v>439</v>
      </c>
      <c r="H87" s="379"/>
      <c r="I87" s="379"/>
      <c r="J87" s="377" t="s">
        <v>219</v>
      </c>
      <c r="K87" s="377" t="s">
        <v>301</v>
      </c>
      <c r="L87" s="377" t="s">
        <v>167</v>
      </c>
      <c r="M87" s="377" t="s">
        <v>172</v>
      </c>
      <c r="N87" s="377" t="s">
        <v>173</v>
      </c>
      <c r="O87" s="380">
        <v>1</v>
      </c>
      <c r="P87" s="386">
        <v>1</v>
      </c>
      <c r="Q87" s="386">
        <v>1</v>
      </c>
      <c r="R87" s="381">
        <v>80</v>
      </c>
      <c r="S87" s="386">
        <v>1</v>
      </c>
      <c r="T87" s="381">
        <v>89343.21</v>
      </c>
      <c r="U87" s="381">
        <v>0</v>
      </c>
      <c r="V87" s="381">
        <v>30187.74</v>
      </c>
      <c r="W87" s="381">
        <v>88379.199999999997</v>
      </c>
      <c r="X87" s="381">
        <v>30760</v>
      </c>
      <c r="Y87" s="381">
        <v>88379.199999999997</v>
      </c>
      <c r="Z87" s="381">
        <v>31373.67</v>
      </c>
      <c r="AA87" s="377" t="s">
        <v>514</v>
      </c>
      <c r="AB87" s="377" t="s">
        <v>515</v>
      </c>
      <c r="AC87" s="377" t="s">
        <v>320</v>
      </c>
      <c r="AD87" s="377" t="s">
        <v>335</v>
      </c>
      <c r="AE87" s="377" t="s">
        <v>301</v>
      </c>
      <c r="AF87" s="377" t="s">
        <v>207</v>
      </c>
      <c r="AG87" s="377" t="s">
        <v>179</v>
      </c>
      <c r="AH87" s="382">
        <v>42.49</v>
      </c>
      <c r="AI87" s="382">
        <v>8537.5</v>
      </c>
      <c r="AJ87" s="377" t="s">
        <v>180</v>
      </c>
      <c r="AK87" s="377" t="s">
        <v>181</v>
      </c>
      <c r="AL87" s="377" t="s">
        <v>182</v>
      </c>
      <c r="AM87" s="377" t="s">
        <v>183</v>
      </c>
      <c r="AN87" s="377" t="s">
        <v>66</v>
      </c>
      <c r="AO87" s="380">
        <v>80</v>
      </c>
      <c r="AP87" s="386">
        <v>1</v>
      </c>
      <c r="AQ87" s="386">
        <v>1</v>
      </c>
      <c r="AR87" s="384" t="s">
        <v>184</v>
      </c>
      <c r="AS87" s="388">
        <f t="shared" si="71"/>
        <v>1</v>
      </c>
      <c r="AT87">
        <f t="shared" si="72"/>
        <v>1</v>
      </c>
      <c r="AU87" s="388">
        <f>IF(AT87=0,"",IF(AND(AT87=1,M87="F",SUMIF(C2:C258,C87,AS2:AS258)&lt;=1),SUMIF(C2:C258,C87,AS2:AS258),IF(AND(AT87=1,M87="F",SUMIF(C2:C258,C87,AS2:AS258)&gt;1),1,"")))</f>
        <v>1</v>
      </c>
      <c r="AV87" s="388" t="str">
        <f>IF(AT87=0,"",IF(AND(AT87=3,M87="F",SUMIF(C2:C258,C87,AS2:AS258)&lt;=1),SUMIF(C2:C258,C87,AS2:AS258),IF(AND(AT87=3,M87="F",SUMIF(C2:C258,C87,AS2:AS258)&gt;1),1,"")))</f>
        <v/>
      </c>
      <c r="AW87" s="388">
        <f>SUMIF(C2:C258,C87,O2:O258)</f>
        <v>1</v>
      </c>
      <c r="AX87" s="388">
        <f>IF(AND(M87="F",AS87&lt;&gt;0),SUMIF(C2:C258,C87,W2:W258),0)</f>
        <v>88379.199999999997</v>
      </c>
      <c r="AY87" s="388">
        <f t="shared" si="73"/>
        <v>88379.199999999997</v>
      </c>
      <c r="AZ87" s="388" t="str">
        <f t="shared" si="74"/>
        <v/>
      </c>
      <c r="BA87" s="388">
        <f t="shared" si="75"/>
        <v>0</v>
      </c>
      <c r="BB87" s="388">
        <f t="shared" si="44"/>
        <v>12500</v>
      </c>
      <c r="BC87" s="388">
        <f t="shared" si="45"/>
        <v>0</v>
      </c>
      <c r="BD87" s="388">
        <f t="shared" si="46"/>
        <v>5479.5104000000001</v>
      </c>
      <c r="BE87" s="388">
        <f t="shared" si="47"/>
        <v>1281.4983999999999</v>
      </c>
      <c r="BF87" s="388">
        <f t="shared" si="48"/>
        <v>10552.476479999999</v>
      </c>
      <c r="BG87" s="388">
        <f t="shared" si="49"/>
        <v>637.21403199999997</v>
      </c>
      <c r="BH87" s="388">
        <f t="shared" si="50"/>
        <v>0</v>
      </c>
      <c r="BI87" s="388">
        <f t="shared" si="51"/>
        <v>0</v>
      </c>
      <c r="BJ87" s="388">
        <f t="shared" si="52"/>
        <v>309.3272</v>
      </c>
      <c r="BK87" s="388">
        <f t="shared" si="53"/>
        <v>0</v>
      </c>
      <c r="BL87" s="388">
        <f t="shared" si="76"/>
        <v>18260.026512</v>
      </c>
      <c r="BM87" s="388">
        <f t="shared" si="77"/>
        <v>0</v>
      </c>
      <c r="BN87" s="388">
        <f t="shared" si="54"/>
        <v>13750</v>
      </c>
      <c r="BO87" s="388">
        <f t="shared" si="55"/>
        <v>0</v>
      </c>
      <c r="BP87" s="388">
        <f t="shared" si="56"/>
        <v>5479.5104000000001</v>
      </c>
      <c r="BQ87" s="388">
        <f t="shared" si="57"/>
        <v>1281.4983999999999</v>
      </c>
      <c r="BR87" s="388">
        <f t="shared" si="58"/>
        <v>9880.7945600000003</v>
      </c>
      <c r="BS87" s="388">
        <f t="shared" si="59"/>
        <v>637.21403199999997</v>
      </c>
      <c r="BT87" s="388">
        <f t="shared" si="60"/>
        <v>0</v>
      </c>
      <c r="BU87" s="388">
        <f t="shared" si="61"/>
        <v>0</v>
      </c>
      <c r="BV87" s="388">
        <f t="shared" si="62"/>
        <v>344.67887999999999</v>
      </c>
      <c r="BW87" s="388">
        <f t="shared" si="63"/>
        <v>0</v>
      </c>
      <c r="BX87" s="388">
        <f t="shared" si="78"/>
        <v>17623.696271999997</v>
      </c>
      <c r="BY87" s="388">
        <f t="shared" si="79"/>
        <v>0</v>
      </c>
      <c r="BZ87" s="388">
        <f t="shared" si="80"/>
        <v>1250</v>
      </c>
      <c r="CA87" s="388">
        <f t="shared" si="81"/>
        <v>0</v>
      </c>
      <c r="CB87" s="388">
        <f t="shared" si="82"/>
        <v>0</v>
      </c>
      <c r="CC87" s="388">
        <f t="shared" si="64"/>
        <v>0</v>
      </c>
      <c r="CD87" s="388">
        <f t="shared" si="65"/>
        <v>-671.68192000000079</v>
      </c>
      <c r="CE87" s="388">
        <f t="shared" si="66"/>
        <v>0</v>
      </c>
      <c r="CF87" s="388">
        <f t="shared" si="67"/>
        <v>0</v>
      </c>
      <c r="CG87" s="388">
        <f t="shared" si="68"/>
        <v>0</v>
      </c>
      <c r="CH87" s="388">
        <f t="shared" si="69"/>
        <v>35.351679999999973</v>
      </c>
      <c r="CI87" s="388">
        <f t="shared" si="70"/>
        <v>0</v>
      </c>
      <c r="CJ87" s="388">
        <f t="shared" si="83"/>
        <v>-636.3302400000008</v>
      </c>
      <c r="CK87" s="388" t="str">
        <f t="shared" si="84"/>
        <v/>
      </c>
      <c r="CL87" s="388" t="str">
        <f t="shared" si="85"/>
        <v/>
      </c>
      <c r="CM87" s="388" t="str">
        <f t="shared" si="86"/>
        <v/>
      </c>
      <c r="CN87" s="388" t="str">
        <f t="shared" si="87"/>
        <v>0001-00</v>
      </c>
    </row>
    <row r="88" spans="1:92" ht="15.75" thickBot="1" x14ac:dyDescent="0.3">
      <c r="A88" s="377" t="s">
        <v>162</v>
      </c>
      <c r="B88" s="377" t="s">
        <v>163</v>
      </c>
      <c r="C88" s="377" t="s">
        <v>516</v>
      </c>
      <c r="D88" s="377" t="s">
        <v>251</v>
      </c>
      <c r="E88" s="377" t="s">
        <v>265</v>
      </c>
      <c r="F88" s="378" t="s">
        <v>167</v>
      </c>
      <c r="G88" s="377" t="s">
        <v>439</v>
      </c>
      <c r="H88" s="379"/>
      <c r="I88" s="379"/>
      <c r="J88" s="377" t="s">
        <v>517</v>
      </c>
      <c r="K88" s="377" t="s">
        <v>252</v>
      </c>
      <c r="L88" s="377" t="s">
        <v>179</v>
      </c>
      <c r="M88" s="377" t="s">
        <v>172</v>
      </c>
      <c r="N88" s="377" t="s">
        <v>173</v>
      </c>
      <c r="O88" s="380">
        <v>1</v>
      </c>
      <c r="P88" s="386">
        <v>0.13</v>
      </c>
      <c r="Q88" s="386">
        <v>0.13</v>
      </c>
      <c r="R88" s="381">
        <v>80</v>
      </c>
      <c r="S88" s="386">
        <v>0.13</v>
      </c>
      <c r="T88" s="381">
        <v>5411.48</v>
      </c>
      <c r="U88" s="381">
        <v>0</v>
      </c>
      <c r="V88" s="381">
        <v>2514.7399999999998</v>
      </c>
      <c r="W88" s="381">
        <v>5007.8</v>
      </c>
      <c r="X88" s="381">
        <v>2659.65</v>
      </c>
      <c r="Y88" s="381">
        <v>5007.8</v>
      </c>
      <c r="Z88" s="381">
        <v>2786.1</v>
      </c>
      <c r="AA88" s="377" t="s">
        <v>518</v>
      </c>
      <c r="AB88" s="377" t="s">
        <v>519</v>
      </c>
      <c r="AC88" s="377" t="s">
        <v>520</v>
      </c>
      <c r="AD88" s="377" t="s">
        <v>211</v>
      </c>
      <c r="AE88" s="377" t="s">
        <v>252</v>
      </c>
      <c r="AF88" s="377" t="s">
        <v>257</v>
      </c>
      <c r="AG88" s="377" t="s">
        <v>179</v>
      </c>
      <c r="AH88" s="382">
        <v>18.52</v>
      </c>
      <c r="AI88" s="382">
        <v>2463.6</v>
      </c>
      <c r="AJ88" s="377" t="s">
        <v>180</v>
      </c>
      <c r="AK88" s="377" t="s">
        <v>181</v>
      </c>
      <c r="AL88" s="377" t="s">
        <v>182</v>
      </c>
      <c r="AM88" s="377" t="s">
        <v>183</v>
      </c>
      <c r="AN88" s="377" t="s">
        <v>66</v>
      </c>
      <c r="AO88" s="380">
        <v>80</v>
      </c>
      <c r="AP88" s="386">
        <v>1</v>
      </c>
      <c r="AQ88" s="386">
        <v>0.13</v>
      </c>
      <c r="AR88" s="384" t="s">
        <v>184</v>
      </c>
      <c r="AS88" s="388">
        <f t="shared" si="71"/>
        <v>0.13</v>
      </c>
      <c r="AT88">
        <f t="shared" si="72"/>
        <v>1</v>
      </c>
      <c r="AU88" s="388">
        <f>IF(AT88=0,"",IF(AND(AT88=1,M88="F",SUMIF(C2:C258,C88,AS2:AS258)&lt;=1),SUMIF(C2:C258,C88,AS2:AS258),IF(AND(AT88=1,M88="F",SUMIF(C2:C258,C88,AS2:AS258)&gt;1),1,"")))</f>
        <v>1</v>
      </c>
      <c r="AV88" s="388" t="str">
        <f>IF(AT88=0,"",IF(AND(AT88=3,M88="F",SUMIF(C2:C258,C88,AS2:AS258)&lt;=1),SUMIF(C2:C258,C88,AS2:AS258),IF(AND(AT88=3,M88="F",SUMIF(C2:C258,C88,AS2:AS258)&gt;1),1,"")))</f>
        <v/>
      </c>
      <c r="AW88" s="388">
        <f>SUMIF(C2:C258,C88,O2:O258)</f>
        <v>6</v>
      </c>
      <c r="AX88" s="388">
        <f>IF(AND(M88="F",AS88&lt;&gt;0),SUMIF(C2:C258,C88,W2:W258),0)</f>
        <v>38521.58</v>
      </c>
      <c r="AY88" s="388">
        <f t="shared" si="73"/>
        <v>5007.8</v>
      </c>
      <c r="AZ88" s="388" t="str">
        <f t="shared" si="74"/>
        <v/>
      </c>
      <c r="BA88" s="388">
        <f t="shared" si="75"/>
        <v>0</v>
      </c>
      <c r="BB88" s="388">
        <f t="shared" si="44"/>
        <v>1625</v>
      </c>
      <c r="BC88" s="388">
        <f t="shared" si="45"/>
        <v>0</v>
      </c>
      <c r="BD88" s="388">
        <f t="shared" si="46"/>
        <v>310.48360000000002</v>
      </c>
      <c r="BE88" s="388">
        <f t="shared" si="47"/>
        <v>72.613100000000003</v>
      </c>
      <c r="BF88" s="388">
        <f t="shared" si="48"/>
        <v>597.93132000000003</v>
      </c>
      <c r="BG88" s="388">
        <f t="shared" si="49"/>
        <v>36.106238000000005</v>
      </c>
      <c r="BH88" s="388">
        <f t="shared" si="50"/>
        <v>0</v>
      </c>
      <c r="BI88" s="388">
        <f t="shared" si="51"/>
        <v>0</v>
      </c>
      <c r="BJ88" s="388">
        <f t="shared" si="52"/>
        <v>17.5273</v>
      </c>
      <c r="BK88" s="388">
        <f t="shared" si="53"/>
        <v>0</v>
      </c>
      <c r="BL88" s="388">
        <f t="shared" si="76"/>
        <v>1034.661558</v>
      </c>
      <c r="BM88" s="388">
        <f t="shared" si="77"/>
        <v>0</v>
      </c>
      <c r="BN88" s="388">
        <f t="shared" si="54"/>
        <v>1787.5</v>
      </c>
      <c r="BO88" s="388">
        <f t="shared" si="55"/>
        <v>0</v>
      </c>
      <c r="BP88" s="388">
        <f t="shared" si="56"/>
        <v>310.48360000000002</v>
      </c>
      <c r="BQ88" s="388">
        <f t="shared" si="57"/>
        <v>72.613100000000003</v>
      </c>
      <c r="BR88" s="388">
        <f t="shared" si="58"/>
        <v>559.87203999999997</v>
      </c>
      <c r="BS88" s="388">
        <f t="shared" si="59"/>
        <v>36.106238000000005</v>
      </c>
      <c r="BT88" s="388">
        <f t="shared" si="60"/>
        <v>0</v>
      </c>
      <c r="BU88" s="388">
        <f t="shared" si="61"/>
        <v>0</v>
      </c>
      <c r="BV88" s="388">
        <f t="shared" si="62"/>
        <v>19.530419999999999</v>
      </c>
      <c r="BW88" s="388">
        <f t="shared" si="63"/>
        <v>0</v>
      </c>
      <c r="BX88" s="388">
        <f t="shared" si="78"/>
        <v>998.60539800000004</v>
      </c>
      <c r="BY88" s="388">
        <f t="shared" si="79"/>
        <v>0</v>
      </c>
      <c r="BZ88" s="388">
        <f t="shared" si="80"/>
        <v>162.5</v>
      </c>
      <c r="CA88" s="388">
        <f t="shared" si="81"/>
        <v>0</v>
      </c>
      <c r="CB88" s="388">
        <f t="shared" si="82"/>
        <v>0</v>
      </c>
      <c r="CC88" s="388">
        <f t="shared" si="64"/>
        <v>0</v>
      </c>
      <c r="CD88" s="388">
        <f t="shared" si="65"/>
        <v>-38.059280000000051</v>
      </c>
      <c r="CE88" s="388">
        <f t="shared" si="66"/>
        <v>0</v>
      </c>
      <c r="CF88" s="388">
        <f t="shared" si="67"/>
        <v>0</v>
      </c>
      <c r="CG88" s="388">
        <f t="shared" si="68"/>
        <v>0</v>
      </c>
      <c r="CH88" s="388">
        <f t="shared" si="69"/>
        <v>2.0031199999999987</v>
      </c>
      <c r="CI88" s="388">
        <f t="shared" si="70"/>
        <v>0</v>
      </c>
      <c r="CJ88" s="388">
        <f t="shared" si="83"/>
        <v>-36.056160000000055</v>
      </c>
      <c r="CK88" s="388" t="str">
        <f t="shared" si="84"/>
        <v/>
      </c>
      <c r="CL88" s="388" t="str">
        <f t="shared" si="85"/>
        <v/>
      </c>
      <c r="CM88" s="388" t="str">
        <f t="shared" si="86"/>
        <v/>
      </c>
      <c r="CN88" s="388" t="str">
        <f t="shared" si="87"/>
        <v>0001-00</v>
      </c>
    </row>
    <row r="89" spans="1:92" ht="15.75" thickBot="1" x14ac:dyDescent="0.3">
      <c r="A89" s="377" t="s">
        <v>162</v>
      </c>
      <c r="B89" s="377" t="s">
        <v>163</v>
      </c>
      <c r="C89" s="377" t="s">
        <v>521</v>
      </c>
      <c r="D89" s="377" t="s">
        <v>282</v>
      </c>
      <c r="E89" s="377" t="s">
        <v>265</v>
      </c>
      <c r="F89" s="378" t="s">
        <v>167</v>
      </c>
      <c r="G89" s="377" t="s">
        <v>439</v>
      </c>
      <c r="H89" s="379"/>
      <c r="I89" s="379"/>
      <c r="J89" s="377" t="s">
        <v>517</v>
      </c>
      <c r="K89" s="377" t="s">
        <v>244</v>
      </c>
      <c r="L89" s="377" t="s">
        <v>167</v>
      </c>
      <c r="M89" s="377" t="s">
        <v>395</v>
      </c>
      <c r="N89" s="377" t="s">
        <v>173</v>
      </c>
      <c r="O89" s="380">
        <v>0</v>
      </c>
      <c r="P89" s="386">
        <v>0.21</v>
      </c>
      <c r="Q89" s="386">
        <v>0.21</v>
      </c>
      <c r="R89" s="381">
        <v>80</v>
      </c>
      <c r="S89" s="386">
        <v>0.21</v>
      </c>
      <c r="T89" s="381">
        <v>7824.9</v>
      </c>
      <c r="U89" s="381">
        <v>0</v>
      </c>
      <c r="V89" s="381">
        <v>2667.03</v>
      </c>
      <c r="W89" s="381">
        <v>18170.88</v>
      </c>
      <c r="X89" s="381">
        <v>8176.89</v>
      </c>
      <c r="Y89" s="381">
        <v>18170.88</v>
      </c>
      <c r="Z89" s="381">
        <v>8467.6200000000008</v>
      </c>
      <c r="AA89" s="379"/>
      <c r="AB89" s="377" t="s">
        <v>45</v>
      </c>
      <c r="AC89" s="377" t="s">
        <v>45</v>
      </c>
      <c r="AD89" s="379"/>
      <c r="AE89" s="379"/>
      <c r="AF89" s="379"/>
      <c r="AG89" s="379"/>
      <c r="AH89" s="380">
        <v>0</v>
      </c>
      <c r="AI89" s="380">
        <v>0</v>
      </c>
      <c r="AJ89" s="379"/>
      <c r="AK89" s="379"/>
      <c r="AL89" s="377" t="s">
        <v>182</v>
      </c>
      <c r="AM89" s="379"/>
      <c r="AN89" s="379"/>
      <c r="AO89" s="380">
        <v>0</v>
      </c>
      <c r="AP89" s="386">
        <v>0</v>
      </c>
      <c r="AQ89" s="386">
        <v>0</v>
      </c>
      <c r="AR89" s="385"/>
      <c r="AS89" s="388">
        <f t="shared" si="71"/>
        <v>0</v>
      </c>
      <c r="AT89">
        <f t="shared" si="72"/>
        <v>0</v>
      </c>
      <c r="AU89" s="388" t="str">
        <f>IF(AT89=0,"",IF(AND(AT89=1,M89="F",SUMIF(C2:C258,C89,AS2:AS258)&lt;=1),SUMIF(C2:C258,C89,AS2:AS258),IF(AND(AT89=1,M89="F",SUMIF(C2:C258,C89,AS2:AS258)&gt;1),1,"")))</f>
        <v/>
      </c>
      <c r="AV89" s="388" t="str">
        <f>IF(AT89=0,"",IF(AND(AT89=3,M89="F",SUMIF(C2:C258,C89,AS2:AS258)&lt;=1),SUMIF(C2:C258,C89,AS2:AS258),IF(AND(AT89=3,M89="F",SUMIF(C2:C258,C89,AS2:AS258)&gt;1),1,"")))</f>
        <v/>
      </c>
      <c r="AW89" s="388">
        <f>SUMIF(C2:C258,C89,O2:O258)</f>
        <v>0</v>
      </c>
      <c r="AX89" s="388">
        <f>IF(AND(M89="F",AS89&lt;&gt;0),SUMIF(C2:C258,C89,W2:W258),0)</f>
        <v>0</v>
      </c>
      <c r="AY89" s="388" t="str">
        <f t="shared" si="73"/>
        <v/>
      </c>
      <c r="AZ89" s="388" t="str">
        <f t="shared" si="74"/>
        <v/>
      </c>
      <c r="BA89" s="388">
        <f t="shared" si="75"/>
        <v>0</v>
      </c>
      <c r="BB89" s="388">
        <f t="shared" si="44"/>
        <v>0</v>
      </c>
      <c r="BC89" s="388">
        <f t="shared" si="45"/>
        <v>0</v>
      </c>
      <c r="BD89" s="388">
        <f t="shared" si="46"/>
        <v>0</v>
      </c>
      <c r="BE89" s="388">
        <f t="shared" si="47"/>
        <v>0</v>
      </c>
      <c r="BF89" s="388">
        <f t="shared" si="48"/>
        <v>0</v>
      </c>
      <c r="BG89" s="388">
        <f t="shared" si="49"/>
        <v>0</v>
      </c>
      <c r="BH89" s="388">
        <f t="shared" si="50"/>
        <v>0</v>
      </c>
      <c r="BI89" s="388">
        <f t="shared" si="51"/>
        <v>0</v>
      </c>
      <c r="BJ89" s="388">
        <f t="shared" si="52"/>
        <v>0</v>
      </c>
      <c r="BK89" s="388">
        <f t="shared" si="53"/>
        <v>0</v>
      </c>
      <c r="BL89" s="388">
        <f t="shared" si="76"/>
        <v>0</v>
      </c>
      <c r="BM89" s="388">
        <f t="shared" si="77"/>
        <v>0</v>
      </c>
      <c r="BN89" s="388">
        <f t="shared" si="54"/>
        <v>0</v>
      </c>
      <c r="BO89" s="388">
        <f t="shared" si="55"/>
        <v>0</v>
      </c>
      <c r="BP89" s="388">
        <f t="shared" si="56"/>
        <v>0</v>
      </c>
      <c r="BQ89" s="388">
        <f t="shared" si="57"/>
        <v>0</v>
      </c>
      <c r="BR89" s="388">
        <f t="shared" si="58"/>
        <v>0</v>
      </c>
      <c r="BS89" s="388">
        <f t="shared" si="59"/>
        <v>0</v>
      </c>
      <c r="BT89" s="388">
        <f t="shared" si="60"/>
        <v>0</v>
      </c>
      <c r="BU89" s="388">
        <f t="shared" si="61"/>
        <v>0</v>
      </c>
      <c r="BV89" s="388">
        <f t="shared" si="62"/>
        <v>0</v>
      </c>
      <c r="BW89" s="388">
        <f t="shared" si="63"/>
        <v>0</v>
      </c>
      <c r="BX89" s="388">
        <f t="shared" si="78"/>
        <v>0</v>
      </c>
      <c r="BY89" s="388">
        <f t="shared" si="79"/>
        <v>0</v>
      </c>
      <c r="BZ89" s="388">
        <f t="shared" si="80"/>
        <v>0</v>
      </c>
      <c r="CA89" s="388">
        <f t="shared" si="81"/>
        <v>0</v>
      </c>
      <c r="CB89" s="388">
        <f t="shared" si="82"/>
        <v>0</v>
      </c>
      <c r="CC89" s="388">
        <f t="shared" si="64"/>
        <v>0</v>
      </c>
      <c r="CD89" s="388">
        <f t="shared" si="65"/>
        <v>0</v>
      </c>
      <c r="CE89" s="388">
        <f t="shared" si="66"/>
        <v>0</v>
      </c>
      <c r="CF89" s="388">
        <f t="shared" si="67"/>
        <v>0</v>
      </c>
      <c r="CG89" s="388">
        <f t="shared" si="68"/>
        <v>0</v>
      </c>
      <c r="CH89" s="388">
        <f t="shared" si="69"/>
        <v>0</v>
      </c>
      <c r="CI89" s="388">
        <f t="shared" si="70"/>
        <v>0</v>
      </c>
      <c r="CJ89" s="388">
        <f t="shared" si="83"/>
        <v>0</v>
      </c>
      <c r="CK89" s="388" t="str">
        <f t="shared" si="84"/>
        <v/>
      </c>
      <c r="CL89" s="388" t="str">
        <f t="shared" si="85"/>
        <v/>
      </c>
      <c r="CM89" s="388" t="str">
        <f t="shared" si="86"/>
        <v/>
      </c>
      <c r="CN89" s="388" t="str">
        <f t="shared" si="87"/>
        <v>0001-00</v>
      </c>
    </row>
    <row r="90" spans="1:92" ht="15.75" thickBot="1" x14ac:dyDescent="0.3">
      <c r="A90" s="377" t="s">
        <v>162</v>
      </c>
      <c r="B90" s="377" t="s">
        <v>163</v>
      </c>
      <c r="C90" s="377" t="s">
        <v>522</v>
      </c>
      <c r="D90" s="377" t="s">
        <v>300</v>
      </c>
      <c r="E90" s="377" t="s">
        <v>265</v>
      </c>
      <c r="F90" s="378" t="s">
        <v>167</v>
      </c>
      <c r="G90" s="377" t="s">
        <v>439</v>
      </c>
      <c r="H90" s="379"/>
      <c r="I90" s="379"/>
      <c r="J90" s="377" t="s">
        <v>169</v>
      </c>
      <c r="K90" s="377" t="s">
        <v>301</v>
      </c>
      <c r="L90" s="377" t="s">
        <v>167</v>
      </c>
      <c r="M90" s="377" t="s">
        <v>172</v>
      </c>
      <c r="N90" s="377" t="s">
        <v>173</v>
      </c>
      <c r="O90" s="380">
        <v>1</v>
      </c>
      <c r="P90" s="386">
        <v>0.4</v>
      </c>
      <c r="Q90" s="386">
        <v>0.4</v>
      </c>
      <c r="R90" s="381">
        <v>80</v>
      </c>
      <c r="S90" s="386">
        <v>0.4</v>
      </c>
      <c r="T90" s="381">
        <v>30550.21</v>
      </c>
      <c r="U90" s="381">
        <v>0</v>
      </c>
      <c r="V90" s="381">
        <v>11033.96</v>
      </c>
      <c r="W90" s="381">
        <v>30667.52</v>
      </c>
      <c r="X90" s="381">
        <v>11336.2</v>
      </c>
      <c r="Y90" s="381">
        <v>30667.52</v>
      </c>
      <c r="Z90" s="381">
        <v>11615.4</v>
      </c>
      <c r="AA90" s="377" t="s">
        <v>523</v>
      </c>
      <c r="AB90" s="377" t="s">
        <v>524</v>
      </c>
      <c r="AC90" s="377" t="s">
        <v>525</v>
      </c>
      <c r="AD90" s="377" t="s">
        <v>526</v>
      </c>
      <c r="AE90" s="377" t="s">
        <v>301</v>
      </c>
      <c r="AF90" s="377" t="s">
        <v>207</v>
      </c>
      <c r="AG90" s="377" t="s">
        <v>179</v>
      </c>
      <c r="AH90" s="382">
        <v>36.86</v>
      </c>
      <c r="AI90" s="382">
        <v>6286.2</v>
      </c>
      <c r="AJ90" s="377" t="s">
        <v>180</v>
      </c>
      <c r="AK90" s="377" t="s">
        <v>181</v>
      </c>
      <c r="AL90" s="377" t="s">
        <v>182</v>
      </c>
      <c r="AM90" s="377" t="s">
        <v>183</v>
      </c>
      <c r="AN90" s="377" t="s">
        <v>66</v>
      </c>
      <c r="AO90" s="380">
        <v>80</v>
      </c>
      <c r="AP90" s="386">
        <v>1</v>
      </c>
      <c r="AQ90" s="386">
        <v>0.4</v>
      </c>
      <c r="AR90" s="384" t="s">
        <v>184</v>
      </c>
      <c r="AS90" s="388">
        <f t="shared" si="71"/>
        <v>0.4</v>
      </c>
      <c r="AT90">
        <f t="shared" si="72"/>
        <v>1</v>
      </c>
      <c r="AU90" s="388">
        <f>IF(AT90=0,"",IF(AND(AT90=1,M90="F",SUMIF(C2:C258,C90,AS2:AS258)&lt;=1),SUMIF(C2:C258,C90,AS2:AS258),IF(AND(AT90=1,M90="F",SUMIF(C2:C258,C90,AS2:AS258)&gt;1),1,"")))</f>
        <v>1</v>
      </c>
      <c r="AV90" s="388" t="str">
        <f>IF(AT90=0,"",IF(AND(AT90=3,M90="F",SUMIF(C2:C258,C90,AS2:AS258)&lt;=1),SUMIF(C2:C258,C90,AS2:AS258),IF(AND(AT90=3,M90="F",SUMIF(C2:C258,C90,AS2:AS258)&gt;1),1,"")))</f>
        <v/>
      </c>
      <c r="AW90" s="388">
        <f>SUMIF(C2:C258,C90,O2:O258)</f>
        <v>2</v>
      </c>
      <c r="AX90" s="388">
        <f>IF(AND(M90="F",AS90&lt;&gt;0),SUMIF(C2:C258,C90,W2:W258),0)</f>
        <v>76668.800000000003</v>
      </c>
      <c r="AY90" s="388">
        <f t="shared" si="73"/>
        <v>30667.52</v>
      </c>
      <c r="AZ90" s="388" t="str">
        <f t="shared" si="74"/>
        <v/>
      </c>
      <c r="BA90" s="388">
        <f t="shared" si="75"/>
        <v>0</v>
      </c>
      <c r="BB90" s="388">
        <f t="shared" si="44"/>
        <v>5000</v>
      </c>
      <c r="BC90" s="388">
        <f t="shared" si="45"/>
        <v>0</v>
      </c>
      <c r="BD90" s="388">
        <f t="shared" si="46"/>
        <v>1901.38624</v>
      </c>
      <c r="BE90" s="388">
        <f t="shared" si="47"/>
        <v>444.67904000000004</v>
      </c>
      <c r="BF90" s="388">
        <f t="shared" si="48"/>
        <v>3661.7018880000001</v>
      </c>
      <c r="BG90" s="388">
        <f t="shared" si="49"/>
        <v>221.11281920000002</v>
      </c>
      <c r="BH90" s="388">
        <f t="shared" si="50"/>
        <v>0</v>
      </c>
      <c r="BI90" s="388">
        <f t="shared" si="51"/>
        <v>0</v>
      </c>
      <c r="BJ90" s="388">
        <f t="shared" si="52"/>
        <v>107.33632</v>
      </c>
      <c r="BK90" s="388">
        <f t="shared" si="53"/>
        <v>0</v>
      </c>
      <c r="BL90" s="388">
        <f t="shared" si="76"/>
        <v>6336.2163072000003</v>
      </c>
      <c r="BM90" s="388">
        <f t="shared" si="77"/>
        <v>0</v>
      </c>
      <c r="BN90" s="388">
        <f t="shared" si="54"/>
        <v>5500</v>
      </c>
      <c r="BO90" s="388">
        <f t="shared" si="55"/>
        <v>0</v>
      </c>
      <c r="BP90" s="388">
        <f t="shared" si="56"/>
        <v>1901.38624</v>
      </c>
      <c r="BQ90" s="388">
        <f t="shared" si="57"/>
        <v>444.67904000000004</v>
      </c>
      <c r="BR90" s="388">
        <f t="shared" si="58"/>
        <v>3428.6287360000001</v>
      </c>
      <c r="BS90" s="388">
        <f t="shared" si="59"/>
        <v>221.11281920000002</v>
      </c>
      <c r="BT90" s="388">
        <f t="shared" si="60"/>
        <v>0</v>
      </c>
      <c r="BU90" s="388">
        <f t="shared" si="61"/>
        <v>0</v>
      </c>
      <c r="BV90" s="388">
        <f t="shared" si="62"/>
        <v>119.60332799999999</v>
      </c>
      <c r="BW90" s="388">
        <f t="shared" si="63"/>
        <v>0</v>
      </c>
      <c r="BX90" s="388">
        <f t="shared" si="78"/>
        <v>6115.4101632000002</v>
      </c>
      <c r="BY90" s="388">
        <f t="shared" si="79"/>
        <v>0</v>
      </c>
      <c r="BZ90" s="388">
        <f t="shared" si="80"/>
        <v>500</v>
      </c>
      <c r="CA90" s="388">
        <f t="shared" si="81"/>
        <v>0</v>
      </c>
      <c r="CB90" s="388">
        <f t="shared" si="82"/>
        <v>0</v>
      </c>
      <c r="CC90" s="388">
        <f t="shared" si="64"/>
        <v>0</v>
      </c>
      <c r="CD90" s="388">
        <f t="shared" si="65"/>
        <v>-233.07315200000031</v>
      </c>
      <c r="CE90" s="388">
        <f t="shared" si="66"/>
        <v>0</v>
      </c>
      <c r="CF90" s="388">
        <f t="shared" si="67"/>
        <v>0</v>
      </c>
      <c r="CG90" s="388">
        <f t="shared" si="68"/>
        <v>0</v>
      </c>
      <c r="CH90" s="388">
        <f t="shared" si="69"/>
        <v>12.267007999999992</v>
      </c>
      <c r="CI90" s="388">
        <f t="shared" si="70"/>
        <v>0</v>
      </c>
      <c r="CJ90" s="388">
        <f t="shared" si="83"/>
        <v>-220.8061440000003</v>
      </c>
      <c r="CK90" s="388" t="str">
        <f t="shared" si="84"/>
        <v/>
      </c>
      <c r="CL90" s="388" t="str">
        <f t="shared" si="85"/>
        <v/>
      </c>
      <c r="CM90" s="388" t="str">
        <f t="shared" si="86"/>
        <v/>
      </c>
      <c r="CN90" s="388" t="str">
        <f t="shared" si="87"/>
        <v>0001-00</v>
      </c>
    </row>
    <row r="91" spans="1:92" ht="15.75" thickBot="1" x14ac:dyDescent="0.3">
      <c r="A91" s="377" t="s">
        <v>162</v>
      </c>
      <c r="B91" s="377" t="s">
        <v>163</v>
      </c>
      <c r="C91" s="377" t="s">
        <v>267</v>
      </c>
      <c r="D91" s="377" t="s">
        <v>268</v>
      </c>
      <c r="E91" s="377" t="s">
        <v>265</v>
      </c>
      <c r="F91" s="378" t="s">
        <v>167</v>
      </c>
      <c r="G91" s="377" t="s">
        <v>439</v>
      </c>
      <c r="H91" s="379"/>
      <c r="I91" s="379"/>
      <c r="J91" s="377" t="s">
        <v>269</v>
      </c>
      <c r="K91" s="377" t="s">
        <v>270</v>
      </c>
      <c r="L91" s="377" t="s">
        <v>167</v>
      </c>
      <c r="M91" s="377" t="s">
        <v>172</v>
      </c>
      <c r="N91" s="377" t="s">
        <v>173</v>
      </c>
      <c r="O91" s="380">
        <v>1</v>
      </c>
      <c r="P91" s="386">
        <v>0.9</v>
      </c>
      <c r="Q91" s="386">
        <v>0.9</v>
      </c>
      <c r="R91" s="381">
        <v>80</v>
      </c>
      <c r="S91" s="386">
        <v>0.9</v>
      </c>
      <c r="T91" s="381">
        <v>131111.63</v>
      </c>
      <c r="U91" s="381">
        <v>0</v>
      </c>
      <c r="V91" s="381">
        <v>39859.31</v>
      </c>
      <c r="W91" s="381">
        <v>123140.16</v>
      </c>
      <c r="X91" s="381">
        <v>36691.949999999997</v>
      </c>
      <c r="Y91" s="381">
        <v>123140.16</v>
      </c>
      <c r="Z91" s="381">
        <v>36930.339999999997</v>
      </c>
      <c r="AA91" s="377" t="s">
        <v>271</v>
      </c>
      <c r="AB91" s="377" t="s">
        <v>272</v>
      </c>
      <c r="AC91" s="377" t="s">
        <v>273</v>
      </c>
      <c r="AD91" s="377" t="s">
        <v>274</v>
      </c>
      <c r="AE91" s="377" t="s">
        <v>270</v>
      </c>
      <c r="AF91" s="377" t="s">
        <v>207</v>
      </c>
      <c r="AG91" s="377" t="s">
        <v>179</v>
      </c>
      <c r="AH91" s="382">
        <v>65.78</v>
      </c>
      <c r="AI91" s="380">
        <v>2255</v>
      </c>
      <c r="AJ91" s="377" t="s">
        <v>180</v>
      </c>
      <c r="AK91" s="377" t="s">
        <v>181</v>
      </c>
      <c r="AL91" s="377" t="s">
        <v>182</v>
      </c>
      <c r="AM91" s="377" t="s">
        <v>183</v>
      </c>
      <c r="AN91" s="377" t="s">
        <v>66</v>
      </c>
      <c r="AO91" s="380">
        <v>80</v>
      </c>
      <c r="AP91" s="386">
        <v>1</v>
      </c>
      <c r="AQ91" s="386">
        <v>0.9</v>
      </c>
      <c r="AR91" s="384" t="s">
        <v>184</v>
      </c>
      <c r="AS91" s="388">
        <f t="shared" si="71"/>
        <v>0.9</v>
      </c>
      <c r="AT91">
        <f t="shared" si="72"/>
        <v>1</v>
      </c>
      <c r="AU91" s="388">
        <f>IF(AT91=0,"",IF(AND(AT91=1,M91="F",SUMIF(C2:C258,C91,AS2:AS258)&lt;=1),SUMIF(C2:C258,C91,AS2:AS258),IF(AND(AT91=1,M91="F",SUMIF(C2:C258,C91,AS2:AS258)&gt;1),1,"")))</f>
        <v>1</v>
      </c>
      <c r="AV91" s="388" t="str">
        <f>IF(AT91=0,"",IF(AND(AT91=3,M91="F",SUMIF(C2:C258,C91,AS2:AS258)&lt;=1),SUMIF(C2:C258,C91,AS2:AS258),IF(AND(AT91=3,M91="F",SUMIF(C2:C258,C91,AS2:AS258)&gt;1),1,"")))</f>
        <v/>
      </c>
      <c r="AW91" s="388">
        <f>SUMIF(C2:C258,C91,O2:O258)</f>
        <v>3</v>
      </c>
      <c r="AX91" s="388">
        <f>IF(AND(M91="F",AS91&lt;&gt;0),SUMIF(C2:C258,C91,W2:W258),0)</f>
        <v>136822.39999999999</v>
      </c>
      <c r="AY91" s="388">
        <f t="shared" si="73"/>
        <v>123140.16</v>
      </c>
      <c r="AZ91" s="388" t="str">
        <f t="shared" si="74"/>
        <v/>
      </c>
      <c r="BA91" s="388">
        <f t="shared" si="75"/>
        <v>0</v>
      </c>
      <c r="BB91" s="388">
        <f t="shared" si="44"/>
        <v>11250</v>
      </c>
      <c r="BC91" s="388">
        <f t="shared" si="45"/>
        <v>0</v>
      </c>
      <c r="BD91" s="388">
        <f t="shared" si="46"/>
        <v>7634.6899199999998</v>
      </c>
      <c r="BE91" s="388">
        <f t="shared" si="47"/>
        <v>1785.5323200000003</v>
      </c>
      <c r="BF91" s="388">
        <f t="shared" si="48"/>
        <v>14702.935104000002</v>
      </c>
      <c r="BG91" s="388">
        <f t="shared" si="49"/>
        <v>887.84055360000002</v>
      </c>
      <c r="BH91" s="388">
        <f t="shared" si="50"/>
        <v>0</v>
      </c>
      <c r="BI91" s="388">
        <f t="shared" si="51"/>
        <v>0</v>
      </c>
      <c r="BJ91" s="388">
        <f t="shared" si="52"/>
        <v>430.99056000000002</v>
      </c>
      <c r="BK91" s="388">
        <f t="shared" si="53"/>
        <v>0</v>
      </c>
      <c r="BL91" s="388">
        <f t="shared" si="76"/>
        <v>25441.988457599997</v>
      </c>
      <c r="BM91" s="388">
        <f t="shared" si="77"/>
        <v>0</v>
      </c>
      <c r="BN91" s="388">
        <f t="shared" si="54"/>
        <v>12375</v>
      </c>
      <c r="BO91" s="388">
        <f t="shared" si="55"/>
        <v>0</v>
      </c>
      <c r="BP91" s="388">
        <f t="shared" si="56"/>
        <v>7634.6899199999998</v>
      </c>
      <c r="BQ91" s="388">
        <f t="shared" si="57"/>
        <v>1785.5323200000003</v>
      </c>
      <c r="BR91" s="388">
        <f t="shared" si="58"/>
        <v>13767.069888</v>
      </c>
      <c r="BS91" s="388">
        <f t="shared" si="59"/>
        <v>887.84055360000002</v>
      </c>
      <c r="BT91" s="388">
        <f t="shared" si="60"/>
        <v>0</v>
      </c>
      <c r="BU91" s="388">
        <f t="shared" si="61"/>
        <v>0</v>
      </c>
      <c r="BV91" s="388">
        <f t="shared" si="62"/>
        <v>480.246624</v>
      </c>
      <c r="BW91" s="388">
        <f t="shared" si="63"/>
        <v>0</v>
      </c>
      <c r="BX91" s="388">
        <f t="shared" si="78"/>
        <v>24555.379305599999</v>
      </c>
      <c r="BY91" s="388">
        <f t="shared" si="79"/>
        <v>0</v>
      </c>
      <c r="BZ91" s="388">
        <f t="shared" si="80"/>
        <v>1125</v>
      </c>
      <c r="CA91" s="388">
        <f t="shared" si="81"/>
        <v>0</v>
      </c>
      <c r="CB91" s="388">
        <f t="shared" si="82"/>
        <v>0</v>
      </c>
      <c r="CC91" s="388">
        <f t="shared" si="64"/>
        <v>0</v>
      </c>
      <c r="CD91" s="388">
        <f t="shared" si="65"/>
        <v>-935.86521600000117</v>
      </c>
      <c r="CE91" s="388">
        <f t="shared" si="66"/>
        <v>0</v>
      </c>
      <c r="CF91" s="388">
        <f t="shared" si="67"/>
        <v>0</v>
      </c>
      <c r="CG91" s="388">
        <f t="shared" si="68"/>
        <v>0</v>
      </c>
      <c r="CH91" s="388">
        <f t="shared" si="69"/>
        <v>49.256063999999974</v>
      </c>
      <c r="CI91" s="388">
        <f t="shared" si="70"/>
        <v>0</v>
      </c>
      <c r="CJ91" s="388">
        <f t="shared" si="83"/>
        <v>-886.60915200000125</v>
      </c>
      <c r="CK91" s="388" t="str">
        <f t="shared" si="84"/>
        <v/>
      </c>
      <c r="CL91" s="388" t="str">
        <f t="shared" si="85"/>
        <v/>
      </c>
      <c r="CM91" s="388" t="str">
        <f t="shared" si="86"/>
        <v/>
      </c>
      <c r="CN91" s="388" t="str">
        <f t="shared" si="87"/>
        <v>0001-00</v>
      </c>
    </row>
    <row r="92" spans="1:92" ht="15.75" thickBot="1" x14ac:dyDescent="0.3">
      <c r="A92" s="377" t="s">
        <v>162</v>
      </c>
      <c r="B92" s="377" t="s">
        <v>163</v>
      </c>
      <c r="C92" s="377" t="s">
        <v>527</v>
      </c>
      <c r="D92" s="377" t="s">
        <v>276</v>
      </c>
      <c r="E92" s="377" t="s">
        <v>265</v>
      </c>
      <c r="F92" s="378" t="s">
        <v>167</v>
      </c>
      <c r="G92" s="377" t="s">
        <v>439</v>
      </c>
      <c r="H92" s="379"/>
      <c r="I92" s="379"/>
      <c r="J92" s="377" t="s">
        <v>219</v>
      </c>
      <c r="K92" s="377" t="s">
        <v>277</v>
      </c>
      <c r="L92" s="377" t="s">
        <v>215</v>
      </c>
      <c r="M92" s="377" t="s">
        <v>172</v>
      </c>
      <c r="N92" s="377" t="s">
        <v>173</v>
      </c>
      <c r="O92" s="380">
        <v>1</v>
      </c>
      <c r="P92" s="386">
        <v>1</v>
      </c>
      <c r="Q92" s="386">
        <v>1</v>
      </c>
      <c r="R92" s="381">
        <v>80</v>
      </c>
      <c r="S92" s="386">
        <v>1</v>
      </c>
      <c r="T92" s="381">
        <v>41674.14</v>
      </c>
      <c r="U92" s="381">
        <v>0</v>
      </c>
      <c r="V92" s="381">
        <v>19998.13</v>
      </c>
      <c r="W92" s="381">
        <v>46758.400000000001</v>
      </c>
      <c r="X92" s="381">
        <v>22160.73</v>
      </c>
      <c r="Y92" s="381">
        <v>46758.400000000001</v>
      </c>
      <c r="Z92" s="381">
        <v>23074.06</v>
      </c>
      <c r="AA92" s="377" t="s">
        <v>528</v>
      </c>
      <c r="AB92" s="377" t="s">
        <v>529</v>
      </c>
      <c r="AC92" s="377" t="s">
        <v>530</v>
      </c>
      <c r="AD92" s="377" t="s">
        <v>531</v>
      </c>
      <c r="AE92" s="377" t="s">
        <v>277</v>
      </c>
      <c r="AF92" s="377" t="s">
        <v>231</v>
      </c>
      <c r="AG92" s="377" t="s">
        <v>179</v>
      </c>
      <c r="AH92" s="382">
        <v>22.48</v>
      </c>
      <c r="AI92" s="380">
        <v>1406</v>
      </c>
      <c r="AJ92" s="377" t="s">
        <v>180</v>
      </c>
      <c r="AK92" s="377" t="s">
        <v>181</v>
      </c>
      <c r="AL92" s="377" t="s">
        <v>182</v>
      </c>
      <c r="AM92" s="377" t="s">
        <v>183</v>
      </c>
      <c r="AN92" s="377" t="s">
        <v>66</v>
      </c>
      <c r="AO92" s="380">
        <v>80</v>
      </c>
      <c r="AP92" s="386">
        <v>1</v>
      </c>
      <c r="AQ92" s="386">
        <v>1</v>
      </c>
      <c r="AR92" s="384" t="s">
        <v>184</v>
      </c>
      <c r="AS92" s="388">
        <f t="shared" si="71"/>
        <v>1</v>
      </c>
      <c r="AT92">
        <f t="shared" si="72"/>
        <v>1</v>
      </c>
      <c r="AU92" s="388">
        <f>IF(AT92=0,"",IF(AND(AT92=1,M92="F",SUMIF(C2:C258,C92,AS2:AS258)&lt;=1),SUMIF(C2:C258,C92,AS2:AS258),IF(AND(AT92=1,M92="F",SUMIF(C2:C258,C92,AS2:AS258)&gt;1),1,"")))</f>
        <v>1</v>
      </c>
      <c r="AV92" s="388" t="str">
        <f>IF(AT92=0,"",IF(AND(AT92=3,M92="F",SUMIF(C2:C258,C92,AS2:AS258)&lt;=1),SUMIF(C2:C258,C92,AS2:AS258),IF(AND(AT92=3,M92="F",SUMIF(C2:C258,C92,AS2:AS258)&gt;1),1,"")))</f>
        <v/>
      </c>
      <c r="AW92" s="388">
        <f>SUMIF(C2:C258,C92,O2:O258)</f>
        <v>1</v>
      </c>
      <c r="AX92" s="388">
        <f>IF(AND(M92="F",AS92&lt;&gt;0),SUMIF(C2:C258,C92,W2:W258),0)</f>
        <v>46758.400000000001</v>
      </c>
      <c r="AY92" s="388">
        <f t="shared" si="73"/>
        <v>46758.400000000001</v>
      </c>
      <c r="AZ92" s="388" t="str">
        <f t="shared" si="74"/>
        <v/>
      </c>
      <c r="BA92" s="388">
        <f t="shared" si="75"/>
        <v>0</v>
      </c>
      <c r="BB92" s="388">
        <f t="shared" si="44"/>
        <v>12500</v>
      </c>
      <c r="BC92" s="388">
        <f t="shared" si="45"/>
        <v>0</v>
      </c>
      <c r="BD92" s="388">
        <f t="shared" si="46"/>
        <v>2899.0208000000002</v>
      </c>
      <c r="BE92" s="388">
        <f t="shared" si="47"/>
        <v>677.99680000000001</v>
      </c>
      <c r="BF92" s="388">
        <f t="shared" si="48"/>
        <v>5582.9529600000005</v>
      </c>
      <c r="BG92" s="388">
        <f t="shared" si="49"/>
        <v>337.12806399999999</v>
      </c>
      <c r="BH92" s="388">
        <f t="shared" si="50"/>
        <v>0</v>
      </c>
      <c r="BI92" s="388">
        <f t="shared" si="51"/>
        <v>0</v>
      </c>
      <c r="BJ92" s="388">
        <f t="shared" si="52"/>
        <v>163.65440000000001</v>
      </c>
      <c r="BK92" s="388">
        <f t="shared" si="53"/>
        <v>0</v>
      </c>
      <c r="BL92" s="388">
        <f t="shared" si="76"/>
        <v>9660.7530240000015</v>
      </c>
      <c r="BM92" s="388">
        <f t="shared" si="77"/>
        <v>0</v>
      </c>
      <c r="BN92" s="388">
        <f t="shared" si="54"/>
        <v>13750</v>
      </c>
      <c r="BO92" s="388">
        <f t="shared" si="55"/>
        <v>0</v>
      </c>
      <c r="BP92" s="388">
        <f t="shared" si="56"/>
        <v>2899.0208000000002</v>
      </c>
      <c r="BQ92" s="388">
        <f t="shared" si="57"/>
        <v>677.99680000000001</v>
      </c>
      <c r="BR92" s="388">
        <f t="shared" si="58"/>
        <v>5227.5891199999996</v>
      </c>
      <c r="BS92" s="388">
        <f t="shared" si="59"/>
        <v>337.12806399999999</v>
      </c>
      <c r="BT92" s="388">
        <f t="shared" si="60"/>
        <v>0</v>
      </c>
      <c r="BU92" s="388">
        <f t="shared" si="61"/>
        <v>0</v>
      </c>
      <c r="BV92" s="388">
        <f t="shared" si="62"/>
        <v>182.35775999999998</v>
      </c>
      <c r="BW92" s="388">
        <f t="shared" si="63"/>
        <v>0</v>
      </c>
      <c r="BX92" s="388">
        <f t="shared" si="78"/>
        <v>9324.092544000001</v>
      </c>
      <c r="BY92" s="388">
        <f t="shared" si="79"/>
        <v>0</v>
      </c>
      <c r="BZ92" s="388">
        <f t="shared" si="80"/>
        <v>1250</v>
      </c>
      <c r="CA92" s="388">
        <f t="shared" si="81"/>
        <v>0</v>
      </c>
      <c r="CB92" s="388">
        <f t="shared" si="82"/>
        <v>0</v>
      </c>
      <c r="CC92" s="388">
        <f t="shared" si="64"/>
        <v>0</v>
      </c>
      <c r="CD92" s="388">
        <f t="shared" si="65"/>
        <v>-355.36384000000044</v>
      </c>
      <c r="CE92" s="388">
        <f t="shared" si="66"/>
        <v>0</v>
      </c>
      <c r="CF92" s="388">
        <f t="shared" si="67"/>
        <v>0</v>
      </c>
      <c r="CG92" s="388">
        <f t="shared" si="68"/>
        <v>0</v>
      </c>
      <c r="CH92" s="388">
        <f t="shared" si="69"/>
        <v>18.703359999999989</v>
      </c>
      <c r="CI92" s="388">
        <f t="shared" si="70"/>
        <v>0</v>
      </c>
      <c r="CJ92" s="388">
        <f t="shared" si="83"/>
        <v>-336.66048000000046</v>
      </c>
      <c r="CK92" s="388" t="str">
        <f t="shared" si="84"/>
        <v/>
      </c>
      <c r="CL92" s="388" t="str">
        <f t="shared" si="85"/>
        <v/>
      </c>
      <c r="CM92" s="388" t="str">
        <f t="shared" si="86"/>
        <v/>
      </c>
      <c r="CN92" s="388" t="str">
        <f t="shared" si="87"/>
        <v>0001-00</v>
      </c>
    </row>
    <row r="93" spans="1:92" ht="15.75" thickBot="1" x14ac:dyDescent="0.3">
      <c r="A93" s="377" t="s">
        <v>162</v>
      </c>
      <c r="B93" s="377" t="s">
        <v>163</v>
      </c>
      <c r="C93" s="377" t="s">
        <v>532</v>
      </c>
      <c r="D93" s="377" t="s">
        <v>251</v>
      </c>
      <c r="E93" s="377" t="s">
        <v>265</v>
      </c>
      <c r="F93" s="378" t="s">
        <v>167</v>
      </c>
      <c r="G93" s="377" t="s">
        <v>439</v>
      </c>
      <c r="H93" s="379"/>
      <c r="I93" s="379"/>
      <c r="J93" s="377" t="s">
        <v>219</v>
      </c>
      <c r="K93" s="377" t="s">
        <v>252</v>
      </c>
      <c r="L93" s="377" t="s">
        <v>179</v>
      </c>
      <c r="M93" s="377" t="s">
        <v>172</v>
      </c>
      <c r="N93" s="377" t="s">
        <v>173</v>
      </c>
      <c r="O93" s="380">
        <v>1</v>
      </c>
      <c r="P93" s="386">
        <v>1</v>
      </c>
      <c r="Q93" s="386">
        <v>1</v>
      </c>
      <c r="R93" s="381">
        <v>80</v>
      </c>
      <c r="S93" s="386">
        <v>1</v>
      </c>
      <c r="T93" s="381">
        <v>27172.5</v>
      </c>
      <c r="U93" s="381">
        <v>0</v>
      </c>
      <c r="V93" s="381">
        <v>16403.97</v>
      </c>
      <c r="W93" s="381">
        <v>38521.599999999999</v>
      </c>
      <c r="X93" s="381">
        <v>20458.919999999998</v>
      </c>
      <c r="Y93" s="381">
        <v>38521.599999999999</v>
      </c>
      <c r="Z93" s="381">
        <v>21431.57</v>
      </c>
      <c r="AA93" s="377" t="s">
        <v>533</v>
      </c>
      <c r="AB93" s="377" t="s">
        <v>534</v>
      </c>
      <c r="AC93" s="377" t="s">
        <v>535</v>
      </c>
      <c r="AD93" s="377" t="s">
        <v>536</v>
      </c>
      <c r="AE93" s="377" t="s">
        <v>252</v>
      </c>
      <c r="AF93" s="377" t="s">
        <v>257</v>
      </c>
      <c r="AG93" s="377" t="s">
        <v>179</v>
      </c>
      <c r="AH93" s="382">
        <v>18.52</v>
      </c>
      <c r="AI93" s="382">
        <v>1415.5</v>
      </c>
      <c r="AJ93" s="377" t="s">
        <v>180</v>
      </c>
      <c r="AK93" s="377" t="s">
        <v>181</v>
      </c>
      <c r="AL93" s="377" t="s">
        <v>182</v>
      </c>
      <c r="AM93" s="377" t="s">
        <v>183</v>
      </c>
      <c r="AN93" s="377" t="s">
        <v>66</v>
      </c>
      <c r="AO93" s="380">
        <v>80</v>
      </c>
      <c r="AP93" s="386">
        <v>1</v>
      </c>
      <c r="AQ93" s="386">
        <v>1</v>
      </c>
      <c r="AR93" s="384" t="s">
        <v>184</v>
      </c>
      <c r="AS93" s="388">
        <f t="shared" si="71"/>
        <v>1</v>
      </c>
      <c r="AT93">
        <f t="shared" si="72"/>
        <v>1</v>
      </c>
      <c r="AU93" s="388">
        <f>IF(AT93=0,"",IF(AND(AT93=1,M93="F",SUMIF(C2:C258,C93,AS2:AS258)&lt;=1),SUMIF(C2:C258,C93,AS2:AS258),IF(AND(AT93=1,M93="F",SUMIF(C2:C258,C93,AS2:AS258)&gt;1),1,"")))</f>
        <v>1</v>
      </c>
      <c r="AV93" s="388" t="str">
        <f>IF(AT93=0,"",IF(AND(AT93=3,M93="F",SUMIF(C2:C258,C93,AS2:AS258)&lt;=1),SUMIF(C2:C258,C93,AS2:AS258),IF(AND(AT93=3,M93="F",SUMIF(C2:C258,C93,AS2:AS258)&gt;1),1,"")))</f>
        <v/>
      </c>
      <c r="AW93" s="388">
        <f>SUMIF(C2:C258,C93,O2:O258)</f>
        <v>1</v>
      </c>
      <c r="AX93" s="388">
        <f>IF(AND(M93="F",AS93&lt;&gt;0),SUMIF(C2:C258,C93,W2:W258),0)</f>
        <v>38521.599999999999</v>
      </c>
      <c r="AY93" s="388">
        <f t="shared" si="73"/>
        <v>38521.599999999999</v>
      </c>
      <c r="AZ93" s="388" t="str">
        <f t="shared" si="74"/>
        <v/>
      </c>
      <c r="BA93" s="388">
        <f t="shared" si="75"/>
        <v>0</v>
      </c>
      <c r="BB93" s="388">
        <f t="shared" si="44"/>
        <v>12500</v>
      </c>
      <c r="BC93" s="388">
        <f t="shared" si="45"/>
        <v>0</v>
      </c>
      <c r="BD93" s="388">
        <f t="shared" si="46"/>
        <v>2388.3391999999999</v>
      </c>
      <c r="BE93" s="388">
        <f t="shared" si="47"/>
        <v>558.56320000000005</v>
      </c>
      <c r="BF93" s="388">
        <f t="shared" si="48"/>
        <v>4599.4790400000002</v>
      </c>
      <c r="BG93" s="388">
        <f t="shared" si="49"/>
        <v>277.74073600000003</v>
      </c>
      <c r="BH93" s="388">
        <f t="shared" si="50"/>
        <v>0</v>
      </c>
      <c r="BI93" s="388">
        <f t="shared" si="51"/>
        <v>0</v>
      </c>
      <c r="BJ93" s="388">
        <f t="shared" si="52"/>
        <v>134.82560000000001</v>
      </c>
      <c r="BK93" s="388">
        <f t="shared" si="53"/>
        <v>0</v>
      </c>
      <c r="BL93" s="388">
        <f t="shared" si="76"/>
        <v>7958.947776</v>
      </c>
      <c r="BM93" s="388">
        <f t="shared" si="77"/>
        <v>0</v>
      </c>
      <c r="BN93" s="388">
        <f t="shared" si="54"/>
        <v>13750</v>
      </c>
      <c r="BO93" s="388">
        <f t="shared" si="55"/>
        <v>0</v>
      </c>
      <c r="BP93" s="388">
        <f t="shared" si="56"/>
        <v>2388.3391999999999</v>
      </c>
      <c r="BQ93" s="388">
        <f t="shared" si="57"/>
        <v>558.56320000000005</v>
      </c>
      <c r="BR93" s="388">
        <f t="shared" si="58"/>
        <v>4306.7148799999995</v>
      </c>
      <c r="BS93" s="388">
        <f t="shared" si="59"/>
        <v>277.74073600000003</v>
      </c>
      <c r="BT93" s="388">
        <f t="shared" si="60"/>
        <v>0</v>
      </c>
      <c r="BU93" s="388">
        <f t="shared" si="61"/>
        <v>0</v>
      </c>
      <c r="BV93" s="388">
        <f t="shared" si="62"/>
        <v>150.23424</v>
      </c>
      <c r="BW93" s="388">
        <f t="shared" si="63"/>
        <v>0</v>
      </c>
      <c r="BX93" s="388">
        <f t="shared" si="78"/>
        <v>7681.592255999999</v>
      </c>
      <c r="BY93" s="388">
        <f t="shared" si="79"/>
        <v>0</v>
      </c>
      <c r="BZ93" s="388">
        <f t="shared" si="80"/>
        <v>1250</v>
      </c>
      <c r="CA93" s="388">
        <f t="shared" si="81"/>
        <v>0</v>
      </c>
      <c r="CB93" s="388">
        <f t="shared" si="82"/>
        <v>0</v>
      </c>
      <c r="CC93" s="388">
        <f t="shared" si="64"/>
        <v>0</v>
      </c>
      <c r="CD93" s="388">
        <f t="shared" si="65"/>
        <v>-292.76416000000035</v>
      </c>
      <c r="CE93" s="388">
        <f t="shared" si="66"/>
        <v>0</v>
      </c>
      <c r="CF93" s="388">
        <f t="shared" si="67"/>
        <v>0</v>
      </c>
      <c r="CG93" s="388">
        <f t="shared" si="68"/>
        <v>0</v>
      </c>
      <c r="CH93" s="388">
        <f t="shared" si="69"/>
        <v>15.408639999999989</v>
      </c>
      <c r="CI93" s="388">
        <f t="shared" si="70"/>
        <v>0</v>
      </c>
      <c r="CJ93" s="388">
        <f t="shared" si="83"/>
        <v>-277.35552000000035</v>
      </c>
      <c r="CK93" s="388" t="str">
        <f t="shared" si="84"/>
        <v/>
      </c>
      <c r="CL93" s="388" t="str">
        <f t="shared" si="85"/>
        <v/>
      </c>
      <c r="CM93" s="388" t="str">
        <f t="shared" si="86"/>
        <v/>
      </c>
      <c r="CN93" s="388" t="str">
        <f t="shared" si="87"/>
        <v>0001-00</v>
      </c>
    </row>
    <row r="94" spans="1:92" ht="15.75" thickBot="1" x14ac:dyDescent="0.3">
      <c r="A94" s="377" t="s">
        <v>162</v>
      </c>
      <c r="B94" s="377" t="s">
        <v>163</v>
      </c>
      <c r="C94" s="377" t="s">
        <v>275</v>
      </c>
      <c r="D94" s="377" t="s">
        <v>276</v>
      </c>
      <c r="E94" s="377" t="s">
        <v>265</v>
      </c>
      <c r="F94" s="378" t="s">
        <v>167</v>
      </c>
      <c r="G94" s="377" t="s">
        <v>439</v>
      </c>
      <c r="H94" s="379"/>
      <c r="I94" s="379"/>
      <c r="J94" s="377" t="s">
        <v>219</v>
      </c>
      <c r="K94" s="377" t="s">
        <v>277</v>
      </c>
      <c r="L94" s="377" t="s">
        <v>215</v>
      </c>
      <c r="M94" s="377" t="s">
        <v>172</v>
      </c>
      <c r="N94" s="377" t="s">
        <v>173</v>
      </c>
      <c r="O94" s="380">
        <v>1</v>
      </c>
      <c r="P94" s="386">
        <v>0</v>
      </c>
      <c r="Q94" s="386">
        <v>0</v>
      </c>
      <c r="R94" s="381">
        <v>80</v>
      </c>
      <c r="S94" s="386">
        <v>0</v>
      </c>
      <c r="T94" s="381">
        <v>1970.4</v>
      </c>
      <c r="U94" s="381">
        <v>0</v>
      </c>
      <c r="V94" s="381">
        <v>911.86</v>
      </c>
      <c r="W94" s="381">
        <v>0</v>
      </c>
      <c r="X94" s="381">
        <v>0</v>
      </c>
      <c r="Y94" s="381">
        <v>0</v>
      </c>
      <c r="Z94" s="381">
        <v>0</v>
      </c>
      <c r="AA94" s="377" t="s">
        <v>278</v>
      </c>
      <c r="AB94" s="377" t="s">
        <v>279</v>
      </c>
      <c r="AC94" s="377" t="s">
        <v>280</v>
      </c>
      <c r="AD94" s="377" t="s">
        <v>215</v>
      </c>
      <c r="AE94" s="377" t="s">
        <v>277</v>
      </c>
      <c r="AF94" s="377" t="s">
        <v>231</v>
      </c>
      <c r="AG94" s="377" t="s">
        <v>179</v>
      </c>
      <c r="AH94" s="382">
        <v>27.22</v>
      </c>
      <c r="AI94" s="382">
        <v>5282.7</v>
      </c>
      <c r="AJ94" s="377" t="s">
        <v>180</v>
      </c>
      <c r="AK94" s="377" t="s">
        <v>181</v>
      </c>
      <c r="AL94" s="377" t="s">
        <v>182</v>
      </c>
      <c r="AM94" s="377" t="s">
        <v>183</v>
      </c>
      <c r="AN94" s="377" t="s">
        <v>66</v>
      </c>
      <c r="AO94" s="380">
        <v>80</v>
      </c>
      <c r="AP94" s="386">
        <v>1</v>
      </c>
      <c r="AQ94" s="386">
        <v>0</v>
      </c>
      <c r="AR94" s="384" t="s">
        <v>184</v>
      </c>
      <c r="AS94" s="388">
        <f t="shared" si="71"/>
        <v>0</v>
      </c>
      <c r="AT94">
        <f t="shared" si="72"/>
        <v>0</v>
      </c>
      <c r="AU94" s="388" t="str">
        <f>IF(AT94=0,"",IF(AND(AT94=1,M94="F",SUMIF(C2:C258,C94,AS2:AS258)&lt;=1),SUMIF(C2:C258,C94,AS2:AS258),IF(AND(AT94=1,M94="F",SUMIF(C2:C258,C94,AS2:AS258)&gt;1),1,"")))</f>
        <v/>
      </c>
      <c r="AV94" s="388" t="str">
        <f>IF(AT94=0,"",IF(AND(AT94=3,M94="F",SUMIF(C2:C258,C94,AS2:AS258)&lt;=1),SUMIF(C2:C258,C94,AS2:AS258),IF(AND(AT94=3,M94="F",SUMIF(C2:C258,C94,AS2:AS258)&gt;1),1,"")))</f>
        <v/>
      </c>
      <c r="AW94" s="388">
        <f>SUMIF(C2:C258,C94,O2:O258)</f>
        <v>3</v>
      </c>
      <c r="AX94" s="388">
        <f>IF(AND(M94="F",AS94&lt;&gt;0),SUMIF(C2:C258,C94,W2:W258),0)</f>
        <v>0</v>
      </c>
      <c r="AY94" s="388" t="str">
        <f t="shared" si="73"/>
        <v/>
      </c>
      <c r="AZ94" s="388" t="str">
        <f t="shared" si="74"/>
        <v/>
      </c>
      <c r="BA94" s="388">
        <f t="shared" si="75"/>
        <v>0</v>
      </c>
      <c r="BB94" s="388">
        <f t="shared" si="44"/>
        <v>0</v>
      </c>
      <c r="BC94" s="388">
        <f t="shared" si="45"/>
        <v>0</v>
      </c>
      <c r="BD94" s="388">
        <f t="shared" si="46"/>
        <v>0</v>
      </c>
      <c r="BE94" s="388">
        <f t="shared" si="47"/>
        <v>0</v>
      </c>
      <c r="BF94" s="388">
        <f t="shared" si="48"/>
        <v>0</v>
      </c>
      <c r="BG94" s="388">
        <f t="shared" si="49"/>
        <v>0</v>
      </c>
      <c r="BH94" s="388">
        <f t="shared" si="50"/>
        <v>0</v>
      </c>
      <c r="BI94" s="388">
        <f t="shared" si="51"/>
        <v>0</v>
      </c>
      <c r="BJ94" s="388">
        <f t="shared" si="52"/>
        <v>0</v>
      </c>
      <c r="BK94" s="388">
        <f t="shared" si="53"/>
        <v>0</v>
      </c>
      <c r="BL94" s="388">
        <f t="shared" si="76"/>
        <v>0</v>
      </c>
      <c r="BM94" s="388">
        <f t="shared" si="77"/>
        <v>0</v>
      </c>
      <c r="BN94" s="388">
        <f t="shared" si="54"/>
        <v>0</v>
      </c>
      <c r="BO94" s="388">
        <f t="shared" si="55"/>
        <v>0</v>
      </c>
      <c r="BP94" s="388">
        <f t="shared" si="56"/>
        <v>0</v>
      </c>
      <c r="BQ94" s="388">
        <f t="shared" si="57"/>
        <v>0</v>
      </c>
      <c r="BR94" s="388">
        <f t="shared" si="58"/>
        <v>0</v>
      </c>
      <c r="BS94" s="388">
        <f t="shared" si="59"/>
        <v>0</v>
      </c>
      <c r="BT94" s="388">
        <f t="shared" si="60"/>
        <v>0</v>
      </c>
      <c r="BU94" s="388">
        <f t="shared" si="61"/>
        <v>0</v>
      </c>
      <c r="BV94" s="388">
        <f t="shared" si="62"/>
        <v>0</v>
      </c>
      <c r="BW94" s="388">
        <f t="shared" si="63"/>
        <v>0</v>
      </c>
      <c r="BX94" s="388">
        <f t="shared" si="78"/>
        <v>0</v>
      </c>
      <c r="BY94" s="388">
        <f t="shared" si="79"/>
        <v>0</v>
      </c>
      <c r="BZ94" s="388">
        <f t="shared" si="80"/>
        <v>0</v>
      </c>
      <c r="CA94" s="388">
        <f t="shared" si="81"/>
        <v>0</v>
      </c>
      <c r="CB94" s="388">
        <f t="shared" si="82"/>
        <v>0</v>
      </c>
      <c r="CC94" s="388">
        <f t="shared" si="64"/>
        <v>0</v>
      </c>
      <c r="CD94" s="388">
        <f t="shared" si="65"/>
        <v>0</v>
      </c>
      <c r="CE94" s="388">
        <f t="shared" si="66"/>
        <v>0</v>
      </c>
      <c r="CF94" s="388">
        <f t="shared" si="67"/>
        <v>0</v>
      </c>
      <c r="CG94" s="388">
        <f t="shared" si="68"/>
        <v>0</v>
      </c>
      <c r="CH94" s="388">
        <f t="shared" si="69"/>
        <v>0</v>
      </c>
      <c r="CI94" s="388">
        <f t="shared" si="70"/>
        <v>0</v>
      </c>
      <c r="CJ94" s="388">
        <f t="shared" si="83"/>
        <v>0</v>
      </c>
      <c r="CK94" s="388" t="str">
        <f t="shared" si="84"/>
        <v/>
      </c>
      <c r="CL94" s="388" t="str">
        <f t="shared" si="85"/>
        <v/>
      </c>
      <c r="CM94" s="388" t="str">
        <f t="shared" si="86"/>
        <v/>
      </c>
      <c r="CN94" s="388" t="str">
        <f t="shared" si="87"/>
        <v>0001-00</v>
      </c>
    </row>
    <row r="95" spans="1:92" ht="15.75" thickBot="1" x14ac:dyDescent="0.3">
      <c r="A95" s="377" t="s">
        <v>162</v>
      </c>
      <c r="B95" s="377" t="s">
        <v>163</v>
      </c>
      <c r="C95" s="377" t="s">
        <v>537</v>
      </c>
      <c r="D95" s="377" t="s">
        <v>194</v>
      </c>
      <c r="E95" s="377" t="s">
        <v>265</v>
      </c>
      <c r="F95" s="378" t="s">
        <v>167</v>
      </c>
      <c r="G95" s="377" t="s">
        <v>439</v>
      </c>
      <c r="H95" s="379"/>
      <c r="I95" s="379"/>
      <c r="J95" s="377" t="s">
        <v>169</v>
      </c>
      <c r="K95" s="377" t="s">
        <v>226</v>
      </c>
      <c r="L95" s="377" t="s">
        <v>215</v>
      </c>
      <c r="M95" s="377" t="s">
        <v>172</v>
      </c>
      <c r="N95" s="377" t="s">
        <v>173</v>
      </c>
      <c r="O95" s="380">
        <v>1</v>
      </c>
      <c r="P95" s="386">
        <v>0</v>
      </c>
      <c r="Q95" s="386">
        <v>0</v>
      </c>
      <c r="R95" s="381">
        <v>80</v>
      </c>
      <c r="S95" s="386">
        <v>0</v>
      </c>
      <c r="T95" s="381">
        <v>0</v>
      </c>
      <c r="U95" s="381">
        <v>0</v>
      </c>
      <c r="V95" s="381">
        <v>0.36</v>
      </c>
      <c r="W95" s="381">
        <v>0</v>
      </c>
      <c r="X95" s="381">
        <v>0</v>
      </c>
      <c r="Y95" s="381">
        <v>0</v>
      </c>
      <c r="Z95" s="381">
        <v>0</v>
      </c>
      <c r="AA95" s="377" t="s">
        <v>538</v>
      </c>
      <c r="AB95" s="377" t="s">
        <v>539</v>
      </c>
      <c r="AC95" s="377" t="s">
        <v>540</v>
      </c>
      <c r="AD95" s="377" t="s">
        <v>395</v>
      </c>
      <c r="AE95" s="377" t="s">
        <v>226</v>
      </c>
      <c r="AF95" s="377" t="s">
        <v>231</v>
      </c>
      <c r="AG95" s="377" t="s">
        <v>179</v>
      </c>
      <c r="AH95" s="382">
        <v>22.72</v>
      </c>
      <c r="AI95" s="382">
        <v>483.3</v>
      </c>
      <c r="AJ95" s="377" t="s">
        <v>180</v>
      </c>
      <c r="AK95" s="377" t="s">
        <v>181</v>
      </c>
      <c r="AL95" s="377" t="s">
        <v>182</v>
      </c>
      <c r="AM95" s="377" t="s">
        <v>183</v>
      </c>
      <c r="AN95" s="377" t="s">
        <v>66</v>
      </c>
      <c r="AO95" s="380">
        <v>80</v>
      </c>
      <c r="AP95" s="386">
        <v>1</v>
      </c>
      <c r="AQ95" s="386">
        <v>0</v>
      </c>
      <c r="AR95" s="384" t="s">
        <v>184</v>
      </c>
      <c r="AS95" s="388">
        <f t="shared" si="71"/>
        <v>0</v>
      </c>
      <c r="AT95">
        <f t="shared" si="72"/>
        <v>0</v>
      </c>
      <c r="AU95" s="388" t="str">
        <f>IF(AT95=0,"",IF(AND(AT95=1,M95="F",SUMIF(C2:C258,C95,AS2:AS258)&lt;=1),SUMIF(C2:C258,C95,AS2:AS258),IF(AND(AT95=1,M95="F",SUMIF(C2:C258,C95,AS2:AS258)&gt;1),1,"")))</f>
        <v/>
      </c>
      <c r="AV95" s="388" t="str">
        <f>IF(AT95=0,"",IF(AND(AT95=3,M95="F",SUMIF(C2:C258,C95,AS2:AS258)&lt;=1),SUMIF(C2:C258,C95,AS2:AS258),IF(AND(AT95=3,M95="F",SUMIF(C2:C258,C95,AS2:AS258)&gt;1),1,"")))</f>
        <v/>
      </c>
      <c r="AW95" s="388">
        <f>SUMIF(C2:C258,C95,O2:O258)</f>
        <v>3</v>
      </c>
      <c r="AX95" s="388">
        <f>IF(AND(M95="F",AS95&lt;&gt;0),SUMIF(C2:C258,C95,W2:W258),0)</f>
        <v>0</v>
      </c>
      <c r="AY95" s="388" t="str">
        <f t="shared" si="73"/>
        <v/>
      </c>
      <c r="AZ95" s="388" t="str">
        <f t="shared" si="74"/>
        <v/>
      </c>
      <c r="BA95" s="388">
        <f t="shared" si="75"/>
        <v>0</v>
      </c>
      <c r="BB95" s="388">
        <f t="shared" si="44"/>
        <v>0</v>
      </c>
      <c r="BC95" s="388">
        <f t="shared" si="45"/>
        <v>0</v>
      </c>
      <c r="BD95" s="388">
        <f t="shared" si="46"/>
        <v>0</v>
      </c>
      <c r="BE95" s="388">
        <f t="shared" si="47"/>
        <v>0</v>
      </c>
      <c r="BF95" s="388">
        <f t="shared" si="48"/>
        <v>0</v>
      </c>
      <c r="BG95" s="388">
        <f t="shared" si="49"/>
        <v>0</v>
      </c>
      <c r="BH95" s="388">
        <f t="shared" si="50"/>
        <v>0</v>
      </c>
      <c r="BI95" s="388">
        <f t="shared" si="51"/>
        <v>0</v>
      </c>
      <c r="BJ95" s="388">
        <f t="shared" si="52"/>
        <v>0</v>
      </c>
      <c r="BK95" s="388">
        <f t="shared" si="53"/>
        <v>0</v>
      </c>
      <c r="BL95" s="388">
        <f t="shared" si="76"/>
        <v>0</v>
      </c>
      <c r="BM95" s="388">
        <f t="shared" si="77"/>
        <v>0</v>
      </c>
      <c r="BN95" s="388">
        <f t="shared" si="54"/>
        <v>0</v>
      </c>
      <c r="BO95" s="388">
        <f t="shared" si="55"/>
        <v>0</v>
      </c>
      <c r="BP95" s="388">
        <f t="shared" si="56"/>
        <v>0</v>
      </c>
      <c r="BQ95" s="388">
        <f t="shared" si="57"/>
        <v>0</v>
      </c>
      <c r="BR95" s="388">
        <f t="shared" si="58"/>
        <v>0</v>
      </c>
      <c r="BS95" s="388">
        <f t="shared" si="59"/>
        <v>0</v>
      </c>
      <c r="BT95" s="388">
        <f t="shared" si="60"/>
        <v>0</v>
      </c>
      <c r="BU95" s="388">
        <f t="shared" si="61"/>
        <v>0</v>
      </c>
      <c r="BV95" s="388">
        <f t="shared" si="62"/>
        <v>0</v>
      </c>
      <c r="BW95" s="388">
        <f t="shared" si="63"/>
        <v>0</v>
      </c>
      <c r="BX95" s="388">
        <f t="shared" si="78"/>
        <v>0</v>
      </c>
      <c r="BY95" s="388">
        <f t="shared" si="79"/>
        <v>0</v>
      </c>
      <c r="BZ95" s="388">
        <f t="shared" si="80"/>
        <v>0</v>
      </c>
      <c r="CA95" s="388">
        <f t="shared" si="81"/>
        <v>0</v>
      </c>
      <c r="CB95" s="388">
        <f t="shared" si="82"/>
        <v>0</v>
      </c>
      <c r="CC95" s="388">
        <f t="shared" si="64"/>
        <v>0</v>
      </c>
      <c r="CD95" s="388">
        <f t="shared" si="65"/>
        <v>0</v>
      </c>
      <c r="CE95" s="388">
        <f t="shared" si="66"/>
        <v>0</v>
      </c>
      <c r="CF95" s="388">
        <f t="shared" si="67"/>
        <v>0</v>
      </c>
      <c r="CG95" s="388">
        <f t="shared" si="68"/>
        <v>0</v>
      </c>
      <c r="CH95" s="388">
        <f t="shared" si="69"/>
        <v>0</v>
      </c>
      <c r="CI95" s="388">
        <f t="shared" si="70"/>
        <v>0</v>
      </c>
      <c r="CJ95" s="388">
        <f t="shared" si="83"/>
        <v>0</v>
      </c>
      <c r="CK95" s="388" t="str">
        <f t="shared" si="84"/>
        <v/>
      </c>
      <c r="CL95" s="388" t="str">
        <f t="shared" si="85"/>
        <v/>
      </c>
      <c r="CM95" s="388" t="str">
        <f t="shared" si="86"/>
        <v/>
      </c>
      <c r="CN95" s="388" t="str">
        <f t="shared" si="87"/>
        <v>0001-00</v>
      </c>
    </row>
    <row r="96" spans="1:92" ht="15.75" thickBot="1" x14ac:dyDescent="0.3">
      <c r="A96" s="377" t="s">
        <v>162</v>
      </c>
      <c r="B96" s="377" t="s">
        <v>163</v>
      </c>
      <c r="C96" s="377" t="s">
        <v>541</v>
      </c>
      <c r="D96" s="377" t="s">
        <v>276</v>
      </c>
      <c r="E96" s="377" t="s">
        <v>265</v>
      </c>
      <c r="F96" s="378" t="s">
        <v>167</v>
      </c>
      <c r="G96" s="377" t="s">
        <v>439</v>
      </c>
      <c r="H96" s="379"/>
      <c r="I96" s="379"/>
      <c r="J96" s="377" t="s">
        <v>283</v>
      </c>
      <c r="K96" s="377" t="s">
        <v>277</v>
      </c>
      <c r="L96" s="377" t="s">
        <v>215</v>
      </c>
      <c r="M96" s="377" t="s">
        <v>395</v>
      </c>
      <c r="N96" s="377" t="s">
        <v>173</v>
      </c>
      <c r="O96" s="380">
        <v>0</v>
      </c>
      <c r="P96" s="386">
        <v>0.35</v>
      </c>
      <c r="Q96" s="386">
        <v>0.35</v>
      </c>
      <c r="R96" s="381">
        <v>80</v>
      </c>
      <c r="S96" s="386">
        <v>0.35</v>
      </c>
      <c r="T96" s="381">
        <v>14177.62</v>
      </c>
      <c r="U96" s="381">
        <v>0</v>
      </c>
      <c r="V96" s="381">
        <v>5874.03</v>
      </c>
      <c r="W96" s="381">
        <v>24904.880000000001</v>
      </c>
      <c r="X96" s="381">
        <v>11207.18</v>
      </c>
      <c r="Y96" s="381">
        <v>24904.880000000001</v>
      </c>
      <c r="Z96" s="381">
        <v>11605.66</v>
      </c>
      <c r="AA96" s="379"/>
      <c r="AB96" s="377" t="s">
        <v>45</v>
      </c>
      <c r="AC96" s="377" t="s">
        <v>45</v>
      </c>
      <c r="AD96" s="379"/>
      <c r="AE96" s="379"/>
      <c r="AF96" s="379"/>
      <c r="AG96" s="379"/>
      <c r="AH96" s="380">
        <v>0</v>
      </c>
      <c r="AI96" s="380">
        <v>0</v>
      </c>
      <c r="AJ96" s="379"/>
      <c r="AK96" s="379"/>
      <c r="AL96" s="377" t="s">
        <v>182</v>
      </c>
      <c r="AM96" s="379"/>
      <c r="AN96" s="379"/>
      <c r="AO96" s="380">
        <v>0</v>
      </c>
      <c r="AP96" s="386">
        <v>0</v>
      </c>
      <c r="AQ96" s="386">
        <v>0</v>
      </c>
      <c r="AR96" s="385"/>
      <c r="AS96" s="388">
        <f t="shared" si="71"/>
        <v>0</v>
      </c>
      <c r="AT96">
        <f t="shared" si="72"/>
        <v>0</v>
      </c>
      <c r="AU96" s="388" t="str">
        <f>IF(AT96=0,"",IF(AND(AT96=1,M96="F",SUMIF(C2:C258,C96,AS2:AS258)&lt;=1),SUMIF(C2:C258,C96,AS2:AS258),IF(AND(AT96=1,M96="F",SUMIF(C2:C258,C96,AS2:AS258)&gt;1),1,"")))</f>
        <v/>
      </c>
      <c r="AV96" s="388" t="str">
        <f>IF(AT96=0,"",IF(AND(AT96=3,M96="F",SUMIF(C2:C258,C96,AS2:AS258)&lt;=1),SUMIF(C2:C258,C96,AS2:AS258),IF(AND(AT96=3,M96="F",SUMIF(C2:C258,C96,AS2:AS258)&gt;1),1,"")))</f>
        <v/>
      </c>
      <c r="AW96" s="388">
        <f>SUMIF(C2:C258,C96,O2:O258)</f>
        <v>0</v>
      </c>
      <c r="AX96" s="388">
        <f>IF(AND(M96="F",AS96&lt;&gt;0),SUMIF(C2:C258,C96,W2:W258),0)</f>
        <v>0</v>
      </c>
      <c r="AY96" s="388" t="str">
        <f t="shared" si="73"/>
        <v/>
      </c>
      <c r="AZ96" s="388" t="str">
        <f t="shared" si="74"/>
        <v/>
      </c>
      <c r="BA96" s="388">
        <f t="shared" si="75"/>
        <v>0</v>
      </c>
      <c r="BB96" s="388">
        <f t="shared" si="44"/>
        <v>0</v>
      </c>
      <c r="BC96" s="388">
        <f t="shared" si="45"/>
        <v>0</v>
      </c>
      <c r="BD96" s="388">
        <f t="shared" si="46"/>
        <v>0</v>
      </c>
      <c r="BE96" s="388">
        <f t="shared" si="47"/>
        <v>0</v>
      </c>
      <c r="BF96" s="388">
        <f t="shared" si="48"/>
        <v>0</v>
      </c>
      <c r="BG96" s="388">
        <f t="shared" si="49"/>
        <v>0</v>
      </c>
      <c r="BH96" s="388">
        <f t="shared" si="50"/>
        <v>0</v>
      </c>
      <c r="BI96" s="388">
        <f t="shared" si="51"/>
        <v>0</v>
      </c>
      <c r="BJ96" s="388">
        <f t="shared" si="52"/>
        <v>0</v>
      </c>
      <c r="BK96" s="388">
        <f t="shared" si="53"/>
        <v>0</v>
      </c>
      <c r="BL96" s="388">
        <f t="shared" si="76"/>
        <v>0</v>
      </c>
      <c r="BM96" s="388">
        <f t="shared" si="77"/>
        <v>0</v>
      </c>
      <c r="BN96" s="388">
        <f t="shared" si="54"/>
        <v>0</v>
      </c>
      <c r="BO96" s="388">
        <f t="shared" si="55"/>
        <v>0</v>
      </c>
      <c r="BP96" s="388">
        <f t="shared" si="56"/>
        <v>0</v>
      </c>
      <c r="BQ96" s="388">
        <f t="shared" si="57"/>
        <v>0</v>
      </c>
      <c r="BR96" s="388">
        <f t="shared" si="58"/>
        <v>0</v>
      </c>
      <c r="BS96" s="388">
        <f t="shared" si="59"/>
        <v>0</v>
      </c>
      <c r="BT96" s="388">
        <f t="shared" si="60"/>
        <v>0</v>
      </c>
      <c r="BU96" s="388">
        <f t="shared" si="61"/>
        <v>0</v>
      </c>
      <c r="BV96" s="388">
        <f t="shared" si="62"/>
        <v>0</v>
      </c>
      <c r="BW96" s="388">
        <f t="shared" si="63"/>
        <v>0</v>
      </c>
      <c r="BX96" s="388">
        <f t="shared" si="78"/>
        <v>0</v>
      </c>
      <c r="BY96" s="388">
        <f t="shared" si="79"/>
        <v>0</v>
      </c>
      <c r="BZ96" s="388">
        <f t="shared" si="80"/>
        <v>0</v>
      </c>
      <c r="CA96" s="388">
        <f t="shared" si="81"/>
        <v>0</v>
      </c>
      <c r="CB96" s="388">
        <f t="shared" si="82"/>
        <v>0</v>
      </c>
      <c r="CC96" s="388">
        <f t="shared" si="64"/>
        <v>0</v>
      </c>
      <c r="CD96" s="388">
        <f t="shared" si="65"/>
        <v>0</v>
      </c>
      <c r="CE96" s="388">
        <f t="shared" si="66"/>
        <v>0</v>
      </c>
      <c r="CF96" s="388">
        <f t="shared" si="67"/>
        <v>0</v>
      </c>
      <c r="CG96" s="388">
        <f t="shared" si="68"/>
        <v>0</v>
      </c>
      <c r="CH96" s="388">
        <f t="shared" si="69"/>
        <v>0</v>
      </c>
      <c r="CI96" s="388">
        <f t="shared" si="70"/>
        <v>0</v>
      </c>
      <c r="CJ96" s="388">
        <f t="shared" si="83"/>
        <v>0</v>
      </c>
      <c r="CK96" s="388" t="str">
        <f t="shared" si="84"/>
        <v/>
      </c>
      <c r="CL96" s="388" t="str">
        <f t="shared" si="85"/>
        <v/>
      </c>
      <c r="CM96" s="388" t="str">
        <f t="shared" si="86"/>
        <v/>
      </c>
      <c r="CN96" s="388" t="str">
        <f t="shared" si="87"/>
        <v>0001-00</v>
      </c>
    </row>
    <row r="97" spans="1:92" ht="15.75" thickBot="1" x14ac:dyDescent="0.3">
      <c r="A97" s="377" t="s">
        <v>162</v>
      </c>
      <c r="B97" s="377" t="s">
        <v>163</v>
      </c>
      <c r="C97" s="377" t="s">
        <v>542</v>
      </c>
      <c r="D97" s="377" t="s">
        <v>300</v>
      </c>
      <c r="E97" s="377" t="s">
        <v>265</v>
      </c>
      <c r="F97" s="378" t="s">
        <v>167</v>
      </c>
      <c r="G97" s="377" t="s">
        <v>439</v>
      </c>
      <c r="H97" s="379"/>
      <c r="I97" s="379"/>
      <c r="J97" s="377" t="s">
        <v>169</v>
      </c>
      <c r="K97" s="377" t="s">
        <v>301</v>
      </c>
      <c r="L97" s="377" t="s">
        <v>167</v>
      </c>
      <c r="M97" s="377" t="s">
        <v>172</v>
      </c>
      <c r="N97" s="377" t="s">
        <v>173</v>
      </c>
      <c r="O97" s="380">
        <v>1</v>
      </c>
      <c r="P97" s="386">
        <v>0.8</v>
      </c>
      <c r="Q97" s="386">
        <v>0.8</v>
      </c>
      <c r="R97" s="381">
        <v>80</v>
      </c>
      <c r="S97" s="386">
        <v>0.8</v>
      </c>
      <c r="T97" s="381">
        <v>20937.21</v>
      </c>
      <c r="U97" s="381">
        <v>0</v>
      </c>
      <c r="V97" s="381">
        <v>7916.08</v>
      </c>
      <c r="W97" s="381">
        <v>48256</v>
      </c>
      <c r="X97" s="381">
        <v>19970.16</v>
      </c>
      <c r="Y97" s="381">
        <v>48256</v>
      </c>
      <c r="Z97" s="381">
        <v>20622.71</v>
      </c>
      <c r="AA97" s="377" t="s">
        <v>543</v>
      </c>
      <c r="AB97" s="377" t="s">
        <v>544</v>
      </c>
      <c r="AC97" s="377" t="s">
        <v>545</v>
      </c>
      <c r="AD97" s="377" t="s">
        <v>181</v>
      </c>
      <c r="AE97" s="377" t="s">
        <v>301</v>
      </c>
      <c r="AF97" s="377" t="s">
        <v>207</v>
      </c>
      <c r="AG97" s="377" t="s">
        <v>179</v>
      </c>
      <c r="AH97" s="380">
        <v>29</v>
      </c>
      <c r="AI97" s="380">
        <v>112</v>
      </c>
      <c r="AJ97" s="377" t="s">
        <v>180</v>
      </c>
      <c r="AK97" s="377" t="s">
        <v>181</v>
      </c>
      <c r="AL97" s="377" t="s">
        <v>182</v>
      </c>
      <c r="AM97" s="377" t="s">
        <v>183</v>
      </c>
      <c r="AN97" s="377" t="s">
        <v>66</v>
      </c>
      <c r="AO97" s="380">
        <v>80</v>
      </c>
      <c r="AP97" s="386">
        <v>1</v>
      </c>
      <c r="AQ97" s="386">
        <v>0.8</v>
      </c>
      <c r="AR97" s="384" t="s">
        <v>184</v>
      </c>
      <c r="AS97" s="388">
        <f t="shared" si="71"/>
        <v>0.8</v>
      </c>
      <c r="AT97">
        <f t="shared" si="72"/>
        <v>1</v>
      </c>
      <c r="AU97" s="388">
        <f>IF(AT97=0,"",IF(AND(AT97=1,M97="F",SUMIF(C2:C258,C97,AS2:AS258)&lt;=1),SUMIF(C2:C258,C97,AS2:AS258),IF(AND(AT97=1,M97="F",SUMIF(C2:C258,C97,AS2:AS258)&gt;1),1,"")))</f>
        <v>1</v>
      </c>
      <c r="AV97" s="388" t="str">
        <f>IF(AT97=0,"",IF(AND(AT97=3,M97="F",SUMIF(C2:C258,C97,AS2:AS258)&lt;=1),SUMIF(C2:C258,C97,AS2:AS258),IF(AND(AT97=3,M97="F",SUMIF(C2:C258,C97,AS2:AS258)&gt;1),1,"")))</f>
        <v/>
      </c>
      <c r="AW97" s="388">
        <f>SUMIF(C2:C258,C97,O2:O258)</f>
        <v>2</v>
      </c>
      <c r="AX97" s="388">
        <f>IF(AND(M97="F",AS97&lt;&gt;0),SUMIF(C2:C258,C97,W2:W258),0)</f>
        <v>60320</v>
      </c>
      <c r="AY97" s="388">
        <f t="shared" si="73"/>
        <v>48256</v>
      </c>
      <c r="AZ97" s="388" t="str">
        <f t="shared" si="74"/>
        <v/>
      </c>
      <c r="BA97" s="388">
        <f t="shared" si="75"/>
        <v>0</v>
      </c>
      <c r="BB97" s="388">
        <f t="shared" si="44"/>
        <v>10000</v>
      </c>
      <c r="BC97" s="388">
        <f t="shared" si="45"/>
        <v>0</v>
      </c>
      <c r="BD97" s="388">
        <f t="shared" si="46"/>
        <v>2991.8719999999998</v>
      </c>
      <c r="BE97" s="388">
        <f t="shared" si="47"/>
        <v>699.71199999999999</v>
      </c>
      <c r="BF97" s="388">
        <f t="shared" si="48"/>
        <v>5761.7664000000004</v>
      </c>
      <c r="BG97" s="388">
        <f t="shared" si="49"/>
        <v>347.92576000000003</v>
      </c>
      <c r="BH97" s="388">
        <f t="shared" si="50"/>
        <v>0</v>
      </c>
      <c r="BI97" s="388">
        <f t="shared" si="51"/>
        <v>0</v>
      </c>
      <c r="BJ97" s="388">
        <f t="shared" si="52"/>
        <v>168.89600000000002</v>
      </c>
      <c r="BK97" s="388">
        <f t="shared" si="53"/>
        <v>0</v>
      </c>
      <c r="BL97" s="388">
        <f t="shared" si="76"/>
        <v>9970.1721600000001</v>
      </c>
      <c r="BM97" s="388">
        <f t="shared" si="77"/>
        <v>0</v>
      </c>
      <c r="BN97" s="388">
        <f t="shared" si="54"/>
        <v>11000</v>
      </c>
      <c r="BO97" s="388">
        <f t="shared" si="55"/>
        <v>0</v>
      </c>
      <c r="BP97" s="388">
        <f t="shared" si="56"/>
        <v>2991.8719999999998</v>
      </c>
      <c r="BQ97" s="388">
        <f t="shared" si="57"/>
        <v>699.71199999999999</v>
      </c>
      <c r="BR97" s="388">
        <f t="shared" si="58"/>
        <v>5395.0208000000002</v>
      </c>
      <c r="BS97" s="388">
        <f t="shared" si="59"/>
        <v>347.92576000000003</v>
      </c>
      <c r="BT97" s="388">
        <f t="shared" si="60"/>
        <v>0</v>
      </c>
      <c r="BU97" s="388">
        <f t="shared" si="61"/>
        <v>0</v>
      </c>
      <c r="BV97" s="388">
        <f t="shared" si="62"/>
        <v>188.19839999999999</v>
      </c>
      <c r="BW97" s="388">
        <f t="shared" si="63"/>
        <v>0</v>
      </c>
      <c r="BX97" s="388">
        <f t="shared" si="78"/>
        <v>9622.7289600000004</v>
      </c>
      <c r="BY97" s="388">
        <f t="shared" si="79"/>
        <v>0</v>
      </c>
      <c r="BZ97" s="388">
        <f t="shared" si="80"/>
        <v>1000</v>
      </c>
      <c r="CA97" s="388">
        <f t="shared" si="81"/>
        <v>0</v>
      </c>
      <c r="CB97" s="388">
        <f t="shared" si="82"/>
        <v>0</v>
      </c>
      <c r="CC97" s="388">
        <f t="shared" si="64"/>
        <v>0</v>
      </c>
      <c r="CD97" s="388">
        <f t="shared" si="65"/>
        <v>-366.74560000000048</v>
      </c>
      <c r="CE97" s="388">
        <f t="shared" si="66"/>
        <v>0</v>
      </c>
      <c r="CF97" s="388">
        <f t="shared" si="67"/>
        <v>0</v>
      </c>
      <c r="CG97" s="388">
        <f t="shared" si="68"/>
        <v>0</v>
      </c>
      <c r="CH97" s="388">
        <f t="shared" si="69"/>
        <v>19.302399999999988</v>
      </c>
      <c r="CI97" s="388">
        <f t="shared" si="70"/>
        <v>0</v>
      </c>
      <c r="CJ97" s="388">
        <f t="shared" si="83"/>
        <v>-347.4432000000005</v>
      </c>
      <c r="CK97" s="388" t="str">
        <f t="shared" si="84"/>
        <v/>
      </c>
      <c r="CL97" s="388" t="str">
        <f t="shared" si="85"/>
        <v/>
      </c>
      <c r="CM97" s="388" t="str">
        <f t="shared" si="86"/>
        <v/>
      </c>
      <c r="CN97" s="388" t="str">
        <f t="shared" si="87"/>
        <v>0001-00</v>
      </c>
    </row>
    <row r="98" spans="1:92" ht="15.75" thickBot="1" x14ac:dyDescent="0.3">
      <c r="A98" s="377" t="s">
        <v>162</v>
      </c>
      <c r="B98" s="377" t="s">
        <v>163</v>
      </c>
      <c r="C98" s="377" t="s">
        <v>546</v>
      </c>
      <c r="D98" s="377" t="s">
        <v>282</v>
      </c>
      <c r="E98" s="377" t="s">
        <v>265</v>
      </c>
      <c r="F98" s="378" t="s">
        <v>167</v>
      </c>
      <c r="G98" s="377" t="s">
        <v>439</v>
      </c>
      <c r="H98" s="379"/>
      <c r="I98" s="379"/>
      <c r="J98" s="377" t="s">
        <v>547</v>
      </c>
      <c r="K98" s="377" t="s">
        <v>244</v>
      </c>
      <c r="L98" s="377" t="s">
        <v>167</v>
      </c>
      <c r="M98" s="377" t="s">
        <v>172</v>
      </c>
      <c r="N98" s="377" t="s">
        <v>173</v>
      </c>
      <c r="O98" s="380">
        <v>1</v>
      </c>
      <c r="P98" s="386">
        <v>0.4</v>
      </c>
      <c r="Q98" s="386">
        <v>0.4</v>
      </c>
      <c r="R98" s="381">
        <v>80</v>
      </c>
      <c r="S98" s="386">
        <v>0.4</v>
      </c>
      <c r="T98" s="381">
        <v>60019.6</v>
      </c>
      <c r="U98" s="381">
        <v>0</v>
      </c>
      <c r="V98" s="381">
        <v>14553.75</v>
      </c>
      <c r="W98" s="381">
        <v>38280.32</v>
      </c>
      <c r="X98" s="381">
        <v>12909.08</v>
      </c>
      <c r="Y98" s="381">
        <v>38280.32</v>
      </c>
      <c r="Z98" s="381">
        <v>13133.46</v>
      </c>
      <c r="AA98" s="377" t="s">
        <v>548</v>
      </c>
      <c r="AB98" s="377" t="s">
        <v>549</v>
      </c>
      <c r="AC98" s="377" t="s">
        <v>550</v>
      </c>
      <c r="AD98" s="377" t="s">
        <v>211</v>
      </c>
      <c r="AE98" s="377" t="s">
        <v>244</v>
      </c>
      <c r="AF98" s="377" t="s">
        <v>207</v>
      </c>
      <c r="AG98" s="377" t="s">
        <v>179</v>
      </c>
      <c r="AH98" s="382">
        <v>46.01</v>
      </c>
      <c r="AI98" s="382">
        <v>45530.2</v>
      </c>
      <c r="AJ98" s="377" t="s">
        <v>180</v>
      </c>
      <c r="AK98" s="377" t="s">
        <v>181</v>
      </c>
      <c r="AL98" s="377" t="s">
        <v>182</v>
      </c>
      <c r="AM98" s="377" t="s">
        <v>183</v>
      </c>
      <c r="AN98" s="377" t="s">
        <v>66</v>
      </c>
      <c r="AO98" s="380">
        <v>80</v>
      </c>
      <c r="AP98" s="386">
        <v>1</v>
      </c>
      <c r="AQ98" s="386">
        <v>0.4</v>
      </c>
      <c r="AR98" s="384" t="s">
        <v>184</v>
      </c>
      <c r="AS98" s="388">
        <f t="shared" si="71"/>
        <v>0.4</v>
      </c>
      <c r="AT98">
        <f t="shared" si="72"/>
        <v>1</v>
      </c>
      <c r="AU98" s="388">
        <f>IF(AT98=0,"",IF(AND(AT98=1,M98="F",SUMIF(C2:C258,C98,AS2:AS258)&lt;=1),SUMIF(C2:C258,C98,AS2:AS258),IF(AND(AT98=1,M98="F",SUMIF(C2:C258,C98,AS2:AS258)&gt;1),1,"")))</f>
        <v>1</v>
      </c>
      <c r="AV98" s="388" t="str">
        <f>IF(AT98=0,"",IF(AND(AT98=3,M98="F",SUMIF(C2:C258,C98,AS2:AS258)&lt;=1),SUMIF(C2:C258,C98,AS2:AS258),IF(AND(AT98=3,M98="F",SUMIF(C2:C258,C98,AS2:AS258)&gt;1),1,"")))</f>
        <v/>
      </c>
      <c r="AW98" s="388">
        <f>SUMIF(C2:C258,C98,O2:O258)</f>
        <v>5</v>
      </c>
      <c r="AX98" s="388">
        <f>IF(AND(M98="F",AS98&lt;&gt;0),SUMIF(C2:C258,C98,W2:W258),0)</f>
        <v>95700.76999999999</v>
      </c>
      <c r="AY98" s="388">
        <f t="shared" si="73"/>
        <v>38280.32</v>
      </c>
      <c r="AZ98" s="388" t="str">
        <f t="shared" si="74"/>
        <v/>
      </c>
      <c r="BA98" s="388">
        <f t="shared" si="75"/>
        <v>0</v>
      </c>
      <c r="BB98" s="388">
        <f t="shared" si="44"/>
        <v>5000</v>
      </c>
      <c r="BC98" s="388">
        <f t="shared" si="45"/>
        <v>0</v>
      </c>
      <c r="BD98" s="388">
        <f t="shared" si="46"/>
        <v>2373.3798400000001</v>
      </c>
      <c r="BE98" s="388">
        <f t="shared" si="47"/>
        <v>555.06464000000005</v>
      </c>
      <c r="BF98" s="388">
        <f t="shared" si="48"/>
        <v>4570.6702080000005</v>
      </c>
      <c r="BG98" s="388">
        <f t="shared" si="49"/>
        <v>276.00110720000004</v>
      </c>
      <c r="BH98" s="388">
        <f t="shared" si="50"/>
        <v>0</v>
      </c>
      <c r="BI98" s="388">
        <f t="shared" si="51"/>
        <v>0</v>
      </c>
      <c r="BJ98" s="388">
        <f t="shared" si="52"/>
        <v>133.98112</v>
      </c>
      <c r="BK98" s="388">
        <f t="shared" si="53"/>
        <v>0</v>
      </c>
      <c r="BL98" s="388">
        <f t="shared" si="76"/>
        <v>7909.0969152000007</v>
      </c>
      <c r="BM98" s="388">
        <f t="shared" si="77"/>
        <v>0</v>
      </c>
      <c r="BN98" s="388">
        <f t="shared" si="54"/>
        <v>5500</v>
      </c>
      <c r="BO98" s="388">
        <f t="shared" si="55"/>
        <v>0</v>
      </c>
      <c r="BP98" s="388">
        <f t="shared" si="56"/>
        <v>2373.3798400000001</v>
      </c>
      <c r="BQ98" s="388">
        <f t="shared" si="57"/>
        <v>555.06464000000005</v>
      </c>
      <c r="BR98" s="388">
        <f t="shared" si="58"/>
        <v>4279.7397759999994</v>
      </c>
      <c r="BS98" s="388">
        <f t="shared" si="59"/>
        <v>276.00110720000004</v>
      </c>
      <c r="BT98" s="388">
        <f t="shared" si="60"/>
        <v>0</v>
      </c>
      <c r="BU98" s="388">
        <f t="shared" si="61"/>
        <v>0</v>
      </c>
      <c r="BV98" s="388">
        <f t="shared" si="62"/>
        <v>149.29324800000001</v>
      </c>
      <c r="BW98" s="388">
        <f t="shared" si="63"/>
        <v>0</v>
      </c>
      <c r="BX98" s="388">
        <f t="shared" si="78"/>
        <v>7633.4786111999992</v>
      </c>
      <c r="BY98" s="388">
        <f t="shared" si="79"/>
        <v>0</v>
      </c>
      <c r="BZ98" s="388">
        <f t="shared" si="80"/>
        <v>500</v>
      </c>
      <c r="CA98" s="388">
        <f t="shared" si="81"/>
        <v>0</v>
      </c>
      <c r="CB98" s="388">
        <f t="shared" si="82"/>
        <v>0</v>
      </c>
      <c r="CC98" s="388">
        <f t="shared" si="64"/>
        <v>0</v>
      </c>
      <c r="CD98" s="388">
        <f t="shared" si="65"/>
        <v>-290.93043200000034</v>
      </c>
      <c r="CE98" s="388">
        <f t="shared" si="66"/>
        <v>0</v>
      </c>
      <c r="CF98" s="388">
        <f t="shared" si="67"/>
        <v>0</v>
      </c>
      <c r="CG98" s="388">
        <f t="shared" si="68"/>
        <v>0</v>
      </c>
      <c r="CH98" s="388">
        <f t="shared" si="69"/>
        <v>15.312127999999991</v>
      </c>
      <c r="CI98" s="388">
        <f t="shared" si="70"/>
        <v>0</v>
      </c>
      <c r="CJ98" s="388">
        <f t="shared" si="83"/>
        <v>-275.61830400000036</v>
      </c>
      <c r="CK98" s="388" t="str">
        <f t="shared" si="84"/>
        <v/>
      </c>
      <c r="CL98" s="388" t="str">
        <f t="shared" si="85"/>
        <v/>
      </c>
      <c r="CM98" s="388" t="str">
        <f t="shared" si="86"/>
        <v/>
      </c>
      <c r="CN98" s="388" t="str">
        <f t="shared" si="87"/>
        <v>0001-00</v>
      </c>
    </row>
    <row r="99" spans="1:92" ht="15.75" thickBot="1" x14ac:dyDescent="0.3">
      <c r="A99" s="377" t="s">
        <v>162</v>
      </c>
      <c r="B99" s="377" t="s">
        <v>163</v>
      </c>
      <c r="C99" s="377" t="s">
        <v>551</v>
      </c>
      <c r="D99" s="377" t="s">
        <v>282</v>
      </c>
      <c r="E99" s="377" t="s">
        <v>265</v>
      </c>
      <c r="F99" s="378" t="s">
        <v>167</v>
      </c>
      <c r="G99" s="377" t="s">
        <v>439</v>
      </c>
      <c r="H99" s="379"/>
      <c r="I99" s="379"/>
      <c r="J99" s="377" t="s">
        <v>169</v>
      </c>
      <c r="K99" s="377" t="s">
        <v>244</v>
      </c>
      <c r="L99" s="377" t="s">
        <v>167</v>
      </c>
      <c r="M99" s="377" t="s">
        <v>172</v>
      </c>
      <c r="N99" s="377" t="s">
        <v>173</v>
      </c>
      <c r="O99" s="380">
        <v>1</v>
      </c>
      <c r="P99" s="386">
        <v>0.45</v>
      </c>
      <c r="Q99" s="386">
        <v>0.45</v>
      </c>
      <c r="R99" s="381">
        <v>80</v>
      </c>
      <c r="S99" s="386">
        <v>0.45</v>
      </c>
      <c r="T99" s="381">
        <v>36796.339999999997</v>
      </c>
      <c r="U99" s="381">
        <v>0</v>
      </c>
      <c r="V99" s="381">
        <v>13413.65</v>
      </c>
      <c r="W99" s="381">
        <v>36447.839999999997</v>
      </c>
      <c r="X99" s="381">
        <v>13155.48</v>
      </c>
      <c r="Y99" s="381">
        <v>36447.839999999997</v>
      </c>
      <c r="Z99" s="381">
        <v>13455.55</v>
      </c>
      <c r="AA99" s="377" t="s">
        <v>552</v>
      </c>
      <c r="AB99" s="377" t="s">
        <v>553</v>
      </c>
      <c r="AC99" s="377" t="s">
        <v>554</v>
      </c>
      <c r="AD99" s="377" t="s">
        <v>555</v>
      </c>
      <c r="AE99" s="377" t="s">
        <v>244</v>
      </c>
      <c r="AF99" s="377" t="s">
        <v>207</v>
      </c>
      <c r="AG99" s="377" t="s">
        <v>179</v>
      </c>
      <c r="AH99" s="382">
        <v>38.94</v>
      </c>
      <c r="AI99" s="380">
        <v>3184</v>
      </c>
      <c r="AJ99" s="377" t="s">
        <v>180</v>
      </c>
      <c r="AK99" s="377" t="s">
        <v>181</v>
      </c>
      <c r="AL99" s="377" t="s">
        <v>182</v>
      </c>
      <c r="AM99" s="377" t="s">
        <v>183</v>
      </c>
      <c r="AN99" s="377" t="s">
        <v>66</v>
      </c>
      <c r="AO99" s="380">
        <v>80</v>
      </c>
      <c r="AP99" s="386">
        <v>1</v>
      </c>
      <c r="AQ99" s="386">
        <v>0.45</v>
      </c>
      <c r="AR99" s="384" t="s">
        <v>184</v>
      </c>
      <c r="AS99" s="388">
        <f t="shared" si="71"/>
        <v>0.45</v>
      </c>
      <c r="AT99">
        <f t="shared" si="72"/>
        <v>1</v>
      </c>
      <c r="AU99" s="388">
        <f>IF(AT99=0,"",IF(AND(AT99=1,M99="F",SUMIF(C2:C258,C99,AS2:AS258)&lt;=1),SUMIF(C2:C258,C99,AS2:AS258),IF(AND(AT99=1,M99="F",SUMIF(C2:C258,C99,AS2:AS258)&gt;1),1,"")))</f>
        <v>1</v>
      </c>
      <c r="AV99" s="388" t="str">
        <f>IF(AT99=0,"",IF(AND(AT99=3,M99="F",SUMIF(C2:C258,C99,AS2:AS258)&lt;=1),SUMIF(C2:C258,C99,AS2:AS258),IF(AND(AT99=3,M99="F",SUMIF(C2:C258,C99,AS2:AS258)&gt;1),1,"")))</f>
        <v/>
      </c>
      <c r="AW99" s="388">
        <f>SUMIF(C2:C258,C99,O2:O258)</f>
        <v>3</v>
      </c>
      <c r="AX99" s="388">
        <f>IF(AND(M99="F",AS99&lt;&gt;0),SUMIF(C2:C258,C99,W2:W258),0)</f>
        <v>80995.199999999997</v>
      </c>
      <c r="AY99" s="388">
        <f t="shared" si="73"/>
        <v>36447.839999999997</v>
      </c>
      <c r="AZ99" s="388" t="str">
        <f t="shared" si="74"/>
        <v/>
      </c>
      <c r="BA99" s="388">
        <f t="shared" si="75"/>
        <v>0</v>
      </c>
      <c r="BB99" s="388">
        <f t="shared" si="44"/>
        <v>5625</v>
      </c>
      <c r="BC99" s="388">
        <f t="shared" si="45"/>
        <v>0</v>
      </c>
      <c r="BD99" s="388">
        <f t="shared" si="46"/>
        <v>2259.7660799999999</v>
      </c>
      <c r="BE99" s="388">
        <f t="shared" si="47"/>
        <v>528.49367999999993</v>
      </c>
      <c r="BF99" s="388">
        <f t="shared" si="48"/>
        <v>4351.8720960000001</v>
      </c>
      <c r="BG99" s="388">
        <f t="shared" si="49"/>
        <v>262.78892639999998</v>
      </c>
      <c r="BH99" s="388">
        <f t="shared" si="50"/>
        <v>0</v>
      </c>
      <c r="BI99" s="388">
        <f t="shared" si="51"/>
        <v>0</v>
      </c>
      <c r="BJ99" s="388">
        <f t="shared" si="52"/>
        <v>127.56743999999999</v>
      </c>
      <c r="BK99" s="388">
        <f t="shared" si="53"/>
        <v>0</v>
      </c>
      <c r="BL99" s="388">
        <f t="shared" si="76"/>
        <v>7530.4882223999994</v>
      </c>
      <c r="BM99" s="388">
        <f t="shared" si="77"/>
        <v>0</v>
      </c>
      <c r="BN99" s="388">
        <f t="shared" si="54"/>
        <v>6187.5</v>
      </c>
      <c r="BO99" s="388">
        <f t="shared" si="55"/>
        <v>0</v>
      </c>
      <c r="BP99" s="388">
        <f t="shared" si="56"/>
        <v>2259.7660799999999</v>
      </c>
      <c r="BQ99" s="388">
        <f t="shared" si="57"/>
        <v>528.49367999999993</v>
      </c>
      <c r="BR99" s="388">
        <f t="shared" si="58"/>
        <v>4074.8685119999996</v>
      </c>
      <c r="BS99" s="388">
        <f t="shared" si="59"/>
        <v>262.78892639999998</v>
      </c>
      <c r="BT99" s="388">
        <f t="shared" si="60"/>
        <v>0</v>
      </c>
      <c r="BU99" s="388">
        <f t="shared" si="61"/>
        <v>0</v>
      </c>
      <c r="BV99" s="388">
        <f t="shared" si="62"/>
        <v>142.14657599999998</v>
      </c>
      <c r="BW99" s="388">
        <f t="shared" si="63"/>
        <v>0</v>
      </c>
      <c r="BX99" s="388">
        <f t="shared" si="78"/>
        <v>7268.0637743999996</v>
      </c>
      <c r="BY99" s="388">
        <f t="shared" si="79"/>
        <v>0</v>
      </c>
      <c r="BZ99" s="388">
        <f t="shared" si="80"/>
        <v>562.5</v>
      </c>
      <c r="CA99" s="388">
        <f t="shared" si="81"/>
        <v>0</v>
      </c>
      <c r="CB99" s="388">
        <f t="shared" si="82"/>
        <v>0</v>
      </c>
      <c r="CC99" s="388">
        <f t="shared" si="64"/>
        <v>0</v>
      </c>
      <c r="CD99" s="388">
        <f t="shared" si="65"/>
        <v>-277.00358400000033</v>
      </c>
      <c r="CE99" s="388">
        <f t="shared" si="66"/>
        <v>0</v>
      </c>
      <c r="CF99" s="388">
        <f t="shared" si="67"/>
        <v>0</v>
      </c>
      <c r="CG99" s="388">
        <f t="shared" si="68"/>
        <v>0</v>
      </c>
      <c r="CH99" s="388">
        <f t="shared" si="69"/>
        <v>14.579135999999989</v>
      </c>
      <c r="CI99" s="388">
        <f t="shared" si="70"/>
        <v>0</v>
      </c>
      <c r="CJ99" s="388">
        <f t="shared" si="83"/>
        <v>-262.42444800000033</v>
      </c>
      <c r="CK99" s="388" t="str">
        <f t="shared" si="84"/>
        <v/>
      </c>
      <c r="CL99" s="388" t="str">
        <f t="shared" si="85"/>
        <v/>
      </c>
      <c r="CM99" s="388" t="str">
        <f t="shared" si="86"/>
        <v/>
      </c>
      <c r="CN99" s="388" t="str">
        <f t="shared" si="87"/>
        <v>0001-00</v>
      </c>
    </row>
    <row r="100" spans="1:92" ht="15.75" thickBot="1" x14ac:dyDescent="0.3">
      <c r="A100" s="377" t="s">
        <v>162</v>
      </c>
      <c r="B100" s="377" t="s">
        <v>163</v>
      </c>
      <c r="C100" s="377" t="s">
        <v>556</v>
      </c>
      <c r="D100" s="377" t="s">
        <v>300</v>
      </c>
      <c r="E100" s="377" t="s">
        <v>265</v>
      </c>
      <c r="F100" s="378" t="s">
        <v>167</v>
      </c>
      <c r="G100" s="377" t="s">
        <v>439</v>
      </c>
      <c r="H100" s="379"/>
      <c r="I100" s="379"/>
      <c r="J100" s="377" t="s">
        <v>169</v>
      </c>
      <c r="K100" s="377" t="s">
        <v>301</v>
      </c>
      <c r="L100" s="377" t="s">
        <v>167</v>
      </c>
      <c r="M100" s="377" t="s">
        <v>172</v>
      </c>
      <c r="N100" s="377" t="s">
        <v>173</v>
      </c>
      <c r="O100" s="380">
        <v>1</v>
      </c>
      <c r="P100" s="386">
        <v>0</v>
      </c>
      <c r="Q100" s="386">
        <v>0</v>
      </c>
      <c r="R100" s="381">
        <v>80</v>
      </c>
      <c r="S100" s="386">
        <v>0</v>
      </c>
      <c r="T100" s="381">
        <v>11347.2</v>
      </c>
      <c r="U100" s="381">
        <v>0</v>
      </c>
      <c r="V100" s="381">
        <v>1170.95</v>
      </c>
      <c r="W100" s="381">
        <v>0</v>
      </c>
      <c r="X100" s="381">
        <v>0</v>
      </c>
      <c r="Y100" s="381">
        <v>0</v>
      </c>
      <c r="Z100" s="381">
        <v>0</v>
      </c>
      <c r="AA100" s="377" t="s">
        <v>557</v>
      </c>
      <c r="AB100" s="377" t="s">
        <v>558</v>
      </c>
      <c r="AC100" s="377" t="s">
        <v>559</v>
      </c>
      <c r="AD100" s="377" t="s">
        <v>560</v>
      </c>
      <c r="AE100" s="377" t="s">
        <v>301</v>
      </c>
      <c r="AF100" s="377" t="s">
        <v>207</v>
      </c>
      <c r="AG100" s="377" t="s">
        <v>179</v>
      </c>
      <c r="AH100" s="382">
        <v>43.63</v>
      </c>
      <c r="AI100" s="380">
        <v>1965</v>
      </c>
      <c r="AJ100" s="377" t="s">
        <v>180</v>
      </c>
      <c r="AK100" s="377" t="s">
        <v>181</v>
      </c>
      <c r="AL100" s="377" t="s">
        <v>182</v>
      </c>
      <c r="AM100" s="377" t="s">
        <v>183</v>
      </c>
      <c r="AN100" s="377" t="s">
        <v>66</v>
      </c>
      <c r="AO100" s="380">
        <v>80</v>
      </c>
      <c r="AP100" s="386">
        <v>1</v>
      </c>
      <c r="AQ100" s="386">
        <v>0</v>
      </c>
      <c r="AR100" s="384" t="s">
        <v>184</v>
      </c>
      <c r="AS100" s="388">
        <f t="shared" si="71"/>
        <v>0</v>
      </c>
      <c r="AT100">
        <f t="shared" si="72"/>
        <v>0</v>
      </c>
      <c r="AU100" s="388" t="str">
        <f>IF(AT100=0,"",IF(AND(AT100=1,M100="F",SUMIF(C2:C258,C100,AS2:AS258)&lt;=1),SUMIF(C2:C258,C100,AS2:AS258),IF(AND(AT100=1,M100="F",SUMIF(C2:C258,C100,AS2:AS258)&gt;1),1,"")))</f>
        <v/>
      </c>
      <c r="AV100" s="388" t="str">
        <f>IF(AT100=0,"",IF(AND(AT100=3,M100="F",SUMIF(C2:C258,C100,AS2:AS258)&lt;=1),SUMIF(C2:C258,C100,AS2:AS258),IF(AND(AT100=3,M100="F",SUMIF(C2:C258,C100,AS2:AS258)&gt;1),1,"")))</f>
        <v/>
      </c>
      <c r="AW100" s="388">
        <f>SUMIF(C2:C258,C100,O2:O258)</f>
        <v>2</v>
      </c>
      <c r="AX100" s="388">
        <f>IF(AND(M100="F",AS100&lt;&gt;0),SUMIF(C2:C258,C100,W2:W258),0)</f>
        <v>0</v>
      </c>
      <c r="AY100" s="388" t="str">
        <f t="shared" si="73"/>
        <v/>
      </c>
      <c r="AZ100" s="388" t="str">
        <f t="shared" si="74"/>
        <v/>
      </c>
      <c r="BA100" s="388">
        <f t="shared" si="75"/>
        <v>0</v>
      </c>
      <c r="BB100" s="388">
        <f t="shared" si="44"/>
        <v>0</v>
      </c>
      <c r="BC100" s="388">
        <f t="shared" si="45"/>
        <v>0</v>
      </c>
      <c r="BD100" s="388">
        <f t="shared" si="46"/>
        <v>0</v>
      </c>
      <c r="BE100" s="388">
        <f t="shared" si="47"/>
        <v>0</v>
      </c>
      <c r="BF100" s="388">
        <f t="shared" si="48"/>
        <v>0</v>
      </c>
      <c r="BG100" s="388">
        <f t="shared" si="49"/>
        <v>0</v>
      </c>
      <c r="BH100" s="388">
        <f t="shared" si="50"/>
        <v>0</v>
      </c>
      <c r="BI100" s="388">
        <f t="shared" si="51"/>
        <v>0</v>
      </c>
      <c r="BJ100" s="388">
        <f t="shared" si="52"/>
        <v>0</v>
      </c>
      <c r="BK100" s="388">
        <f t="shared" si="53"/>
        <v>0</v>
      </c>
      <c r="BL100" s="388">
        <f t="shared" si="76"/>
        <v>0</v>
      </c>
      <c r="BM100" s="388">
        <f t="shared" si="77"/>
        <v>0</v>
      </c>
      <c r="BN100" s="388">
        <f t="shared" si="54"/>
        <v>0</v>
      </c>
      <c r="BO100" s="388">
        <f t="shared" si="55"/>
        <v>0</v>
      </c>
      <c r="BP100" s="388">
        <f t="shared" si="56"/>
        <v>0</v>
      </c>
      <c r="BQ100" s="388">
        <f t="shared" si="57"/>
        <v>0</v>
      </c>
      <c r="BR100" s="388">
        <f t="shared" si="58"/>
        <v>0</v>
      </c>
      <c r="BS100" s="388">
        <f t="shared" si="59"/>
        <v>0</v>
      </c>
      <c r="BT100" s="388">
        <f t="shared" si="60"/>
        <v>0</v>
      </c>
      <c r="BU100" s="388">
        <f t="shared" si="61"/>
        <v>0</v>
      </c>
      <c r="BV100" s="388">
        <f t="shared" si="62"/>
        <v>0</v>
      </c>
      <c r="BW100" s="388">
        <f t="shared" si="63"/>
        <v>0</v>
      </c>
      <c r="BX100" s="388">
        <f t="shared" si="78"/>
        <v>0</v>
      </c>
      <c r="BY100" s="388">
        <f t="shared" si="79"/>
        <v>0</v>
      </c>
      <c r="BZ100" s="388">
        <f t="shared" si="80"/>
        <v>0</v>
      </c>
      <c r="CA100" s="388">
        <f t="shared" si="81"/>
        <v>0</v>
      </c>
      <c r="CB100" s="388">
        <f t="shared" si="82"/>
        <v>0</v>
      </c>
      <c r="CC100" s="388">
        <f t="shared" si="64"/>
        <v>0</v>
      </c>
      <c r="CD100" s="388">
        <f t="shared" si="65"/>
        <v>0</v>
      </c>
      <c r="CE100" s="388">
        <f t="shared" si="66"/>
        <v>0</v>
      </c>
      <c r="CF100" s="388">
        <f t="shared" si="67"/>
        <v>0</v>
      </c>
      <c r="CG100" s="388">
        <f t="shared" si="68"/>
        <v>0</v>
      </c>
      <c r="CH100" s="388">
        <f t="shared" si="69"/>
        <v>0</v>
      </c>
      <c r="CI100" s="388">
        <f t="shared" si="70"/>
        <v>0</v>
      </c>
      <c r="CJ100" s="388">
        <f t="shared" si="83"/>
        <v>0</v>
      </c>
      <c r="CK100" s="388" t="str">
        <f t="shared" si="84"/>
        <v/>
      </c>
      <c r="CL100" s="388" t="str">
        <f t="shared" si="85"/>
        <v/>
      </c>
      <c r="CM100" s="388" t="str">
        <f t="shared" si="86"/>
        <v/>
      </c>
      <c r="CN100" s="388" t="str">
        <f t="shared" si="87"/>
        <v>0001-00</v>
      </c>
    </row>
    <row r="101" spans="1:92" ht="15.75" thickBot="1" x14ac:dyDescent="0.3">
      <c r="A101" s="377" t="s">
        <v>162</v>
      </c>
      <c r="B101" s="377" t="s">
        <v>163</v>
      </c>
      <c r="C101" s="377" t="s">
        <v>561</v>
      </c>
      <c r="D101" s="377" t="s">
        <v>300</v>
      </c>
      <c r="E101" s="377" t="s">
        <v>265</v>
      </c>
      <c r="F101" s="378" t="s">
        <v>167</v>
      </c>
      <c r="G101" s="377" t="s">
        <v>439</v>
      </c>
      <c r="H101" s="379"/>
      <c r="I101" s="379"/>
      <c r="J101" s="377" t="s">
        <v>169</v>
      </c>
      <c r="K101" s="377" t="s">
        <v>301</v>
      </c>
      <c r="L101" s="377" t="s">
        <v>167</v>
      </c>
      <c r="M101" s="377" t="s">
        <v>172</v>
      </c>
      <c r="N101" s="377" t="s">
        <v>173</v>
      </c>
      <c r="O101" s="380">
        <v>1</v>
      </c>
      <c r="P101" s="386">
        <v>0.3</v>
      </c>
      <c r="Q101" s="386">
        <v>0.3</v>
      </c>
      <c r="R101" s="381">
        <v>80</v>
      </c>
      <c r="S101" s="386">
        <v>0.3</v>
      </c>
      <c r="T101" s="381">
        <v>31529.41</v>
      </c>
      <c r="U101" s="381">
        <v>0</v>
      </c>
      <c r="V101" s="381">
        <v>11114.3</v>
      </c>
      <c r="W101" s="381">
        <v>24360.959999999999</v>
      </c>
      <c r="X101" s="381">
        <v>8783.2099999999991</v>
      </c>
      <c r="Y101" s="381">
        <v>24360.959999999999</v>
      </c>
      <c r="Z101" s="381">
        <v>8982.81</v>
      </c>
      <c r="AA101" s="377" t="s">
        <v>562</v>
      </c>
      <c r="AB101" s="377" t="s">
        <v>563</v>
      </c>
      <c r="AC101" s="377" t="s">
        <v>564</v>
      </c>
      <c r="AD101" s="377" t="s">
        <v>316</v>
      </c>
      <c r="AE101" s="377" t="s">
        <v>301</v>
      </c>
      <c r="AF101" s="377" t="s">
        <v>207</v>
      </c>
      <c r="AG101" s="377" t="s">
        <v>179</v>
      </c>
      <c r="AH101" s="382">
        <v>39.04</v>
      </c>
      <c r="AI101" s="382">
        <v>16713.5</v>
      </c>
      <c r="AJ101" s="377" t="s">
        <v>180</v>
      </c>
      <c r="AK101" s="377" t="s">
        <v>181</v>
      </c>
      <c r="AL101" s="377" t="s">
        <v>182</v>
      </c>
      <c r="AM101" s="377" t="s">
        <v>183</v>
      </c>
      <c r="AN101" s="377" t="s">
        <v>66</v>
      </c>
      <c r="AO101" s="380">
        <v>80</v>
      </c>
      <c r="AP101" s="386">
        <v>1</v>
      </c>
      <c r="AQ101" s="386">
        <v>0.3</v>
      </c>
      <c r="AR101" s="384" t="s">
        <v>184</v>
      </c>
      <c r="AS101" s="388">
        <f t="shared" si="71"/>
        <v>0.3</v>
      </c>
      <c r="AT101">
        <f t="shared" si="72"/>
        <v>1</v>
      </c>
      <c r="AU101" s="388">
        <f>IF(AT101=0,"",IF(AND(AT101=1,M101="F",SUMIF(C2:C258,C101,AS2:AS258)&lt;=1),SUMIF(C2:C258,C101,AS2:AS258),IF(AND(AT101=1,M101="F",SUMIF(C2:C258,C101,AS2:AS258)&gt;1),1,"")))</f>
        <v>1</v>
      </c>
      <c r="AV101" s="388" t="str">
        <f>IF(AT101=0,"",IF(AND(AT101=3,M101="F",SUMIF(C2:C258,C101,AS2:AS258)&lt;=1),SUMIF(C2:C258,C101,AS2:AS258),IF(AND(AT101=3,M101="F",SUMIF(C2:C258,C101,AS2:AS258)&gt;1),1,"")))</f>
        <v/>
      </c>
      <c r="AW101" s="388">
        <f>SUMIF(C2:C258,C101,O2:O258)</f>
        <v>2</v>
      </c>
      <c r="AX101" s="388">
        <f>IF(AND(M101="F",AS101&lt;&gt;0),SUMIF(C2:C258,C101,W2:W258),0)</f>
        <v>81203.199999999997</v>
      </c>
      <c r="AY101" s="388">
        <f t="shared" si="73"/>
        <v>24360.959999999999</v>
      </c>
      <c r="AZ101" s="388" t="str">
        <f t="shared" si="74"/>
        <v/>
      </c>
      <c r="BA101" s="388">
        <f t="shared" si="75"/>
        <v>0</v>
      </c>
      <c r="BB101" s="388">
        <f t="shared" si="44"/>
        <v>3750</v>
      </c>
      <c r="BC101" s="388">
        <f t="shared" si="45"/>
        <v>0</v>
      </c>
      <c r="BD101" s="388">
        <f t="shared" si="46"/>
        <v>1510.37952</v>
      </c>
      <c r="BE101" s="388">
        <f t="shared" si="47"/>
        <v>353.23392000000001</v>
      </c>
      <c r="BF101" s="388">
        <f t="shared" si="48"/>
        <v>2908.6986240000001</v>
      </c>
      <c r="BG101" s="388">
        <f t="shared" si="49"/>
        <v>175.64252160000001</v>
      </c>
      <c r="BH101" s="388">
        <f t="shared" si="50"/>
        <v>0</v>
      </c>
      <c r="BI101" s="388">
        <f t="shared" si="51"/>
        <v>0</v>
      </c>
      <c r="BJ101" s="388">
        <f t="shared" si="52"/>
        <v>85.263360000000006</v>
      </c>
      <c r="BK101" s="388">
        <f t="shared" si="53"/>
        <v>0</v>
      </c>
      <c r="BL101" s="388">
        <f t="shared" si="76"/>
        <v>5033.2179455999994</v>
      </c>
      <c r="BM101" s="388">
        <f t="shared" si="77"/>
        <v>0</v>
      </c>
      <c r="BN101" s="388">
        <f t="shared" si="54"/>
        <v>4125</v>
      </c>
      <c r="BO101" s="388">
        <f t="shared" si="55"/>
        <v>0</v>
      </c>
      <c r="BP101" s="388">
        <f t="shared" si="56"/>
        <v>1510.37952</v>
      </c>
      <c r="BQ101" s="388">
        <f t="shared" si="57"/>
        <v>353.23392000000001</v>
      </c>
      <c r="BR101" s="388">
        <f t="shared" si="58"/>
        <v>2723.5553279999999</v>
      </c>
      <c r="BS101" s="388">
        <f t="shared" si="59"/>
        <v>175.64252160000001</v>
      </c>
      <c r="BT101" s="388">
        <f t="shared" si="60"/>
        <v>0</v>
      </c>
      <c r="BU101" s="388">
        <f t="shared" si="61"/>
        <v>0</v>
      </c>
      <c r="BV101" s="388">
        <f t="shared" si="62"/>
        <v>95.007743999999988</v>
      </c>
      <c r="BW101" s="388">
        <f t="shared" si="63"/>
        <v>0</v>
      </c>
      <c r="BX101" s="388">
        <f t="shared" si="78"/>
        <v>4857.8190335999989</v>
      </c>
      <c r="BY101" s="388">
        <f t="shared" si="79"/>
        <v>0</v>
      </c>
      <c r="BZ101" s="388">
        <f t="shared" si="80"/>
        <v>375</v>
      </c>
      <c r="CA101" s="388">
        <f t="shared" si="81"/>
        <v>0</v>
      </c>
      <c r="CB101" s="388">
        <f t="shared" si="82"/>
        <v>0</v>
      </c>
      <c r="CC101" s="388">
        <f t="shared" si="64"/>
        <v>0</v>
      </c>
      <c r="CD101" s="388">
        <f t="shared" si="65"/>
        <v>-185.14329600000022</v>
      </c>
      <c r="CE101" s="388">
        <f t="shared" si="66"/>
        <v>0</v>
      </c>
      <c r="CF101" s="388">
        <f t="shared" si="67"/>
        <v>0</v>
      </c>
      <c r="CG101" s="388">
        <f t="shared" si="68"/>
        <v>0</v>
      </c>
      <c r="CH101" s="388">
        <f t="shared" si="69"/>
        <v>9.7443839999999931</v>
      </c>
      <c r="CI101" s="388">
        <f t="shared" si="70"/>
        <v>0</v>
      </c>
      <c r="CJ101" s="388">
        <f t="shared" si="83"/>
        <v>-175.39891200000022</v>
      </c>
      <c r="CK101" s="388" t="str">
        <f t="shared" si="84"/>
        <v/>
      </c>
      <c r="CL101" s="388" t="str">
        <f t="shared" si="85"/>
        <v/>
      </c>
      <c r="CM101" s="388" t="str">
        <f t="shared" si="86"/>
        <v/>
      </c>
      <c r="CN101" s="388" t="str">
        <f t="shared" si="87"/>
        <v>0001-00</v>
      </c>
    </row>
    <row r="102" spans="1:92" ht="15.75" thickBot="1" x14ac:dyDescent="0.3">
      <c r="A102" s="377" t="s">
        <v>162</v>
      </c>
      <c r="B102" s="377" t="s">
        <v>163</v>
      </c>
      <c r="C102" s="377" t="s">
        <v>565</v>
      </c>
      <c r="D102" s="377" t="s">
        <v>300</v>
      </c>
      <c r="E102" s="377" t="s">
        <v>265</v>
      </c>
      <c r="F102" s="378" t="s">
        <v>167</v>
      </c>
      <c r="G102" s="377" t="s">
        <v>439</v>
      </c>
      <c r="H102" s="379"/>
      <c r="I102" s="379"/>
      <c r="J102" s="377" t="s">
        <v>219</v>
      </c>
      <c r="K102" s="377" t="s">
        <v>301</v>
      </c>
      <c r="L102" s="377" t="s">
        <v>167</v>
      </c>
      <c r="M102" s="377" t="s">
        <v>172</v>
      </c>
      <c r="N102" s="377" t="s">
        <v>173</v>
      </c>
      <c r="O102" s="380">
        <v>1</v>
      </c>
      <c r="P102" s="386">
        <v>1</v>
      </c>
      <c r="Q102" s="386">
        <v>1</v>
      </c>
      <c r="R102" s="381">
        <v>80</v>
      </c>
      <c r="S102" s="386">
        <v>1</v>
      </c>
      <c r="T102" s="381">
        <v>80140.7</v>
      </c>
      <c r="U102" s="381">
        <v>0</v>
      </c>
      <c r="V102" s="381">
        <v>28905.279999999999</v>
      </c>
      <c r="W102" s="381">
        <v>79414.399999999994</v>
      </c>
      <c r="X102" s="381">
        <v>28907.78</v>
      </c>
      <c r="Y102" s="381">
        <v>79414.399999999994</v>
      </c>
      <c r="Z102" s="381">
        <v>29585.99</v>
      </c>
      <c r="AA102" s="377" t="s">
        <v>566</v>
      </c>
      <c r="AB102" s="377" t="s">
        <v>567</v>
      </c>
      <c r="AC102" s="377" t="s">
        <v>568</v>
      </c>
      <c r="AD102" s="377" t="s">
        <v>569</v>
      </c>
      <c r="AE102" s="377" t="s">
        <v>301</v>
      </c>
      <c r="AF102" s="377" t="s">
        <v>207</v>
      </c>
      <c r="AG102" s="377" t="s">
        <v>179</v>
      </c>
      <c r="AH102" s="382">
        <v>38.18</v>
      </c>
      <c r="AI102" s="382">
        <v>19546.900000000001</v>
      </c>
      <c r="AJ102" s="377" t="s">
        <v>180</v>
      </c>
      <c r="AK102" s="377" t="s">
        <v>181</v>
      </c>
      <c r="AL102" s="377" t="s">
        <v>182</v>
      </c>
      <c r="AM102" s="377" t="s">
        <v>183</v>
      </c>
      <c r="AN102" s="377" t="s">
        <v>66</v>
      </c>
      <c r="AO102" s="380">
        <v>80</v>
      </c>
      <c r="AP102" s="386">
        <v>1</v>
      </c>
      <c r="AQ102" s="386">
        <v>1</v>
      </c>
      <c r="AR102" s="384" t="s">
        <v>184</v>
      </c>
      <c r="AS102" s="388">
        <f t="shared" si="71"/>
        <v>1</v>
      </c>
      <c r="AT102">
        <f t="shared" si="72"/>
        <v>1</v>
      </c>
      <c r="AU102" s="388">
        <f>IF(AT102=0,"",IF(AND(AT102=1,M102="F",SUMIF(C2:C258,C102,AS2:AS258)&lt;=1),SUMIF(C2:C258,C102,AS2:AS258),IF(AND(AT102=1,M102="F",SUMIF(C2:C258,C102,AS2:AS258)&gt;1),1,"")))</f>
        <v>1</v>
      </c>
      <c r="AV102" s="388" t="str">
        <f>IF(AT102=0,"",IF(AND(AT102=3,M102="F",SUMIF(C2:C258,C102,AS2:AS258)&lt;=1),SUMIF(C2:C258,C102,AS2:AS258),IF(AND(AT102=3,M102="F",SUMIF(C2:C258,C102,AS2:AS258)&gt;1),1,"")))</f>
        <v/>
      </c>
      <c r="AW102" s="388">
        <f>SUMIF(C2:C258,C102,O2:O258)</f>
        <v>1</v>
      </c>
      <c r="AX102" s="388">
        <f>IF(AND(M102="F",AS102&lt;&gt;0),SUMIF(C2:C258,C102,W2:W258),0)</f>
        <v>79414.399999999994</v>
      </c>
      <c r="AY102" s="388">
        <f t="shared" si="73"/>
        <v>79414.399999999994</v>
      </c>
      <c r="AZ102" s="388" t="str">
        <f t="shared" si="74"/>
        <v/>
      </c>
      <c r="BA102" s="388">
        <f t="shared" si="75"/>
        <v>0</v>
      </c>
      <c r="BB102" s="388">
        <f t="shared" si="44"/>
        <v>12500</v>
      </c>
      <c r="BC102" s="388">
        <f t="shared" si="45"/>
        <v>0</v>
      </c>
      <c r="BD102" s="388">
        <f t="shared" si="46"/>
        <v>4923.6927999999998</v>
      </c>
      <c r="BE102" s="388">
        <f t="shared" si="47"/>
        <v>1151.5088000000001</v>
      </c>
      <c r="BF102" s="388">
        <f t="shared" si="48"/>
        <v>9482.0793599999997</v>
      </c>
      <c r="BG102" s="388">
        <f t="shared" si="49"/>
        <v>572.57782399999996</v>
      </c>
      <c r="BH102" s="388">
        <f t="shared" si="50"/>
        <v>0</v>
      </c>
      <c r="BI102" s="388">
        <f t="shared" si="51"/>
        <v>0</v>
      </c>
      <c r="BJ102" s="388">
        <f t="shared" si="52"/>
        <v>277.9504</v>
      </c>
      <c r="BK102" s="388">
        <f t="shared" si="53"/>
        <v>0</v>
      </c>
      <c r="BL102" s="388">
        <f t="shared" si="76"/>
        <v>16407.809184000002</v>
      </c>
      <c r="BM102" s="388">
        <f t="shared" si="77"/>
        <v>0</v>
      </c>
      <c r="BN102" s="388">
        <f t="shared" si="54"/>
        <v>13750</v>
      </c>
      <c r="BO102" s="388">
        <f t="shared" si="55"/>
        <v>0</v>
      </c>
      <c r="BP102" s="388">
        <f t="shared" si="56"/>
        <v>4923.6927999999998</v>
      </c>
      <c r="BQ102" s="388">
        <f t="shared" si="57"/>
        <v>1151.5088000000001</v>
      </c>
      <c r="BR102" s="388">
        <f t="shared" si="58"/>
        <v>8878.529919999999</v>
      </c>
      <c r="BS102" s="388">
        <f t="shared" si="59"/>
        <v>572.57782399999996</v>
      </c>
      <c r="BT102" s="388">
        <f t="shared" si="60"/>
        <v>0</v>
      </c>
      <c r="BU102" s="388">
        <f t="shared" si="61"/>
        <v>0</v>
      </c>
      <c r="BV102" s="388">
        <f t="shared" si="62"/>
        <v>309.71615999999995</v>
      </c>
      <c r="BW102" s="388">
        <f t="shared" si="63"/>
        <v>0</v>
      </c>
      <c r="BX102" s="388">
        <f t="shared" si="78"/>
        <v>15836.025503999999</v>
      </c>
      <c r="BY102" s="388">
        <f t="shared" si="79"/>
        <v>0</v>
      </c>
      <c r="BZ102" s="388">
        <f t="shared" si="80"/>
        <v>1250</v>
      </c>
      <c r="CA102" s="388">
        <f t="shared" si="81"/>
        <v>0</v>
      </c>
      <c r="CB102" s="388">
        <f t="shared" si="82"/>
        <v>0</v>
      </c>
      <c r="CC102" s="388">
        <f t="shared" si="64"/>
        <v>0</v>
      </c>
      <c r="CD102" s="388">
        <f t="shared" si="65"/>
        <v>-603.54944000000069</v>
      </c>
      <c r="CE102" s="388">
        <f t="shared" si="66"/>
        <v>0</v>
      </c>
      <c r="CF102" s="388">
        <f t="shared" si="67"/>
        <v>0</v>
      </c>
      <c r="CG102" s="388">
        <f t="shared" si="68"/>
        <v>0</v>
      </c>
      <c r="CH102" s="388">
        <f t="shared" si="69"/>
        <v>31.765759999999979</v>
      </c>
      <c r="CI102" s="388">
        <f t="shared" si="70"/>
        <v>0</v>
      </c>
      <c r="CJ102" s="388">
        <f t="shared" si="83"/>
        <v>-571.78368000000069</v>
      </c>
      <c r="CK102" s="388" t="str">
        <f t="shared" si="84"/>
        <v/>
      </c>
      <c r="CL102" s="388" t="str">
        <f t="shared" si="85"/>
        <v/>
      </c>
      <c r="CM102" s="388" t="str">
        <f t="shared" si="86"/>
        <v/>
      </c>
      <c r="CN102" s="388" t="str">
        <f t="shared" si="87"/>
        <v>0001-00</v>
      </c>
    </row>
    <row r="103" spans="1:92" ht="15.75" thickBot="1" x14ac:dyDescent="0.3">
      <c r="A103" s="377" t="s">
        <v>162</v>
      </c>
      <c r="B103" s="377" t="s">
        <v>163</v>
      </c>
      <c r="C103" s="377" t="s">
        <v>570</v>
      </c>
      <c r="D103" s="377" t="s">
        <v>300</v>
      </c>
      <c r="E103" s="377" t="s">
        <v>265</v>
      </c>
      <c r="F103" s="378" t="s">
        <v>167</v>
      </c>
      <c r="G103" s="377" t="s">
        <v>439</v>
      </c>
      <c r="H103" s="379"/>
      <c r="I103" s="379"/>
      <c r="J103" s="377" t="s">
        <v>219</v>
      </c>
      <c r="K103" s="377" t="s">
        <v>301</v>
      </c>
      <c r="L103" s="377" t="s">
        <v>167</v>
      </c>
      <c r="M103" s="377" t="s">
        <v>172</v>
      </c>
      <c r="N103" s="377" t="s">
        <v>173</v>
      </c>
      <c r="O103" s="380">
        <v>1</v>
      </c>
      <c r="P103" s="386">
        <v>1</v>
      </c>
      <c r="Q103" s="386">
        <v>1</v>
      </c>
      <c r="R103" s="381">
        <v>80</v>
      </c>
      <c r="S103" s="386">
        <v>1</v>
      </c>
      <c r="T103" s="381">
        <v>89484.78</v>
      </c>
      <c r="U103" s="381">
        <v>0</v>
      </c>
      <c r="V103" s="381">
        <v>30272.07</v>
      </c>
      <c r="W103" s="381">
        <v>88420.800000000003</v>
      </c>
      <c r="X103" s="381">
        <v>30768.6</v>
      </c>
      <c r="Y103" s="381">
        <v>88420.800000000003</v>
      </c>
      <c r="Z103" s="381">
        <v>31381.97</v>
      </c>
      <c r="AA103" s="377" t="s">
        <v>571</v>
      </c>
      <c r="AB103" s="377" t="s">
        <v>572</v>
      </c>
      <c r="AC103" s="377" t="s">
        <v>573</v>
      </c>
      <c r="AD103" s="377" t="s">
        <v>574</v>
      </c>
      <c r="AE103" s="377" t="s">
        <v>301</v>
      </c>
      <c r="AF103" s="377" t="s">
        <v>207</v>
      </c>
      <c r="AG103" s="377" t="s">
        <v>179</v>
      </c>
      <c r="AH103" s="382">
        <v>42.51</v>
      </c>
      <c r="AI103" s="382">
        <v>14371.9</v>
      </c>
      <c r="AJ103" s="377" t="s">
        <v>180</v>
      </c>
      <c r="AK103" s="377" t="s">
        <v>181</v>
      </c>
      <c r="AL103" s="377" t="s">
        <v>182</v>
      </c>
      <c r="AM103" s="377" t="s">
        <v>183</v>
      </c>
      <c r="AN103" s="377" t="s">
        <v>66</v>
      </c>
      <c r="AO103" s="380">
        <v>80</v>
      </c>
      <c r="AP103" s="386">
        <v>1</v>
      </c>
      <c r="AQ103" s="386">
        <v>1</v>
      </c>
      <c r="AR103" s="384" t="s">
        <v>184</v>
      </c>
      <c r="AS103" s="388">
        <f t="shared" si="71"/>
        <v>1</v>
      </c>
      <c r="AT103">
        <f t="shared" si="72"/>
        <v>1</v>
      </c>
      <c r="AU103" s="388">
        <f>IF(AT103=0,"",IF(AND(AT103=1,M103="F",SUMIF(C2:C258,C103,AS2:AS258)&lt;=1),SUMIF(C2:C258,C103,AS2:AS258),IF(AND(AT103=1,M103="F",SUMIF(C2:C258,C103,AS2:AS258)&gt;1),1,"")))</f>
        <v>1</v>
      </c>
      <c r="AV103" s="388" t="str">
        <f>IF(AT103=0,"",IF(AND(AT103=3,M103="F",SUMIF(C2:C258,C103,AS2:AS258)&lt;=1),SUMIF(C2:C258,C103,AS2:AS258),IF(AND(AT103=3,M103="F",SUMIF(C2:C258,C103,AS2:AS258)&gt;1),1,"")))</f>
        <v/>
      </c>
      <c r="AW103" s="388">
        <f>SUMIF(C2:C258,C103,O2:O258)</f>
        <v>1</v>
      </c>
      <c r="AX103" s="388">
        <f>IF(AND(M103="F",AS103&lt;&gt;0),SUMIF(C2:C258,C103,W2:W258),0)</f>
        <v>88420.800000000003</v>
      </c>
      <c r="AY103" s="388">
        <f t="shared" si="73"/>
        <v>88420.800000000003</v>
      </c>
      <c r="AZ103" s="388" t="str">
        <f t="shared" si="74"/>
        <v/>
      </c>
      <c r="BA103" s="388">
        <f t="shared" si="75"/>
        <v>0</v>
      </c>
      <c r="BB103" s="388">
        <f t="shared" si="44"/>
        <v>12500</v>
      </c>
      <c r="BC103" s="388">
        <f t="shared" si="45"/>
        <v>0</v>
      </c>
      <c r="BD103" s="388">
        <f t="shared" si="46"/>
        <v>5482.0896000000002</v>
      </c>
      <c r="BE103" s="388">
        <f t="shared" si="47"/>
        <v>1282.1016000000002</v>
      </c>
      <c r="BF103" s="388">
        <f t="shared" si="48"/>
        <v>10557.443520000001</v>
      </c>
      <c r="BG103" s="388">
        <f t="shared" si="49"/>
        <v>637.51396800000009</v>
      </c>
      <c r="BH103" s="388">
        <f t="shared" si="50"/>
        <v>0</v>
      </c>
      <c r="BI103" s="388">
        <f t="shared" si="51"/>
        <v>0</v>
      </c>
      <c r="BJ103" s="388">
        <f t="shared" si="52"/>
        <v>309.47280000000001</v>
      </c>
      <c r="BK103" s="388">
        <f t="shared" si="53"/>
        <v>0</v>
      </c>
      <c r="BL103" s="388">
        <f t="shared" si="76"/>
        <v>18268.621488000001</v>
      </c>
      <c r="BM103" s="388">
        <f t="shared" si="77"/>
        <v>0</v>
      </c>
      <c r="BN103" s="388">
        <f t="shared" si="54"/>
        <v>13750</v>
      </c>
      <c r="BO103" s="388">
        <f t="shared" si="55"/>
        <v>0</v>
      </c>
      <c r="BP103" s="388">
        <f t="shared" si="56"/>
        <v>5482.0896000000002</v>
      </c>
      <c r="BQ103" s="388">
        <f t="shared" si="57"/>
        <v>1282.1016000000002</v>
      </c>
      <c r="BR103" s="388">
        <f t="shared" si="58"/>
        <v>9885.4454399999995</v>
      </c>
      <c r="BS103" s="388">
        <f t="shared" si="59"/>
        <v>637.51396800000009</v>
      </c>
      <c r="BT103" s="388">
        <f t="shared" si="60"/>
        <v>0</v>
      </c>
      <c r="BU103" s="388">
        <f t="shared" si="61"/>
        <v>0</v>
      </c>
      <c r="BV103" s="388">
        <f t="shared" si="62"/>
        <v>344.84111999999999</v>
      </c>
      <c r="BW103" s="388">
        <f t="shared" si="63"/>
        <v>0</v>
      </c>
      <c r="BX103" s="388">
        <f t="shared" si="78"/>
        <v>17631.991728000001</v>
      </c>
      <c r="BY103" s="388">
        <f t="shared" si="79"/>
        <v>0</v>
      </c>
      <c r="BZ103" s="388">
        <f t="shared" si="80"/>
        <v>1250</v>
      </c>
      <c r="CA103" s="388">
        <f t="shared" si="81"/>
        <v>0</v>
      </c>
      <c r="CB103" s="388">
        <f t="shared" si="82"/>
        <v>0</v>
      </c>
      <c r="CC103" s="388">
        <f t="shared" si="64"/>
        <v>0</v>
      </c>
      <c r="CD103" s="388">
        <f t="shared" si="65"/>
        <v>-671.99808000000087</v>
      </c>
      <c r="CE103" s="388">
        <f t="shared" si="66"/>
        <v>0</v>
      </c>
      <c r="CF103" s="388">
        <f t="shared" si="67"/>
        <v>0</v>
      </c>
      <c r="CG103" s="388">
        <f t="shared" si="68"/>
        <v>0</v>
      </c>
      <c r="CH103" s="388">
        <f t="shared" si="69"/>
        <v>35.368319999999976</v>
      </c>
      <c r="CI103" s="388">
        <f t="shared" si="70"/>
        <v>0</v>
      </c>
      <c r="CJ103" s="388">
        <f t="shared" si="83"/>
        <v>-636.62976000000094</v>
      </c>
      <c r="CK103" s="388" t="str">
        <f t="shared" si="84"/>
        <v/>
      </c>
      <c r="CL103" s="388" t="str">
        <f t="shared" si="85"/>
        <v/>
      </c>
      <c r="CM103" s="388" t="str">
        <f t="shared" si="86"/>
        <v/>
      </c>
      <c r="CN103" s="388" t="str">
        <f t="shared" si="87"/>
        <v>0001-00</v>
      </c>
    </row>
    <row r="104" spans="1:92" ht="15.75" thickBot="1" x14ac:dyDescent="0.3">
      <c r="A104" s="377" t="s">
        <v>162</v>
      </c>
      <c r="B104" s="377" t="s">
        <v>163</v>
      </c>
      <c r="C104" s="377" t="s">
        <v>575</v>
      </c>
      <c r="D104" s="377" t="s">
        <v>276</v>
      </c>
      <c r="E104" s="377" t="s">
        <v>265</v>
      </c>
      <c r="F104" s="378" t="s">
        <v>167</v>
      </c>
      <c r="G104" s="377" t="s">
        <v>439</v>
      </c>
      <c r="H104" s="379"/>
      <c r="I104" s="379"/>
      <c r="J104" s="377" t="s">
        <v>169</v>
      </c>
      <c r="K104" s="377" t="s">
        <v>277</v>
      </c>
      <c r="L104" s="377" t="s">
        <v>215</v>
      </c>
      <c r="M104" s="377" t="s">
        <v>172</v>
      </c>
      <c r="N104" s="377" t="s">
        <v>173</v>
      </c>
      <c r="O104" s="380">
        <v>1</v>
      </c>
      <c r="P104" s="386">
        <v>0.4</v>
      </c>
      <c r="Q104" s="386">
        <v>0.4</v>
      </c>
      <c r="R104" s="381">
        <v>80</v>
      </c>
      <c r="S104" s="386">
        <v>0.4</v>
      </c>
      <c r="T104" s="381">
        <v>48195.24</v>
      </c>
      <c r="U104" s="381">
        <v>0</v>
      </c>
      <c r="V104" s="381">
        <v>21869.52</v>
      </c>
      <c r="W104" s="381">
        <v>19069.439999999999</v>
      </c>
      <c r="X104" s="381">
        <v>8939.92</v>
      </c>
      <c r="Y104" s="381">
        <v>19069.439999999999</v>
      </c>
      <c r="Z104" s="381">
        <v>9302.6200000000008</v>
      </c>
      <c r="AA104" s="377" t="s">
        <v>576</v>
      </c>
      <c r="AB104" s="377" t="s">
        <v>577</v>
      </c>
      <c r="AC104" s="377" t="s">
        <v>578</v>
      </c>
      <c r="AD104" s="377" t="s">
        <v>579</v>
      </c>
      <c r="AE104" s="377" t="s">
        <v>277</v>
      </c>
      <c r="AF104" s="377" t="s">
        <v>231</v>
      </c>
      <c r="AG104" s="377" t="s">
        <v>179</v>
      </c>
      <c r="AH104" s="382">
        <v>22.92</v>
      </c>
      <c r="AI104" s="382">
        <v>15528.3</v>
      </c>
      <c r="AJ104" s="377" t="s">
        <v>180</v>
      </c>
      <c r="AK104" s="377" t="s">
        <v>181</v>
      </c>
      <c r="AL104" s="377" t="s">
        <v>182</v>
      </c>
      <c r="AM104" s="377" t="s">
        <v>183</v>
      </c>
      <c r="AN104" s="377" t="s">
        <v>66</v>
      </c>
      <c r="AO104" s="380">
        <v>80</v>
      </c>
      <c r="AP104" s="386">
        <v>1</v>
      </c>
      <c r="AQ104" s="386">
        <v>0.4</v>
      </c>
      <c r="AR104" s="384" t="s">
        <v>184</v>
      </c>
      <c r="AS104" s="388">
        <f t="shared" si="71"/>
        <v>0.4</v>
      </c>
      <c r="AT104">
        <f t="shared" si="72"/>
        <v>1</v>
      </c>
      <c r="AU104" s="388">
        <f>IF(AT104=0,"",IF(AND(AT104=1,M104="F",SUMIF(C2:C258,C104,AS2:AS258)&lt;=1),SUMIF(C2:C258,C104,AS2:AS258),IF(AND(AT104=1,M104="F",SUMIF(C2:C258,C104,AS2:AS258)&gt;1),1,"")))</f>
        <v>1</v>
      </c>
      <c r="AV104" s="388" t="str">
        <f>IF(AT104=0,"",IF(AND(AT104=3,M104="F",SUMIF(C2:C258,C104,AS2:AS258)&lt;=1),SUMIF(C2:C258,C104,AS2:AS258),IF(AND(AT104=3,M104="F",SUMIF(C2:C258,C104,AS2:AS258)&gt;1),1,"")))</f>
        <v/>
      </c>
      <c r="AW104" s="388">
        <f>SUMIF(C2:C258,C104,O2:O258)</f>
        <v>2</v>
      </c>
      <c r="AX104" s="388">
        <f>IF(AND(M104="F",AS104&lt;&gt;0),SUMIF(C2:C258,C104,W2:W258),0)</f>
        <v>47673.599999999999</v>
      </c>
      <c r="AY104" s="388">
        <f t="shared" si="73"/>
        <v>19069.439999999999</v>
      </c>
      <c r="AZ104" s="388" t="str">
        <f t="shared" si="74"/>
        <v/>
      </c>
      <c r="BA104" s="388">
        <f t="shared" si="75"/>
        <v>0</v>
      </c>
      <c r="BB104" s="388">
        <f t="shared" si="44"/>
        <v>5000</v>
      </c>
      <c r="BC104" s="388">
        <f t="shared" si="45"/>
        <v>0</v>
      </c>
      <c r="BD104" s="388">
        <f t="shared" si="46"/>
        <v>1182.3052799999998</v>
      </c>
      <c r="BE104" s="388">
        <f t="shared" si="47"/>
        <v>276.50687999999997</v>
      </c>
      <c r="BF104" s="388">
        <f t="shared" si="48"/>
        <v>2276.8911360000002</v>
      </c>
      <c r="BG104" s="388">
        <f t="shared" si="49"/>
        <v>137.49066239999999</v>
      </c>
      <c r="BH104" s="388">
        <f t="shared" si="50"/>
        <v>0</v>
      </c>
      <c r="BI104" s="388">
        <f t="shared" si="51"/>
        <v>0</v>
      </c>
      <c r="BJ104" s="388">
        <f t="shared" si="52"/>
        <v>66.743039999999993</v>
      </c>
      <c r="BK104" s="388">
        <f t="shared" si="53"/>
        <v>0</v>
      </c>
      <c r="BL104" s="388">
        <f t="shared" si="76"/>
        <v>3939.9369983999995</v>
      </c>
      <c r="BM104" s="388">
        <f t="shared" si="77"/>
        <v>0</v>
      </c>
      <c r="BN104" s="388">
        <f t="shared" si="54"/>
        <v>5500</v>
      </c>
      <c r="BO104" s="388">
        <f t="shared" si="55"/>
        <v>0</v>
      </c>
      <c r="BP104" s="388">
        <f t="shared" si="56"/>
        <v>1182.3052799999998</v>
      </c>
      <c r="BQ104" s="388">
        <f t="shared" si="57"/>
        <v>276.50687999999997</v>
      </c>
      <c r="BR104" s="388">
        <f t="shared" si="58"/>
        <v>2131.9633919999997</v>
      </c>
      <c r="BS104" s="388">
        <f t="shared" si="59"/>
        <v>137.49066239999999</v>
      </c>
      <c r="BT104" s="388">
        <f t="shared" si="60"/>
        <v>0</v>
      </c>
      <c r="BU104" s="388">
        <f t="shared" si="61"/>
        <v>0</v>
      </c>
      <c r="BV104" s="388">
        <f t="shared" si="62"/>
        <v>74.370815999999991</v>
      </c>
      <c r="BW104" s="388">
        <f t="shared" si="63"/>
        <v>0</v>
      </c>
      <c r="BX104" s="388">
        <f t="shared" si="78"/>
        <v>3802.6370303999993</v>
      </c>
      <c r="BY104" s="388">
        <f t="shared" si="79"/>
        <v>0</v>
      </c>
      <c r="BZ104" s="388">
        <f t="shared" si="80"/>
        <v>500</v>
      </c>
      <c r="CA104" s="388">
        <f t="shared" si="81"/>
        <v>0</v>
      </c>
      <c r="CB104" s="388">
        <f t="shared" si="82"/>
        <v>0</v>
      </c>
      <c r="CC104" s="388">
        <f t="shared" si="64"/>
        <v>0</v>
      </c>
      <c r="CD104" s="388">
        <f t="shared" si="65"/>
        <v>-144.92774400000016</v>
      </c>
      <c r="CE104" s="388">
        <f t="shared" si="66"/>
        <v>0</v>
      </c>
      <c r="CF104" s="388">
        <f t="shared" si="67"/>
        <v>0</v>
      </c>
      <c r="CG104" s="388">
        <f t="shared" si="68"/>
        <v>0</v>
      </c>
      <c r="CH104" s="388">
        <f t="shared" si="69"/>
        <v>7.6277759999999946</v>
      </c>
      <c r="CI104" s="388">
        <f t="shared" si="70"/>
        <v>0</v>
      </c>
      <c r="CJ104" s="388">
        <f t="shared" si="83"/>
        <v>-137.29996800000018</v>
      </c>
      <c r="CK104" s="388" t="str">
        <f t="shared" si="84"/>
        <v/>
      </c>
      <c r="CL104" s="388" t="str">
        <f t="shared" si="85"/>
        <v/>
      </c>
      <c r="CM104" s="388" t="str">
        <f t="shared" si="86"/>
        <v/>
      </c>
      <c r="CN104" s="388" t="str">
        <f t="shared" si="87"/>
        <v>0001-00</v>
      </c>
    </row>
    <row r="105" spans="1:92" ht="15.75" thickBot="1" x14ac:dyDescent="0.3">
      <c r="A105" s="377" t="s">
        <v>162</v>
      </c>
      <c r="B105" s="377" t="s">
        <v>163</v>
      </c>
      <c r="C105" s="377" t="s">
        <v>580</v>
      </c>
      <c r="D105" s="377" t="s">
        <v>464</v>
      </c>
      <c r="E105" s="377" t="s">
        <v>265</v>
      </c>
      <c r="F105" s="378" t="s">
        <v>167</v>
      </c>
      <c r="G105" s="377" t="s">
        <v>439</v>
      </c>
      <c r="H105" s="379"/>
      <c r="I105" s="379"/>
      <c r="J105" s="377" t="s">
        <v>169</v>
      </c>
      <c r="K105" s="377" t="s">
        <v>465</v>
      </c>
      <c r="L105" s="377" t="s">
        <v>167</v>
      </c>
      <c r="M105" s="377" t="s">
        <v>172</v>
      </c>
      <c r="N105" s="377" t="s">
        <v>173</v>
      </c>
      <c r="O105" s="380">
        <v>1</v>
      </c>
      <c r="P105" s="386">
        <v>0.35</v>
      </c>
      <c r="Q105" s="386">
        <v>0.35</v>
      </c>
      <c r="R105" s="381">
        <v>80</v>
      </c>
      <c r="S105" s="386">
        <v>0.35</v>
      </c>
      <c r="T105" s="381">
        <v>25663.99</v>
      </c>
      <c r="U105" s="381">
        <v>0</v>
      </c>
      <c r="V105" s="381">
        <v>9762.7199999999993</v>
      </c>
      <c r="W105" s="381">
        <v>25334.400000000001</v>
      </c>
      <c r="X105" s="381">
        <v>9609.32</v>
      </c>
      <c r="Y105" s="381">
        <v>25334.400000000001</v>
      </c>
      <c r="Z105" s="381">
        <v>9864.42</v>
      </c>
      <c r="AA105" s="377" t="s">
        <v>581</v>
      </c>
      <c r="AB105" s="377" t="s">
        <v>582</v>
      </c>
      <c r="AC105" s="377" t="s">
        <v>583</v>
      </c>
      <c r="AD105" s="377" t="s">
        <v>215</v>
      </c>
      <c r="AE105" s="377" t="s">
        <v>465</v>
      </c>
      <c r="AF105" s="377" t="s">
        <v>207</v>
      </c>
      <c r="AG105" s="377" t="s">
        <v>179</v>
      </c>
      <c r="AH105" s="382">
        <v>34.799999999999997</v>
      </c>
      <c r="AI105" s="380">
        <v>11368</v>
      </c>
      <c r="AJ105" s="377" t="s">
        <v>180</v>
      </c>
      <c r="AK105" s="377" t="s">
        <v>181</v>
      </c>
      <c r="AL105" s="377" t="s">
        <v>182</v>
      </c>
      <c r="AM105" s="377" t="s">
        <v>183</v>
      </c>
      <c r="AN105" s="377" t="s">
        <v>66</v>
      </c>
      <c r="AO105" s="380">
        <v>80</v>
      </c>
      <c r="AP105" s="386">
        <v>1</v>
      </c>
      <c r="AQ105" s="386">
        <v>0.35</v>
      </c>
      <c r="AR105" s="384" t="s">
        <v>184</v>
      </c>
      <c r="AS105" s="388">
        <f t="shared" si="71"/>
        <v>0.35</v>
      </c>
      <c r="AT105">
        <f t="shared" si="72"/>
        <v>1</v>
      </c>
      <c r="AU105" s="388">
        <f>IF(AT105=0,"",IF(AND(AT105=1,M105="F",SUMIF(C2:C258,C105,AS2:AS258)&lt;=1),SUMIF(C2:C258,C105,AS2:AS258),IF(AND(AT105=1,M105="F",SUMIF(C2:C258,C105,AS2:AS258)&gt;1),1,"")))</f>
        <v>1</v>
      </c>
      <c r="AV105" s="388" t="str">
        <f>IF(AT105=0,"",IF(AND(AT105=3,M105="F",SUMIF(C2:C258,C105,AS2:AS258)&lt;=1),SUMIF(C2:C258,C105,AS2:AS258),IF(AND(AT105=3,M105="F",SUMIF(C2:C258,C105,AS2:AS258)&gt;1),1,"")))</f>
        <v/>
      </c>
      <c r="AW105" s="388">
        <f>SUMIF(C2:C258,C105,O2:O258)</f>
        <v>3</v>
      </c>
      <c r="AX105" s="388">
        <f>IF(AND(M105="F",AS105&lt;&gt;0),SUMIF(C2:C258,C105,W2:W258),0)</f>
        <v>72384</v>
      </c>
      <c r="AY105" s="388">
        <f t="shared" si="73"/>
        <v>25334.400000000001</v>
      </c>
      <c r="AZ105" s="388" t="str">
        <f t="shared" si="74"/>
        <v/>
      </c>
      <c r="BA105" s="388">
        <f t="shared" si="75"/>
        <v>0</v>
      </c>
      <c r="BB105" s="388">
        <f t="shared" si="44"/>
        <v>4375</v>
      </c>
      <c r="BC105" s="388">
        <f t="shared" si="45"/>
        <v>0</v>
      </c>
      <c r="BD105" s="388">
        <f t="shared" si="46"/>
        <v>1570.7328</v>
      </c>
      <c r="BE105" s="388">
        <f t="shared" si="47"/>
        <v>367.34880000000004</v>
      </c>
      <c r="BF105" s="388">
        <f t="shared" si="48"/>
        <v>3024.9273600000001</v>
      </c>
      <c r="BG105" s="388">
        <f t="shared" si="49"/>
        <v>182.66102400000003</v>
      </c>
      <c r="BH105" s="388">
        <f t="shared" si="50"/>
        <v>0</v>
      </c>
      <c r="BI105" s="388">
        <f t="shared" si="51"/>
        <v>0</v>
      </c>
      <c r="BJ105" s="388">
        <f t="shared" si="52"/>
        <v>88.670400000000001</v>
      </c>
      <c r="BK105" s="388">
        <f t="shared" si="53"/>
        <v>0</v>
      </c>
      <c r="BL105" s="388">
        <f t="shared" si="76"/>
        <v>5234.3403840000001</v>
      </c>
      <c r="BM105" s="388">
        <f t="shared" si="77"/>
        <v>0</v>
      </c>
      <c r="BN105" s="388">
        <f t="shared" si="54"/>
        <v>4812.5</v>
      </c>
      <c r="BO105" s="388">
        <f t="shared" si="55"/>
        <v>0</v>
      </c>
      <c r="BP105" s="388">
        <f t="shared" si="56"/>
        <v>1570.7328</v>
      </c>
      <c r="BQ105" s="388">
        <f t="shared" si="57"/>
        <v>367.34880000000004</v>
      </c>
      <c r="BR105" s="388">
        <f t="shared" si="58"/>
        <v>2832.3859200000002</v>
      </c>
      <c r="BS105" s="388">
        <f t="shared" si="59"/>
        <v>182.66102400000003</v>
      </c>
      <c r="BT105" s="388">
        <f t="shared" si="60"/>
        <v>0</v>
      </c>
      <c r="BU105" s="388">
        <f t="shared" si="61"/>
        <v>0</v>
      </c>
      <c r="BV105" s="388">
        <f t="shared" si="62"/>
        <v>98.804159999999996</v>
      </c>
      <c r="BW105" s="388">
        <f t="shared" si="63"/>
        <v>0</v>
      </c>
      <c r="BX105" s="388">
        <f t="shared" si="78"/>
        <v>5051.9327039999998</v>
      </c>
      <c r="BY105" s="388">
        <f t="shared" si="79"/>
        <v>0</v>
      </c>
      <c r="BZ105" s="388">
        <f t="shared" si="80"/>
        <v>437.5</v>
      </c>
      <c r="CA105" s="388">
        <f t="shared" si="81"/>
        <v>0</v>
      </c>
      <c r="CB105" s="388">
        <f t="shared" si="82"/>
        <v>0</v>
      </c>
      <c r="CC105" s="388">
        <f t="shared" si="64"/>
        <v>0</v>
      </c>
      <c r="CD105" s="388">
        <f t="shared" si="65"/>
        <v>-192.54144000000025</v>
      </c>
      <c r="CE105" s="388">
        <f t="shared" si="66"/>
        <v>0</v>
      </c>
      <c r="CF105" s="388">
        <f t="shared" si="67"/>
        <v>0</v>
      </c>
      <c r="CG105" s="388">
        <f t="shared" si="68"/>
        <v>0</v>
      </c>
      <c r="CH105" s="388">
        <f t="shared" si="69"/>
        <v>10.133759999999993</v>
      </c>
      <c r="CI105" s="388">
        <f t="shared" si="70"/>
        <v>0</v>
      </c>
      <c r="CJ105" s="388">
        <f t="shared" si="83"/>
        <v>-182.40768000000025</v>
      </c>
      <c r="CK105" s="388" t="str">
        <f t="shared" si="84"/>
        <v/>
      </c>
      <c r="CL105" s="388" t="str">
        <f t="shared" si="85"/>
        <v/>
      </c>
      <c r="CM105" s="388" t="str">
        <f t="shared" si="86"/>
        <v/>
      </c>
      <c r="CN105" s="388" t="str">
        <f t="shared" si="87"/>
        <v>0001-00</v>
      </c>
    </row>
    <row r="106" spans="1:92" ht="15.75" thickBot="1" x14ac:dyDescent="0.3">
      <c r="A106" s="377" t="s">
        <v>162</v>
      </c>
      <c r="B106" s="377" t="s">
        <v>163</v>
      </c>
      <c r="C106" s="377" t="s">
        <v>584</v>
      </c>
      <c r="D106" s="377" t="s">
        <v>276</v>
      </c>
      <c r="E106" s="377" t="s">
        <v>265</v>
      </c>
      <c r="F106" s="378" t="s">
        <v>167</v>
      </c>
      <c r="G106" s="377" t="s">
        <v>439</v>
      </c>
      <c r="H106" s="379"/>
      <c r="I106" s="379"/>
      <c r="J106" s="377" t="s">
        <v>283</v>
      </c>
      <c r="K106" s="377" t="s">
        <v>277</v>
      </c>
      <c r="L106" s="377" t="s">
        <v>215</v>
      </c>
      <c r="M106" s="377" t="s">
        <v>395</v>
      </c>
      <c r="N106" s="377" t="s">
        <v>173</v>
      </c>
      <c r="O106" s="380">
        <v>0</v>
      </c>
      <c r="P106" s="386">
        <v>0</v>
      </c>
      <c r="Q106" s="386">
        <v>0</v>
      </c>
      <c r="R106" s="381">
        <v>80</v>
      </c>
      <c r="S106" s="386">
        <v>0</v>
      </c>
      <c r="T106" s="381">
        <v>1604.4</v>
      </c>
      <c r="U106" s="381">
        <v>0</v>
      </c>
      <c r="V106" s="381">
        <v>225.59</v>
      </c>
      <c r="W106" s="381">
        <v>0</v>
      </c>
      <c r="X106" s="381">
        <v>0</v>
      </c>
      <c r="Y106" s="381">
        <v>0</v>
      </c>
      <c r="Z106" s="381">
        <v>0</v>
      </c>
      <c r="AA106" s="379"/>
      <c r="AB106" s="377" t="s">
        <v>45</v>
      </c>
      <c r="AC106" s="377" t="s">
        <v>45</v>
      </c>
      <c r="AD106" s="379"/>
      <c r="AE106" s="379"/>
      <c r="AF106" s="379"/>
      <c r="AG106" s="379"/>
      <c r="AH106" s="380">
        <v>0</v>
      </c>
      <c r="AI106" s="380">
        <v>0</v>
      </c>
      <c r="AJ106" s="379"/>
      <c r="AK106" s="379"/>
      <c r="AL106" s="377" t="s">
        <v>182</v>
      </c>
      <c r="AM106" s="379"/>
      <c r="AN106" s="379"/>
      <c r="AO106" s="380">
        <v>0</v>
      </c>
      <c r="AP106" s="386">
        <v>0</v>
      </c>
      <c r="AQ106" s="386">
        <v>0</v>
      </c>
      <c r="AR106" s="385"/>
      <c r="AS106" s="388">
        <f t="shared" si="71"/>
        <v>0</v>
      </c>
      <c r="AT106">
        <f t="shared" si="72"/>
        <v>0</v>
      </c>
      <c r="AU106" s="388" t="str">
        <f>IF(AT106=0,"",IF(AND(AT106=1,M106="F",SUMIF(C2:C258,C106,AS2:AS258)&lt;=1),SUMIF(C2:C258,C106,AS2:AS258),IF(AND(AT106=1,M106="F",SUMIF(C2:C258,C106,AS2:AS258)&gt;1),1,"")))</f>
        <v/>
      </c>
      <c r="AV106" s="388" t="str">
        <f>IF(AT106=0,"",IF(AND(AT106=3,M106="F",SUMIF(C2:C258,C106,AS2:AS258)&lt;=1),SUMIF(C2:C258,C106,AS2:AS258),IF(AND(AT106=3,M106="F",SUMIF(C2:C258,C106,AS2:AS258)&gt;1),1,"")))</f>
        <v/>
      </c>
      <c r="AW106" s="388">
        <f>SUMIF(C2:C258,C106,O2:O258)</f>
        <v>0</v>
      </c>
      <c r="AX106" s="388">
        <f>IF(AND(M106="F",AS106&lt;&gt;0),SUMIF(C2:C258,C106,W2:W258),0)</f>
        <v>0</v>
      </c>
      <c r="AY106" s="388" t="str">
        <f t="shared" si="73"/>
        <v/>
      </c>
      <c r="AZ106" s="388" t="str">
        <f t="shared" si="74"/>
        <v/>
      </c>
      <c r="BA106" s="388">
        <f t="shared" si="75"/>
        <v>0</v>
      </c>
      <c r="BB106" s="388">
        <f t="shared" si="44"/>
        <v>0</v>
      </c>
      <c r="BC106" s="388">
        <f t="shared" si="45"/>
        <v>0</v>
      </c>
      <c r="BD106" s="388">
        <f t="shared" si="46"/>
        <v>0</v>
      </c>
      <c r="BE106" s="388">
        <f t="shared" si="47"/>
        <v>0</v>
      </c>
      <c r="BF106" s="388">
        <f t="shared" si="48"/>
        <v>0</v>
      </c>
      <c r="BG106" s="388">
        <f t="shared" si="49"/>
        <v>0</v>
      </c>
      <c r="BH106" s="388">
        <f t="shared" si="50"/>
        <v>0</v>
      </c>
      <c r="BI106" s="388">
        <f t="shared" si="51"/>
        <v>0</v>
      </c>
      <c r="BJ106" s="388">
        <f t="shared" si="52"/>
        <v>0</v>
      </c>
      <c r="BK106" s="388">
        <f t="shared" si="53"/>
        <v>0</v>
      </c>
      <c r="BL106" s="388">
        <f t="shared" si="76"/>
        <v>0</v>
      </c>
      <c r="BM106" s="388">
        <f t="shared" si="77"/>
        <v>0</v>
      </c>
      <c r="BN106" s="388">
        <f t="shared" si="54"/>
        <v>0</v>
      </c>
      <c r="BO106" s="388">
        <f t="shared" si="55"/>
        <v>0</v>
      </c>
      <c r="BP106" s="388">
        <f t="shared" si="56"/>
        <v>0</v>
      </c>
      <c r="BQ106" s="388">
        <f t="shared" si="57"/>
        <v>0</v>
      </c>
      <c r="BR106" s="388">
        <f t="shared" si="58"/>
        <v>0</v>
      </c>
      <c r="BS106" s="388">
        <f t="shared" si="59"/>
        <v>0</v>
      </c>
      <c r="BT106" s="388">
        <f t="shared" si="60"/>
        <v>0</v>
      </c>
      <c r="BU106" s="388">
        <f t="shared" si="61"/>
        <v>0</v>
      </c>
      <c r="BV106" s="388">
        <f t="shared" si="62"/>
        <v>0</v>
      </c>
      <c r="BW106" s="388">
        <f t="shared" si="63"/>
        <v>0</v>
      </c>
      <c r="BX106" s="388">
        <f t="shared" si="78"/>
        <v>0</v>
      </c>
      <c r="BY106" s="388">
        <f t="shared" si="79"/>
        <v>0</v>
      </c>
      <c r="BZ106" s="388">
        <f t="shared" si="80"/>
        <v>0</v>
      </c>
      <c r="CA106" s="388">
        <f t="shared" si="81"/>
        <v>0</v>
      </c>
      <c r="CB106" s="388">
        <f t="shared" si="82"/>
        <v>0</v>
      </c>
      <c r="CC106" s="388">
        <f t="shared" si="64"/>
        <v>0</v>
      </c>
      <c r="CD106" s="388">
        <f t="shared" si="65"/>
        <v>0</v>
      </c>
      <c r="CE106" s="388">
        <f t="shared" si="66"/>
        <v>0</v>
      </c>
      <c r="CF106" s="388">
        <f t="shared" si="67"/>
        <v>0</v>
      </c>
      <c r="CG106" s="388">
        <f t="shared" si="68"/>
        <v>0</v>
      </c>
      <c r="CH106" s="388">
        <f t="shared" si="69"/>
        <v>0</v>
      </c>
      <c r="CI106" s="388">
        <f t="shared" si="70"/>
        <v>0</v>
      </c>
      <c r="CJ106" s="388">
        <f t="shared" si="83"/>
        <v>0</v>
      </c>
      <c r="CK106" s="388" t="str">
        <f t="shared" si="84"/>
        <v/>
      </c>
      <c r="CL106" s="388" t="str">
        <f t="shared" si="85"/>
        <v/>
      </c>
      <c r="CM106" s="388" t="str">
        <f t="shared" si="86"/>
        <v/>
      </c>
      <c r="CN106" s="388" t="str">
        <f t="shared" si="87"/>
        <v>0001-00</v>
      </c>
    </row>
    <row r="107" spans="1:92" ht="15.75" thickBot="1" x14ac:dyDescent="0.3">
      <c r="A107" s="377" t="s">
        <v>162</v>
      </c>
      <c r="B107" s="377" t="s">
        <v>163</v>
      </c>
      <c r="C107" s="377" t="s">
        <v>585</v>
      </c>
      <c r="D107" s="377" t="s">
        <v>464</v>
      </c>
      <c r="E107" s="377" t="s">
        <v>265</v>
      </c>
      <c r="F107" s="378" t="s">
        <v>167</v>
      </c>
      <c r="G107" s="377" t="s">
        <v>439</v>
      </c>
      <c r="H107" s="379"/>
      <c r="I107" s="379"/>
      <c r="J107" s="377" t="s">
        <v>169</v>
      </c>
      <c r="K107" s="377" t="s">
        <v>465</v>
      </c>
      <c r="L107" s="377" t="s">
        <v>167</v>
      </c>
      <c r="M107" s="377" t="s">
        <v>172</v>
      </c>
      <c r="N107" s="377" t="s">
        <v>173</v>
      </c>
      <c r="O107" s="380">
        <v>1</v>
      </c>
      <c r="P107" s="386">
        <v>0.35</v>
      </c>
      <c r="Q107" s="386">
        <v>0.35</v>
      </c>
      <c r="R107" s="381">
        <v>80</v>
      </c>
      <c r="S107" s="386">
        <v>0.35</v>
      </c>
      <c r="T107" s="381">
        <v>22668.18</v>
      </c>
      <c r="U107" s="381">
        <v>0</v>
      </c>
      <c r="V107" s="381">
        <v>8248.57</v>
      </c>
      <c r="W107" s="381">
        <v>21053.759999999998</v>
      </c>
      <c r="X107" s="381">
        <v>8724.9</v>
      </c>
      <c r="Y107" s="381">
        <v>21053.759999999998</v>
      </c>
      <c r="Z107" s="381">
        <v>9010.82</v>
      </c>
      <c r="AA107" s="377" t="s">
        <v>586</v>
      </c>
      <c r="AB107" s="377" t="s">
        <v>587</v>
      </c>
      <c r="AC107" s="377" t="s">
        <v>588</v>
      </c>
      <c r="AD107" s="377" t="s">
        <v>240</v>
      </c>
      <c r="AE107" s="377" t="s">
        <v>465</v>
      </c>
      <c r="AF107" s="377" t="s">
        <v>207</v>
      </c>
      <c r="AG107" s="377" t="s">
        <v>179</v>
      </c>
      <c r="AH107" s="382">
        <v>28.92</v>
      </c>
      <c r="AI107" s="380">
        <v>1754</v>
      </c>
      <c r="AJ107" s="377" t="s">
        <v>180</v>
      </c>
      <c r="AK107" s="377" t="s">
        <v>181</v>
      </c>
      <c r="AL107" s="377" t="s">
        <v>182</v>
      </c>
      <c r="AM107" s="377" t="s">
        <v>183</v>
      </c>
      <c r="AN107" s="377" t="s">
        <v>66</v>
      </c>
      <c r="AO107" s="380">
        <v>80</v>
      </c>
      <c r="AP107" s="386">
        <v>1</v>
      </c>
      <c r="AQ107" s="386">
        <v>0.35</v>
      </c>
      <c r="AR107" s="384" t="s">
        <v>184</v>
      </c>
      <c r="AS107" s="388">
        <f t="shared" si="71"/>
        <v>0.35</v>
      </c>
      <c r="AT107">
        <f t="shared" si="72"/>
        <v>1</v>
      </c>
      <c r="AU107" s="388">
        <f>IF(AT107=0,"",IF(AND(AT107=1,M107="F",SUMIF(C2:C258,C107,AS2:AS258)&lt;=1),SUMIF(C2:C258,C107,AS2:AS258),IF(AND(AT107=1,M107="F",SUMIF(C2:C258,C107,AS2:AS258)&gt;1),1,"")))</f>
        <v>1</v>
      </c>
      <c r="AV107" s="388" t="str">
        <f>IF(AT107=0,"",IF(AND(AT107=3,M107="F",SUMIF(C2:C258,C107,AS2:AS258)&lt;=1),SUMIF(C2:C258,C107,AS2:AS258),IF(AND(AT107=3,M107="F",SUMIF(C2:C258,C107,AS2:AS258)&gt;1),1,"")))</f>
        <v/>
      </c>
      <c r="AW107" s="388">
        <f>SUMIF(C2:C258,C107,O2:O258)</f>
        <v>3</v>
      </c>
      <c r="AX107" s="388">
        <f>IF(AND(M107="F",AS107&lt;&gt;0),SUMIF(C2:C258,C107,W2:W258),0)</f>
        <v>60153.599999999991</v>
      </c>
      <c r="AY107" s="388">
        <f t="shared" si="73"/>
        <v>21053.759999999998</v>
      </c>
      <c r="AZ107" s="388" t="str">
        <f t="shared" si="74"/>
        <v/>
      </c>
      <c r="BA107" s="388">
        <f t="shared" si="75"/>
        <v>0</v>
      </c>
      <c r="BB107" s="388">
        <f t="shared" si="44"/>
        <v>4375</v>
      </c>
      <c r="BC107" s="388">
        <f t="shared" si="45"/>
        <v>0</v>
      </c>
      <c r="BD107" s="388">
        <f t="shared" si="46"/>
        <v>1305.3331199999998</v>
      </c>
      <c r="BE107" s="388">
        <f t="shared" si="47"/>
        <v>305.27951999999999</v>
      </c>
      <c r="BF107" s="388">
        <f t="shared" si="48"/>
        <v>2513.8189440000001</v>
      </c>
      <c r="BG107" s="388">
        <f t="shared" si="49"/>
        <v>151.79760959999999</v>
      </c>
      <c r="BH107" s="388">
        <f t="shared" si="50"/>
        <v>0</v>
      </c>
      <c r="BI107" s="388">
        <f t="shared" si="51"/>
        <v>0</v>
      </c>
      <c r="BJ107" s="388">
        <f t="shared" si="52"/>
        <v>73.688159999999996</v>
      </c>
      <c r="BK107" s="388">
        <f t="shared" si="53"/>
        <v>0</v>
      </c>
      <c r="BL107" s="388">
        <f t="shared" si="76"/>
        <v>4349.9173535999998</v>
      </c>
      <c r="BM107" s="388">
        <f t="shared" si="77"/>
        <v>0</v>
      </c>
      <c r="BN107" s="388">
        <f t="shared" si="54"/>
        <v>4812.5</v>
      </c>
      <c r="BO107" s="388">
        <f t="shared" si="55"/>
        <v>0</v>
      </c>
      <c r="BP107" s="388">
        <f t="shared" si="56"/>
        <v>1305.3331199999998</v>
      </c>
      <c r="BQ107" s="388">
        <f t="shared" si="57"/>
        <v>305.27951999999999</v>
      </c>
      <c r="BR107" s="388">
        <f t="shared" si="58"/>
        <v>2353.8103679999999</v>
      </c>
      <c r="BS107" s="388">
        <f t="shared" si="59"/>
        <v>151.79760959999999</v>
      </c>
      <c r="BT107" s="388">
        <f t="shared" si="60"/>
        <v>0</v>
      </c>
      <c r="BU107" s="388">
        <f t="shared" si="61"/>
        <v>0</v>
      </c>
      <c r="BV107" s="388">
        <f t="shared" si="62"/>
        <v>82.109663999999995</v>
      </c>
      <c r="BW107" s="388">
        <f t="shared" si="63"/>
        <v>0</v>
      </c>
      <c r="BX107" s="388">
        <f t="shared" si="78"/>
        <v>4198.3302815999996</v>
      </c>
      <c r="BY107" s="388">
        <f t="shared" si="79"/>
        <v>0</v>
      </c>
      <c r="BZ107" s="388">
        <f t="shared" si="80"/>
        <v>437.5</v>
      </c>
      <c r="CA107" s="388">
        <f t="shared" si="81"/>
        <v>0</v>
      </c>
      <c r="CB107" s="388">
        <f t="shared" si="82"/>
        <v>0</v>
      </c>
      <c r="CC107" s="388">
        <f t="shared" si="64"/>
        <v>0</v>
      </c>
      <c r="CD107" s="388">
        <f t="shared" si="65"/>
        <v>-160.00857600000018</v>
      </c>
      <c r="CE107" s="388">
        <f t="shared" si="66"/>
        <v>0</v>
      </c>
      <c r="CF107" s="388">
        <f t="shared" si="67"/>
        <v>0</v>
      </c>
      <c r="CG107" s="388">
        <f t="shared" si="68"/>
        <v>0</v>
      </c>
      <c r="CH107" s="388">
        <f t="shared" si="69"/>
        <v>8.4215039999999934</v>
      </c>
      <c r="CI107" s="388">
        <f t="shared" si="70"/>
        <v>0</v>
      </c>
      <c r="CJ107" s="388">
        <f t="shared" si="83"/>
        <v>-151.58707200000018</v>
      </c>
      <c r="CK107" s="388" t="str">
        <f t="shared" si="84"/>
        <v/>
      </c>
      <c r="CL107" s="388" t="str">
        <f t="shared" si="85"/>
        <v/>
      </c>
      <c r="CM107" s="388" t="str">
        <f t="shared" si="86"/>
        <v/>
      </c>
      <c r="CN107" s="388" t="str">
        <f t="shared" si="87"/>
        <v>0001-00</v>
      </c>
    </row>
    <row r="108" spans="1:92" ht="15.75" thickBot="1" x14ac:dyDescent="0.3">
      <c r="A108" s="377" t="s">
        <v>162</v>
      </c>
      <c r="B108" s="377" t="s">
        <v>163</v>
      </c>
      <c r="C108" s="377" t="s">
        <v>589</v>
      </c>
      <c r="D108" s="377" t="s">
        <v>251</v>
      </c>
      <c r="E108" s="377" t="s">
        <v>265</v>
      </c>
      <c r="F108" s="378" t="s">
        <v>167</v>
      </c>
      <c r="G108" s="377" t="s">
        <v>439</v>
      </c>
      <c r="H108" s="379"/>
      <c r="I108" s="379"/>
      <c r="J108" s="377" t="s">
        <v>219</v>
      </c>
      <c r="K108" s="377" t="s">
        <v>252</v>
      </c>
      <c r="L108" s="377" t="s">
        <v>179</v>
      </c>
      <c r="M108" s="377" t="s">
        <v>395</v>
      </c>
      <c r="N108" s="377" t="s">
        <v>173</v>
      </c>
      <c r="O108" s="380">
        <v>0</v>
      </c>
      <c r="P108" s="386">
        <v>1</v>
      </c>
      <c r="Q108" s="386">
        <v>1</v>
      </c>
      <c r="R108" s="381">
        <v>80</v>
      </c>
      <c r="S108" s="386">
        <v>1</v>
      </c>
      <c r="T108" s="381">
        <v>0</v>
      </c>
      <c r="U108" s="381">
        <v>0</v>
      </c>
      <c r="V108" s="381">
        <v>0</v>
      </c>
      <c r="W108" s="381">
        <v>33966.400000000001</v>
      </c>
      <c r="X108" s="381">
        <v>15284.88</v>
      </c>
      <c r="Y108" s="381">
        <v>33966.400000000001</v>
      </c>
      <c r="Z108" s="381">
        <v>15828.34</v>
      </c>
      <c r="AA108" s="379"/>
      <c r="AB108" s="377" t="s">
        <v>45</v>
      </c>
      <c r="AC108" s="377" t="s">
        <v>45</v>
      </c>
      <c r="AD108" s="379"/>
      <c r="AE108" s="379"/>
      <c r="AF108" s="379"/>
      <c r="AG108" s="379"/>
      <c r="AH108" s="380">
        <v>0</v>
      </c>
      <c r="AI108" s="380">
        <v>0</v>
      </c>
      <c r="AJ108" s="379"/>
      <c r="AK108" s="379"/>
      <c r="AL108" s="377" t="s">
        <v>182</v>
      </c>
      <c r="AM108" s="379"/>
      <c r="AN108" s="379"/>
      <c r="AO108" s="380">
        <v>0</v>
      </c>
      <c r="AP108" s="386">
        <v>0</v>
      </c>
      <c r="AQ108" s="386">
        <v>0</v>
      </c>
      <c r="AR108" s="385"/>
      <c r="AS108" s="388">
        <f t="shared" si="71"/>
        <v>0</v>
      </c>
      <c r="AT108">
        <f t="shared" si="72"/>
        <v>0</v>
      </c>
      <c r="AU108" s="388" t="str">
        <f>IF(AT108=0,"",IF(AND(AT108=1,M108="F",SUMIF(C2:C258,C108,AS2:AS258)&lt;=1),SUMIF(C2:C258,C108,AS2:AS258),IF(AND(AT108=1,M108="F",SUMIF(C2:C258,C108,AS2:AS258)&gt;1),1,"")))</f>
        <v/>
      </c>
      <c r="AV108" s="388" t="str">
        <f>IF(AT108=0,"",IF(AND(AT108=3,M108="F",SUMIF(C2:C258,C108,AS2:AS258)&lt;=1),SUMIF(C2:C258,C108,AS2:AS258),IF(AND(AT108=3,M108="F",SUMIF(C2:C258,C108,AS2:AS258)&gt;1),1,"")))</f>
        <v/>
      </c>
      <c r="AW108" s="388">
        <f>SUMIF(C2:C258,C108,O2:O258)</f>
        <v>0</v>
      </c>
      <c r="AX108" s="388">
        <f>IF(AND(M108="F",AS108&lt;&gt;0),SUMIF(C2:C258,C108,W2:W258),0)</f>
        <v>0</v>
      </c>
      <c r="AY108" s="388" t="str">
        <f t="shared" si="73"/>
        <v/>
      </c>
      <c r="AZ108" s="388" t="str">
        <f t="shared" si="74"/>
        <v/>
      </c>
      <c r="BA108" s="388">
        <f t="shared" si="75"/>
        <v>0</v>
      </c>
      <c r="BB108" s="388">
        <f t="shared" si="44"/>
        <v>0</v>
      </c>
      <c r="BC108" s="388">
        <f t="shared" si="45"/>
        <v>0</v>
      </c>
      <c r="BD108" s="388">
        <f t="shared" si="46"/>
        <v>0</v>
      </c>
      <c r="BE108" s="388">
        <f t="shared" si="47"/>
        <v>0</v>
      </c>
      <c r="BF108" s="388">
        <f t="shared" si="48"/>
        <v>0</v>
      </c>
      <c r="BG108" s="388">
        <f t="shared" si="49"/>
        <v>0</v>
      </c>
      <c r="BH108" s="388">
        <f t="shared" si="50"/>
        <v>0</v>
      </c>
      <c r="BI108" s="388">
        <f t="shared" si="51"/>
        <v>0</v>
      </c>
      <c r="BJ108" s="388">
        <f t="shared" si="52"/>
        <v>0</v>
      </c>
      <c r="BK108" s="388">
        <f t="shared" si="53"/>
        <v>0</v>
      </c>
      <c r="BL108" s="388">
        <f t="shared" si="76"/>
        <v>0</v>
      </c>
      <c r="BM108" s="388">
        <f t="shared" si="77"/>
        <v>0</v>
      </c>
      <c r="BN108" s="388">
        <f t="shared" si="54"/>
        <v>0</v>
      </c>
      <c r="BO108" s="388">
        <f t="shared" si="55"/>
        <v>0</v>
      </c>
      <c r="BP108" s="388">
        <f t="shared" si="56"/>
        <v>0</v>
      </c>
      <c r="BQ108" s="388">
        <f t="shared" si="57"/>
        <v>0</v>
      </c>
      <c r="BR108" s="388">
        <f t="shared" si="58"/>
        <v>0</v>
      </c>
      <c r="BS108" s="388">
        <f t="shared" si="59"/>
        <v>0</v>
      </c>
      <c r="BT108" s="388">
        <f t="shared" si="60"/>
        <v>0</v>
      </c>
      <c r="BU108" s="388">
        <f t="shared" si="61"/>
        <v>0</v>
      </c>
      <c r="BV108" s="388">
        <f t="shared" si="62"/>
        <v>0</v>
      </c>
      <c r="BW108" s="388">
        <f t="shared" si="63"/>
        <v>0</v>
      </c>
      <c r="BX108" s="388">
        <f t="shared" si="78"/>
        <v>0</v>
      </c>
      <c r="BY108" s="388">
        <f t="shared" si="79"/>
        <v>0</v>
      </c>
      <c r="BZ108" s="388">
        <f t="shared" si="80"/>
        <v>0</v>
      </c>
      <c r="CA108" s="388">
        <f t="shared" si="81"/>
        <v>0</v>
      </c>
      <c r="CB108" s="388">
        <f t="shared" si="82"/>
        <v>0</v>
      </c>
      <c r="CC108" s="388">
        <f t="shared" si="64"/>
        <v>0</v>
      </c>
      <c r="CD108" s="388">
        <f t="shared" si="65"/>
        <v>0</v>
      </c>
      <c r="CE108" s="388">
        <f t="shared" si="66"/>
        <v>0</v>
      </c>
      <c r="CF108" s="388">
        <f t="shared" si="67"/>
        <v>0</v>
      </c>
      <c r="CG108" s="388">
        <f t="shared" si="68"/>
        <v>0</v>
      </c>
      <c r="CH108" s="388">
        <f t="shared" si="69"/>
        <v>0</v>
      </c>
      <c r="CI108" s="388">
        <f t="shared" si="70"/>
        <v>0</v>
      </c>
      <c r="CJ108" s="388">
        <f t="shared" si="83"/>
        <v>0</v>
      </c>
      <c r="CK108" s="388" t="str">
        <f t="shared" si="84"/>
        <v/>
      </c>
      <c r="CL108" s="388" t="str">
        <f t="shared" si="85"/>
        <v/>
      </c>
      <c r="CM108" s="388" t="str">
        <f t="shared" si="86"/>
        <v/>
      </c>
      <c r="CN108" s="388" t="str">
        <f t="shared" si="87"/>
        <v>0001-00</v>
      </c>
    </row>
    <row r="109" spans="1:92" ht="15.75" thickBot="1" x14ac:dyDescent="0.3">
      <c r="A109" s="377" t="s">
        <v>162</v>
      </c>
      <c r="B109" s="377" t="s">
        <v>163</v>
      </c>
      <c r="C109" s="377" t="s">
        <v>590</v>
      </c>
      <c r="D109" s="377" t="s">
        <v>282</v>
      </c>
      <c r="E109" s="377" t="s">
        <v>265</v>
      </c>
      <c r="F109" s="378" t="s">
        <v>167</v>
      </c>
      <c r="G109" s="377" t="s">
        <v>439</v>
      </c>
      <c r="H109" s="379"/>
      <c r="I109" s="379"/>
      <c r="J109" s="377" t="s">
        <v>219</v>
      </c>
      <c r="K109" s="377" t="s">
        <v>244</v>
      </c>
      <c r="L109" s="377" t="s">
        <v>167</v>
      </c>
      <c r="M109" s="377" t="s">
        <v>172</v>
      </c>
      <c r="N109" s="377" t="s">
        <v>173</v>
      </c>
      <c r="O109" s="380">
        <v>1</v>
      </c>
      <c r="P109" s="386">
        <v>1</v>
      </c>
      <c r="Q109" s="386">
        <v>1</v>
      </c>
      <c r="R109" s="381">
        <v>80</v>
      </c>
      <c r="S109" s="386">
        <v>1</v>
      </c>
      <c r="T109" s="381">
        <v>92842.46</v>
      </c>
      <c r="U109" s="381">
        <v>0</v>
      </c>
      <c r="V109" s="381">
        <v>30249.9</v>
      </c>
      <c r="W109" s="381">
        <v>92705.600000000006</v>
      </c>
      <c r="X109" s="381">
        <v>31653.87</v>
      </c>
      <c r="Y109" s="381">
        <v>92705.600000000006</v>
      </c>
      <c r="Z109" s="381">
        <v>32236.400000000001</v>
      </c>
      <c r="AA109" s="377" t="s">
        <v>591</v>
      </c>
      <c r="AB109" s="377" t="s">
        <v>592</v>
      </c>
      <c r="AC109" s="377" t="s">
        <v>593</v>
      </c>
      <c r="AD109" s="377" t="s">
        <v>316</v>
      </c>
      <c r="AE109" s="377" t="s">
        <v>244</v>
      </c>
      <c r="AF109" s="377" t="s">
        <v>207</v>
      </c>
      <c r="AG109" s="377" t="s">
        <v>179</v>
      </c>
      <c r="AH109" s="382">
        <v>44.57</v>
      </c>
      <c r="AI109" s="382">
        <v>26808.7</v>
      </c>
      <c r="AJ109" s="377" t="s">
        <v>180</v>
      </c>
      <c r="AK109" s="377" t="s">
        <v>181</v>
      </c>
      <c r="AL109" s="377" t="s">
        <v>182</v>
      </c>
      <c r="AM109" s="377" t="s">
        <v>183</v>
      </c>
      <c r="AN109" s="377" t="s">
        <v>66</v>
      </c>
      <c r="AO109" s="380">
        <v>80</v>
      </c>
      <c r="AP109" s="386">
        <v>1</v>
      </c>
      <c r="AQ109" s="386">
        <v>1</v>
      </c>
      <c r="AR109" s="384" t="s">
        <v>184</v>
      </c>
      <c r="AS109" s="388">
        <f t="shared" si="71"/>
        <v>1</v>
      </c>
      <c r="AT109">
        <f t="shared" si="72"/>
        <v>1</v>
      </c>
      <c r="AU109" s="388">
        <f>IF(AT109=0,"",IF(AND(AT109=1,M109="F",SUMIF(C2:C258,C109,AS2:AS258)&lt;=1),SUMIF(C2:C258,C109,AS2:AS258),IF(AND(AT109=1,M109="F",SUMIF(C2:C258,C109,AS2:AS258)&gt;1),1,"")))</f>
        <v>1</v>
      </c>
      <c r="AV109" s="388" t="str">
        <f>IF(AT109=0,"",IF(AND(AT109=3,M109="F",SUMIF(C2:C258,C109,AS2:AS258)&lt;=1),SUMIF(C2:C258,C109,AS2:AS258),IF(AND(AT109=3,M109="F",SUMIF(C2:C258,C109,AS2:AS258)&gt;1),1,"")))</f>
        <v/>
      </c>
      <c r="AW109" s="388">
        <f>SUMIF(C2:C258,C109,O2:O258)</f>
        <v>1</v>
      </c>
      <c r="AX109" s="388">
        <f>IF(AND(M109="F",AS109&lt;&gt;0),SUMIF(C2:C258,C109,W2:W258),0)</f>
        <v>92705.600000000006</v>
      </c>
      <c r="AY109" s="388">
        <f t="shared" si="73"/>
        <v>92705.600000000006</v>
      </c>
      <c r="AZ109" s="388" t="str">
        <f t="shared" si="74"/>
        <v/>
      </c>
      <c r="BA109" s="388">
        <f t="shared" si="75"/>
        <v>0</v>
      </c>
      <c r="BB109" s="388">
        <f t="shared" si="44"/>
        <v>12500</v>
      </c>
      <c r="BC109" s="388">
        <f t="shared" si="45"/>
        <v>0</v>
      </c>
      <c r="BD109" s="388">
        <f t="shared" si="46"/>
        <v>5747.7472000000007</v>
      </c>
      <c r="BE109" s="388">
        <f t="shared" si="47"/>
        <v>1344.2312000000002</v>
      </c>
      <c r="BF109" s="388">
        <f t="shared" si="48"/>
        <v>11069.048640000001</v>
      </c>
      <c r="BG109" s="388">
        <f t="shared" si="49"/>
        <v>668.40737600000011</v>
      </c>
      <c r="BH109" s="388">
        <f t="shared" si="50"/>
        <v>0</v>
      </c>
      <c r="BI109" s="388">
        <f t="shared" si="51"/>
        <v>0</v>
      </c>
      <c r="BJ109" s="388">
        <f t="shared" si="52"/>
        <v>324.46960000000001</v>
      </c>
      <c r="BK109" s="388">
        <f t="shared" si="53"/>
        <v>0</v>
      </c>
      <c r="BL109" s="388">
        <f t="shared" si="76"/>
        <v>19153.904016</v>
      </c>
      <c r="BM109" s="388">
        <f t="shared" si="77"/>
        <v>0</v>
      </c>
      <c r="BN109" s="388">
        <f t="shared" si="54"/>
        <v>13750</v>
      </c>
      <c r="BO109" s="388">
        <f t="shared" si="55"/>
        <v>0</v>
      </c>
      <c r="BP109" s="388">
        <f t="shared" si="56"/>
        <v>5747.7472000000007</v>
      </c>
      <c r="BQ109" s="388">
        <f t="shared" si="57"/>
        <v>1344.2312000000002</v>
      </c>
      <c r="BR109" s="388">
        <f t="shared" si="58"/>
        <v>10364.486080000001</v>
      </c>
      <c r="BS109" s="388">
        <f t="shared" si="59"/>
        <v>668.40737600000011</v>
      </c>
      <c r="BT109" s="388">
        <f t="shared" si="60"/>
        <v>0</v>
      </c>
      <c r="BU109" s="388">
        <f t="shared" si="61"/>
        <v>0</v>
      </c>
      <c r="BV109" s="388">
        <f t="shared" si="62"/>
        <v>361.55184000000003</v>
      </c>
      <c r="BW109" s="388">
        <f t="shared" si="63"/>
        <v>0</v>
      </c>
      <c r="BX109" s="388">
        <f t="shared" si="78"/>
        <v>18486.423696000002</v>
      </c>
      <c r="BY109" s="388">
        <f t="shared" si="79"/>
        <v>0</v>
      </c>
      <c r="BZ109" s="388">
        <f t="shared" si="80"/>
        <v>1250</v>
      </c>
      <c r="CA109" s="388">
        <f t="shared" si="81"/>
        <v>0</v>
      </c>
      <c r="CB109" s="388">
        <f t="shared" si="82"/>
        <v>0</v>
      </c>
      <c r="CC109" s="388">
        <f t="shared" si="64"/>
        <v>0</v>
      </c>
      <c r="CD109" s="388">
        <f t="shared" si="65"/>
        <v>-704.56256000000087</v>
      </c>
      <c r="CE109" s="388">
        <f t="shared" si="66"/>
        <v>0</v>
      </c>
      <c r="CF109" s="388">
        <f t="shared" si="67"/>
        <v>0</v>
      </c>
      <c r="CG109" s="388">
        <f t="shared" si="68"/>
        <v>0</v>
      </c>
      <c r="CH109" s="388">
        <f t="shared" si="69"/>
        <v>37.082239999999977</v>
      </c>
      <c r="CI109" s="388">
        <f t="shared" si="70"/>
        <v>0</v>
      </c>
      <c r="CJ109" s="388">
        <f t="shared" si="83"/>
        <v>-667.48032000000092</v>
      </c>
      <c r="CK109" s="388" t="str">
        <f t="shared" si="84"/>
        <v/>
      </c>
      <c r="CL109" s="388" t="str">
        <f t="shared" si="85"/>
        <v/>
      </c>
      <c r="CM109" s="388" t="str">
        <f t="shared" si="86"/>
        <v/>
      </c>
      <c r="CN109" s="388" t="str">
        <f t="shared" si="87"/>
        <v>0001-00</v>
      </c>
    </row>
    <row r="110" spans="1:92" ht="15.75" thickBot="1" x14ac:dyDescent="0.3">
      <c r="A110" s="377" t="s">
        <v>162</v>
      </c>
      <c r="B110" s="377" t="s">
        <v>163</v>
      </c>
      <c r="C110" s="377" t="s">
        <v>594</v>
      </c>
      <c r="D110" s="377" t="s">
        <v>300</v>
      </c>
      <c r="E110" s="377" t="s">
        <v>265</v>
      </c>
      <c r="F110" s="378" t="s">
        <v>167</v>
      </c>
      <c r="G110" s="377" t="s">
        <v>439</v>
      </c>
      <c r="H110" s="379"/>
      <c r="I110" s="379"/>
      <c r="J110" s="377" t="s">
        <v>169</v>
      </c>
      <c r="K110" s="377" t="s">
        <v>301</v>
      </c>
      <c r="L110" s="377" t="s">
        <v>167</v>
      </c>
      <c r="M110" s="377" t="s">
        <v>172</v>
      </c>
      <c r="N110" s="377" t="s">
        <v>173</v>
      </c>
      <c r="O110" s="380">
        <v>1</v>
      </c>
      <c r="P110" s="386">
        <v>0.2</v>
      </c>
      <c r="Q110" s="386">
        <v>0.2</v>
      </c>
      <c r="R110" s="381">
        <v>80</v>
      </c>
      <c r="S110" s="386">
        <v>0.2</v>
      </c>
      <c r="T110" s="381">
        <v>8275.2000000000007</v>
      </c>
      <c r="U110" s="381">
        <v>0</v>
      </c>
      <c r="V110" s="381">
        <v>3300.17</v>
      </c>
      <c r="W110" s="381">
        <v>12854.4</v>
      </c>
      <c r="X110" s="381">
        <v>5155.84</v>
      </c>
      <c r="Y110" s="381">
        <v>12854.4</v>
      </c>
      <c r="Z110" s="381">
        <v>5313.29</v>
      </c>
      <c r="AA110" s="377" t="s">
        <v>595</v>
      </c>
      <c r="AB110" s="377" t="s">
        <v>596</v>
      </c>
      <c r="AC110" s="377" t="s">
        <v>597</v>
      </c>
      <c r="AD110" s="377" t="s">
        <v>598</v>
      </c>
      <c r="AE110" s="377" t="s">
        <v>301</v>
      </c>
      <c r="AF110" s="377" t="s">
        <v>207</v>
      </c>
      <c r="AG110" s="377" t="s">
        <v>179</v>
      </c>
      <c r="AH110" s="382">
        <v>30.9</v>
      </c>
      <c r="AI110" s="380">
        <v>560</v>
      </c>
      <c r="AJ110" s="377" t="s">
        <v>180</v>
      </c>
      <c r="AK110" s="377" t="s">
        <v>181</v>
      </c>
      <c r="AL110" s="377" t="s">
        <v>182</v>
      </c>
      <c r="AM110" s="377" t="s">
        <v>183</v>
      </c>
      <c r="AN110" s="377" t="s">
        <v>66</v>
      </c>
      <c r="AO110" s="380">
        <v>80</v>
      </c>
      <c r="AP110" s="386">
        <v>1</v>
      </c>
      <c r="AQ110" s="386">
        <v>0.2</v>
      </c>
      <c r="AR110" s="384" t="s">
        <v>184</v>
      </c>
      <c r="AS110" s="388">
        <f t="shared" si="71"/>
        <v>0.2</v>
      </c>
      <c r="AT110">
        <f t="shared" si="72"/>
        <v>1</v>
      </c>
      <c r="AU110" s="388">
        <f>IF(AT110=0,"",IF(AND(AT110=1,M110="F",SUMIF(C2:C258,C110,AS2:AS258)&lt;=1),SUMIF(C2:C258,C110,AS2:AS258),IF(AND(AT110=1,M110="F",SUMIF(C2:C258,C110,AS2:AS258)&gt;1),1,"")))</f>
        <v>1</v>
      </c>
      <c r="AV110" s="388" t="str">
        <f>IF(AT110=0,"",IF(AND(AT110=3,M110="F",SUMIF(C2:C258,C110,AS2:AS258)&lt;=1),SUMIF(C2:C258,C110,AS2:AS258),IF(AND(AT110=3,M110="F",SUMIF(C2:C258,C110,AS2:AS258)&gt;1),1,"")))</f>
        <v/>
      </c>
      <c r="AW110" s="388">
        <f>SUMIF(C2:C258,C110,O2:O258)</f>
        <v>2</v>
      </c>
      <c r="AX110" s="388">
        <f>IF(AND(M110="F",AS110&lt;&gt;0),SUMIF(C2:C258,C110,W2:W258),0)</f>
        <v>64272</v>
      </c>
      <c r="AY110" s="388">
        <f t="shared" si="73"/>
        <v>12854.4</v>
      </c>
      <c r="AZ110" s="388" t="str">
        <f t="shared" si="74"/>
        <v/>
      </c>
      <c r="BA110" s="388">
        <f t="shared" si="75"/>
        <v>0</v>
      </c>
      <c r="BB110" s="388">
        <f t="shared" si="44"/>
        <v>2500</v>
      </c>
      <c r="BC110" s="388">
        <f t="shared" si="45"/>
        <v>0</v>
      </c>
      <c r="BD110" s="388">
        <f t="shared" si="46"/>
        <v>796.97280000000001</v>
      </c>
      <c r="BE110" s="388">
        <f t="shared" si="47"/>
        <v>186.3888</v>
      </c>
      <c r="BF110" s="388">
        <f t="shared" si="48"/>
        <v>1534.8153600000001</v>
      </c>
      <c r="BG110" s="388">
        <f t="shared" si="49"/>
        <v>92.680223999999995</v>
      </c>
      <c r="BH110" s="388">
        <f t="shared" si="50"/>
        <v>0</v>
      </c>
      <c r="BI110" s="388">
        <f t="shared" si="51"/>
        <v>0</v>
      </c>
      <c r="BJ110" s="388">
        <f t="shared" si="52"/>
        <v>44.990400000000001</v>
      </c>
      <c r="BK110" s="388">
        <f t="shared" si="53"/>
        <v>0</v>
      </c>
      <c r="BL110" s="388">
        <f t="shared" si="76"/>
        <v>2655.8475840000001</v>
      </c>
      <c r="BM110" s="388">
        <f t="shared" si="77"/>
        <v>0</v>
      </c>
      <c r="BN110" s="388">
        <f t="shared" si="54"/>
        <v>2750</v>
      </c>
      <c r="BO110" s="388">
        <f t="shared" si="55"/>
        <v>0</v>
      </c>
      <c r="BP110" s="388">
        <f t="shared" si="56"/>
        <v>796.97280000000001</v>
      </c>
      <c r="BQ110" s="388">
        <f t="shared" si="57"/>
        <v>186.3888</v>
      </c>
      <c r="BR110" s="388">
        <f t="shared" si="58"/>
        <v>1437.1219199999998</v>
      </c>
      <c r="BS110" s="388">
        <f t="shared" si="59"/>
        <v>92.680223999999995</v>
      </c>
      <c r="BT110" s="388">
        <f t="shared" si="60"/>
        <v>0</v>
      </c>
      <c r="BU110" s="388">
        <f t="shared" si="61"/>
        <v>0</v>
      </c>
      <c r="BV110" s="388">
        <f t="shared" si="62"/>
        <v>50.132159999999999</v>
      </c>
      <c r="BW110" s="388">
        <f t="shared" si="63"/>
        <v>0</v>
      </c>
      <c r="BX110" s="388">
        <f t="shared" si="78"/>
        <v>2563.2959040000001</v>
      </c>
      <c r="BY110" s="388">
        <f t="shared" si="79"/>
        <v>0</v>
      </c>
      <c r="BZ110" s="388">
        <f t="shared" si="80"/>
        <v>250</v>
      </c>
      <c r="CA110" s="388">
        <f t="shared" si="81"/>
        <v>0</v>
      </c>
      <c r="CB110" s="388">
        <f t="shared" si="82"/>
        <v>0</v>
      </c>
      <c r="CC110" s="388">
        <f t="shared" si="64"/>
        <v>0</v>
      </c>
      <c r="CD110" s="388">
        <f t="shared" si="65"/>
        <v>-97.693440000000123</v>
      </c>
      <c r="CE110" s="388">
        <f t="shared" si="66"/>
        <v>0</v>
      </c>
      <c r="CF110" s="388">
        <f t="shared" si="67"/>
        <v>0</v>
      </c>
      <c r="CG110" s="388">
        <f t="shared" si="68"/>
        <v>0</v>
      </c>
      <c r="CH110" s="388">
        <f t="shared" si="69"/>
        <v>5.141759999999997</v>
      </c>
      <c r="CI110" s="388">
        <f t="shared" si="70"/>
        <v>0</v>
      </c>
      <c r="CJ110" s="388">
        <f t="shared" si="83"/>
        <v>-92.551680000000133</v>
      </c>
      <c r="CK110" s="388" t="str">
        <f t="shared" si="84"/>
        <v/>
      </c>
      <c r="CL110" s="388" t="str">
        <f t="shared" si="85"/>
        <v/>
      </c>
      <c r="CM110" s="388" t="str">
        <f t="shared" si="86"/>
        <v/>
      </c>
      <c r="CN110" s="388" t="str">
        <f t="shared" si="87"/>
        <v>0001-00</v>
      </c>
    </row>
    <row r="111" spans="1:92" ht="15.75" thickBot="1" x14ac:dyDescent="0.3">
      <c r="A111" s="377" t="s">
        <v>162</v>
      </c>
      <c r="B111" s="377" t="s">
        <v>163</v>
      </c>
      <c r="C111" s="377" t="s">
        <v>599</v>
      </c>
      <c r="D111" s="377" t="s">
        <v>300</v>
      </c>
      <c r="E111" s="377" t="s">
        <v>265</v>
      </c>
      <c r="F111" s="378" t="s">
        <v>167</v>
      </c>
      <c r="G111" s="377" t="s">
        <v>439</v>
      </c>
      <c r="H111" s="379"/>
      <c r="I111" s="379"/>
      <c r="J111" s="377" t="s">
        <v>269</v>
      </c>
      <c r="K111" s="377" t="s">
        <v>301</v>
      </c>
      <c r="L111" s="377" t="s">
        <v>167</v>
      </c>
      <c r="M111" s="377" t="s">
        <v>172</v>
      </c>
      <c r="N111" s="377" t="s">
        <v>173</v>
      </c>
      <c r="O111" s="380">
        <v>1</v>
      </c>
      <c r="P111" s="386">
        <v>0.7</v>
      </c>
      <c r="Q111" s="386">
        <v>0.7</v>
      </c>
      <c r="R111" s="381">
        <v>80</v>
      </c>
      <c r="S111" s="386">
        <v>0.7</v>
      </c>
      <c r="T111" s="381">
        <v>62930.73</v>
      </c>
      <c r="U111" s="381">
        <v>0</v>
      </c>
      <c r="V111" s="381">
        <v>21312.59</v>
      </c>
      <c r="W111" s="381">
        <v>62316.800000000003</v>
      </c>
      <c r="X111" s="381">
        <v>21625.25</v>
      </c>
      <c r="Y111" s="381">
        <v>62316.800000000003</v>
      </c>
      <c r="Z111" s="381">
        <v>22051.57</v>
      </c>
      <c r="AA111" s="377" t="s">
        <v>600</v>
      </c>
      <c r="AB111" s="377" t="s">
        <v>601</v>
      </c>
      <c r="AC111" s="377" t="s">
        <v>602</v>
      </c>
      <c r="AD111" s="377" t="s">
        <v>215</v>
      </c>
      <c r="AE111" s="377" t="s">
        <v>301</v>
      </c>
      <c r="AF111" s="377" t="s">
        <v>207</v>
      </c>
      <c r="AG111" s="377" t="s">
        <v>179</v>
      </c>
      <c r="AH111" s="382">
        <v>42.8</v>
      </c>
      <c r="AI111" s="382">
        <v>27350.2</v>
      </c>
      <c r="AJ111" s="377" t="s">
        <v>180</v>
      </c>
      <c r="AK111" s="377" t="s">
        <v>181</v>
      </c>
      <c r="AL111" s="377" t="s">
        <v>182</v>
      </c>
      <c r="AM111" s="377" t="s">
        <v>183</v>
      </c>
      <c r="AN111" s="377" t="s">
        <v>66</v>
      </c>
      <c r="AO111" s="380">
        <v>80</v>
      </c>
      <c r="AP111" s="386">
        <v>1</v>
      </c>
      <c r="AQ111" s="386">
        <v>0.7</v>
      </c>
      <c r="AR111" s="384" t="s">
        <v>184</v>
      </c>
      <c r="AS111" s="388">
        <f t="shared" si="71"/>
        <v>0.7</v>
      </c>
      <c r="AT111">
        <f t="shared" si="72"/>
        <v>1</v>
      </c>
      <c r="AU111" s="388">
        <f>IF(AT111=0,"",IF(AND(AT111=1,M111="F",SUMIF(C2:C258,C111,AS2:AS258)&lt;=1),SUMIF(C2:C258,C111,AS2:AS258),IF(AND(AT111=1,M111="F",SUMIF(C2:C258,C111,AS2:AS258)&gt;1),1,"")))</f>
        <v>1</v>
      </c>
      <c r="AV111" s="388" t="str">
        <f>IF(AT111=0,"",IF(AND(AT111=3,M111="F",SUMIF(C2:C258,C111,AS2:AS258)&lt;=1),SUMIF(C2:C258,C111,AS2:AS258),IF(AND(AT111=3,M111="F",SUMIF(C2:C258,C111,AS2:AS258)&gt;1),1,"")))</f>
        <v/>
      </c>
      <c r="AW111" s="388">
        <f>SUMIF(C2:C258,C111,O2:O258)</f>
        <v>3</v>
      </c>
      <c r="AX111" s="388">
        <f>IF(AND(M111="F",AS111&lt;&gt;0),SUMIF(C2:C258,C111,W2:W258),0)</f>
        <v>89024</v>
      </c>
      <c r="AY111" s="388">
        <f t="shared" si="73"/>
        <v>62316.800000000003</v>
      </c>
      <c r="AZ111" s="388" t="str">
        <f t="shared" si="74"/>
        <v/>
      </c>
      <c r="BA111" s="388">
        <f t="shared" si="75"/>
        <v>0</v>
      </c>
      <c r="BB111" s="388">
        <f t="shared" si="44"/>
        <v>8750</v>
      </c>
      <c r="BC111" s="388">
        <f t="shared" si="45"/>
        <v>0</v>
      </c>
      <c r="BD111" s="388">
        <f t="shared" si="46"/>
        <v>3863.6415999999999</v>
      </c>
      <c r="BE111" s="388">
        <f t="shared" si="47"/>
        <v>903.59360000000004</v>
      </c>
      <c r="BF111" s="388">
        <f t="shared" si="48"/>
        <v>7440.6259200000004</v>
      </c>
      <c r="BG111" s="388">
        <f t="shared" si="49"/>
        <v>449.30412800000005</v>
      </c>
      <c r="BH111" s="388">
        <f t="shared" si="50"/>
        <v>0</v>
      </c>
      <c r="BI111" s="388">
        <f t="shared" si="51"/>
        <v>0</v>
      </c>
      <c r="BJ111" s="388">
        <f t="shared" si="52"/>
        <v>218.1088</v>
      </c>
      <c r="BK111" s="388">
        <f t="shared" si="53"/>
        <v>0</v>
      </c>
      <c r="BL111" s="388">
        <f t="shared" si="76"/>
        <v>12875.274048000001</v>
      </c>
      <c r="BM111" s="388">
        <f t="shared" si="77"/>
        <v>0</v>
      </c>
      <c r="BN111" s="388">
        <f t="shared" si="54"/>
        <v>9625</v>
      </c>
      <c r="BO111" s="388">
        <f t="shared" si="55"/>
        <v>0</v>
      </c>
      <c r="BP111" s="388">
        <f t="shared" si="56"/>
        <v>3863.6415999999999</v>
      </c>
      <c r="BQ111" s="388">
        <f t="shared" si="57"/>
        <v>903.59360000000004</v>
      </c>
      <c r="BR111" s="388">
        <f t="shared" si="58"/>
        <v>6967.0182400000003</v>
      </c>
      <c r="BS111" s="388">
        <f t="shared" si="59"/>
        <v>449.30412800000005</v>
      </c>
      <c r="BT111" s="388">
        <f t="shared" si="60"/>
        <v>0</v>
      </c>
      <c r="BU111" s="388">
        <f t="shared" si="61"/>
        <v>0</v>
      </c>
      <c r="BV111" s="388">
        <f t="shared" si="62"/>
        <v>243.03551999999999</v>
      </c>
      <c r="BW111" s="388">
        <f t="shared" si="63"/>
        <v>0</v>
      </c>
      <c r="BX111" s="388">
        <f t="shared" si="78"/>
        <v>12426.593088</v>
      </c>
      <c r="BY111" s="388">
        <f t="shared" si="79"/>
        <v>0</v>
      </c>
      <c r="BZ111" s="388">
        <f t="shared" si="80"/>
        <v>875</v>
      </c>
      <c r="CA111" s="388">
        <f t="shared" si="81"/>
        <v>0</v>
      </c>
      <c r="CB111" s="388">
        <f t="shared" si="82"/>
        <v>0</v>
      </c>
      <c r="CC111" s="388">
        <f t="shared" si="64"/>
        <v>0</v>
      </c>
      <c r="CD111" s="388">
        <f t="shared" si="65"/>
        <v>-473.60768000000064</v>
      </c>
      <c r="CE111" s="388">
        <f t="shared" si="66"/>
        <v>0</v>
      </c>
      <c r="CF111" s="388">
        <f t="shared" si="67"/>
        <v>0</v>
      </c>
      <c r="CG111" s="388">
        <f t="shared" si="68"/>
        <v>0</v>
      </c>
      <c r="CH111" s="388">
        <f t="shared" si="69"/>
        <v>24.926719999999985</v>
      </c>
      <c r="CI111" s="388">
        <f t="shared" si="70"/>
        <v>0</v>
      </c>
      <c r="CJ111" s="388">
        <f t="shared" si="83"/>
        <v>-448.68096000000065</v>
      </c>
      <c r="CK111" s="388" t="str">
        <f t="shared" si="84"/>
        <v/>
      </c>
      <c r="CL111" s="388" t="str">
        <f t="shared" si="85"/>
        <v/>
      </c>
      <c r="CM111" s="388" t="str">
        <f t="shared" si="86"/>
        <v/>
      </c>
      <c r="CN111" s="388" t="str">
        <f t="shared" si="87"/>
        <v>0001-00</v>
      </c>
    </row>
    <row r="112" spans="1:92" ht="15.75" thickBot="1" x14ac:dyDescent="0.3">
      <c r="A112" s="377" t="s">
        <v>162</v>
      </c>
      <c r="B112" s="377" t="s">
        <v>163</v>
      </c>
      <c r="C112" s="377" t="s">
        <v>603</v>
      </c>
      <c r="D112" s="377" t="s">
        <v>282</v>
      </c>
      <c r="E112" s="377" t="s">
        <v>265</v>
      </c>
      <c r="F112" s="378" t="s">
        <v>167</v>
      </c>
      <c r="G112" s="377" t="s">
        <v>439</v>
      </c>
      <c r="H112" s="379"/>
      <c r="I112" s="379"/>
      <c r="J112" s="377" t="s">
        <v>219</v>
      </c>
      <c r="K112" s="377" t="s">
        <v>244</v>
      </c>
      <c r="L112" s="377" t="s">
        <v>167</v>
      </c>
      <c r="M112" s="377" t="s">
        <v>172</v>
      </c>
      <c r="N112" s="377" t="s">
        <v>173</v>
      </c>
      <c r="O112" s="380">
        <v>1</v>
      </c>
      <c r="P112" s="386">
        <v>1</v>
      </c>
      <c r="Q112" s="386">
        <v>1</v>
      </c>
      <c r="R112" s="381">
        <v>80</v>
      </c>
      <c r="S112" s="386">
        <v>1</v>
      </c>
      <c r="T112" s="381">
        <v>102191.2</v>
      </c>
      <c r="U112" s="381">
        <v>0</v>
      </c>
      <c r="V112" s="381">
        <v>32974.800000000003</v>
      </c>
      <c r="W112" s="381">
        <v>101088</v>
      </c>
      <c r="X112" s="381">
        <v>33385.760000000002</v>
      </c>
      <c r="Y112" s="381">
        <v>101088</v>
      </c>
      <c r="Z112" s="381">
        <v>33907.93</v>
      </c>
      <c r="AA112" s="377" t="s">
        <v>604</v>
      </c>
      <c r="AB112" s="377" t="s">
        <v>605</v>
      </c>
      <c r="AC112" s="377" t="s">
        <v>606</v>
      </c>
      <c r="AD112" s="377" t="s">
        <v>607</v>
      </c>
      <c r="AE112" s="377" t="s">
        <v>244</v>
      </c>
      <c r="AF112" s="377" t="s">
        <v>207</v>
      </c>
      <c r="AG112" s="377" t="s">
        <v>179</v>
      </c>
      <c r="AH112" s="382">
        <v>48.6</v>
      </c>
      <c r="AI112" s="380">
        <v>6400</v>
      </c>
      <c r="AJ112" s="377" t="s">
        <v>180</v>
      </c>
      <c r="AK112" s="377" t="s">
        <v>181</v>
      </c>
      <c r="AL112" s="377" t="s">
        <v>182</v>
      </c>
      <c r="AM112" s="377" t="s">
        <v>183</v>
      </c>
      <c r="AN112" s="377" t="s">
        <v>66</v>
      </c>
      <c r="AO112" s="380">
        <v>80</v>
      </c>
      <c r="AP112" s="386">
        <v>1</v>
      </c>
      <c r="AQ112" s="386">
        <v>1</v>
      </c>
      <c r="AR112" s="384" t="s">
        <v>184</v>
      </c>
      <c r="AS112" s="388">
        <f t="shared" si="71"/>
        <v>1</v>
      </c>
      <c r="AT112">
        <f t="shared" si="72"/>
        <v>1</v>
      </c>
      <c r="AU112" s="388">
        <f>IF(AT112=0,"",IF(AND(AT112=1,M112="F",SUMIF(C2:C258,C112,AS2:AS258)&lt;=1),SUMIF(C2:C258,C112,AS2:AS258),IF(AND(AT112=1,M112="F",SUMIF(C2:C258,C112,AS2:AS258)&gt;1),1,"")))</f>
        <v>1</v>
      </c>
      <c r="AV112" s="388" t="str">
        <f>IF(AT112=0,"",IF(AND(AT112=3,M112="F",SUMIF(C2:C258,C112,AS2:AS258)&lt;=1),SUMIF(C2:C258,C112,AS2:AS258),IF(AND(AT112=3,M112="F",SUMIF(C2:C258,C112,AS2:AS258)&gt;1),1,"")))</f>
        <v/>
      </c>
      <c r="AW112" s="388">
        <f>SUMIF(C2:C258,C112,O2:O258)</f>
        <v>1</v>
      </c>
      <c r="AX112" s="388">
        <f>IF(AND(M112="F",AS112&lt;&gt;0),SUMIF(C2:C258,C112,W2:W258),0)</f>
        <v>101088</v>
      </c>
      <c r="AY112" s="388">
        <f t="shared" si="73"/>
        <v>101088</v>
      </c>
      <c r="AZ112" s="388" t="str">
        <f t="shared" si="74"/>
        <v/>
      </c>
      <c r="BA112" s="388">
        <f t="shared" si="75"/>
        <v>0</v>
      </c>
      <c r="BB112" s="388">
        <f t="shared" si="44"/>
        <v>12500</v>
      </c>
      <c r="BC112" s="388">
        <f t="shared" si="45"/>
        <v>0</v>
      </c>
      <c r="BD112" s="388">
        <f t="shared" si="46"/>
        <v>6267.4560000000001</v>
      </c>
      <c r="BE112" s="388">
        <f t="shared" si="47"/>
        <v>1465.7760000000001</v>
      </c>
      <c r="BF112" s="388">
        <f t="shared" si="48"/>
        <v>12069.907200000001</v>
      </c>
      <c r="BG112" s="388">
        <f t="shared" si="49"/>
        <v>728.84447999999998</v>
      </c>
      <c r="BH112" s="388">
        <f t="shared" si="50"/>
        <v>0</v>
      </c>
      <c r="BI112" s="388">
        <f t="shared" si="51"/>
        <v>0</v>
      </c>
      <c r="BJ112" s="388">
        <f t="shared" si="52"/>
        <v>353.80799999999999</v>
      </c>
      <c r="BK112" s="388">
        <f t="shared" si="53"/>
        <v>0</v>
      </c>
      <c r="BL112" s="388">
        <f t="shared" si="76"/>
        <v>20885.791680000002</v>
      </c>
      <c r="BM112" s="388">
        <f t="shared" si="77"/>
        <v>0</v>
      </c>
      <c r="BN112" s="388">
        <f t="shared" si="54"/>
        <v>13750</v>
      </c>
      <c r="BO112" s="388">
        <f t="shared" si="55"/>
        <v>0</v>
      </c>
      <c r="BP112" s="388">
        <f t="shared" si="56"/>
        <v>6267.4560000000001</v>
      </c>
      <c r="BQ112" s="388">
        <f t="shared" si="57"/>
        <v>1465.7760000000001</v>
      </c>
      <c r="BR112" s="388">
        <f t="shared" si="58"/>
        <v>11301.6384</v>
      </c>
      <c r="BS112" s="388">
        <f t="shared" si="59"/>
        <v>728.84447999999998</v>
      </c>
      <c r="BT112" s="388">
        <f t="shared" si="60"/>
        <v>0</v>
      </c>
      <c r="BU112" s="388">
        <f t="shared" si="61"/>
        <v>0</v>
      </c>
      <c r="BV112" s="388">
        <f t="shared" si="62"/>
        <v>394.2432</v>
      </c>
      <c r="BW112" s="388">
        <f t="shared" si="63"/>
        <v>0</v>
      </c>
      <c r="BX112" s="388">
        <f t="shared" si="78"/>
        <v>20157.95808</v>
      </c>
      <c r="BY112" s="388">
        <f t="shared" si="79"/>
        <v>0</v>
      </c>
      <c r="BZ112" s="388">
        <f t="shared" si="80"/>
        <v>1250</v>
      </c>
      <c r="CA112" s="388">
        <f t="shared" si="81"/>
        <v>0</v>
      </c>
      <c r="CB112" s="388">
        <f t="shared" si="82"/>
        <v>0</v>
      </c>
      <c r="CC112" s="388">
        <f t="shared" si="64"/>
        <v>0</v>
      </c>
      <c r="CD112" s="388">
        <f t="shared" si="65"/>
        <v>-768.26880000000097</v>
      </c>
      <c r="CE112" s="388">
        <f t="shared" si="66"/>
        <v>0</v>
      </c>
      <c r="CF112" s="388">
        <f t="shared" si="67"/>
        <v>0</v>
      </c>
      <c r="CG112" s="388">
        <f t="shared" si="68"/>
        <v>0</v>
      </c>
      <c r="CH112" s="388">
        <f t="shared" si="69"/>
        <v>40.435199999999973</v>
      </c>
      <c r="CI112" s="388">
        <f t="shared" si="70"/>
        <v>0</v>
      </c>
      <c r="CJ112" s="388">
        <f t="shared" si="83"/>
        <v>-727.83360000000096</v>
      </c>
      <c r="CK112" s="388" t="str">
        <f t="shared" si="84"/>
        <v/>
      </c>
      <c r="CL112" s="388" t="str">
        <f t="shared" si="85"/>
        <v/>
      </c>
      <c r="CM112" s="388" t="str">
        <f t="shared" si="86"/>
        <v/>
      </c>
      <c r="CN112" s="388" t="str">
        <f t="shared" si="87"/>
        <v>0001-00</v>
      </c>
    </row>
    <row r="113" spans="1:92" ht="15.75" thickBot="1" x14ac:dyDescent="0.3">
      <c r="A113" s="377" t="s">
        <v>162</v>
      </c>
      <c r="B113" s="377" t="s">
        <v>163</v>
      </c>
      <c r="C113" s="377" t="s">
        <v>608</v>
      </c>
      <c r="D113" s="377" t="s">
        <v>276</v>
      </c>
      <c r="E113" s="377" t="s">
        <v>417</v>
      </c>
      <c r="F113" s="383" t="s">
        <v>609</v>
      </c>
      <c r="G113" s="377" t="s">
        <v>439</v>
      </c>
      <c r="H113" s="379"/>
      <c r="I113" s="379"/>
      <c r="J113" s="377" t="s">
        <v>169</v>
      </c>
      <c r="K113" s="377" t="s">
        <v>277</v>
      </c>
      <c r="L113" s="377" t="s">
        <v>215</v>
      </c>
      <c r="M113" s="377" t="s">
        <v>172</v>
      </c>
      <c r="N113" s="377" t="s">
        <v>173</v>
      </c>
      <c r="O113" s="380">
        <v>1</v>
      </c>
      <c r="P113" s="386">
        <v>0</v>
      </c>
      <c r="Q113" s="386">
        <v>0</v>
      </c>
      <c r="R113" s="381">
        <v>80</v>
      </c>
      <c r="S113" s="386">
        <v>0</v>
      </c>
      <c r="T113" s="381">
        <v>7453.42</v>
      </c>
      <c r="U113" s="381">
        <v>0</v>
      </c>
      <c r="V113" s="381">
        <v>3429.48</v>
      </c>
      <c r="W113" s="381">
        <v>0</v>
      </c>
      <c r="X113" s="381">
        <v>0</v>
      </c>
      <c r="Y113" s="381">
        <v>0</v>
      </c>
      <c r="Z113" s="381">
        <v>0</v>
      </c>
      <c r="AA113" s="377" t="s">
        <v>610</v>
      </c>
      <c r="AB113" s="377" t="s">
        <v>611</v>
      </c>
      <c r="AC113" s="377" t="s">
        <v>331</v>
      </c>
      <c r="AD113" s="377" t="s">
        <v>316</v>
      </c>
      <c r="AE113" s="377" t="s">
        <v>277</v>
      </c>
      <c r="AF113" s="377" t="s">
        <v>231</v>
      </c>
      <c r="AG113" s="377" t="s">
        <v>179</v>
      </c>
      <c r="AH113" s="382">
        <v>22.66</v>
      </c>
      <c r="AI113" s="382">
        <v>16999.2</v>
      </c>
      <c r="AJ113" s="377" t="s">
        <v>180</v>
      </c>
      <c r="AK113" s="377" t="s">
        <v>181</v>
      </c>
      <c r="AL113" s="377" t="s">
        <v>182</v>
      </c>
      <c r="AM113" s="377" t="s">
        <v>183</v>
      </c>
      <c r="AN113" s="377" t="s">
        <v>66</v>
      </c>
      <c r="AO113" s="380">
        <v>80</v>
      </c>
      <c r="AP113" s="386">
        <v>1</v>
      </c>
      <c r="AQ113" s="386">
        <v>0</v>
      </c>
      <c r="AR113" s="384" t="s">
        <v>184</v>
      </c>
      <c r="AS113" s="388">
        <f t="shared" si="71"/>
        <v>0</v>
      </c>
      <c r="AT113">
        <f t="shared" si="72"/>
        <v>0</v>
      </c>
      <c r="AU113" s="388" t="str">
        <f>IF(AT113=0,"",IF(AND(AT113=1,M113="F",SUMIF(C2:C258,C113,AS2:AS258)&lt;=1),SUMIF(C2:C258,C113,AS2:AS258),IF(AND(AT113=1,M113="F",SUMIF(C2:C258,C113,AS2:AS258)&gt;1),1,"")))</f>
        <v/>
      </c>
      <c r="AV113" s="388" t="str">
        <f>IF(AT113=0,"",IF(AND(AT113=3,M113="F",SUMIF(C2:C258,C113,AS2:AS258)&lt;=1),SUMIF(C2:C258,C113,AS2:AS258),IF(AND(AT113=3,M113="F",SUMIF(C2:C258,C113,AS2:AS258)&gt;1),1,"")))</f>
        <v/>
      </c>
      <c r="AW113" s="388">
        <f>SUMIF(C2:C258,C113,O2:O258)</f>
        <v>3</v>
      </c>
      <c r="AX113" s="388">
        <f>IF(AND(M113="F",AS113&lt;&gt;0),SUMIF(C2:C258,C113,W2:W258),0)</f>
        <v>0</v>
      </c>
      <c r="AY113" s="388" t="str">
        <f t="shared" si="73"/>
        <v/>
      </c>
      <c r="AZ113" s="388" t="str">
        <f t="shared" si="74"/>
        <v/>
      </c>
      <c r="BA113" s="388">
        <f t="shared" si="75"/>
        <v>0</v>
      </c>
      <c r="BB113" s="388">
        <f t="shared" si="44"/>
        <v>0</v>
      </c>
      <c r="BC113" s="388">
        <f t="shared" si="45"/>
        <v>0</v>
      </c>
      <c r="BD113" s="388">
        <f t="shared" si="46"/>
        <v>0</v>
      </c>
      <c r="BE113" s="388">
        <f t="shared" si="47"/>
        <v>0</v>
      </c>
      <c r="BF113" s="388">
        <f t="shared" si="48"/>
        <v>0</v>
      </c>
      <c r="BG113" s="388">
        <f t="shared" si="49"/>
        <v>0</v>
      </c>
      <c r="BH113" s="388">
        <f t="shared" si="50"/>
        <v>0</v>
      </c>
      <c r="BI113" s="388">
        <f t="shared" si="51"/>
        <v>0</v>
      </c>
      <c r="BJ113" s="388">
        <f t="shared" si="52"/>
        <v>0</v>
      </c>
      <c r="BK113" s="388">
        <f t="shared" si="53"/>
        <v>0</v>
      </c>
      <c r="BL113" s="388">
        <f t="shared" si="76"/>
        <v>0</v>
      </c>
      <c r="BM113" s="388">
        <f t="shared" si="77"/>
        <v>0</v>
      </c>
      <c r="BN113" s="388">
        <f t="shared" si="54"/>
        <v>0</v>
      </c>
      <c r="BO113" s="388">
        <f t="shared" si="55"/>
        <v>0</v>
      </c>
      <c r="BP113" s="388">
        <f t="shared" si="56"/>
        <v>0</v>
      </c>
      <c r="BQ113" s="388">
        <f t="shared" si="57"/>
        <v>0</v>
      </c>
      <c r="BR113" s="388">
        <f t="shared" si="58"/>
        <v>0</v>
      </c>
      <c r="BS113" s="388">
        <f t="shared" si="59"/>
        <v>0</v>
      </c>
      <c r="BT113" s="388">
        <f t="shared" si="60"/>
        <v>0</v>
      </c>
      <c r="BU113" s="388">
        <f t="shared" si="61"/>
        <v>0</v>
      </c>
      <c r="BV113" s="388">
        <f t="shared" si="62"/>
        <v>0</v>
      </c>
      <c r="BW113" s="388">
        <f t="shared" si="63"/>
        <v>0</v>
      </c>
      <c r="BX113" s="388">
        <f t="shared" si="78"/>
        <v>0</v>
      </c>
      <c r="BY113" s="388">
        <f t="shared" si="79"/>
        <v>0</v>
      </c>
      <c r="BZ113" s="388">
        <f t="shared" si="80"/>
        <v>0</v>
      </c>
      <c r="CA113" s="388">
        <f t="shared" si="81"/>
        <v>0</v>
      </c>
      <c r="CB113" s="388">
        <f t="shared" si="82"/>
        <v>0</v>
      </c>
      <c r="CC113" s="388">
        <f t="shared" si="64"/>
        <v>0</v>
      </c>
      <c r="CD113" s="388">
        <f t="shared" si="65"/>
        <v>0</v>
      </c>
      <c r="CE113" s="388">
        <f t="shared" si="66"/>
        <v>0</v>
      </c>
      <c r="CF113" s="388">
        <f t="shared" si="67"/>
        <v>0</v>
      </c>
      <c r="CG113" s="388">
        <f t="shared" si="68"/>
        <v>0</v>
      </c>
      <c r="CH113" s="388">
        <f t="shared" si="69"/>
        <v>0</v>
      </c>
      <c r="CI113" s="388">
        <f t="shared" si="70"/>
        <v>0</v>
      </c>
      <c r="CJ113" s="388">
        <f t="shared" si="83"/>
        <v>0</v>
      </c>
      <c r="CK113" s="388" t="str">
        <f t="shared" si="84"/>
        <v/>
      </c>
      <c r="CL113" s="388" t="str">
        <f t="shared" si="85"/>
        <v/>
      </c>
      <c r="CM113" s="388" t="str">
        <f t="shared" si="86"/>
        <v/>
      </c>
      <c r="CN113" s="388" t="str">
        <f t="shared" si="87"/>
        <v>0325-05</v>
      </c>
    </row>
    <row r="114" spans="1:92" ht="15.75" thickBot="1" x14ac:dyDescent="0.3">
      <c r="A114" s="377" t="s">
        <v>162</v>
      </c>
      <c r="B114" s="377" t="s">
        <v>163</v>
      </c>
      <c r="C114" s="377" t="s">
        <v>612</v>
      </c>
      <c r="D114" s="377" t="s">
        <v>194</v>
      </c>
      <c r="E114" s="377" t="s">
        <v>417</v>
      </c>
      <c r="F114" s="383" t="s">
        <v>609</v>
      </c>
      <c r="G114" s="377" t="s">
        <v>439</v>
      </c>
      <c r="H114" s="379"/>
      <c r="I114" s="379"/>
      <c r="J114" s="377" t="s">
        <v>613</v>
      </c>
      <c r="K114" s="377" t="s">
        <v>195</v>
      </c>
      <c r="L114" s="377" t="s">
        <v>171</v>
      </c>
      <c r="M114" s="377" t="s">
        <v>172</v>
      </c>
      <c r="N114" s="377" t="s">
        <v>173</v>
      </c>
      <c r="O114" s="380">
        <v>1</v>
      </c>
      <c r="P114" s="386">
        <v>0</v>
      </c>
      <c r="Q114" s="386">
        <v>0</v>
      </c>
      <c r="R114" s="381">
        <v>80</v>
      </c>
      <c r="S114" s="386">
        <v>0</v>
      </c>
      <c r="T114" s="381">
        <v>173.76</v>
      </c>
      <c r="U114" s="381">
        <v>0</v>
      </c>
      <c r="V114" s="381">
        <v>73.27</v>
      </c>
      <c r="W114" s="381">
        <v>0</v>
      </c>
      <c r="X114" s="381">
        <v>0</v>
      </c>
      <c r="Y114" s="381">
        <v>0</v>
      </c>
      <c r="Z114" s="381">
        <v>0</v>
      </c>
      <c r="AA114" s="377" t="s">
        <v>614</v>
      </c>
      <c r="AB114" s="377" t="s">
        <v>615</v>
      </c>
      <c r="AC114" s="377" t="s">
        <v>416</v>
      </c>
      <c r="AD114" s="377" t="s">
        <v>560</v>
      </c>
      <c r="AE114" s="377" t="s">
        <v>195</v>
      </c>
      <c r="AF114" s="377" t="s">
        <v>178</v>
      </c>
      <c r="AG114" s="377" t="s">
        <v>179</v>
      </c>
      <c r="AH114" s="382">
        <v>30.99</v>
      </c>
      <c r="AI114" s="382">
        <v>49155.5</v>
      </c>
      <c r="AJ114" s="377" t="s">
        <v>180</v>
      </c>
      <c r="AK114" s="377" t="s">
        <v>181</v>
      </c>
      <c r="AL114" s="377" t="s">
        <v>182</v>
      </c>
      <c r="AM114" s="377" t="s">
        <v>183</v>
      </c>
      <c r="AN114" s="377" t="s">
        <v>66</v>
      </c>
      <c r="AO114" s="380">
        <v>80</v>
      </c>
      <c r="AP114" s="386">
        <v>1</v>
      </c>
      <c r="AQ114" s="386">
        <v>0</v>
      </c>
      <c r="AR114" s="384" t="s">
        <v>184</v>
      </c>
      <c r="AS114" s="388">
        <f t="shared" si="71"/>
        <v>0</v>
      </c>
      <c r="AT114">
        <f t="shared" si="72"/>
        <v>0</v>
      </c>
      <c r="AU114" s="388" t="str">
        <f>IF(AT114=0,"",IF(AND(AT114=1,M114="F",SUMIF(C2:C258,C114,AS2:AS258)&lt;=1),SUMIF(C2:C258,C114,AS2:AS258),IF(AND(AT114=1,M114="F",SUMIF(C2:C258,C114,AS2:AS258)&gt;1),1,"")))</f>
        <v/>
      </c>
      <c r="AV114" s="388" t="str">
        <f>IF(AT114=0,"",IF(AND(AT114=3,M114="F",SUMIF(C2:C258,C114,AS2:AS258)&lt;=1),SUMIF(C2:C258,C114,AS2:AS258),IF(AND(AT114=3,M114="F",SUMIF(C2:C258,C114,AS2:AS258)&gt;1),1,"")))</f>
        <v/>
      </c>
      <c r="AW114" s="388">
        <f>SUMIF(C2:C258,C114,O2:O258)</f>
        <v>4</v>
      </c>
      <c r="AX114" s="388">
        <f>IF(AND(M114="F",AS114&lt;&gt;0),SUMIF(C2:C258,C114,W2:W258),0)</f>
        <v>0</v>
      </c>
      <c r="AY114" s="388" t="str">
        <f t="shared" si="73"/>
        <v/>
      </c>
      <c r="AZ114" s="388" t="str">
        <f t="shared" si="74"/>
        <v/>
      </c>
      <c r="BA114" s="388">
        <f t="shared" si="75"/>
        <v>0</v>
      </c>
      <c r="BB114" s="388">
        <f t="shared" si="44"/>
        <v>0</v>
      </c>
      <c r="BC114" s="388">
        <f t="shared" si="45"/>
        <v>0</v>
      </c>
      <c r="BD114" s="388">
        <f t="shared" si="46"/>
        <v>0</v>
      </c>
      <c r="BE114" s="388">
        <f t="shared" si="47"/>
        <v>0</v>
      </c>
      <c r="BF114" s="388">
        <f t="shared" si="48"/>
        <v>0</v>
      </c>
      <c r="BG114" s="388">
        <f t="shared" si="49"/>
        <v>0</v>
      </c>
      <c r="BH114" s="388">
        <f t="shared" si="50"/>
        <v>0</v>
      </c>
      <c r="BI114" s="388">
        <f t="shared" si="51"/>
        <v>0</v>
      </c>
      <c r="BJ114" s="388">
        <f t="shared" si="52"/>
        <v>0</v>
      </c>
      <c r="BK114" s="388">
        <f t="shared" si="53"/>
        <v>0</v>
      </c>
      <c r="BL114" s="388">
        <f t="shared" si="76"/>
        <v>0</v>
      </c>
      <c r="BM114" s="388">
        <f t="shared" si="77"/>
        <v>0</v>
      </c>
      <c r="BN114" s="388">
        <f t="shared" si="54"/>
        <v>0</v>
      </c>
      <c r="BO114" s="388">
        <f t="shared" si="55"/>
        <v>0</v>
      </c>
      <c r="BP114" s="388">
        <f t="shared" si="56"/>
        <v>0</v>
      </c>
      <c r="BQ114" s="388">
        <f t="shared" si="57"/>
        <v>0</v>
      </c>
      <c r="BR114" s="388">
        <f t="shared" si="58"/>
        <v>0</v>
      </c>
      <c r="BS114" s="388">
        <f t="shared" si="59"/>
        <v>0</v>
      </c>
      <c r="BT114" s="388">
        <f t="shared" si="60"/>
        <v>0</v>
      </c>
      <c r="BU114" s="388">
        <f t="shared" si="61"/>
        <v>0</v>
      </c>
      <c r="BV114" s="388">
        <f t="shared" si="62"/>
        <v>0</v>
      </c>
      <c r="BW114" s="388">
        <f t="shared" si="63"/>
        <v>0</v>
      </c>
      <c r="BX114" s="388">
        <f t="shared" si="78"/>
        <v>0</v>
      </c>
      <c r="BY114" s="388">
        <f t="shared" si="79"/>
        <v>0</v>
      </c>
      <c r="BZ114" s="388">
        <f t="shared" si="80"/>
        <v>0</v>
      </c>
      <c r="CA114" s="388">
        <f t="shared" si="81"/>
        <v>0</v>
      </c>
      <c r="CB114" s="388">
        <f t="shared" si="82"/>
        <v>0</v>
      </c>
      <c r="CC114" s="388">
        <f t="shared" si="64"/>
        <v>0</v>
      </c>
      <c r="CD114" s="388">
        <f t="shared" si="65"/>
        <v>0</v>
      </c>
      <c r="CE114" s="388">
        <f t="shared" si="66"/>
        <v>0</v>
      </c>
      <c r="CF114" s="388">
        <f t="shared" si="67"/>
        <v>0</v>
      </c>
      <c r="CG114" s="388">
        <f t="shared" si="68"/>
        <v>0</v>
      </c>
      <c r="CH114" s="388">
        <f t="shared" si="69"/>
        <v>0</v>
      </c>
      <c r="CI114" s="388">
        <f t="shared" si="70"/>
        <v>0</v>
      </c>
      <c r="CJ114" s="388">
        <f t="shared" si="83"/>
        <v>0</v>
      </c>
      <c r="CK114" s="388" t="str">
        <f t="shared" si="84"/>
        <v/>
      </c>
      <c r="CL114" s="388" t="str">
        <f t="shared" si="85"/>
        <v/>
      </c>
      <c r="CM114" s="388" t="str">
        <f t="shared" si="86"/>
        <v/>
      </c>
      <c r="CN114" s="388" t="str">
        <f t="shared" si="87"/>
        <v>0325-05</v>
      </c>
    </row>
    <row r="115" spans="1:92" ht="15.75" thickBot="1" x14ac:dyDescent="0.3">
      <c r="A115" s="377" t="s">
        <v>162</v>
      </c>
      <c r="B115" s="377" t="s">
        <v>163</v>
      </c>
      <c r="C115" s="377" t="s">
        <v>616</v>
      </c>
      <c r="D115" s="377" t="s">
        <v>194</v>
      </c>
      <c r="E115" s="377" t="s">
        <v>417</v>
      </c>
      <c r="F115" s="383" t="s">
        <v>609</v>
      </c>
      <c r="G115" s="377" t="s">
        <v>439</v>
      </c>
      <c r="H115" s="379"/>
      <c r="I115" s="379"/>
      <c r="J115" s="377" t="s">
        <v>169</v>
      </c>
      <c r="K115" s="377" t="s">
        <v>226</v>
      </c>
      <c r="L115" s="377" t="s">
        <v>215</v>
      </c>
      <c r="M115" s="377" t="s">
        <v>172</v>
      </c>
      <c r="N115" s="377" t="s">
        <v>173</v>
      </c>
      <c r="O115" s="380">
        <v>1</v>
      </c>
      <c r="P115" s="386">
        <v>0</v>
      </c>
      <c r="Q115" s="386">
        <v>0</v>
      </c>
      <c r="R115" s="381">
        <v>80</v>
      </c>
      <c r="S115" s="386">
        <v>0</v>
      </c>
      <c r="T115" s="381">
        <v>6737.3</v>
      </c>
      <c r="U115" s="381">
        <v>0</v>
      </c>
      <c r="V115" s="381">
        <v>2994.67</v>
      </c>
      <c r="W115" s="381">
        <v>0</v>
      </c>
      <c r="X115" s="381">
        <v>0</v>
      </c>
      <c r="Y115" s="381">
        <v>0</v>
      </c>
      <c r="Z115" s="381">
        <v>0</v>
      </c>
      <c r="AA115" s="377" t="s">
        <v>617</v>
      </c>
      <c r="AB115" s="377" t="s">
        <v>618</v>
      </c>
      <c r="AC115" s="377" t="s">
        <v>619</v>
      </c>
      <c r="AD115" s="377" t="s">
        <v>620</v>
      </c>
      <c r="AE115" s="377" t="s">
        <v>226</v>
      </c>
      <c r="AF115" s="377" t="s">
        <v>231</v>
      </c>
      <c r="AG115" s="377" t="s">
        <v>179</v>
      </c>
      <c r="AH115" s="382">
        <v>26.73</v>
      </c>
      <c r="AI115" s="382">
        <v>12207.9</v>
      </c>
      <c r="AJ115" s="377" t="s">
        <v>180</v>
      </c>
      <c r="AK115" s="377" t="s">
        <v>181</v>
      </c>
      <c r="AL115" s="377" t="s">
        <v>182</v>
      </c>
      <c r="AM115" s="377" t="s">
        <v>183</v>
      </c>
      <c r="AN115" s="377" t="s">
        <v>66</v>
      </c>
      <c r="AO115" s="380">
        <v>80</v>
      </c>
      <c r="AP115" s="386">
        <v>1</v>
      </c>
      <c r="AQ115" s="386">
        <v>0</v>
      </c>
      <c r="AR115" s="384" t="s">
        <v>184</v>
      </c>
      <c r="AS115" s="388">
        <f t="shared" si="71"/>
        <v>0</v>
      </c>
      <c r="AT115">
        <f t="shared" si="72"/>
        <v>0</v>
      </c>
      <c r="AU115" s="388" t="str">
        <f>IF(AT115=0,"",IF(AND(AT115=1,M115="F",SUMIF(C2:C258,C115,AS2:AS258)&lt;=1),SUMIF(C2:C258,C115,AS2:AS258),IF(AND(AT115=1,M115="F",SUMIF(C2:C258,C115,AS2:AS258)&gt;1),1,"")))</f>
        <v/>
      </c>
      <c r="AV115" s="388" t="str">
        <f>IF(AT115=0,"",IF(AND(AT115=3,M115="F",SUMIF(C2:C258,C115,AS2:AS258)&lt;=1),SUMIF(C2:C258,C115,AS2:AS258),IF(AND(AT115=3,M115="F",SUMIF(C2:C258,C115,AS2:AS258)&gt;1),1,"")))</f>
        <v/>
      </c>
      <c r="AW115" s="388">
        <f>SUMIF(C2:C258,C115,O2:O258)</f>
        <v>3</v>
      </c>
      <c r="AX115" s="388">
        <f>IF(AND(M115="F",AS115&lt;&gt;0),SUMIF(C2:C258,C115,W2:W258),0)</f>
        <v>0</v>
      </c>
      <c r="AY115" s="388" t="str">
        <f t="shared" si="73"/>
        <v/>
      </c>
      <c r="AZ115" s="388" t="str">
        <f t="shared" si="74"/>
        <v/>
      </c>
      <c r="BA115" s="388">
        <f t="shared" si="75"/>
        <v>0</v>
      </c>
      <c r="BB115" s="388">
        <f t="shared" si="44"/>
        <v>0</v>
      </c>
      <c r="BC115" s="388">
        <f t="shared" si="45"/>
        <v>0</v>
      </c>
      <c r="BD115" s="388">
        <f t="shared" si="46"/>
        <v>0</v>
      </c>
      <c r="BE115" s="388">
        <f t="shared" si="47"/>
        <v>0</v>
      </c>
      <c r="BF115" s="388">
        <f t="shared" si="48"/>
        <v>0</v>
      </c>
      <c r="BG115" s="388">
        <f t="shared" si="49"/>
        <v>0</v>
      </c>
      <c r="BH115" s="388">
        <f t="shared" si="50"/>
        <v>0</v>
      </c>
      <c r="BI115" s="388">
        <f t="shared" si="51"/>
        <v>0</v>
      </c>
      <c r="BJ115" s="388">
        <f t="shared" si="52"/>
        <v>0</v>
      </c>
      <c r="BK115" s="388">
        <f t="shared" si="53"/>
        <v>0</v>
      </c>
      <c r="BL115" s="388">
        <f t="shared" si="76"/>
        <v>0</v>
      </c>
      <c r="BM115" s="388">
        <f t="shared" si="77"/>
        <v>0</v>
      </c>
      <c r="BN115" s="388">
        <f t="shared" si="54"/>
        <v>0</v>
      </c>
      <c r="BO115" s="388">
        <f t="shared" si="55"/>
        <v>0</v>
      </c>
      <c r="BP115" s="388">
        <f t="shared" si="56"/>
        <v>0</v>
      </c>
      <c r="BQ115" s="388">
        <f t="shared" si="57"/>
        <v>0</v>
      </c>
      <c r="BR115" s="388">
        <f t="shared" si="58"/>
        <v>0</v>
      </c>
      <c r="BS115" s="388">
        <f t="shared" si="59"/>
        <v>0</v>
      </c>
      <c r="BT115" s="388">
        <f t="shared" si="60"/>
        <v>0</v>
      </c>
      <c r="BU115" s="388">
        <f t="shared" si="61"/>
        <v>0</v>
      </c>
      <c r="BV115" s="388">
        <f t="shared" si="62"/>
        <v>0</v>
      </c>
      <c r="BW115" s="388">
        <f t="shared" si="63"/>
        <v>0</v>
      </c>
      <c r="BX115" s="388">
        <f t="shared" si="78"/>
        <v>0</v>
      </c>
      <c r="BY115" s="388">
        <f t="shared" si="79"/>
        <v>0</v>
      </c>
      <c r="BZ115" s="388">
        <f t="shared" si="80"/>
        <v>0</v>
      </c>
      <c r="CA115" s="388">
        <f t="shared" si="81"/>
        <v>0</v>
      </c>
      <c r="CB115" s="388">
        <f t="shared" si="82"/>
        <v>0</v>
      </c>
      <c r="CC115" s="388">
        <f t="shared" si="64"/>
        <v>0</v>
      </c>
      <c r="CD115" s="388">
        <f t="shared" si="65"/>
        <v>0</v>
      </c>
      <c r="CE115" s="388">
        <f t="shared" si="66"/>
        <v>0</v>
      </c>
      <c r="CF115" s="388">
        <f t="shared" si="67"/>
        <v>0</v>
      </c>
      <c r="CG115" s="388">
        <f t="shared" si="68"/>
        <v>0</v>
      </c>
      <c r="CH115" s="388">
        <f t="shared" si="69"/>
        <v>0</v>
      </c>
      <c r="CI115" s="388">
        <f t="shared" si="70"/>
        <v>0</v>
      </c>
      <c r="CJ115" s="388">
        <f t="shared" si="83"/>
        <v>0</v>
      </c>
      <c r="CK115" s="388" t="str">
        <f t="shared" si="84"/>
        <v/>
      </c>
      <c r="CL115" s="388" t="str">
        <f t="shared" si="85"/>
        <v/>
      </c>
      <c r="CM115" s="388" t="str">
        <f t="shared" si="86"/>
        <v/>
      </c>
      <c r="CN115" s="388" t="str">
        <f t="shared" si="87"/>
        <v>0325-05</v>
      </c>
    </row>
    <row r="116" spans="1:92" ht="15.75" thickBot="1" x14ac:dyDescent="0.3">
      <c r="A116" s="377" t="s">
        <v>162</v>
      </c>
      <c r="B116" s="377" t="s">
        <v>163</v>
      </c>
      <c r="C116" s="377" t="s">
        <v>405</v>
      </c>
      <c r="D116" s="377" t="s">
        <v>251</v>
      </c>
      <c r="E116" s="377" t="s">
        <v>417</v>
      </c>
      <c r="F116" s="383" t="s">
        <v>609</v>
      </c>
      <c r="G116" s="377" t="s">
        <v>439</v>
      </c>
      <c r="H116" s="379"/>
      <c r="I116" s="379"/>
      <c r="J116" s="377" t="s">
        <v>283</v>
      </c>
      <c r="K116" s="377" t="s">
        <v>252</v>
      </c>
      <c r="L116" s="377" t="s">
        <v>179</v>
      </c>
      <c r="M116" s="377" t="s">
        <v>172</v>
      </c>
      <c r="N116" s="377" t="s">
        <v>173</v>
      </c>
      <c r="O116" s="380">
        <v>1</v>
      </c>
      <c r="P116" s="386">
        <v>0</v>
      </c>
      <c r="Q116" s="386">
        <v>0</v>
      </c>
      <c r="R116" s="381">
        <v>80</v>
      </c>
      <c r="S116" s="386">
        <v>0</v>
      </c>
      <c r="T116" s="381">
        <v>70.64</v>
      </c>
      <c r="U116" s="381">
        <v>0</v>
      </c>
      <c r="V116" s="381">
        <v>38.71</v>
      </c>
      <c r="W116" s="381">
        <v>0</v>
      </c>
      <c r="X116" s="381">
        <v>0</v>
      </c>
      <c r="Y116" s="381">
        <v>0</v>
      </c>
      <c r="Z116" s="381">
        <v>0</v>
      </c>
      <c r="AA116" s="377" t="s">
        <v>406</v>
      </c>
      <c r="AB116" s="377" t="s">
        <v>407</v>
      </c>
      <c r="AC116" s="377" t="s">
        <v>408</v>
      </c>
      <c r="AD116" s="377" t="s">
        <v>316</v>
      </c>
      <c r="AE116" s="377" t="s">
        <v>252</v>
      </c>
      <c r="AF116" s="377" t="s">
        <v>257</v>
      </c>
      <c r="AG116" s="377" t="s">
        <v>179</v>
      </c>
      <c r="AH116" s="382">
        <v>17.829999999999998</v>
      </c>
      <c r="AI116" s="380">
        <v>440</v>
      </c>
      <c r="AJ116" s="377" t="s">
        <v>180</v>
      </c>
      <c r="AK116" s="377" t="s">
        <v>181</v>
      </c>
      <c r="AL116" s="377" t="s">
        <v>182</v>
      </c>
      <c r="AM116" s="377" t="s">
        <v>183</v>
      </c>
      <c r="AN116" s="377" t="s">
        <v>66</v>
      </c>
      <c r="AO116" s="380">
        <v>80</v>
      </c>
      <c r="AP116" s="386">
        <v>1</v>
      </c>
      <c r="AQ116" s="386">
        <v>0</v>
      </c>
      <c r="AR116" s="384" t="s">
        <v>184</v>
      </c>
      <c r="AS116" s="388">
        <f t="shared" si="71"/>
        <v>0</v>
      </c>
      <c r="AT116">
        <f t="shared" si="72"/>
        <v>0</v>
      </c>
      <c r="AU116" s="388" t="str">
        <f>IF(AT116=0,"",IF(AND(AT116=1,M116="F",SUMIF(C2:C258,C116,AS2:AS258)&lt;=1),SUMIF(C2:C258,C116,AS2:AS258),IF(AND(AT116=1,M116="F",SUMIF(C2:C258,C116,AS2:AS258)&gt;1),1,"")))</f>
        <v/>
      </c>
      <c r="AV116" s="388" t="str">
        <f>IF(AT116=0,"",IF(AND(AT116=3,M116="F",SUMIF(C2:C258,C116,AS2:AS258)&lt;=1),SUMIF(C2:C258,C116,AS2:AS258),IF(AND(AT116=3,M116="F",SUMIF(C2:C258,C116,AS2:AS258)&gt;1),1,"")))</f>
        <v/>
      </c>
      <c r="AW116" s="388">
        <f>SUMIF(C2:C258,C116,O2:O258)</f>
        <v>6</v>
      </c>
      <c r="AX116" s="388">
        <f>IF(AND(M116="F",AS116&lt;&gt;0),SUMIF(C2:C258,C116,W2:W258),0)</f>
        <v>0</v>
      </c>
      <c r="AY116" s="388" t="str">
        <f t="shared" si="73"/>
        <v/>
      </c>
      <c r="AZ116" s="388" t="str">
        <f t="shared" si="74"/>
        <v/>
      </c>
      <c r="BA116" s="388">
        <f t="shared" si="75"/>
        <v>0</v>
      </c>
      <c r="BB116" s="388">
        <f t="shared" si="44"/>
        <v>0</v>
      </c>
      <c r="BC116" s="388">
        <f t="shared" si="45"/>
        <v>0</v>
      </c>
      <c r="BD116" s="388">
        <f t="shared" si="46"/>
        <v>0</v>
      </c>
      <c r="BE116" s="388">
        <f t="shared" si="47"/>
        <v>0</v>
      </c>
      <c r="BF116" s="388">
        <f t="shared" si="48"/>
        <v>0</v>
      </c>
      <c r="BG116" s="388">
        <f t="shared" si="49"/>
        <v>0</v>
      </c>
      <c r="BH116" s="388">
        <f t="shared" si="50"/>
        <v>0</v>
      </c>
      <c r="BI116" s="388">
        <f t="shared" si="51"/>
        <v>0</v>
      </c>
      <c r="BJ116" s="388">
        <f t="shared" si="52"/>
        <v>0</v>
      </c>
      <c r="BK116" s="388">
        <f t="shared" si="53"/>
        <v>0</v>
      </c>
      <c r="BL116" s="388">
        <f t="shared" si="76"/>
        <v>0</v>
      </c>
      <c r="BM116" s="388">
        <f t="shared" si="77"/>
        <v>0</v>
      </c>
      <c r="BN116" s="388">
        <f t="shared" si="54"/>
        <v>0</v>
      </c>
      <c r="BO116" s="388">
        <f t="shared" si="55"/>
        <v>0</v>
      </c>
      <c r="BP116" s="388">
        <f t="shared" si="56"/>
        <v>0</v>
      </c>
      <c r="BQ116" s="388">
        <f t="shared" si="57"/>
        <v>0</v>
      </c>
      <c r="BR116" s="388">
        <f t="shared" si="58"/>
        <v>0</v>
      </c>
      <c r="BS116" s="388">
        <f t="shared" si="59"/>
        <v>0</v>
      </c>
      <c r="BT116" s="388">
        <f t="shared" si="60"/>
        <v>0</v>
      </c>
      <c r="BU116" s="388">
        <f t="shared" si="61"/>
        <v>0</v>
      </c>
      <c r="BV116" s="388">
        <f t="shared" si="62"/>
        <v>0</v>
      </c>
      <c r="BW116" s="388">
        <f t="shared" si="63"/>
        <v>0</v>
      </c>
      <c r="BX116" s="388">
        <f t="shared" si="78"/>
        <v>0</v>
      </c>
      <c r="BY116" s="388">
        <f t="shared" si="79"/>
        <v>0</v>
      </c>
      <c r="BZ116" s="388">
        <f t="shared" si="80"/>
        <v>0</v>
      </c>
      <c r="CA116" s="388">
        <f t="shared" si="81"/>
        <v>0</v>
      </c>
      <c r="CB116" s="388">
        <f t="shared" si="82"/>
        <v>0</v>
      </c>
      <c r="CC116" s="388">
        <f t="shared" si="64"/>
        <v>0</v>
      </c>
      <c r="CD116" s="388">
        <f t="shared" si="65"/>
        <v>0</v>
      </c>
      <c r="CE116" s="388">
        <f t="shared" si="66"/>
        <v>0</v>
      </c>
      <c r="CF116" s="388">
        <f t="shared" si="67"/>
        <v>0</v>
      </c>
      <c r="CG116" s="388">
        <f t="shared" si="68"/>
        <v>0</v>
      </c>
      <c r="CH116" s="388">
        <f t="shared" si="69"/>
        <v>0</v>
      </c>
      <c r="CI116" s="388">
        <f t="shared" si="70"/>
        <v>0</v>
      </c>
      <c r="CJ116" s="388">
        <f t="shared" si="83"/>
        <v>0</v>
      </c>
      <c r="CK116" s="388" t="str">
        <f t="shared" si="84"/>
        <v/>
      </c>
      <c r="CL116" s="388" t="str">
        <f t="shared" si="85"/>
        <v/>
      </c>
      <c r="CM116" s="388" t="str">
        <f t="shared" si="86"/>
        <v/>
      </c>
      <c r="CN116" s="388" t="str">
        <f t="shared" si="87"/>
        <v>0325-05</v>
      </c>
    </row>
    <row r="117" spans="1:92" ht="15.75" thickBot="1" x14ac:dyDescent="0.3">
      <c r="A117" s="377" t="s">
        <v>162</v>
      </c>
      <c r="B117" s="377" t="s">
        <v>163</v>
      </c>
      <c r="C117" s="377" t="s">
        <v>546</v>
      </c>
      <c r="D117" s="377" t="s">
        <v>282</v>
      </c>
      <c r="E117" s="377" t="s">
        <v>417</v>
      </c>
      <c r="F117" s="383" t="s">
        <v>609</v>
      </c>
      <c r="G117" s="377" t="s">
        <v>439</v>
      </c>
      <c r="H117" s="379"/>
      <c r="I117" s="379"/>
      <c r="J117" s="377" t="s">
        <v>547</v>
      </c>
      <c r="K117" s="377" t="s">
        <v>244</v>
      </c>
      <c r="L117" s="377" t="s">
        <v>167</v>
      </c>
      <c r="M117" s="377" t="s">
        <v>172</v>
      </c>
      <c r="N117" s="377" t="s">
        <v>173</v>
      </c>
      <c r="O117" s="380">
        <v>1</v>
      </c>
      <c r="P117" s="386">
        <v>0</v>
      </c>
      <c r="Q117" s="386">
        <v>0</v>
      </c>
      <c r="R117" s="381">
        <v>80</v>
      </c>
      <c r="S117" s="386">
        <v>0</v>
      </c>
      <c r="T117" s="381">
        <v>2388.7800000000002</v>
      </c>
      <c r="U117" s="381">
        <v>0</v>
      </c>
      <c r="V117" s="381">
        <v>686.93</v>
      </c>
      <c r="W117" s="381">
        <v>0</v>
      </c>
      <c r="X117" s="381">
        <v>0</v>
      </c>
      <c r="Y117" s="381">
        <v>0</v>
      </c>
      <c r="Z117" s="381">
        <v>0</v>
      </c>
      <c r="AA117" s="377" t="s">
        <v>548</v>
      </c>
      <c r="AB117" s="377" t="s">
        <v>549</v>
      </c>
      <c r="AC117" s="377" t="s">
        <v>550</v>
      </c>
      <c r="AD117" s="377" t="s">
        <v>211</v>
      </c>
      <c r="AE117" s="377" t="s">
        <v>244</v>
      </c>
      <c r="AF117" s="377" t="s">
        <v>207</v>
      </c>
      <c r="AG117" s="377" t="s">
        <v>179</v>
      </c>
      <c r="AH117" s="382">
        <v>46.01</v>
      </c>
      <c r="AI117" s="382">
        <v>45530.2</v>
      </c>
      <c r="AJ117" s="377" t="s">
        <v>180</v>
      </c>
      <c r="AK117" s="377" t="s">
        <v>181</v>
      </c>
      <c r="AL117" s="377" t="s">
        <v>182</v>
      </c>
      <c r="AM117" s="377" t="s">
        <v>183</v>
      </c>
      <c r="AN117" s="377" t="s">
        <v>66</v>
      </c>
      <c r="AO117" s="380">
        <v>80</v>
      </c>
      <c r="AP117" s="386">
        <v>1</v>
      </c>
      <c r="AQ117" s="386">
        <v>0</v>
      </c>
      <c r="AR117" s="384" t="s">
        <v>184</v>
      </c>
      <c r="AS117" s="388">
        <f t="shared" si="71"/>
        <v>0</v>
      </c>
      <c r="AT117">
        <f t="shared" si="72"/>
        <v>0</v>
      </c>
      <c r="AU117" s="388" t="str">
        <f>IF(AT117=0,"",IF(AND(AT117=1,M117="F",SUMIF(C2:C258,C117,AS2:AS258)&lt;=1),SUMIF(C2:C258,C117,AS2:AS258),IF(AND(AT117=1,M117="F",SUMIF(C2:C258,C117,AS2:AS258)&gt;1),1,"")))</f>
        <v/>
      </c>
      <c r="AV117" s="388" t="str">
        <f>IF(AT117=0,"",IF(AND(AT117=3,M117="F",SUMIF(C2:C258,C117,AS2:AS258)&lt;=1),SUMIF(C2:C258,C117,AS2:AS258),IF(AND(AT117=3,M117="F",SUMIF(C2:C258,C117,AS2:AS258)&gt;1),1,"")))</f>
        <v/>
      </c>
      <c r="AW117" s="388">
        <f>SUMIF(C2:C258,C117,O2:O258)</f>
        <v>5</v>
      </c>
      <c r="AX117" s="388">
        <f>IF(AND(M117="F",AS117&lt;&gt;0),SUMIF(C2:C258,C117,W2:W258),0)</f>
        <v>0</v>
      </c>
      <c r="AY117" s="388" t="str">
        <f t="shared" si="73"/>
        <v/>
      </c>
      <c r="AZ117" s="388" t="str">
        <f t="shared" si="74"/>
        <v/>
      </c>
      <c r="BA117" s="388">
        <f t="shared" si="75"/>
        <v>0</v>
      </c>
      <c r="BB117" s="388">
        <f t="shared" si="44"/>
        <v>0</v>
      </c>
      <c r="BC117" s="388">
        <f t="shared" si="45"/>
        <v>0</v>
      </c>
      <c r="BD117" s="388">
        <f t="shared" si="46"/>
        <v>0</v>
      </c>
      <c r="BE117" s="388">
        <f t="shared" si="47"/>
        <v>0</v>
      </c>
      <c r="BF117" s="388">
        <f t="shared" si="48"/>
        <v>0</v>
      </c>
      <c r="BG117" s="388">
        <f t="shared" si="49"/>
        <v>0</v>
      </c>
      <c r="BH117" s="388">
        <f t="shared" si="50"/>
        <v>0</v>
      </c>
      <c r="BI117" s="388">
        <f t="shared" si="51"/>
        <v>0</v>
      </c>
      <c r="BJ117" s="388">
        <f t="shared" si="52"/>
        <v>0</v>
      </c>
      <c r="BK117" s="388">
        <f t="shared" si="53"/>
        <v>0</v>
      </c>
      <c r="BL117" s="388">
        <f t="shared" si="76"/>
        <v>0</v>
      </c>
      <c r="BM117" s="388">
        <f t="shared" si="77"/>
        <v>0</v>
      </c>
      <c r="BN117" s="388">
        <f t="shared" si="54"/>
        <v>0</v>
      </c>
      <c r="BO117" s="388">
        <f t="shared" si="55"/>
        <v>0</v>
      </c>
      <c r="BP117" s="388">
        <f t="shared" si="56"/>
        <v>0</v>
      </c>
      <c r="BQ117" s="388">
        <f t="shared" si="57"/>
        <v>0</v>
      </c>
      <c r="BR117" s="388">
        <f t="shared" si="58"/>
        <v>0</v>
      </c>
      <c r="BS117" s="388">
        <f t="shared" si="59"/>
        <v>0</v>
      </c>
      <c r="BT117" s="388">
        <f t="shared" si="60"/>
        <v>0</v>
      </c>
      <c r="BU117" s="388">
        <f t="shared" si="61"/>
        <v>0</v>
      </c>
      <c r="BV117" s="388">
        <f t="shared" si="62"/>
        <v>0</v>
      </c>
      <c r="BW117" s="388">
        <f t="shared" si="63"/>
        <v>0</v>
      </c>
      <c r="BX117" s="388">
        <f t="shared" si="78"/>
        <v>0</v>
      </c>
      <c r="BY117" s="388">
        <f t="shared" si="79"/>
        <v>0</v>
      </c>
      <c r="BZ117" s="388">
        <f t="shared" si="80"/>
        <v>0</v>
      </c>
      <c r="CA117" s="388">
        <f t="shared" si="81"/>
        <v>0</v>
      </c>
      <c r="CB117" s="388">
        <f t="shared" si="82"/>
        <v>0</v>
      </c>
      <c r="CC117" s="388">
        <f t="shared" si="64"/>
        <v>0</v>
      </c>
      <c r="CD117" s="388">
        <f t="shared" si="65"/>
        <v>0</v>
      </c>
      <c r="CE117" s="388">
        <f t="shared" si="66"/>
        <v>0</v>
      </c>
      <c r="CF117" s="388">
        <f t="shared" si="67"/>
        <v>0</v>
      </c>
      <c r="CG117" s="388">
        <f t="shared" si="68"/>
        <v>0</v>
      </c>
      <c r="CH117" s="388">
        <f t="shared" si="69"/>
        <v>0</v>
      </c>
      <c r="CI117" s="388">
        <f t="shared" si="70"/>
        <v>0</v>
      </c>
      <c r="CJ117" s="388">
        <f t="shared" si="83"/>
        <v>0</v>
      </c>
      <c r="CK117" s="388" t="str">
        <f t="shared" si="84"/>
        <v/>
      </c>
      <c r="CL117" s="388" t="str">
        <f t="shared" si="85"/>
        <v/>
      </c>
      <c r="CM117" s="388" t="str">
        <f t="shared" si="86"/>
        <v/>
      </c>
      <c r="CN117" s="388" t="str">
        <f t="shared" si="87"/>
        <v>0325-05</v>
      </c>
    </row>
    <row r="118" spans="1:92" ht="15.75" thickBot="1" x14ac:dyDescent="0.3">
      <c r="A118" s="377" t="s">
        <v>162</v>
      </c>
      <c r="B118" s="377" t="s">
        <v>163</v>
      </c>
      <c r="C118" s="377" t="s">
        <v>621</v>
      </c>
      <c r="D118" s="377" t="s">
        <v>300</v>
      </c>
      <c r="E118" s="377" t="s">
        <v>417</v>
      </c>
      <c r="F118" s="383" t="s">
        <v>609</v>
      </c>
      <c r="G118" s="377" t="s">
        <v>439</v>
      </c>
      <c r="H118" s="379"/>
      <c r="I118" s="379"/>
      <c r="J118" s="377" t="s">
        <v>219</v>
      </c>
      <c r="K118" s="377" t="s">
        <v>301</v>
      </c>
      <c r="L118" s="377" t="s">
        <v>167</v>
      </c>
      <c r="M118" s="377" t="s">
        <v>172</v>
      </c>
      <c r="N118" s="377" t="s">
        <v>173</v>
      </c>
      <c r="O118" s="380">
        <v>1</v>
      </c>
      <c r="P118" s="386">
        <v>0</v>
      </c>
      <c r="Q118" s="386">
        <v>0</v>
      </c>
      <c r="R118" s="381">
        <v>80</v>
      </c>
      <c r="S118" s="386">
        <v>0</v>
      </c>
      <c r="T118" s="381">
        <v>12232.42</v>
      </c>
      <c r="U118" s="381">
        <v>0</v>
      </c>
      <c r="V118" s="381">
        <v>4572.3100000000004</v>
      </c>
      <c r="W118" s="381">
        <v>0</v>
      </c>
      <c r="X118" s="381">
        <v>0</v>
      </c>
      <c r="Y118" s="381">
        <v>0</v>
      </c>
      <c r="Z118" s="381">
        <v>0</v>
      </c>
      <c r="AA118" s="377" t="s">
        <v>622</v>
      </c>
      <c r="AB118" s="377" t="s">
        <v>623</v>
      </c>
      <c r="AC118" s="377" t="s">
        <v>624</v>
      </c>
      <c r="AD118" s="377" t="s">
        <v>574</v>
      </c>
      <c r="AE118" s="377" t="s">
        <v>301</v>
      </c>
      <c r="AF118" s="377" t="s">
        <v>207</v>
      </c>
      <c r="AG118" s="377" t="s">
        <v>179</v>
      </c>
      <c r="AH118" s="382">
        <v>36.22</v>
      </c>
      <c r="AI118" s="382">
        <v>24908.6</v>
      </c>
      <c r="AJ118" s="377" t="s">
        <v>180</v>
      </c>
      <c r="AK118" s="377" t="s">
        <v>181</v>
      </c>
      <c r="AL118" s="377" t="s">
        <v>182</v>
      </c>
      <c r="AM118" s="377" t="s">
        <v>183</v>
      </c>
      <c r="AN118" s="377" t="s">
        <v>66</v>
      </c>
      <c r="AO118" s="380">
        <v>80</v>
      </c>
      <c r="AP118" s="386">
        <v>1</v>
      </c>
      <c r="AQ118" s="386">
        <v>0</v>
      </c>
      <c r="AR118" s="384" t="s">
        <v>184</v>
      </c>
      <c r="AS118" s="388">
        <f t="shared" si="71"/>
        <v>0</v>
      </c>
      <c r="AT118">
        <f t="shared" si="72"/>
        <v>0</v>
      </c>
      <c r="AU118" s="388" t="str">
        <f>IF(AT118=0,"",IF(AND(AT118=1,M118="F",SUMIF(C2:C258,C118,AS2:AS258)&lt;=1),SUMIF(C2:C258,C118,AS2:AS258),IF(AND(AT118=1,M118="F",SUMIF(C2:C258,C118,AS2:AS258)&gt;1),1,"")))</f>
        <v/>
      </c>
      <c r="AV118" s="388" t="str">
        <f>IF(AT118=0,"",IF(AND(AT118=3,M118="F",SUMIF(C2:C258,C118,AS2:AS258)&lt;=1),SUMIF(C2:C258,C118,AS2:AS258),IF(AND(AT118=3,M118="F",SUMIF(C2:C258,C118,AS2:AS258)&gt;1),1,"")))</f>
        <v/>
      </c>
      <c r="AW118" s="388">
        <f>SUMIF(C2:C258,C118,O2:O258)</f>
        <v>2</v>
      </c>
      <c r="AX118" s="388">
        <f>IF(AND(M118="F",AS118&lt;&gt;0),SUMIF(C2:C258,C118,W2:W258),0)</f>
        <v>0</v>
      </c>
      <c r="AY118" s="388" t="str">
        <f t="shared" si="73"/>
        <v/>
      </c>
      <c r="AZ118" s="388" t="str">
        <f t="shared" si="74"/>
        <v/>
      </c>
      <c r="BA118" s="388">
        <f t="shared" si="75"/>
        <v>0</v>
      </c>
      <c r="BB118" s="388">
        <f t="shared" si="44"/>
        <v>0</v>
      </c>
      <c r="BC118" s="388">
        <f t="shared" si="45"/>
        <v>0</v>
      </c>
      <c r="BD118" s="388">
        <f t="shared" si="46"/>
        <v>0</v>
      </c>
      <c r="BE118" s="388">
        <f t="shared" si="47"/>
        <v>0</v>
      </c>
      <c r="BF118" s="388">
        <f t="shared" si="48"/>
        <v>0</v>
      </c>
      <c r="BG118" s="388">
        <f t="shared" si="49"/>
        <v>0</v>
      </c>
      <c r="BH118" s="388">
        <f t="shared" si="50"/>
        <v>0</v>
      </c>
      <c r="BI118" s="388">
        <f t="shared" si="51"/>
        <v>0</v>
      </c>
      <c r="BJ118" s="388">
        <f t="shared" si="52"/>
        <v>0</v>
      </c>
      <c r="BK118" s="388">
        <f t="shared" si="53"/>
        <v>0</v>
      </c>
      <c r="BL118" s="388">
        <f t="shared" si="76"/>
        <v>0</v>
      </c>
      <c r="BM118" s="388">
        <f t="shared" si="77"/>
        <v>0</v>
      </c>
      <c r="BN118" s="388">
        <f t="shared" si="54"/>
        <v>0</v>
      </c>
      <c r="BO118" s="388">
        <f t="shared" si="55"/>
        <v>0</v>
      </c>
      <c r="BP118" s="388">
        <f t="shared" si="56"/>
        <v>0</v>
      </c>
      <c r="BQ118" s="388">
        <f t="shared" si="57"/>
        <v>0</v>
      </c>
      <c r="BR118" s="388">
        <f t="shared" si="58"/>
        <v>0</v>
      </c>
      <c r="BS118" s="388">
        <f t="shared" si="59"/>
        <v>0</v>
      </c>
      <c r="BT118" s="388">
        <f t="shared" si="60"/>
        <v>0</v>
      </c>
      <c r="BU118" s="388">
        <f t="shared" si="61"/>
        <v>0</v>
      </c>
      <c r="BV118" s="388">
        <f t="shared" si="62"/>
        <v>0</v>
      </c>
      <c r="BW118" s="388">
        <f t="shared" si="63"/>
        <v>0</v>
      </c>
      <c r="BX118" s="388">
        <f t="shared" si="78"/>
        <v>0</v>
      </c>
      <c r="BY118" s="388">
        <f t="shared" si="79"/>
        <v>0</v>
      </c>
      <c r="BZ118" s="388">
        <f t="shared" si="80"/>
        <v>0</v>
      </c>
      <c r="CA118" s="388">
        <f t="shared" si="81"/>
        <v>0</v>
      </c>
      <c r="CB118" s="388">
        <f t="shared" si="82"/>
        <v>0</v>
      </c>
      <c r="CC118" s="388">
        <f t="shared" si="64"/>
        <v>0</v>
      </c>
      <c r="CD118" s="388">
        <f t="shared" si="65"/>
        <v>0</v>
      </c>
      <c r="CE118" s="388">
        <f t="shared" si="66"/>
        <v>0</v>
      </c>
      <c r="CF118" s="388">
        <f t="shared" si="67"/>
        <v>0</v>
      </c>
      <c r="CG118" s="388">
        <f t="shared" si="68"/>
        <v>0</v>
      </c>
      <c r="CH118" s="388">
        <f t="shared" si="69"/>
        <v>0</v>
      </c>
      <c r="CI118" s="388">
        <f t="shared" si="70"/>
        <v>0</v>
      </c>
      <c r="CJ118" s="388">
        <f t="shared" si="83"/>
        <v>0</v>
      </c>
      <c r="CK118" s="388" t="str">
        <f t="shared" si="84"/>
        <v/>
      </c>
      <c r="CL118" s="388" t="str">
        <f t="shared" si="85"/>
        <v/>
      </c>
      <c r="CM118" s="388" t="str">
        <f t="shared" si="86"/>
        <v/>
      </c>
      <c r="CN118" s="388" t="str">
        <f t="shared" si="87"/>
        <v>0325-05</v>
      </c>
    </row>
    <row r="119" spans="1:92" ht="15.75" thickBot="1" x14ac:dyDescent="0.3">
      <c r="A119" s="377" t="s">
        <v>162</v>
      </c>
      <c r="B119" s="377" t="s">
        <v>163</v>
      </c>
      <c r="C119" s="377" t="s">
        <v>575</v>
      </c>
      <c r="D119" s="377" t="s">
        <v>276</v>
      </c>
      <c r="E119" s="377" t="s">
        <v>417</v>
      </c>
      <c r="F119" s="383" t="s">
        <v>625</v>
      </c>
      <c r="G119" s="377" t="s">
        <v>439</v>
      </c>
      <c r="H119" s="379"/>
      <c r="I119" s="379"/>
      <c r="J119" s="377" t="s">
        <v>169</v>
      </c>
      <c r="K119" s="377" t="s">
        <v>277</v>
      </c>
      <c r="L119" s="377" t="s">
        <v>215</v>
      </c>
      <c r="M119" s="377" t="s">
        <v>172</v>
      </c>
      <c r="N119" s="377" t="s">
        <v>173</v>
      </c>
      <c r="O119" s="380">
        <v>1</v>
      </c>
      <c r="P119" s="386">
        <v>0.6</v>
      </c>
      <c r="Q119" s="386">
        <v>0.6</v>
      </c>
      <c r="R119" s="381">
        <v>80</v>
      </c>
      <c r="S119" s="386">
        <v>0.6</v>
      </c>
      <c r="T119" s="381">
        <v>0</v>
      </c>
      <c r="U119" s="381">
        <v>0</v>
      </c>
      <c r="V119" s="381">
        <v>0</v>
      </c>
      <c r="W119" s="381">
        <v>28604.16</v>
      </c>
      <c r="X119" s="381">
        <v>13409.88</v>
      </c>
      <c r="Y119" s="381">
        <v>28604.16</v>
      </c>
      <c r="Z119" s="381">
        <v>13953.93</v>
      </c>
      <c r="AA119" s="377" t="s">
        <v>576</v>
      </c>
      <c r="AB119" s="377" t="s">
        <v>577</v>
      </c>
      <c r="AC119" s="377" t="s">
        <v>578</v>
      </c>
      <c r="AD119" s="377" t="s">
        <v>579</v>
      </c>
      <c r="AE119" s="377" t="s">
        <v>277</v>
      </c>
      <c r="AF119" s="377" t="s">
        <v>231</v>
      </c>
      <c r="AG119" s="377" t="s">
        <v>179</v>
      </c>
      <c r="AH119" s="382">
        <v>22.92</v>
      </c>
      <c r="AI119" s="382">
        <v>15528.3</v>
      </c>
      <c r="AJ119" s="377" t="s">
        <v>180</v>
      </c>
      <c r="AK119" s="377" t="s">
        <v>181</v>
      </c>
      <c r="AL119" s="377" t="s">
        <v>182</v>
      </c>
      <c r="AM119" s="377" t="s">
        <v>183</v>
      </c>
      <c r="AN119" s="377" t="s">
        <v>66</v>
      </c>
      <c r="AO119" s="380">
        <v>80</v>
      </c>
      <c r="AP119" s="386">
        <v>1</v>
      </c>
      <c r="AQ119" s="386">
        <v>0.6</v>
      </c>
      <c r="AR119" s="384" t="s">
        <v>184</v>
      </c>
      <c r="AS119" s="388">
        <f t="shared" si="71"/>
        <v>0.6</v>
      </c>
      <c r="AT119">
        <f t="shared" si="72"/>
        <v>1</v>
      </c>
      <c r="AU119" s="388">
        <f>IF(AT119=0,"",IF(AND(AT119=1,M119="F",SUMIF(C2:C258,C119,AS2:AS258)&lt;=1),SUMIF(C2:C258,C119,AS2:AS258),IF(AND(AT119=1,M119="F",SUMIF(C2:C258,C119,AS2:AS258)&gt;1),1,"")))</f>
        <v>1</v>
      </c>
      <c r="AV119" s="388" t="str">
        <f>IF(AT119=0,"",IF(AND(AT119=3,M119="F",SUMIF(C2:C258,C119,AS2:AS258)&lt;=1),SUMIF(C2:C258,C119,AS2:AS258),IF(AND(AT119=3,M119="F",SUMIF(C2:C258,C119,AS2:AS258)&gt;1),1,"")))</f>
        <v/>
      </c>
      <c r="AW119" s="388">
        <f>SUMIF(C2:C258,C119,O2:O258)</f>
        <v>2</v>
      </c>
      <c r="AX119" s="388">
        <f>IF(AND(M119="F",AS119&lt;&gt;0),SUMIF(C2:C258,C119,W2:W258),0)</f>
        <v>47673.599999999999</v>
      </c>
      <c r="AY119" s="388">
        <f t="shared" si="73"/>
        <v>28604.16</v>
      </c>
      <c r="AZ119" s="388" t="str">
        <f t="shared" si="74"/>
        <v/>
      </c>
      <c r="BA119" s="388">
        <f t="shared" si="75"/>
        <v>0</v>
      </c>
      <c r="BB119" s="388">
        <f t="shared" si="44"/>
        <v>7500</v>
      </c>
      <c r="BC119" s="388">
        <f t="shared" si="45"/>
        <v>0</v>
      </c>
      <c r="BD119" s="388">
        <f t="shared" si="46"/>
        <v>1773.4579200000001</v>
      </c>
      <c r="BE119" s="388">
        <f t="shared" si="47"/>
        <v>414.76032000000004</v>
      </c>
      <c r="BF119" s="388">
        <f t="shared" si="48"/>
        <v>3415.3367040000003</v>
      </c>
      <c r="BG119" s="388">
        <f t="shared" si="49"/>
        <v>206.2359936</v>
      </c>
      <c r="BH119" s="388">
        <f t="shared" si="50"/>
        <v>0</v>
      </c>
      <c r="BI119" s="388">
        <f t="shared" si="51"/>
        <v>0</v>
      </c>
      <c r="BJ119" s="388">
        <f t="shared" si="52"/>
        <v>100.11456</v>
      </c>
      <c r="BK119" s="388">
        <f t="shared" si="53"/>
        <v>0</v>
      </c>
      <c r="BL119" s="388">
        <f t="shared" si="76"/>
        <v>5909.9054976000007</v>
      </c>
      <c r="BM119" s="388">
        <f t="shared" si="77"/>
        <v>0</v>
      </c>
      <c r="BN119" s="388">
        <f t="shared" si="54"/>
        <v>8250</v>
      </c>
      <c r="BO119" s="388">
        <f t="shared" si="55"/>
        <v>0</v>
      </c>
      <c r="BP119" s="388">
        <f t="shared" si="56"/>
        <v>1773.4579200000001</v>
      </c>
      <c r="BQ119" s="388">
        <f t="shared" si="57"/>
        <v>414.76032000000004</v>
      </c>
      <c r="BR119" s="388">
        <f t="shared" si="58"/>
        <v>3197.9450879999999</v>
      </c>
      <c r="BS119" s="388">
        <f t="shared" si="59"/>
        <v>206.2359936</v>
      </c>
      <c r="BT119" s="388">
        <f t="shared" si="60"/>
        <v>0</v>
      </c>
      <c r="BU119" s="388">
        <f t="shared" si="61"/>
        <v>0</v>
      </c>
      <c r="BV119" s="388">
        <f t="shared" si="62"/>
        <v>111.556224</v>
      </c>
      <c r="BW119" s="388">
        <f t="shared" si="63"/>
        <v>0</v>
      </c>
      <c r="BX119" s="388">
        <f t="shared" si="78"/>
        <v>5703.9555456000007</v>
      </c>
      <c r="BY119" s="388">
        <f t="shared" si="79"/>
        <v>0</v>
      </c>
      <c r="BZ119" s="388">
        <f t="shared" si="80"/>
        <v>750</v>
      </c>
      <c r="CA119" s="388">
        <f t="shared" si="81"/>
        <v>0</v>
      </c>
      <c r="CB119" s="388">
        <f t="shared" si="82"/>
        <v>0</v>
      </c>
      <c r="CC119" s="388">
        <f t="shared" si="64"/>
        <v>0</v>
      </c>
      <c r="CD119" s="388">
        <f t="shared" si="65"/>
        <v>-217.39161600000028</v>
      </c>
      <c r="CE119" s="388">
        <f t="shared" si="66"/>
        <v>0</v>
      </c>
      <c r="CF119" s="388">
        <f t="shared" si="67"/>
        <v>0</v>
      </c>
      <c r="CG119" s="388">
        <f t="shared" si="68"/>
        <v>0</v>
      </c>
      <c r="CH119" s="388">
        <f t="shared" si="69"/>
        <v>11.441663999999992</v>
      </c>
      <c r="CI119" s="388">
        <f t="shared" si="70"/>
        <v>0</v>
      </c>
      <c r="CJ119" s="388">
        <f t="shared" si="83"/>
        <v>-205.94995200000028</v>
      </c>
      <c r="CK119" s="388" t="str">
        <f t="shared" si="84"/>
        <v/>
      </c>
      <c r="CL119" s="388" t="str">
        <f t="shared" si="85"/>
        <v/>
      </c>
      <c r="CM119" s="388" t="str">
        <f t="shared" si="86"/>
        <v/>
      </c>
      <c r="CN119" s="388" t="str">
        <f t="shared" si="87"/>
        <v>0325-11</v>
      </c>
    </row>
    <row r="120" spans="1:92" ht="15.75" thickBot="1" x14ac:dyDescent="0.3">
      <c r="A120" s="377" t="s">
        <v>162</v>
      </c>
      <c r="B120" s="377" t="s">
        <v>163</v>
      </c>
      <c r="C120" s="377" t="s">
        <v>501</v>
      </c>
      <c r="D120" s="377" t="s">
        <v>464</v>
      </c>
      <c r="E120" s="377" t="s">
        <v>417</v>
      </c>
      <c r="F120" s="383" t="s">
        <v>626</v>
      </c>
      <c r="G120" s="377" t="s">
        <v>439</v>
      </c>
      <c r="H120" s="379"/>
      <c r="I120" s="379"/>
      <c r="J120" s="377" t="s">
        <v>169</v>
      </c>
      <c r="K120" s="377" t="s">
        <v>465</v>
      </c>
      <c r="L120" s="377" t="s">
        <v>167</v>
      </c>
      <c r="M120" s="377" t="s">
        <v>395</v>
      </c>
      <c r="N120" s="377" t="s">
        <v>173</v>
      </c>
      <c r="O120" s="380">
        <v>0</v>
      </c>
      <c r="P120" s="386">
        <v>0</v>
      </c>
      <c r="Q120" s="386">
        <v>0</v>
      </c>
      <c r="R120" s="381">
        <v>80</v>
      </c>
      <c r="S120" s="386">
        <v>0</v>
      </c>
      <c r="T120" s="381">
        <v>0</v>
      </c>
      <c r="U120" s="381">
        <v>0</v>
      </c>
      <c r="V120" s="381">
        <v>45.73</v>
      </c>
      <c r="W120" s="381">
        <v>0</v>
      </c>
      <c r="X120" s="381">
        <v>0</v>
      </c>
      <c r="Y120" s="381">
        <v>0</v>
      </c>
      <c r="Z120" s="381">
        <v>0</v>
      </c>
      <c r="AA120" s="379"/>
      <c r="AB120" s="377" t="s">
        <v>45</v>
      </c>
      <c r="AC120" s="377" t="s">
        <v>45</v>
      </c>
      <c r="AD120" s="379"/>
      <c r="AE120" s="379"/>
      <c r="AF120" s="379"/>
      <c r="AG120" s="379"/>
      <c r="AH120" s="380">
        <v>0</v>
      </c>
      <c r="AI120" s="380">
        <v>0</v>
      </c>
      <c r="AJ120" s="379"/>
      <c r="AK120" s="379"/>
      <c r="AL120" s="377" t="s">
        <v>182</v>
      </c>
      <c r="AM120" s="379"/>
      <c r="AN120" s="379"/>
      <c r="AO120" s="380">
        <v>0</v>
      </c>
      <c r="AP120" s="386">
        <v>0</v>
      </c>
      <c r="AQ120" s="386">
        <v>0</v>
      </c>
      <c r="AR120" s="385"/>
      <c r="AS120" s="388">
        <f t="shared" si="71"/>
        <v>0</v>
      </c>
      <c r="AT120">
        <f t="shared" si="72"/>
        <v>0</v>
      </c>
      <c r="AU120" s="388" t="str">
        <f>IF(AT120=0,"",IF(AND(AT120=1,M120="F",SUMIF(C2:C258,C120,AS2:AS258)&lt;=1),SUMIF(C2:C258,C120,AS2:AS258),IF(AND(AT120=1,M120="F",SUMIF(C2:C258,C120,AS2:AS258)&gt;1),1,"")))</f>
        <v/>
      </c>
      <c r="AV120" s="388" t="str">
        <f>IF(AT120=0,"",IF(AND(AT120=3,M120="F",SUMIF(C2:C258,C120,AS2:AS258)&lt;=1),SUMIF(C2:C258,C120,AS2:AS258),IF(AND(AT120=3,M120="F",SUMIF(C2:C258,C120,AS2:AS258)&gt;1),1,"")))</f>
        <v/>
      </c>
      <c r="AW120" s="388">
        <f>SUMIF(C2:C258,C120,O2:O258)</f>
        <v>0</v>
      </c>
      <c r="AX120" s="388">
        <f>IF(AND(M120="F",AS120&lt;&gt;0),SUMIF(C2:C258,C120,W2:W258),0)</f>
        <v>0</v>
      </c>
      <c r="AY120" s="388" t="str">
        <f t="shared" si="73"/>
        <v/>
      </c>
      <c r="AZ120" s="388" t="str">
        <f t="shared" si="74"/>
        <v/>
      </c>
      <c r="BA120" s="388">
        <f t="shared" si="75"/>
        <v>0</v>
      </c>
      <c r="BB120" s="388">
        <f t="shared" si="44"/>
        <v>0</v>
      </c>
      <c r="BC120" s="388">
        <f t="shared" si="45"/>
        <v>0</v>
      </c>
      <c r="BD120" s="388">
        <f t="shared" si="46"/>
        <v>0</v>
      </c>
      <c r="BE120" s="388">
        <f t="shared" si="47"/>
        <v>0</v>
      </c>
      <c r="BF120" s="388">
        <f t="shared" si="48"/>
        <v>0</v>
      </c>
      <c r="BG120" s="388">
        <f t="shared" si="49"/>
        <v>0</v>
      </c>
      <c r="BH120" s="388">
        <f t="shared" si="50"/>
        <v>0</v>
      </c>
      <c r="BI120" s="388">
        <f t="shared" si="51"/>
        <v>0</v>
      </c>
      <c r="BJ120" s="388">
        <f t="shared" si="52"/>
        <v>0</v>
      </c>
      <c r="BK120" s="388">
        <f t="shared" si="53"/>
        <v>0</v>
      </c>
      <c r="BL120" s="388">
        <f t="shared" si="76"/>
        <v>0</v>
      </c>
      <c r="BM120" s="388">
        <f t="shared" si="77"/>
        <v>0</v>
      </c>
      <c r="BN120" s="388">
        <f t="shared" si="54"/>
        <v>0</v>
      </c>
      <c r="BO120" s="388">
        <f t="shared" si="55"/>
        <v>0</v>
      </c>
      <c r="BP120" s="388">
        <f t="shared" si="56"/>
        <v>0</v>
      </c>
      <c r="BQ120" s="388">
        <f t="shared" si="57"/>
        <v>0</v>
      </c>
      <c r="BR120" s="388">
        <f t="shared" si="58"/>
        <v>0</v>
      </c>
      <c r="BS120" s="388">
        <f t="shared" si="59"/>
        <v>0</v>
      </c>
      <c r="BT120" s="388">
        <f t="shared" si="60"/>
        <v>0</v>
      </c>
      <c r="BU120" s="388">
        <f t="shared" si="61"/>
        <v>0</v>
      </c>
      <c r="BV120" s="388">
        <f t="shared" si="62"/>
        <v>0</v>
      </c>
      <c r="BW120" s="388">
        <f t="shared" si="63"/>
        <v>0</v>
      </c>
      <c r="BX120" s="388">
        <f t="shared" si="78"/>
        <v>0</v>
      </c>
      <c r="BY120" s="388">
        <f t="shared" si="79"/>
        <v>0</v>
      </c>
      <c r="BZ120" s="388">
        <f t="shared" si="80"/>
        <v>0</v>
      </c>
      <c r="CA120" s="388">
        <f t="shared" si="81"/>
        <v>0</v>
      </c>
      <c r="CB120" s="388">
        <f t="shared" si="82"/>
        <v>0</v>
      </c>
      <c r="CC120" s="388">
        <f t="shared" si="64"/>
        <v>0</v>
      </c>
      <c r="CD120" s="388">
        <f t="shared" si="65"/>
        <v>0</v>
      </c>
      <c r="CE120" s="388">
        <f t="shared" si="66"/>
        <v>0</v>
      </c>
      <c r="CF120" s="388">
        <f t="shared" si="67"/>
        <v>0</v>
      </c>
      <c r="CG120" s="388">
        <f t="shared" si="68"/>
        <v>0</v>
      </c>
      <c r="CH120" s="388">
        <f t="shared" si="69"/>
        <v>0</v>
      </c>
      <c r="CI120" s="388">
        <f t="shared" si="70"/>
        <v>0</v>
      </c>
      <c r="CJ120" s="388">
        <f t="shared" si="83"/>
        <v>0</v>
      </c>
      <c r="CK120" s="388" t="str">
        <f t="shared" si="84"/>
        <v/>
      </c>
      <c r="CL120" s="388" t="str">
        <f t="shared" si="85"/>
        <v/>
      </c>
      <c r="CM120" s="388" t="str">
        <f t="shared" si="86"/>
        <v/>
      </c>
      <c r="CN120" s="388" t="str">
        <f t="shared" si="87"/>
        <v>0325-19</v>
      </c>
    </row>
    <row r="121" spans="1:92" ht="15.75" thickBot="1" x14ac:dyDescent="0.3">
      <c r="A121" s="377" t="s">
        <v>162</v>
      </c>
      <c r="B121" s="377" t="s">
        <v>163</v>
      </c>
      <c r="C121" s="377" t="s">
        <v>463</v>
      </c>
      <c r="D121" s="377" t="s">
        <v>464</v>
      </c>
      <c r="E121" s="377" t="s">
        <v>417</v>
      </c>
      <c r="F121" s="383" t="s">
        <v>626</v>
      </c>
      <c r="G121" s="377" t="s">
        <v>439</v>
      </c>
      <c r="H121" s="379"/>
      <c r="I121" s="379"/>
      <c r="J121" s="377" t="s">
        <v>169</v>
      </c>
      <c r="K121" s="377" t="s">
        <v>465</v>
      </c>
      <c r="L121" s="377" t="s">
        <v>167</v>
      </c>
      <c r="M121" s="377" t="s">
        <v>172</v>
      </c>
      <c r="N121" s="377" t="s">
        <v>173</v>
      </c>
      <c r="O121" s="380">
        <v>1</v>
      </c>
      <c r="P121" s="386">
        <v>0</v>
      </c>
      <c r="Q121" s="386">
        <v>0</v>
      </c>
      <c r="R121" s="381">
        <v>80</v>
      </c>
      <c r="S121" s="386">
        <v>0</v>
      </c>
      <c r="T121" s="381">
        <v>0</v>
      </c>
      <c r="U121" s="381">
        <v>0</v>
      </c>
      <c r="V121" s="381">
        <v>107.48</v>
      </c>
      <c r="W121" s="381">
        <v>0</v>
      </c>
      <c r="X121" s="381">
        <v>0</v>
      </c>
      <c r="Y121" s="381">
        <v>0</v>
      </c>
      <c r="Z121" s="381">
        <v>0</v>
      </c>
      <c r="AA121" s="377" t="s">
        <v>466</v>
      </c>
      <c r="AB121" s="377" t="s">
        <v>467</v>
      </c>
      <c r="AC121" s="377" t="s">
        <v>468</v>
      </c>
      <c r="AD121" s="377" t="s">
        <v>469</v>
      </c>
      <c r="AE121" s="377" t="s">
        <v>465</v>
      </c>
      <c r="AF121" s="377" t="s">
        <v>207</v>
      </c>
      <c r="AG121" s="377" t="s">
        <v>179</v>
      </c>
      <c r="AH121" s="382">
        <v>31.59</v>
      </c>
      <c r="AI121" s="382">
        <v>6381.7</v>
      </c>
      <c r="AJ121" s="377" t="s">
        <v>180</v>
      </c>
      <c r="AK121" s="377" t="s">
        <v>181</v>
      </c>
      <c r="AL121" s="377" t="s">
        <v>182</v>
      </c>
      <c r="AM121" s="377" t="s">
        <v>183</v>
      </c>
      <c r="AN121" s="377" t="s">
        <v>66</v>
      </c>
      <c r="AO121" s="380">
        <v>80</v>
      </c>
      <c r="AP121" s="386">
        <v>1</v>
      </c>
      <c r="AQ121" s="386">
        <v>0</v>
      </c>
      <c r="AR121" s="384" t="s">
        <v>184</v>
      </c>
      <c r="AS121" s="388">
        <f t="shared" si="71"/>
        <v>0</v>
      </c>
      <c r="AT121">
        <f t="shared" si="72"/>
        <v>0</v>
      </c>
      <c r="AU121" s="388" t="str">
        <f>IF(AT121=0,"",IF(AND(AT121=1,M121="F",SUMIF(C2:C258,C121,AS2:AS258)&lt;=1),SUMIF(C2:C258,C121,AS2:AS258),IF(AND(AT121=1,M121="F",SUMIF(C2:C258,C121,AS2:AS258)&gt;1),1,"")))</f>
        <v/>
      </c>
      <c r="AV121" s="388" t="str">
        <f>IF(AT121=0,"",IF(AND(AT121=3,M121="F",SUMIF(C2:C258,C121,AS2:AS258)&lt;=1),SUMIF(C2:C258,C121,AS2:AS258),IF(AND(AT121=3,M121="F",SUMIF(C2:C258,C121,AS2:AS258)&gt;1),1,"")))</f>
        <v/>
      </c>
      <c r="AW121" s="388">
        <f>SUMIF(C2:C258,C121,O2:O258)</f>
        <v>3</v>
      </c>
      <c r="AX121" s="388">
        <f>IF(AND(M121="F",AS121&lt;&gt;0),SUMIF(C2:C258,C121,W2:W258),0)</f>
        <v>0</v>
      </c>
      <c r="AY121" s="388" t="str">
        <f t="shared" si="73"/>
        <v/>
      </c>
      <c r="AZ121" s="388" t="str">
        <f t="shared" si="74"/>
        <v/>
      </c>
      <c r="BA121" s="388">
        <f t="shared" si="75"/>
        <v>0</v>
      </c>
      <c r="BB121" s="388">
        <f t="shared" si="44"/>
        <v>0</v>
      </c>
      <c r="BC121" s="388">
        <f t="shared" si="45"/>
        <v>0</v>
      </c>
      <c r="BD121" s="388">
        <f t="shared" si="46"/>
        <v>0</v>
      </c>
      <c r="BE121" s="388">
        <f t="shared" si="47"/>
        <v>0</v>
      </c>
      <c r="BF121" s="388">
        <f t="shared" si="48"/>
        <v>0</v>
      </c>
      <c r="BG121" s="388">
        <f t="shared" si="49"/>
        <v>0</v>
      </c>
      <c r="BH121" s="388">
        <f t="shared" si="50"/>
        <v>0</v>
      </c>
      <c r="BI121" s="388">
        <f t="shared" si="51"/>
        <v>0</v>
      </c>
      <c r="BJ121" s="388">
        <f t="shared" si="52"/>
        <v>0</v>
      </c>
      <c r="BK121" s="388">
        <f t="shared" si="53"/>
        <v>0</v>
      </c>
      <c r="BL121" s="388">
        <f t="shared" si="76"/>
        <v>0</v>
      </c>
      <c r="BM121" s="388">
        <f t="shared" si="77"/>
        <v>0</v>
      </c>
      <c r="BN121" s="388">
        <f t="shared" si="54"/>
        <v>0</v>
      </c>
      <c r="BO121" s="388">
        <f t="shared" si="55"/>
        <v>0</v>
      </c>
      <c r="BP121" s="388">
        <f t="shared" si="56"/>
        <v>0</v>
      </c>
      <c r="BQ121" s="388">
        <f t="shared" si="57"/>
        <v>0</v>
      </c>
      <c r="BR121" s="388">
        <f t="shared" si="58"/>
        <v>0</v>
      </c>
      <c r="BS121" s="388">
        <f t="shared" si="59"/>
        <v>0</v>
      </c>
      <c r="BT121" s="388">
        <f t="shared" si="60"/>
        <v>0</v>
      </c>
      <c r="BU121" s="388">
        <f t="shared" si="61"/>
        <v>0</v>
      </c>
      <c r="BV121" s="388">
        <f t="shared" si="62"/>
        <v>0</v>
      </c>
      <c r="BW121" s="388">
        <f t="shared" si="63"/>
        <v>0</v>
      </c>
      <c r="BX121" s="388">
        <f t="shared" si="78"/>
        <v>0</v>
      </c>
      <c r="BY121" s="388">
        <f t="shared" si="79"/>
        <v>0</v>
      </c>
      <c r="BZ121" s="388">
        <f t="shared" si="80"/>
        <v>0</v>
      </c>
      <c r="CA121" s="388">
        <f t="shared" si="81"/>
        <v>0</v>
      </c>
      <c r="CB121" s="388">
        <f t="shared" si="82"/>
        <v>0</v>
      </c>
      <c r="CC121" s="388">
        <f t="shared" si="64"/>
        <v>0</v>
      </c>
      <c r="CD121" s="388">
        <f t="shared" si="65"/>
        <v>0</v>
      </c>
      <c r="CE121" s="388">
        <f t="shared" si="66"/>
        <v>0</v>
      </c>
      <c r="CF121" s="388">
        <f t="shared" si="67"/>
        <v>0</v>
      </c>
      <c r="CG121" s="388">
        <f t="shared" si="68"/>
        <v>0</v>
      </c>
      <c r="CH121" s="388">
        <f t="shared" si="69"/>
        <v>0</v>
      </c>
      <c r="CI121" s="388">
        <f t="shared" si="70"/>
        <v>0</v>
      </c>
      <c r="CJ121" s="388">
        <f t="shared" si="83"/>
        <v>0</v>
      </c>
      <c r="CK121" s="388" t="str">
        <f t="shared" si="84"/>
        <v/>
      </c>
      <c r="CL121" s="388" t="str">
        <f t="shared" si="85"/>
        <v/>
      </c>
      <c r="CM121" s="388" t="str">
        <f t="shared" si="86"/>
        <v/>
      </c>
      <c r="CN121" s="388" t="str">
        <f t="shared" si="87"/>
        <v>0325-19</v>
      </c>
    </row>
    <row r="122" spans="1:92" ht="15.75" thickBot="1" x14ac:dyDescent="0.3">
      <c r="A122" s="377" t="s">
        <v>162</v>
      </c>
      <c r="B122" s="377" t="s">
        <v>163</v>
      </c>
      <c r="C122" s="377" t="s">
        <v>551</v>
      </c>
      <c r="D122" s="377" t="s">
        <v>282</v>
      </c>
      <c r="E122" s="377" t="s">
        <v>417</v>
      </c>
      <c r="F122" s="383" t="s">
        <v>626</v>
      </c>
      <c r="G122" s="377" t="s">
        <v>439</v>
      </c>
      <c r="H122" s="379"/>
      <c r="I122" s="379"/>
      <c r="J122" s="377" t="s">
        <v>169</v>
      </c>
      <c r="K122" s="377" t="s">
        <v>244</v>
      </c>
      <c r="L122" s="377" t="s">
        <v>167</v>
      </c>
      <c r="M122" s="377" t="s">
        <v>172</v>
      </c>
      <c r="N122" s="377" t="s">
        <v>173</v>
      </c>
      <c r="O122" s="380">
        <v>1</v>
      </c>
      <c r="P122" s="386">
        <v>0</v>
      </c>
      <c r="Q122" s="386">
        <v>0</v>
      </c>
      <c r="R122" s="381">
        <v>80</v>
      </c>
      <c r="S122" s="386">
        <v>0</v>
      </c>
      <c r="T122" s="381">
        <v>0</v>
      </c>
      <c r="U122" s="381">
        <v>0</v>
      </c>
      <c r="V122" s="381">
        <v>12.54</v>
      </c>
      <c r="W122" s="381">
        <v>0</v>
      </c>
      <c r="X122" s="381">
        <v>0</v>
      </c>
      <c r="Y122" s="381">
        <v>0</v>
      </c>
      <c r="Z122" s="381">
        <v>0</v>
      </c>
      <c r="AA122" s="377" t="s">
        <v>552</v>
      </c>
      <c r="AB122" s="377" t="s">
        <v>553</v>
      </c>
      <c r="AC122" s="377" t="s">
        <v>554</v>
      </c>
      <c r="AD122" s="377" t="s">
        <v>555</v>
      </c>
      <c r="AE122" s="377" t="s">
        <v>244</v>
      </c>
      <c r="AF122" s="377" t="s">
        <v>207</v>
      </c>
      <c r="AG122" s="377" t="s">
        <v>179</v>
      </c>
      <c r="AH122" s="382">
        <v>38.94</v>
      </c>
      <c r="AI122" s="380">
        <v>3184</v>
      </c>
      <c r="AJ122" s="377" t="s">
        <v>180</v>
      </c>
      <c r="AK122" s="377" t="s">
        <v>181</v>
      </c>
      <c r="AL122" s="377" t="s">
        <v>182</v>
      </c>
      <c r="AM122" s="377" t="s">
        <v>183</v>
      </c>
      <c r="AN122" s="377" t="s">
        <v>66</v>
      </c>
      <c r="AO122" s="380">
        <v>80</v>
      </c>
      <c r="AP122" s="386">
        <v>1</v>
      </c>
      <c r="AQ122" s="386">
        <v>0</v>
      </c>
      <c r="AR122" s="384" t="s">
        <v>184</v>
      </c>
      <c r="AS122" s="388">
        <f t="shared" si="71"/>
        <v>0</v>
      </c>
      <c r="AT122">
        <f t="shared" si="72"/>
        <v>0</v>
      </c>
      <c r="AU122" s="388" t="str">
        <f>IF(AT122=0,"",IF(AND(AT122=1,M122="F",SUMIF(C2:C258,C122,AS2:AS258)&lt;=1),SUMIF(C2:C258,C122,AS2:AS258),IF(AND(AT122=1,M122="F",SUMIF(C2:C258,C122,AS2:AS258)&gt;1),1,"")))</f>
        <v/>
      </c>
      <c r="AV122" s="388" t="str">
        <f>IF(AT122=0,"",IF(AND(AT122=3,M122="F",SUMIF(C2:C258,C122,AS2:AS258)&lt;=1),SUMIF(C2:C258,C122,AS2:AS258),IF(AND(AT122=3,M122="F",SUMIF(C2:C258,C122,AS2:AS258)&gt;1),1,"")))</f>
        <v/>
      </c>
      <c r="AW122" s="388">
        <f>SUMIF(C2:C258,C122,O2:O258)</f>
        <v>3</v>
      </c>
      <c r="AX122" s="388">
        <f>IF(AND(M122="F",AS122&lt;&gt;0),SUMIF(C2:C258,C122,W2:W258),0)</f>
        <v>0</v>
      </c>
      <c r="AY122" s="388" t="str">
        <f t="shared" si="73"/>
        <v/>
      </c>
      <c r="AZ122" s="388" t="str">
        <f t="shared" si="74"/>
        <v/>
      </c>
      <c r="BA122" s="388">
        <f t="shared" si="75"/>
        <v>0</v>
      </c>
      <c r="BB122" s="388">
        <f t="shared" si="44"/>
        <v>0</v>
      </c>
      <c r="BC122" s="388">
        <f t="shared" si="45"/>
        <v>0</v>
      </c>
      <c r="BD122" s="388">
        <f t="shared" si="46"/>
        <v>0</v>
      </c>
      <c r="BE122" s="388">
        <f t="shared" si="47"/>
        <v>0</v>
      </c>
      <c r="BF122" s="388">
        <f t="shared" si="48"/>
        <v>0</v>
      </c>
      <c r="BG122" s="388">
        <f t="shared" si="49"/>
        <v>0</v>
      </c>
      <c r="BH122" s="388">
        <f t="shared" si="50"/>
        <v>0</v>
      </c>
      <c r="BI122" s="388">
        <f t="shared" si="51"/>
        <v>0</v>
      </c>
      <c r="BJ122" s="388">
        <f t="shared" si="52"/>
        <v>0</v>
      </c>
      <c r="BK122" s="388">
        <f t="shared" si="53"/>
        <v>0</v>
      </c>
      <c r="BL122" s="388">
        <f t="shared" si="76"/>
        <v>0</v>
      </c>
      <c r="BM122" s="388">
        <f t="shared" si="77"/>
        <v>0</v>
      </c>
      <c r="BN122" s="388">
        <f t="shared" si="54"/>
        <v>0</v>
      </c>
      <c r="BO122" s="388">
        <f t="shared" si="55"/>
        <v>0</v>
      </c>
      <c r="BP122" s="388">
        <f t="shared" si="56"/>
        <v>0</v>
      </c>
      <c r="BQ122" s="388">
        <f t="shared" si="57"/>
        <v>0</v>
      </c>
      <c r="BR122" s="388">
        <f t="shared" si="58"/>
        <v>0</v>
      </c>
      <c r="BS122" s="388">
        <f t="shared" si="59"/>
        <v>0</v>
      </c>
      <c r="BT122" s="388">
        <f t="shared" si="60"/>
        <v>0</v>
      </c>
      <c r="BU122" s="388">
        <f t="shared" si="61"/>
        <v>0</v>
      </c>
      <c r="BV122" s="388">
        <f t="shared" si="62"/>
        <v>0</v>
      </c>
      <c r="BW122" s="388">
        <f t="shared" si="63"/>
        <v>0</v>
      </c>
      <c r="BX122" s="388">
        <f t="shared" si="78"/>
        <v>0</v>
      </c>
      <c r="BY122" s="388">
        <f t="shared" si="79"/>
        <v>0</v>
      </c>
      <c r="BZ122" s="388">
        <f t="shared" si="80"/>
        <v>0</v>
      </c>
      <c r="CA122" s="388">
        <f t="shared" si="81"/>
        <v>0</v>
      </c>
      <c r="CB122" s="388">
        <f t="shared" si="82"/>
        <v>0</v>
      </c>
      <c r="CC122" s="388">
        <f t="shared" si="64"/>
        <v>0</v>
      </c>
      <c r="CD122" s="388">
        <f t="shared" si="65"/>
        <v>0</v>
      </c>
      <c r="CE122" s="388">
        <f t="shared" si="66"/>
        <v>0</v>
      </c>
      <c r="CF122" s="388">
        <f t="shared" si="67"/>
        <v>0</v>
      </c>
      <c r="CG122" s="388">
        <f t="shared" si="68"/>
        <v>0</v>
      </c>
      <c r="CH122" s="388">
        <f t="shared" si="69"/>
        <v>0</v>
      </c>
      <c r="CI122" s="388">
        <f t="shared" si="70"/>
        <v>0</v>
      </c>
      <c r="CJ122" s="388">
        <f t="shared" si="83"/>
        <v>0</v>
      </c>
      <c r="CK122" s="388" t="str">
        <f t="shared" si="84"/>
        <v/>
      </c>
      <c r="CL122" s="388" t="str">
        <f t="shared" si="85"/>
        <v/>
      </c>
      <c r="CM122" s="388" t="str">
        <f t="shared" si="86"/>
        <v/>
      </c>
      <c r="CN122" s="388" t="str">
        <f t="shared" si="87"/>
        <v>0325-19</v>
      </c>
    </row>
    <row r="123" spans="1:92" ht="15.75" thickBot="1" x14ac:dyDescent="0.3">
      <c r="A123" s="377" t="s">
        <v>162</v>
      </c>
      <c r="B123" s="377" t="s">
        <v>163</v>
      </c>
      <c r="C123" s="377" t="s">
        <v>580</v>
      </c>
      <c r="D123" s="377" t="s">
        <v>464</v>
      </c>
      <c r="E123" s="377" t="s">
        <v>417</v>
      </c>
      <c r="F123" s="383" t="s">
        <v>626</v>
      </c>
      <c r="G123" s="377" t="s">
        <v>439</v>
      </c>
      <c r="H123" s="379"/>
      <c r="I123" s="379"/>
      <c r="J123" s="377" t="s">
        <v>169</v>
      </c>
      <c r="K123" s="377" t="s">
        <v>465</v>
      </c>
      <c r="L123" s="377" t="s">
        <v>167</v>
      </c>
      <c r="M123" s="377" t="s">
        <v>172</v>
      </c>
      <c r="N123" s="377" t="s">
        <v>173</v>
      </c>
      <c r="O123" s="380">
        <v>1</v>
      </c>
      <c r="P123" s="386">
        <v>0</v>
      </c>
      <c r="Q123" s="386">
        <v>0</v>
      </c>
      <c r="R123" s="381">
        <v>80</v>
      </c>
      <c r="S123" s="386">
        <v>0</v>
      </c>
      <c r="T123" s="381">
        <v>0</v>
      </c>
      <c r="U123" s="381">
        <v>0</v>
      </c>
      <c r="V123" s="381">
        <v>82.85</v>
      </c>
      <c r="W123" s="381">
        <v>0</v>
      </c>
      <c r="X123" s="381">
        <v>0</v>
      </c>
      <c r="Y123" s="381">
        <v>0</v>
      </c>
      <c r="Z123" s="381">
        <v>0</v>
      </c>
      <c r="AA123" s="377" t="s">
        <v>581</v>
      </c>
      <c r="AB123" s="377" t="s">
        <v>582</v>
      </c>
      <c r="AC123" s="377" t="s">
        <v>583</v>
      </c>
      <c r="AD123" s="377" t="s">
        <v>215</v>
      </c>
      <c r="AE123" s="377" t="s">
        <v>465</v>
      </c>
      <c r="AF123" s="377" t="s">
        <v>207</v>
      </c>
      <c r="AG123" s="377" t="s">
        <v>179</v>
      </c>
      <c r="AH123" s="382">
        <v>34.799999999999997</v>
      </c>
      <c r="AI123" s="380">
        <v>11368</v>
      </c>
      <c r="AJ123" s="377" t="s">
        <v>180</v>
      </c>
      <c r="AK123" s="377" t="s">
        <v>181</v>
      </c>
      <c r="AL123" s="377" t="s">
        <v>182</v>
      </c>
      <c r="AM123" s="377" t="s">
        <v>183</v>
      </c>
      <c r="AN123" s="377" t="s">
        <v>66</v>
      </c>
      <c r="AO123" s="380">
        <v>80</v>
      </c>
      <c r="AP123" s="386">
        <v>1</v>
      </c>
      <c r="AQ123" s="386">
        <v>0</v>
      </c>
      <c r="AR123" s="384" t="s">
        <v>184</v>
      </c>
      <c r="AS123" s="388">
        <f t="shared" si="71"/>
        <v>0</v>
      </c>
      <c r="AT123">
        <f t="shared" si="72"/>
        <v>0</v>
      </c>
      <c r="AU123" s="388" t="str">
        <f>IF(AT123=0,"",IF(AND(AT123=1,M123="F",SUMIF(C2:C258,C123,AS2:AS258)&lt;=1),SUMIF(C2:C258,C123,AS2:AS258),IF(AND(AT123=1,M123="F",SUMIF(C2:C258,C123,AS2:AS258)&gt;1),1,"")))</f>
        <v/>
      </c>
      <c r="AV123" s="388" t="str">
        <f>IF(AT123=0,"",IF(AND(AT123=3,M123="F",SUMIF(C2:C258,C123,AS2:AS258)&lt;=1),SUMIF(C2:C258,C123,AS2:AS258),IF(AND(AT123=3,M123="F",SUMIF(C2:C258,C123,AS2:AS258)&gt;1),1,"")))</f>
        <v/>
      </c>
      <c r="AW123" s="388">
        <f>SUMIF(C2:C258,C123,O2:O258)</f>
        <v>3</v>
      </c>
      <c r="AX123" s="388">
        <f>IF(AND(M123="F",AS123&lt;&gt;0),SUMIF(C2:C258,C123,W2:W258),0)</f>
        <v>0</v>
      </c>
      <c r="AY123" s="388" t="str">
        <f t="shared" si="73"/>
        <v/>
      </c>
      <c r="AZ123" s="388" t="str">
        <f t="shared" si="74"/>
        <v/>
      </c>
      <c r="BA123" s="388">
        <f t="shared" si="75"/>
        <v>0</v>
      </c>
      <c r="BB123" s="388">
        <f t="shared" si="44"/>
        <v>0</v>
      </c>
      <c r="BC123" s="388">
        <f t="shared" si="45"/>
        <v>0</v>
      </c>
      <c r="BD123" s="388">
        <f t="shared" si="46"/>
        <v>0</v>
      </c>
      <c r="BE123" s="388">
        <f t="shared" si="47"/>
        <v>0</v>
      </c>
      <c r="BF123" s="388">
        <f t="shared" si="48"/>
        <v>0</v>
      </c>
      <c r="BG123" s="388">
        <f t="shared" si="49"/>
        <v>0</v>
      </c>
      <c r="BH123" s="388">
        <f t="shared" si="50"/>
        <v>0</v>
      </c>
      <c r="BI123" s="388">
        <f t="shared" si="51"/>
        <v>0</v>
      </c>
      <c r="BJ123" s="388">
        <f t="shared" si="52"/>
        <v>0</v>
      </c>
      <c r="BK123" s="388">
        <f t="shared" si="53"/>
        <v>0</v>
      </c>
      <c r="BL123" s="388">
        <f t="shared" si="76"/>
        <v>0</v>
      </c>
      <c r="BM123" s="388">
        <f t="shared" si="77"/>
        <v>0</v>
      </c>
      <c r="BN123" s="388">
        <f t="shared" si="54"/>
        <v>0</v>
      </c>
      <c r="BO123" s="388">
        <f t="shared" si="55"/>
        <v>0</v>
      </c>
      <c r="BP123" s="388">
        <f t="shared" si="56"/>
        <v>0</v>
      </c>
      <c r="BQ123" s="388">
        <f t="shared" si="57"/>
        <v>0</v>
      </c>
      <c r="BR123" s="388">
        <f t="shared" si="58"/>
        <v>0</v>
      </c>
      <c r="BS123" s="388">
        <f t="shared" si="59"/>
        <v>0</v>
      </c>
      <c r="BT123" s="388">
        <f t="shared" si="60"/>
        <v>0</v>
      </c>
      <c r="BU123" s="388">
        <f t="shared" si="61"/>
        <v>0</v>
      </c>
      <c r="BV123" s="388">
        <f t="shared" si="62"/>
        <v>0</v>
      </c>
      <c r="BW123" s="388">
        <f t="shared" si="63"/>
        <v>0</v>
      </c>
      <c r="BX123" s="388">
        <f t="shared" si="78"/>
        <v>0</v>
      </c>
      <c r="BY123" s="388">
        <f t="shared" si="79"/>
        <v>0</v>
      </c>
      <c r="BZ123" s="388">
        <f t="shared" si="80"/>
        <v>0</v>
      </c>
      <c r="CA123" s="388">
        <f t="shared" si="81"/>
        <v>0</v>
      </c>
      <c r="CB123" s="388">
        <f t="shared" si="82"/>
        <v>0</v>
      </c>
      <c r="CC123" s="388">
        <f t="shared" si="64"/>
        <v>0</v>
      </c>
      <c r="CD123" s="388">
        <f t="shared" si="65"/>
        <v>0</v>
      </c>
      <c r="CE123" s="388">
        <f t="shared" si="66"/>
        <v>0</v>
      </c>
      <c r="CF123" s="388">
        <f t="shared" si="67"/>
        <v>0</v>
      </c>
      <c r="CG123" s="388">
        <f t="shared" si="68"/>
        <v>0</v>
      </c>
      <c r="CH123" s="388">
        <f t="shared" si="69"/>
        <v>0</v>
      </c>
      <c r="CI123" s="388">
        <f t="shared" si="70"/>
        <v>0</v>
      </c>
      <c r="CJ123" s="388">
        <f t="shared" si="83"/>
        <v>0</v>
      </c>
      <c r="CK123" s="388" t="str">
        <f t="shared" si="84"/>
        <v/>
      </c>
      <c r="CL123" s="388" t="str">
        <f t="shared" si="85"/>
        <v/>
      </c>
      <c r="CM123" s="388" t="str">
        <f t="shared" si="86"/>
        <v/>
      </c>
      <c r="CN123" s="388" t="str">
        <f t="shared" si="87"/>
        <v>0325-19</v>
      </c>
    </row>
    <row r="124" spans="1:92" ht="15.75" thickBot="1" x14ac:dyDescent="0.3">
      <c r="A124" s="377" t="s">
        <v>162</v>
      </c>
      <c r="B124" s="377" t="s">
        <v>163</v>
      </c>
      <c r="C124" s="377" t="s">
        <v>585</v>
      </c>
      <c r="D124" s="377" t="s">
        <v>464</v>
      </c>
      <c r="E124" s="377" t="s">
        <v>417</v>
      </c>
      <c r="F124" s="383" t="s">
        <v>626</v>
      </c>
      <c r="G124" s="377" t="s">
        <v>439</v>
      </c>
      <c r="H124" s="379"/>
      <c r="I124" s="379"/>
      <c r="J124" s="377" t="s">
        <v>169</v>
      </c>
      <c r="K124" s="377" t="s">
        <v>465</v>
      </c>
      <c r="L124" s="377" t="s">
        <v>167</v>
      </c>
      <c r="M124" s="377" t="s">
        <v>172</v>
      </c>
      <c r="N124" s="377" t="s">
        <v>173</v>
      </c>
      <c r="O124" s="380">
        <v>1</v>
      </c>
      <c r="P124" s="386">
        <v>0</v>
      </c>
      <c r="Q124" s="386">
        <v>0</v>
      </c>
      <c r="R124" s="381">
        <v>80</v>
      </c>
      <c r="S124" s="386">
        <v>0</v>
      </c>
      <c r="T124" s="381">
        <v>0</v>
      </c>
      <c r="U124" s="381">
        <v>0</v>
      </c>
      <c r="V124" s="381">
        <v>40.35</v>
      </c>
      <c r="W124" s="381">
        <v>0</v>
      </c>
      <c r="X124" s="381">
        <v>0</v>
      </c>
      <c r="Y124" s="381">
        <v>0</v>
      </c>
      <c r="Z124" s="381">
        <v>0</v>
      </c>
      <c r="AA124" s="377" t="s">
        <v>586</v>
      </c>
      <c r="AB124" s="377" t="s">
        <v>587</v>
      </c>
      <c r="AC124" s="377" t="s">
        <v>588</v>
      </c>
      <c r="AD124" s="377" t="s">
        <v>240</v>
      </c>
      <c r="AE124" s="377" t="s">
        <v>465</v>
      </c>
      <c r="AF124" s="377" t="s">
        <v>207</v>
      </c>
      <c r="AG124" s="377" t="s">
        <v>179</v>
      </c>
      <c r="AH124" s="382">
        <v>28.92</v>
      </c>
      <c r="AI124" s="380">
        <v>1754</v>
      </c>
      <c r="AJ124" s="377" t="s">
        <v>180</v>
      </c>
      <c r="AK124" s="377" t="s">
        <v>181</v>
      </c>
      <c r="AL124" s="377" t="s">
        <v>182</v>
      </c>
      <c r="AM124" s="377" t="s">
        <v>183</v>
      </c>
      <c r="AN124" s="377" t="s">
        <v>66</v>
      </c>
      <c r="AO124" s="380">
        <v>80</v>
      </c>
      <c r="AP124" s="386">
        <v>1</v>
      </c>
      <c r="AQ124" s="386">
        <v>0</v>
      </c>
      <c r="AR124" s="384" t="s">
        <v>184</v>
      </c>
      <c r="AS124" s="388">
        <f t="shared" si="71"/>
        <v>0</v>
      </c>
      <c r="AT124">
        <f t="shared" si="72"/>
        <v>0</v>
      </c>
      <c r="AU124" s="388" t="str">
        <f>IF(AT124=0,"",IF(AND(AT124=1,M124="F",SUMIF(C2:C258,C124,AS2:AS258)&lt;=1),SUMIF(C2:C258,C124,AS2:AS258),IF(AND(AT124=1,M124="F",SUMIF(C2:C258,C124,AS2:AS258)&gt;1),1,"")))</f>
        <v/>
      </c>
      <c r="AV124" s="388" t="str">
        <f>IF(AT124=0,"",IF(AND(AT124=3,M124="F",SUMIF(C2:C258,C124,AS2:AS258)&lt;=1),SUMIF(C2:C258,C124,AS2:AS258),IF(AND(AT124=3,M124="F",SUMIF(C2:C258,C124,AS2:AS258)&gt;1),1,"")))</f>
        <v/>
      </c>
      <c r="AW124" s="388">
        <f>SUMIF(C2:C258,C124,O2:O258)</f>
        <v>3</v>
      </c>
      <c r="AX124" s="388">
        <f>IF(AND(M124="F",AS124&lt;&gt;0),SUMIF(C2:C258,C124,W2:W258),0)</f>
        <v>0</v>
      </c>
      <c r="AY124" s="388" t="str">
        <f t="shared" si="73"/>
        <v/>
      </c>
      <c r="AZ124" s="388" t="str">
        <f t="shared" si="74"/>
        <v/>
      </c>
      <c r="BA124" s="388">
        <f t="shared" si="75"/>
        <v>0</v>
      </c>
      <c r="BB124" s="388">
        <f t="shared" si="44"/>
        <v>0</v>
      </c>
      <c r="BC124" s="388">
        <f t="shared" si="45"/>
        <v>0</v>
      </c>
      <c r="BD124" s="388">
        <f t="shared" si="46"/>
        <v>0</v>
      </c>
      <c r="BE124" s="388">
        <f t="shared" si="47"/>
        <v>0</v>
      </c>
      <c r="BF124" s="388">
        <f t="shared" si="48"/>
        <v>0</v>
      </c>
      <c r="BG124" s="388">
        <f t="shared" si="49"/>
        <v>0</v>
      </c>
      <c r="BH124" s="388">
        <f t="shared" si="50"/>
        <v>0</v>
      </c>
      <c r="BI124" s="388">
        <f t="shared" si="51"/>
        <v>0</v>
      </c>
      <c r="BJ124" s="388">
        <f t="shared" si="52"/>
        <v>0</v>
      </c>
      <c r="BK124" s="388">
        <f t="shared" si="53"/>
        <v>0</v>
      </c>
      <c r="BL124" s="388">
        <f t="shared" si="76"/>
        <v>0</v>
      </c>
      <c r="BM124" s="388">
        <f t="shared" si="77"/>
        <v>0</v>
      </c>
      <c r="BN124" s="388">
        <f t="shared" si="54"/>
        <v>0</v>
      </c>
      <c r="BO124" s="388">
        <f t="shared" si="55"/>
        <v>0</v>
      </c>
      <c r="BP124" s="388">
        <f t="shared" si="56"/>
        <v>0</v>
      </c>
      <c r="BQ124" s="388">
        <f t="shared" si="57"/>
        <v>0</v>
      </c>
      <c r="BR124" s="388">
        <f t="shared" si="58"/>
        <v>0</v>
      </c>
      <c r="BS124" s="388">
        <f t="shared" si="59"/>
        <v>0</v>
      </c>
      <c r="BT124" s="388">
        <f t="shared" si="60"/>
        <v>0</v>
      </c>
      <c r="BU124" s="388">
        <f t="shared" si="61"/>
        <v>0</v>
      </c>
      <c r="BV124" s="388">
        <f t="shared" si="62"/>
        <v>0</v>
      </c>
      <c r="BW124" s="388">
        <f t="shared" si="63"/>
        <v>0</v>
      </c>
      <c r="BX124" s="388">
        <f t="shared" si="78"/>
        <v>0</v>
      </c>
      <c r="BY124" s="388">
        <f t="shared" si="79"/>
        <v>0</v>
      </c>
      <c r="BZ124" s="388">
        <f t="shared" si="80"/>
        <v>0</v>
      </c>
      <c r="CA124" s="388">
        <f t="shared" si="81"/>
        <v>0</v>
      </c>
      <c r="CB124" s="388">
        <f t="shared" si="82"/>
        <v>0</v>
      </c>
      <c r="CC124" s="388">
        <f t="shared" si="64"/>
        <v>0</v>
      </c>
      <c r="CD124" s="388">
        <f t="shared" si="65"/>
        <v>0</v>
      </c>
      <c r="CE124" s="388">
        <f t="shared" si="66"/>
        <v>0</v>
      </c>
      <c r="CF124" s="388">
        <f t="shared" si="67"/>
        <v>0</v>
      </c>
      <c r="CG124" s="388">
        <f t="shared" si="68"/>
        <v>0</v>
      </c>
      <c r="CH124" s="388">
        <f t="shared" si="69"/>
        <v>0</v>
      </c>
      <c r="CI124" s="388">
        <f t="shared" si="70"/>
        <v>0</v>
      </c>
      <c r="CJ124" s="388">
        <f t="shared" si="83"/>
        <v>0</v>
      </c>
      <c r="CK124" s="388" t="str">
        <f t="shared" si="84"/>
        <v/>
      </c>
      <c r="CL124" s="388" t="str">
        <f t="shared" si="85"/>
        <v/>
      </c>
      <c r="CM124" s="388" t="str">
        <f t="shared" si="86"/>
        <v/>
      </c>
      <c r="CN124" s="388" t="str">
        <f t="shared" si="87"/>
        <v>0325-19</v>
      </c>
    </row>
    <row r="125" spans="1:92" ht="15.75" thickBot="1" x14ac:dyDescent="0.3">
      <c r="A125" s="377" t="s">
        <v>162</v>
      </c>
      <c r="B125" s="377" t="s">
        <v>163</v>
      </c>
      <c r="C125" s="377" t="s">
        <v>521</v>
      </c>
      <c r="D125" s="377" t="s">
        <v>282</v>
      </c>
      <c r="E125" s="377" t="s">
        <v>417</v>
      </c>
      <c r="F125" s="383" t="s">
        <v>627</v>
      </c>
      <c r="G125" s="377" t="s">
        <v>439</v>
      </c>
      <c r="H125" s="379"/>
      <c r="I125" s="379"/>
      <c r="J125" s="377" t="s">
        <v>517</v>
      </c>
      <c r="K125" s="377" t="s">
        <v>244</v>
      </c>
      <c r="L125" s="377" t="s">
        <v>167</v>
      </c>
      <c r="M125" s="377" t="s">
        <v>395</v>
      </c>
      <c r="N125" s="377" t="s">
        <v>173</v>
      </c>
      <c r="O125" s="380">
        <v>0</v>
      </c>
      <c r="P125" s="386">
        <v>0.02</v>
      </c>
      <c r="Q125" s="386">
        <v>0.02</v>
      </c>
      <c r="R125" s="381">
        <v>80</v>
      </c>
      <c r="S125" s="386">
        <v>0.02</v>
      </c>
      <c r="T125" s="381">
        <v>1887.81</v>
      </c>
      <c r="U125" s="381">
        <v>0</v>
      </c>
      <c r="V125" s="381">
        <v>643.79999999999995</v>
      </c>
      <c r="W125" s="381">
        <v>1730.56</v>
      </c>
      <c r="X125" s="381">
        <v>778.75</v>
      </c>
      <c r="Y125" s="381">
        <v>1730.56</v>
      </c>
      <c r="Z125" s="381">
        <v>806.44</v>
      </c>
      <c r="AA125" s="379"/>
      <c r="AB125" s="377" t="s">
        <v>45</v>
      </c>
      <c r="AC125" s="377" t="s">
        <v>45</v>
      </c>
      <c r="AD125" s="379"/>
      <c r="AE125" s="379"/>
      <c r="AF125" s="379"/>
      <c r="AG125" s="379"/>
      <c r="AH125" s="380">
        <v>0</v>
      </c>
      <c r="AI125" s="380">
        <v>0</v>
      </c>
      <c r="AJ125" s="379"/>
      <c r="AK125" s="379"/>
      <c r="AL125" s="377" t="s">
        <v>182</v>
      </c>
      <c r="AM125" s="379"/>
      <c r="AN125" s="379"/>
      <c r="AO125" s="380">
        <v>0</v>
      </c>
      <c r="AP125" s="386">
        <v>0</v>
      </c>
      <c r="AQ125" s="386">
        <v>0</v>
      </c>
      <c r="AR125" s="385"/>
      <c r="AS125" s="388">
        <f t="shared" si="71"/>
        <v>0</v>
      </c>
      <c r="AT125">
        <f t="shared" si="72"/>
        <v>0</v>
      </c>
      <c r="AU125" s="388" t="str">
        <f>IF(AT125=0,"",IF(AND(AT125=1,M125="F",SUMIF(C2:C258,C125,AS2:AS258)&lt;=1),SUMIF(C2:C258,C125,AS2:AS258),IF(AND(AT125=1,M125="F",SUMIF(C2:C258,C125,AS2:AS258)&gt;1),1,"")))</f>
        <v/>
      </c>
      <c r="AV125" s="388" t="str">
        <f>IF(AT125=0,"",IF(AND(AT125=3,M125="F",SUMIF(C2:C258,C125,AS2:AS258)&lt;=1),SUMIF(C2:C258,C125,AS2:AS258),IF(AND(AT125=3,M125="F",SUMIF(C2:C258,C125,AS2:AS258)&gt;1),1,"")))</f>
        <v/>
      </c>
      <c r="AW125" s="388">
        <f>SUMIF(C2:C258,C125,O2:O258)</f>
        <v>0</v>
      </c>
      <c r="AX125" s="388">
        <f>IF(AND(M125="F",AS125&lt;&gt;0),SUMIF(C2:C258,C125,W2:W258),0)</f>
        <v>0</v>
      </c>
      <c r="AY125" s="388" t="str">
        <f t="shared" si="73"/>
        <v/>
      </c>
      <c r="AZ125" s="388" t="str">
        <f t="shared" si="74"/>
        <v/>
      </c>
      <c r="BA125" s="388">
        <f t="shared" si="75"/>
        <v>0</v>
      </c>
      <c r="BB125" s="388">
        <f t="shared" si="44"/>
        <v>0</v>
      </c>
      <c r="BC125" s="388">
        <f t="shared" si="45"/>
        <v>0</v>
      </c>
      <c r="BD125" s="388">
        <f t="shared" si="46"/>
        <v>0</v>
      </c>
      <c r="BE125" s="388">
        <f t="shared" si="47"/>
        <v>0</v>
      </c>
      <c r="BF125" s="388">
        <f t="shared" si="48"/>
        <v>0</v>
      </c>
      <c r="BG125" s="388">
        <f t="shared" si="49"/>
        <v>0</v>
      </c>
      <c r="BH125" s="388">
        <f t="shared" si="50"/>
        <v>0</v>
      </c>
      <c r="BI125" s="388">
        <f t="shared" si="51"/>
        <v>0</v>
      </c>
      <c r="BJ125" s="388">
        <f t="shared" si="52"/>
        <v>0</v>
      </c>
      <c r="BK125" s="388">
        <f t="shared" si="53"/>
        <v>0</v>
      </c>
      <c r="BL125" s="388">
        <f t="shared" si="76"/>
        <v>0</v>
      </c>
      <c r="BM125" s="388">
        <f t="shared" si="77"/>
        <v>0</v>
      </c>
      <c r="BN125" s="388">
        <f t="shared" si="54"/>
        <v>0</v>
      </c>
      <c r="BO125" s="388">
        <f t="shared" si="55"/>
        <v>0</v>
      </c>
      <c r="BP125" s="388">
        <f t="shared" si="56"/>
        <v>0</v>
      </c>
      <c r="BQ125" s="388">
        <f t="shared" si="57"/>
        <v>0</v>
      </c>
      <c r="BR125" s="388">
        <f t="shared" si="58"/>
        <v>0</v>
      </c>
      <c r="BS125" s="388">
        <f t="shared" si="59"/>
        <v>0</v>
      </c>
      <c r="BT125" s="388">
        <f t="shared" si="60"/>
        <v>0</v>
      </c>
      <c r="BU125" s="388">
        <f t="shared" si="61"/>
        <v>0</v>
      </c>
      <c r="BV125" s="388">
        <f t="shared" si="62"/>
        <v>0</v>
      </c>
      <c r="BW125" s="388">
        <f t="shared" si="63"/>
        <v>0</v>
      </c>
      <c r="BX125" s="388">
        <f t="shared" si="78"/>
        <v>0</v>
      </c>
      <c r="BY125" s="388">
        <f t="shared" si="79"/>
        <v>0</v>
      </c>
      <c r="BZ125" s="388">
        <f t="shared" si="80"/>
        <v>0</v>
      </c>
      <c r="CA125" s="388">
        <f t="shared" si="81"/>
        <v>0</v>
      </c>
      <c r="CB125" s="388">
        <f t="shared" si="82"/>
        <v>0</v>
      </c>
      <c r="CC125" s="388">
        <f t="shared" si="64"/>
        <v>0</v>
      </c>
      <c r="CD125" s="388">
        <f t="shared" si="65"/>
        <v>0</v>
      </c>
      <c r="CE125" s="388">
        <f t="shared" si="66"/>
        <v>0</v>
      </c>
      <c r="CF125" s="388">
        <f t="shared" si="67"/>
        <v>0</v>
      </c>
      <c r="CG125" s="388">
        <f t="shared" si="68"/>
        <v>0</v>
      </c>
      <c r="CH125" s="388">
        <f t="shared" si="69"/>
        <v>0</v>
      </c>
      <c r="CI125" s="388">
        <f t="shared" si="70"/>
        <v>0</v>
      </c>
      <c r="CJ125" s="388">
        <f t="shared" si="83"/>
        <v>0</v>
      </c>
      <c r="CK125" s="388" t="str">
        <f t="shared" si="84"/>
        <v/>
      </c>
      <c r="CL125" s="388" t="str">
        <f t="shared" si="85"/>
        <v/>
      </c>
      <c r="CM125" s="388" t="str">
        <f t="shared" si="86"/>
        <v/>
      </c>
      <c r="CN125" s="388" t="str">
        <f t="shared" si="87"/>
        <v>0325-22</v>
      </c>
    </row>
    <row r="126" spans="1:92" ht="15.75" thickBot="1" x14ac:dyDescent="0.3">
      <c r="A126" s="377" t="s">
        <v>162</v>
      </c>
      <c r="B126" s="377" t="s">
        <v>163</v>
      </c>
      <c r="C126" s="377" t="s">
        <v>516</v>
      </c>
      <c r="D126" s="377" t="s">
        <v>251</v>
      </c>
      <c r="E126" s="377" t="s">
        <v>417</v>
      </c>
      <c r="F126" s="383" t="s">
        <v>627</v>
      </c>
      <c r="G126" s="377" t="s">
        <v>439</v>
      </c>
      <c r="H126" s="379"/>
      <c r="I126" s="379"/>
      <c r="J126" s="377" t="s">
        <v>517</v>
      </c>
      <c r="K126" s="377" t="s">
        <v>252</v>
      </c>
      <c r="L126" s="377" t="s">
        <v>179</v>
      </c>
      <c r="M126" s="377" t="s">
        <v>172</v>
      </c>
      <c r="N126" s="377" t="s">
        <v>173</v>
      </c>
      <c r="O126" s="380">
        <v>1</v>
      </c>
      <c r="P126" s="386">
        <v>0.01</v>
      </c>
      <c r="Q126" s="386">
        <v>0.01</v>
      </c>
      <c r="R126" s="381">
        <v>80</v>
      </c>
      <c r="S126" s="386">
        <v>0.01</v>
      </c>
      <c r="T126" s="381">
        <v>589.99</v>
      </c>
      <c r="U126" s="381">
        <v>0</v>
      </c>
      <c r="V126" s="381">
        <v>290.73</v>
      </c>
      <c r="W126" s="381">
        <v>385.21</v>
      </c>
      <c r="X126" s="381">
        <v>204.58</v>
      </c>
      <c r="Y126" s="381">
        <v>385.21</v>
      </c>
      <c r="Z126" s="381">
        <v>214.31</v>
      </c>
      <c r="AA126" s="377" t="s">
        <v>518</v>
      </c>
      <c r="AB126" s="377" t="s">
        <v>519</v>
      </c>
      <c r="AC126" s="377" t="s">
        <v>520</v>
      </c>
      <c r="AD126" s="377" t="s">
        <v>211</v>
      </c>
      <c r="AE126" s="377" t="s">
        <v>252</v>
      </c>
      <c r="AF126" s="377" t="s">
        <v>257</v>
      </c>
      <c r="AG126" s="377" t="s">
        <v>179</v>
      </c>
      <c r="AH126" s="382">
        <v>18.52</v>
      </c>
      <c r="AI126" s="382">
        <v>2463.6</v>
      </c>
      <c r="AJ126" s="377" t="s">
        <v>180</v>
      </c>
      <c r="AK126" s="377" t="s">
        <v>181</v>
      </c>
      <c r="AL126" s="377" t="s">
        <v>182</v>
      </c>
      <c r="AM126" s="377" t="s">
        <v>183</v>
      </c>
      <c r="AN126" s="377" t="s">
        <v>66</v>
      </c>
      <c r="AO126" s="380">
        <v>80</v>
      </c>
      <c r="AP126" s="386">
        <v>1</v>
      </c>
      <c r="AQ126" s="386">
        <v>0.01</v>
      </c>
      <c r="AR126" s="384" t="s">
        <v>184</v>
      </c>
      <c r="AS126" s="388">
        <f t="shared" si="71"/>
        <v>0.01</v>
      </c>
      <c r="AT126">
        <f t="shared" si="72"/>
        <v>1</v>
      </c>
      <c r="AU126" s="388">
        <f>IF(AT126=0,"",IF(AND(AT126=1,M126="F",SUMIF(C2:C258,C126,AS2:AS258)&lt;=1),SUMIF(C2:C258,C126,AS2:AS258),IF(AND(AT126=1,M126="F",SUMIF(C2:C258,C126,AS2:AS258)&gt;1),1,"")))</f>
        <v>1</v>
      </c>
      <c r="AV126" s="388" t="str">
        <f>IF(AT126=0,"",IF(AND(AT126=3,M126="F",SUMIF(C2:C258,C126,AS2:AS258)&lt;=1),SUMIF(C2:C258,C126,AS2:AS258),IF(AND(AT126=3,M126="F",SUMIF(C2:C258,C126,AS2:AS258)&gt;1),1,"")))</f>
        <v/>
      </c>
      <c r="AW126" s="388">
        <f>SUMIF(C2:C258,C126,O2:O258)</f>
        <v>6</v>
      </c>
      <c r="AX126" s="388">
        <f>IF(AND(M126="F",AS126&lt;&gt;0),SUMIF(C2:C258,C126,W2:W258),0)</f>
        <v>38521.58</v>
      </c>
      <c r="AY126" s="388">
        <f t="shared" si="73"/>
        <v>385.21</v>
      </c>
      <c r="AZ126" s="388" t="str">
        <f t="shared" si="74"/>
        <v/>
      </c>
      <c r="BA126" s="388">
        <f t="shared" si="75"/>
        <v>0</v>
      </c>
      <c r="BB126" s="388">
        <f t="shared" si="44"/>
        <v>125</v>
      </c>
      <c r="BC126" s="388">
        <f t="shared" si="45"/>
        <v>0</v>
      </c>
      <c r="BD126" s="388">
        <f t="shared" si="46"/>
        <v>23.883019999999998</v>
      </c>
      <c r="BE126" s="388">
        <f t="shared" si="47"/>
        <v>5.5855449999999998</v>
      </c>
      <c r="BF126" s="388">
        <f t="shared" si="48"/>
        <v>45.994073999999998</v>
      </c>
      <c r="BG126" s="388">
        <f t="shared" si="49"/>
        <v>2.7773640999999998</v>
      </c>
      <c r="BH126" s="388">
        <f t="shared" si="50"/>
        <v>0</v>
      </c>
      <c r="BI126" s="388">
        <f t="shared" si="51"/>
        <v>0</v>
      </c>
      <c r="BJ126" s="388">
        <f t="shared" si="52"/>
        <v>1.3482349999999999</v>
      </c>
      <c r="BK126" s="388">
        <f t="shared" si="53"/>
        <v>0</v>
      </c>
      <c r="BL126" s="388">
        <f t="shared" si="76"/>
        <v>79.588238099999998</v>
      </c>
      <c r="BM126" s="388">
        <f t="shared" si="77"/>
        <v>0</v>
      </c>
      <c r="BN126" s="388">
        <f t="shared" si="54"/>
        <v>137.5</v>
      </c>
      <c r="BO126" s="388">
        <f t="shared" si="55"/>
        <v>0</v>
      </c>
      <c r="BP126" s="388">
        <f t="shared" si="56"/>
        <v>23.883019999999998</v>
      </c>
      <c r="BQ126" s="388">
        <f t="shared" si="57"/>
        <v>5.5855449999999998</v>
      </c>
      <c r="BR126" s="388">
        <f t="shared" si="58"/>
        <v>43.066477999999996</v>
      </c>
      <c r="BS126" s="388">
        <f t="shared" si="59"/>
        <v>2.7773640999999998</v>
      </c>
      <c r="BT126" s="388">
        <f t="shared" si="60"/>
        <v>0</v>
      </c>
      <c r="BU126" s="388">
        <f t="shared" si="61"/>
        <v>0</v>
      </c>
      <c r="BV126" s="388">
        <f t="shared" si="62"/>
        <v>1.502319</v>
      </c>
      <c r="BW126" s="388">
        <f t="shared" si="63"/>
        <v>0</v>
      </c>
      <c r="BX126" s="388">
        <f t="shared" si="78"/>
        <v>76.814726100000001</v>
      </c>
      <c r="BY126" s="388">
        <f t="shared" si="79"/>
        <v>0</v>
      </c>
      <c r="BZ126" s="388">
        <f t="shared" si="80"/>
        <v>12.5</v>
      </c>
      <c r="CA126" s="388">
        <f t="shared" si="81"/>
        <v>0</v>
      </c>
      <c r="CB126" s="388">
        <f t="shared" si="82"/>
        <v>0</v>
      </c>
      <c r="CC126" s="388">
        <f t="shared" si="64"/>
        <v>0</v>
      </c>
      <c r="CD126" s="388">
        <f t="shared" si="65"/>
        <v>-2.9275960000000034</v>
      </c>
      <c r="CE126" s="388">
        <f t="shared" si="66"/>
        <v>0</v>
      </c>
      <c r="CF126" s="388">
        <f t="shared" si="67"/>
        <v>0</v>
      </c>
      <c r="CG126" s="388">
        <f t="shared" si="68"/>
        <v>0</v>
      </c>
      <c r="CH126" s="388">
        <f t="shared" si="69"/>
        <v>0.15408399999999989</v>
      </c>
      <c r="CI126" s="388">
        <f t="shared" si="70"/>
        <v>0</v>
      </c>
      <c r="CJ126" s="388">
        <f t="shared" si="83"/>
        <v>-2.7735120000000038</v>
      </c>
      <c r="CK126" s="388" t="str">
        <f t="shared" si="84"/>
        <v/>
      </c>
      <c r="CL126" s="388" t="str">
        <f t="shared" si="85"/>
        <v/>
      </c>
      <c r="CM126" s="388" t="str">
        <f t="shared" si="86"/>
        <v/>
      </c>
      <c r="CN126" s="388" t="str">
        <f t="shared" si="87"/>
        <v>0325-22</v>
      </c>
    </row>
    <row r="127" spans="1:92" ht="15.75" thickBot="1" x14ac:dyDescent="0.3">
      <c r="A127" s="377" t="s">
        <v>162</v>
      </c>
      <c r="B127" s="377" t="s">
        <v>163</v>
      </c>
      <c r="C127" s="377" t="s">
        <v>628</v>
      </c>
      <c r="D127" s="377" t="s">
        <v>300</v>
      </c>
      <c r="E127" s="377" t="s">
        <v>417</v>
      </c>
      <c r="F127" s="383" t="s">
        <v>627</v>
      </c>
      <c r="G127" s="377" t="s">
        <v>439</v>
      </c>
      <c r="H127" s="379"/>
      <c r="I127" s="379"/>
      <c r="J127" s="377" t="s">
        <v>283</v>
      </c>
      <c r="K127" s="377" t="s">
        <v>301</v>
      </c>
      <c r="L127" s="377" t="s">
        <v>167</v>
      </c>
      <c r="M127" s="377" t="s">
        <v>172</v>
      </c>
      <c r="N127" s="377" t="s">
        <v>173</v>
      </c>
      <c r="O127" s="380">
        <v>1</v>
      </c>
      <c r="P127" s="386">
        <v>0.02</v>
      </c>
      <c r="Q127" s="386">
        <v>0.02</v>
      </c>
      <c r="R127" s="381">
        <v>80</v>
      </c>
      <c r="S127" s="386">
        <v>0.02</v>
      </c>
      <c r="T127" s="381">
        <v>291</v>
      </c>
      <c r="U127" s="381">
        <v>0</v>
      </c>
      <c r="V127" s="381">
        <v>110.82</v>
      </c>
      <c r="W127" s="381">
        <v>1321.63</v>
      </c>
      <c r="X127" s="381">
        <v>523.05999999999995</v>
      </c>
      <c r="Y127" s="381">
        <v>1321.63</v>
      </c>
      <c r="Z127" s="381">
        <v>538.54</v>
      </c>
      <c r="AA127" s="377" t="s">
        <v>629</v>
      </c>
      <c r="AB127" s="377" t="s">
        <v>630</v>
      </c>
      <c r="AC127" s="377" t="s">
        <v>631</v>
      </c>
      <c r="AD127" s="377" t="s">
        <v>199</v>
      </c>
      <c r="AE127" s="377" t="s">
        <v>301</v>
      </c>
      <c r="AF127" s="377" t="s">
        <v>207</v>
      </c>
      <c r="AG127" s="377" t="s">
        <v>179</v>
      </c>
      <c r="AH127" s="382">
        <v>31.77</v>
      </c>
      <c r="AI127" s="382">
        <v>5894.5</v>
      </c>
      <c r="AJ127" s="377" t="s">
        <v>180</v>
      </c>
      <c r="AK127" s="377" t="s">
        <v>181</v>
      </c>
      <c r="AL127" s="377" t="s">
        <v>182</v>
      </c>
      <c r="AM127" s="377" t="s">
        <v>183</v>
      </c>
      <c r="AN127" s="377" t="s">
        <v>66</v>
      </c>
      <c r="AO127" s="380">
        <v>80</v>
      </c>
      <c r="AP127" s="386">
        <v>1</v>
      </c>
      <c r="AQ127" s="386">
        <v>0.02</v>
      </c>
      <c r="AR127" s="384" t="s">
        <v>184</v>
      </c>
      <c r="AS127" s="388">
        <f t="shared" si="71"/>
        <v>0.02</v>
      </c>
      <c r="AT127">
        <f t="shared" si="72"/>
        <v>1</v>
      </c>
      <c r="AU127" s="388">
        <f>IF(AT127=0,"",IF(AND(AT127=1,M127="F",SUMIF(C2:C258,C127,AS2:AS258)&lt;=1),SUMIF(C2:C258,C127,AS2:AS258),IF(AND(AT127=1,M127="F",SUMIF(C2:C258,C127,AS2:AS258)&gt;1),1,"")))</f>
        <v>1</v>
      </c>
      <c r="AV127" s="388" t="str">
        <f>IF(AT127=0,"",IF(AND(AT127=3,M127="F",SUMIF(C2:C258,C127,AS2:AS258)&lt;=1),SUMIF(C2:C258,C127,AS2:AS258),IF(AND(AT127=3,M127="F",SUMIF(C2:C258,C127,AS2:AS258)&gt;1),1,"")))</f>
        <v/>
      </c>
      <c r="AW127" s="388">
        <f>SUMIF(C2:C258,C127,O2:O258)</f>
        <v>3</v>
      </c>
      <c r="AX127" s="388">
        <f>IF(AND(M127="F",AS127&lt;&gt;0),SUMIF(C2:C258,C127,W2:W258),0)</f>
        <v>66081.59</v>
      </c>
      <c r="AY127" s="388">
        <f t="shared" si="73"/>
        <v>1321.63</v>
      </c>
      <c r="AZ127" s="388" t="str">
        <f t="shared" si="74"/>
        <v/>
      </c>
      <c r="BA127" s="388">
        <f t="shared" si="75"/>
        <v>0</v>
      </c>
      <c r="BB127" s="388">
        <f t="shared" si="44"/>
        <v>250</v>
      </c>
      <c r="BC127" s="388">
        <f t="shared" si="45"/>
        <v>0</v>
      </c>
      <c r="BD127" s="388">
        <f t="shared" si="46"/>
        <v>81.941060000000007</v>
      </c>
      <c r="BE127" s="388">
        <f t="shared" si="47"/>
        <v>19.163635000000003</v>
      </c>
      <c r="BF127" s="388">
        <f t="shared" si="48"/>
        <v>157.80262200000001</v>
      </c>
      <c r="BG127" s="388">
        <f t="shared" si="49"/>
        <v>9.5289523000000003</v>
      </c>
      <c r="BH127" s="388">
        <f t="shared" si="50"/>
        <v>0</v>
      </c>
      <c r="BI127" s="388">
        <f t="shared" si="51"/>
        <v>0</v>
      </c>
      <c r="BJ127" s="388">
        <f t="shared" si="52"/>
        <v>4.6257050000000008</v>
      </c>
      <c r="BK127" s="388">
        <f t="shared" si="53"/>
        <v>0</v>
      </c>
      <c r="BL127" s="388">
        <f t="shared" si="76"/>
        <v>273.06197430000003</v>
      </c>
      <c r="BM127" s="388">
        <f t="shared" si="77"/>
        <v>0</v>
      </c>
      <c r="BN127" s="388">
        <f t="shared" si="54"/>
        <v>275</v>
      </c>
      <c r="BO127" s="388">
        <f t="shared" si="55"/>
        <v>0</v>
      </c>
      <c r="BP127" s="388">
        <f t="shared" si="56"/>
        <v>81.941060000000007</v>
      </c>
      <c r="BQ127" s="388">
        <f t="shared" si="57"/>
        <v>19.163635000000003</v>
      </c>
      <c r="BR127" s="388">
        <f t="shared" si="58"/>
        <v>147.75823400000002</v>
      </c>
      <c r="BS127" s="388">
        <f t="shared" si="59"/>
        <v>9.5289523000000003</v>
      </c>
      <c r="BT127" s="388">
        <f t="shared" si="60"/>
        <v>0</v>
      </c>
      <c r="BU127" s="388">
        <f t="shared" si="61"/>
        <v>0</v>
      </c>
      <c r="BV127" s="388">
        <f t="shared" si="62"/>
        <v>5.1543570000000001</v>
      </c>
      <c r="BW127" s="388">
        <f t="shared" si="63"/>
        <v>0</v>
      </c>
      <c r="BX127" s="388">
        <f t="shared" si="78"/>
        <v>263.54623830000003</v>
      </c>
      <c r="BY127" s="388">
        <f t="shared" si="79"/>
        <v>0</v>
      </c>
      <c r="BZ127" s="388">
        <f t="shared" si="80"/>
        <v>25</v>
      </c>
      <c r="CA127" s="388">
        <f t="shared" si="81"/>
        <v>0</v>
      </c>
      <c r="CB127" s="388">
        <f t="shared" si="82"/>
        <v>0</v>
      </c>
      <c r="CC127" s="388">
        <f t="shared" si="64"/>
        <v>0</v>
      </c>
      <c r="CD127" s="388">
        <f t="shared" si="65"/>
        <v>-10.044388000000014</v>
      </c>
      <c r="CE127" s="388">
        <f t="shared" si="66"/>
        <v>0</v>
      </c>
      <c r="CF127" s="388">
        <f t="shared" si="67"/>
        <v>0</v>
      </c>
      <c r="CG127" s="388">
        <f t="shared" si="68"/>
        <v>0</v>
      </c>
      <c r="CH127" s="388">
        <f t="shared" si="69"/>
        <v>0.52865199999999968</v>
      </c>
      <c r="CI127" s="388">
        <f t="shared" si="70"/>
        <v>0</v>
      </c>
      <c r="CJ127" s="388">
        <f t="shared" si="83"/>
        <v>-9.5157360000000146</v>
      </c>
      <c r="CK127" s="388" t="str">
        <f t="shared" si="84"/>
        <v/>
      </c>
      <c r="CL127" s="388" t="str">
        <f t="shared" si="85"/>
        <v/>
      </c>
      <c r="CM127" s="388" t="str">
        <f t="shared" si="86"/>
        <v/>
      </c>
      <c r="CN127" s="388" t="str">
        <f t="shared" si="87"/>
        <v>0325-22</v>
      </c>
    </row>
    <row r="128" spans="1:92" ht="15.75" thickBot="1" x14ac:dyDescent="0.3">
      <c r="A128" s="377" t="s">
        <v>162</v>
      </c>
      <c r="B128" s="377" t="s">
        <v>163</v>
      </c>
      <c r="C128" s="377" t="s">
        <v>632</v>
      </c>
      <c r="D128" s="377" t="s">
        <v>300</v>
      </c>
      <c r="E128" s="377" t="s">
        <v>417</v>
      </c>
      <c r="F128" s="383" t="s">
        <v>627</v>
      </c>
      <c r="G128" s="377" t="s">
        <v>439</v>
      </c>
      <c r="H128" s="379"/>
      <c r="I128" s="379"/>
      <c r="J128" s="377" t="s">
        <v>219</v>
      </c>
      <c r="K128" s="377" t="s">
        <v>301</v>
      </c>
      <c r="L128" s="377" t="s">
        <v>167</v>
      </c>
      <c r="M128" s="377" t="s">
        <v>172</v>
      </c>
      <c r="N128" s="377" t="s">
        <v>173</v>
      </c>
      <c r="O128" s="380">
        <v>1</v>
      </c>
      <c r="P128" s="386">
        <v>1</v>
      </c>
      <c r="Q128" s="386">
        <v>1</v>
      </c>
      <c r="R128" s="381">
        <v>80</v>
      </c>
      <c r="S128" s="386">
        <v>1</v>
      </c>
      <c r="T128" s="381">
        <v>69822.47</v>
      </c>
      <c r="U128" s="381">
        <v>0</v>
      </c>
      <c r="V128" s="381">
        <v>26224.37</v>
      </c>
      <c r="W128" s="381">
        <v>69430.399999999994</v>
      </c>
      <c r="X128" s="381">
        <v>26844.99</v>
      </c>
      <c r="Y128" s="381">
        <v>69430.399999999994</v>
      </c>
      <c r="Z128" s="381">
        <v>27595.09</v>
      </c>
      <c r="AA128" s="377" t="s">
        <v>633</v>
      </c>
      <c r="AB128" s="377" t="s">
        <v>634</v>
      </c>
      <c r="AC128" s="377" t="s">
        <v>635</v>
      </c>
      <c r="AD128" s="377" t="s">
        <v>215</v>
      </c>
      <c r="AE128" s="377" t="s">
        <v>301</v>
      </c>
      <c r="AF128" s="377" t="s">
        <v>207</v>
      </c>
      <c r="AG128" s="377" t="s">
        <v>179</v>
      </c>
      <c r="AH128" s="382">
        <v>33.380000000000003</v>
      </c>
      <c r="AI128" s="380">
        <v>19227</v>
      </c>
      <c r="AJ128" s="377" t="s">
        <v>180</v>
      </c>
      <c r="AK128" s="377" t="s">
        <v>181</v>
      </c>
      <c r="AL128" s="377" t="s">
        <v>182</v>
      </c>
      <c r="AM128" s="377" t="s">
        <v>183</v>
      </c>
      <c r="AN128" s="377" t="s">
        <v>66</v>
      </c>
      <c r="AO128" s="380">
        <v>80</v>
      </c>
      <c r="AP128" s="386">
        <v>1</v>
      </c>
      <c r="AQ128" s="386">
        <v>1</v>
      </c>
      <c r="AR128" s="384" t="s">
        <v>184</v>
      </c>
      <c r="AS128" s="388">
        <f t="shared" si="71"/>
        <v>1</v>
      </c>
      <c r="AT128">
        <f t="shared" si="72"/>
        <v>1</v>
      </c>
      <c r="AU128" s="388">
        <f>IF(AT128=0,"",IF(AND(AT128=1,M128="F",SUMIF(C2:C258,C128,AS2:AS258)&lt;=1),SUMIF(C2:C258,C128,AS2:AS258),IF(AND(AT128=1,M128="F",SUMIF(C2:C258,C128,AS2:AS258)&gt;1),1,"")))</f>
        <v>1</v>
      </c>
      <c r="AV128" s="388" t="str">
        <f>IF(AT128=0,"",IF(AND(AT128=3,M128="F",SUMIF(C2:C258,C128,AS2:AS258)&lt;=1),SUMIF(C2:C258,C128,AS2:AS258),IF(AND(AT128=3,M128="F",SUMIF(C2:C258,C128,AS2:AS258)&gt;1),1,"")))</f>
        <v/>
      </c>
      <c r="AW128" s="388">
        <f>SUMIF(C2:C258,C128,O2:O258)</f>
        <v>1</v>
      </c>
      <c r="AX128" s="388">
        <f>IF(AND(M128="F",AS128&lt;&gt;0),SUMIF(C2:C258,C128,W2:W258),0)</f>
        <v>69430.399999999994</v>
      </c>
      <c r="AY128" s="388">
        <f t="shared" si="73"/>
        <v>69430.399999999994</v>
      </c>
      <c r="AZ128" s="388" t="str">
        <f t="shared" si="74"/>
        <v/>
      </c>
      <c r="BA128" s="388">
        <f t="shared" si="75"/>
        <v>0</v>
      </c>
      <c r="BB128" s="388">
        <f t="shared" si="44"/>
        <v>12500</v>
      </c>
      <c r="BC128" s="388">
        <f t="shared" si="45"/>
        <v>0</v>
      </c>
      <c r="BD128" s="388">
        <f t="shared" si="46"/>
        <v>4304.6848</v>
      </c>
      <c r="BE128" s="388">
        <f t="shared" si="47"/>
        <v>1006.7407999999999</v>
      </c>
      <c r="BF128" s="388">
        <f t="shared" si="48"/>
        <v>8289.9897600000004</v>
      </c>
      <c r="BG128" s="388">
        <f t="shared" si="49"/>
        <v>500.59318399999995</v>
      </c>
      <c r="BH128" s="388">
        <f t="shared" si="50"/>
        <v>0</v>
      </c>
      <c r="BI128" s="388">
        <f t="shared" si="51"/>
        <v>0</v>
      </c>
      <c r="BJ128" s="388">
        <f t="shared" si="52"/>
        <v>243.00639999999999</v>
      </c>
      <c r="BK128" s="388">
        <f t="shared" si="53"/>
        <v>0</v>
      </c>
      <c r="BL128" s="388">
        <f t="shared" si="76"/>
        <v>14345.014943999999</v>
      </c>
      <c r="BM128" s="388">
        <f t="shared" si="77"/>
        <v>0</v>
      </c>
      <c r="BN128" s="388">
        <f t="shared" si="54"/>
        <v>13750</v>
      </c>
      <c r="BO128" s="388">
        <f t="shared" si="55"/>
        <v>0</v>
      </c>
      <c r="BP128" s="388">
        <f t="shared" si="56"/>
        <v>4304.6848</v>
      </c>
      <c r="BQ128" s="388">
        <f t="shared" si="57"/>
        <v>1006.7407999999999</v>
      </c>
      <c r="BR128" s="388">
        <f t="shared" si="58"/>
        <v>7762.3187199999993</v>
      </c>
      <c r="BS128" s="388">
        <f t="shared" si="59"/>
        <v>500.59318399999995</v>
      </c>
      <c r="BT128" s="388">
        <f t="shared" si="60"/>
        <v>0</v>
      </c>
      <c r="BU128" s="388">
        <f t="shared" si="61"/>
        <v>0</v>
      </c>
      <c r="BV128" s="388">
        <f t="shared" si="62"/>
        <v>270.77855999999997</v>
      </c>
      <c r="BW128" s="388">
        <f t="shared" si="63"/>
        <v>0</v>
      </c>
      <c r="BX128" s="388">
        <f t="shared" si="78"/>
        <v>13845.116063999998</v>
      </c>
      <c r="BY128" s="388">
        <f t="shared" si="79"/>
        <v>0</v>
      </c>
      <c r="BZ128" s="388">
        <f t="shared" si="80"/>
        <v>1250</v>
      </c>
      <c r="CA128" s="388">
        <f t="shared" si="81"/>
        <v>0</v>
      </c>
      <c r="CB128" s="388">
        <f t="shared" si="82"/>
        <v>0</v>
      </c>
      <c r="CC128" s="388">
        <f t="shared" si="64"/>
        <v>0</v>
      </c>
      <c r="CD128" s="388">
        <f t="shared" si="65"/>
        <v>-527.67104000000063</v>
      </c>
      <c r="CE128" s="388">
        <f t="shared" si="66"/>
        <v>0</v>
      </c>
      <c r="CF128" s="388">
        <f t="shared" si="67"/>
        <v>0</v>
      </c>
      <c r="CG128" s="388">
        <f t="shared" si="68"/>
        <v>0</v>
      </c>
      <c r="CH128" s="388">
        <f t="shared" si="69"/>
        <v>27.772159999999982</v>
      </c>
      <c r="CI128" s="388">
        <f t="shared" si="70"/>
        <v>0</v>
      </c>
      <c r="CJ128" s="388">
        <f t="shared" si="83"/>
        <v>-499.89888000000064</v>
      </c>
      <c r="CK128" s="388" t="str">
        <f t="shared" si="84"/>
        <v/>
      </c>
      <c r="CL128" s="388" t="str">
        <f t="shared" si="85"/>
        <v/>
      </c>
      <c r="CM128" s="388" t="str">
        <f t="shared" si="86"/>
        <v/>
      </c>
      <c r="CN128" s="388" t="str">
        <f t="shared" si="87"/>
        <v>0325-22</v>
      </c>
    </row>
    <row r="129" spans="1:92" ht="15.75" thickBot="1" x14ac:dyDescent="0.3">
      <c r="A129" s="377" t="s">
        <v>162</v>
      </c>
      <c r="B129" s="377" t="s">
        <v>163</v>
      </c>
      <c r="C129" s="377" t="s">
        <v>636</v>
      </c>
      <c r="D129" s="377" t="s">
        <v>194</v>
      </c>
      <c r="E129" s="377" t="s">
        <v>637</v>
      </c>
      <c r="F129" s="383" t="s">
        <v>638</v>
      </c>
      <c r="G129" s="377" t="s">
        <v>439</v>
      </c>
      <c r="H129" s="379"/>
      <c r="I129" s="379"/>
      <c r="J129" s="377" t="s">
        <v>169</v>
      </c>
      <c r="K129" s="377" t="s">
        <v>639</v>
      </c>
      <c r="L129" s="377" t="s">
        <v>321</v>
      </c>
      <c r="M129" s="377" t="s">
        <v>172</v>
      </c>
      <c r="N129" s="377" t="s">
        <v>173</v>
      </c>
      <c r="O129" s="380">
        <v>1</v>
      </c>
      <c r="P129" s="386">
        <v>0.1</v>
      </c>
      <c r="Q129" s="386">
        <v>0.1</v>
      </c>
      <c r="R129" s="381">
        <v>80</v>
      </c>
      <c r="S129" s="386">
        <v>0.1</v>
      </c>
      <c r="T129" s="381">
        <v>4250.3</v>
      </c>
      <c r="U129" s="381">
        <v>0</v>
      </c>
      <c r="V129" s="381">
        <v>1460.53</v>
      </c>
      <c r="W129" s="381">
        <v>8259.68</v>
      </c>
      <c r="X129" s="381">
        <v>2956.53</v>
      </c>
      <c r="Y129" s="381">
        <v>8259.68</v>
      </c>
      <c r="Z129" s="381">
        <v>3022.06</v>
      </c>
      <c r="AA129" s="377" t="s">
        <v>640</v>
      </c>
      <c r="AB129" s="377" t="s">
        <v>641</v>
      </c>
      <c r="AC129" s="377" t="s">
        <v>642</v>
      </c>
      <c r="AD129" s="377" t="s">
        <v>316</v>
      </c>
      <c r="AE129" s="377" t="s">
        <v>639</v>
      </c>
      <c r="AF129" s="377" t="s">
        <v>207</v>
      </c>
      <c r="AG129" s="377" t="s">
        <v>179</v>
      </c>
      <c r="AH129" s="382">
        <v>39.71</v>
      </c>
      <c r="AI129" s="382">
        <v>3840.5</v>
      </c>
      <c r="AJ129" s="377" t="s">
        <v>180</v>
      </c>
      <c r="AK129" s="377" t="s">
        <v>181</v>
      </c>
      <c r="AL129" s="377" t="s">
        <v>182</v>
      </c>
      <c r="AM129" s="377" t="s">
        <v>183</v>
      </c>
      <c r="AN129" s="377" t="s">
        <v>66</v>
      </c>
      <c r="AO129" s="380">
        <v>80</v>
      </c>
      <c r="AP129" s="386">
        <v>1</v>
      </c>
      <c r="AQ129" s="386">
        <v>0.1</v>
      </c>
      <c r="AR129" s="384" t="s">
        <v>184</v>
      </c>
      <c r="AS129" s="388">
        <f t="shared" si="71"/>
        <v>0.1</v>
      </c>
      <c r="AT129">
        <f t="shared" si="72"/>
        <v>1</v>
      </c>
      <c r="AU129" s="388">
        <f>IF(AT129=0,"",IF(AND(AT129=1,M129="F",SUMIF(C2:C258,C129,AS2:AS258)&lt;=1),SUMIF(C2:C258,C129,AS2:AS258),IF(AND(AT129=1,M129="F",SUMIF(C2:C258,C129,AS2:AS258)&gt;1),1,"")))</f>
        <v>1</v>
      </c>
      <c r="AV129" s="388" t="str">
        <f>IF(AT129=0,"",IF(AND(AT129=3,M129="F",SUMIF(C2:C258,C129,AS2:AS258)&lt;=1),SUMIF(C2:C258,C129,AS2:AS258),IF(AND(AT129=3,M129="F",SUMIF(C2:C258,C129,AS2:AS258)&gt;1),1,"")))</f>
        <v/>
      </c>
      <c r="AW129" s="388">
        <f>SUMIF(C2:C258,C129,O2:O258)</f>
        <v>2</v>
      </c>
      <c r="AX129" s="388">
        <f>IF(AND(M129="F",AS129&lt;&gt;0),SUMIF(C2:C258,C129,W2:W258),0)</f>
        <v>82596.799999999988</v>
      </c>
      <c r="AY129" s="388">
        <f t="shared" si="73"/>
        <v>8259.68</v>
      </c>
      <c r="AZ129" s="388" t="str">
        <f t="shared" si="74"/>
        <v/>
      </c>
      <c r="BA129" s="388">
        <f t="shared" si="75"/>
        <v>0</v>
      </c>
      <c r="BB129" s="388">
        <f t="shared" si="44"/>
        <v>1250</v>
      </c>
      <c r="BC129" s="388">
        <f t="shared" si="45"/>
        <v>0</v>
      </c>
      <c r="BD129" s="388">
        <f t="shared" si="46"/>
        <v>512.10015999999996</v>
      </c>
      <c r="BE129" s="388">
        <f t="shared" si="47"/>
        <v>119.76536000000002</v>
      </c>
      <c r="BF129" s="388">
        <f t="shared" si="48"/>
        <v>986.20579200000009</v>
      </c>
      <c r="BG129" s="388">
        <f t="shared" si="49"/>
        <v>59.552292800000004</v>
      </c>
      <c r="BH129" s="388">
        <f t="shared" si="50"/>
        <v>0</v>
      </c>
      <c r="BI129" s="388">
        <f t="shared" si="51"/>
        <v>0</v>
      </c>
      <c r="BJ129" s="388">
        <f t="shared" si="52"/>
        <v>28.90888</v>
      </c>
      <c r="BK129" s="388">
        <f t="shared" si="53"/>
        <v>0</v>
      </c>
      <c r="BL129" s="388">
        <f t="shared" si="76"/>
        <v>1706.5324848</v>
      </c>
      <c r="BM129" s="388">
        <f t="shared" si="77"/>
        <v>0</v>
      </c>
      <c r="BN129" s="388">
        <f t="shared" si="54"/>
        <v>1375</v>
      </c>
      <c r="BO129" s="388">
        <f t="shared" si="55"/>
        <v>0</v>
      </c>
      <c r="BP129" s="388">
        <f t="shared" si="56"/>
        <v>512.10015999999996</v>
      </c>
      <c r="BQ129" s="388">
        <f t="shared" si="57"/>
        <v>119.76536000000002</v>
      </c>
      <c r="BR129" s="388">
        <f t="shared" si="58"/>
        <v>923.43222400000002</v>
      </c>
      <c r="BS129" s="388">
        <f t="shared" si="59"/>
        <v>59.552292800000004</v>
      </c>
      <c r="BT129" s="388">
        <f t="shared" si="60"/>
        <v>0</v>
      </c>
      <c r="BU129" s="388">
        <f t="shared" si="61"/>
        <v>0</v>
      </c>
      <c r="BV129" s="388">
        <f t="shared" si="62"/>
        <v>32.212752000000002</v>
      </c>
      <c r="BW129" s="388">
        <f t="shared" si="63"/>
        <v>0</v>
      </c>
      <c r="BX129" s="388">
        <f t="shared" si="78"/>
        <v>1647.0627887999999</v>
      </c>
      <c r="BY129" s="388">
        <f t="shared" si="79"/>
        <v>0</v>
      </c>
      <c r="BZ129" s="388">
        <f t="shared" si="80"/>
        <v>125</v>
      </c>
      <c r="CA129" s="388">
        <f t="shared" si="81"/>
        <v>0</v>
      </c>
      <c r="CB129" s="388">
        <f t="shared" si="82"/>
        <v>0</v>
      </c>
      <c r="CC129" s="388">
        <f t="shared" si="64"/>
        <v>0</v>
      </c>
      <c r="CD129" s="388">
        <f t="shared" si="65"/>
        <v>-62.773568000000083</v>
      </c>
      <c r="CE129" s="388">
        <f t="shared" si="66"/>
        <v>0</v>
      </c>
      <c r="CF129" s="388">
        <f t="shared" si="67"/>
        <v>0</v>
      </c>
      <c r="CG129" s="388">
        <f t="shared" si="68"/>
        <v>0</v>
      </c>
      <c r="CH129" s="388">
        <f t="shared" si="69"/>
        <v>3.3038719999999979</v>
      </c>
      <c r="CI129" s="388">
        <f t="shared" si="70"/>
        <v>0</v>
      </c>
      <c r="CJ129" s="388">
        <f t="shared" si="83"/>
        <v>-59.469696000000084</v>
      </c>
      <c r="CK129" s="388" t="str">
        <f t="shared" si="84"/>
        <v/>
      </c>
      <c r="CL129" s="388" t="str">
        <f t="shared" si="85"/>
        <v/>
      </c>
      <c r="CM129" s="388" t="str">
        <f t="shared" si="86"/>
        <v/>
      </c>
      <c r="CN129" s="388" t="str">
        <f t="shared" si="87"/>
        <v>0348-01</v>
      </c>
    </row>
    <row r="130" spans="1:92" ht="15.75" thickBot="1" x14ac:dyDescent="0.3">
      <c r="A130" s="377" t="s">
        <v>162</v>
      </c>
      <c r="B130" s="377" t="s">
        <v>163</v>
      </c>
      <c r="C130" s="377" t="s">
        <v>509</v>
      </c>
      <c r="D130" s="377" t="s">
        <v>300</v>
      </c>
      <c r="E130" s="377" t="s">
        <v>637</v>
      </c>
      <c r="F130" s="383" t="s">
        <v>638</v>
      </c>
      <c r="G130" s="377" t="s">
        <v>439</v>
      </c>
      <c r="H130" s="379"/>
      <c r="I130" s="379"/>
      <c r="J130" s="377" t="s">
        <v>169</v>
      </c>
      <c r="K130" s="377" t="s">
        <v>301</v>
      </c>
      <c r="L130" s="377" t="s">
        <v>167</v>
      </c>
      <c r="M130" s="377" t="s">
        <v>172</v>
      </c>
      <c r="N130" s="377" t="s">
        <v>173</v>
      </c>
      <c r="O130" s="380">
        <v>1</v>
      </c>
      <c r="P130" s="386">
        <v>0</v>
      </c>
      <c r="Q130" s="386">
        <v>0</v>
      </c>
      <c r="R130" s="381">
        <v>80</v>
      </c>
      <c r="S130" s="386">
        <v>0</v>
      </c>
      <c r="T130" s="381">
        <v>5268.33</v>
      </c>
      <c r="U130" s="381">
        <v>0</v>
      </c>
      <c r="V130" s="381">
        <v>1868.43</v>
      </c>
      <c r="W130" s="381">
        <v>0</v>
      </c>
      <c r="X130" s="381">
        <v>0</v>
      </c>
      <c r="Y130" s="381">
        <v>0</v>
      </c>
      <c r="Z130" s="381">
        <v>0</v>
      </c>
      <c r="AA130" s="377" t="s">
        <v>510</v>
      </c>
      <c r="AB130" s="377" t="s">
        <v>511</v>
      </c>
      <c r="AC130" s="377" t="s">
        <v>512</v>
      </c>
      <c r="AD130" s="377" t="s">
        <v>171</v>
      </c>
      <c r="AE130" s="377" t="s">
        <v>301</v>
      </c>
      <c r="AF130" s="377" t="s">
        <v>207</v>
      </c>
      <c r="AG130" s="377" t="s">
        <v>179</v>
      </c>
      <c r="AH130" s="382">
        <v>39.9</v>
      </c>
      <c r="AI130" s="382">
        <v>16942.5</v>
      </c>
      <c r="AJ130" s="377" t="s">
        <v>180</v>
      </c>
      <c r="AK130" s="377" t="s">
        <v>181</v>
      </c>
      <c r="AL130" s="377" t="s">
        <v>182</v>
      </c>
      <c r="AM130" s="377" t="s">
        <v>183</v>
      </c>
      <c r="AN130" s="377" t="s">
        <v>66</v>
      </c>
      <c r="AO130" s="380">
        <v>80</v>
      </c>
      <c r="AP130" s="386">
        <v>1</v>
      </c>
      <c r="AQ130" s="386">
        <v>0</v>
      </c>
      <c r="AR130" s="384" t="s">
        <v>184</v>
      </c>
      <c r="AS130" s="388">
        <f t="shared" si="71"/>
        <v>0</v>
      </c>
      <c r="AT130">
        <f t="shared" si="72"/>
        <v>0</v>
      </c>
      <c r="AU130" s="388" t="str">
        <f>IF(AT130=0,"",IF(AND(AT130=1,M130="F",SUMIF(C2:C258,C130,AS2:AS258)&lt;=1),SUMIF(C2:C258,C130,AS2:AS258),IF(AND(AT130=1,M130="F",SUMIF(C2:C258,C130,AS2:AS258)&gt;1),1,"")))</f>
        <v/>
      </c>
      <c r="AV130" s="388" t="str">
        <f>IF(AT130=0,"",IF(AND(AT130=3,M130="F",SUMIF(C2:C258,C130,AS2:AS258)&lt;=1),SUMIF(C2:C258,C130,AS2:AS258),IF(AND(AT130=3,M130="F",SUMIF(C2:C258,C130,AS2:AS258)&gt;1),1,"")))</f>
        <v/>
      </c>
      <c r="AW130" s="388">
        <f>SUMIF(C2:C258,C130,O2:O258)</f>
        <v>3</v>
      </c>
      <c r="AX130" s="388">
        <f>IF(AND(M130="F",AS130&lt;&gt;0),SUMIF(C2:C258,C130,W2:W258),0)</f>
        <v>0</v>
      </c>
      <c r="AY130" s="388" t="str">
        <f t="shared" si="73"/>
        <v/>
      </c>
      <c r="AZ130" s="388" t="str">
        <f t="shared" si="74"/>
        <v/>
      </c>
      <c r="BA130" s="388">
        <f t="shared" si="75"/>
        <v>0</v>
      </c>
      <c r="BB130" s="388">
        <f t="shared" ref="BB130:BB193" si="88">IF(AND(AT130=1,AK130="E",AU130&gt;=0.75,AW130=1),Health,IF(AND(AT130=1,AK130="E",AU130&gt;=0.75),Health*P130,IF(AND(AT130=1,AK130="E",AU130&gt;=0.5,AW130=1),PTHealth,IF(AND(AT130=1,AK130="E",AU130&gt;=0.5),PTHealth*P130,0))))</f>
        <v>0</v>
      </c>
      <c r="BC130" s="388">
        <f t="shared" ref="BC130:BC193" si="89">IF(AND(AT130=3,AK130="E",AV130&gt;=0.75,AW130=1),Health,IF(AND(AT130=3,AK130="E",AV130&gt;=0.75),Health*P130,IF(AND(AT130=3,AK130="E",AV130&gt;=0.5,AW130=1),PTHealth,IF(AND(AT130=3,AK130="E",AV130&gt;=0.5),PTHealth*P130,0))))</f>
        <v>0</v>
      </c>
      <c r="BD130" s="388">
        <f t="shared" ref="BD130:BD193" si="90">IF(AND(AT130&lt;&gt;0,AX130&gt;=MAXSSDI),SSDI*MAXSSDI*P130,IF(AT130&lt;&gt;0,SSDI*W130,0))</f>
        <v>0</v>
      </c>
      <c r="BE130" s="388">
        <f t="shared" ref="BE130:BE193" si="91">IF(AT130&lt;&gt;0,SSHI*W130,0)</f>
        <v>0</v>
      </c>
      <c r="BF130" s="388">
        <f t="shared" ref="BF130:BF193" si="92">IF(AND(AT130&lt;&gt;0,AN130&lt;&gt;"NE"),VLOOKUP(AN130,Retirement_Rates,3,FALSE)*W130,0)</f>
        <v>0</v>
      </c>
      <c r="BG130" s="388">
        <f t="shared" ref="BG130:BG193" si="93">IF(AND(AT130&lt;&gt;0,AJ130&lt;&gt;"PF"),Life*W130,0)</f>
        <v>0</v>
      </c>
      <c r="BH130" s="388">
        <f t="shared" ref="BH130:BH193" si="94">IF(AND(AT130&lt;&gt;0,AM130="Y"),UI*W130,0)</f>
        <v>0</v>
      </c>
      <c r="BI130" s="388">
        <f t="shared" ref="BI130:BI193" si="95">IF(AND(AT130&lt;&gt;0,N130&lt;&gt;"NR"),DHR*W130,0)</f>
        <v>0</v>
      </c>
      <c r="BJ130" s="388">
        <f t="shared" ref="BJ130:BJ193" si="96">IF(AT130&lt;&gt;0,WC*W130,0)</f>
        <v>0</v>
      </c>
      <c r="BK130" s="388">
        <f t="shared" ref="BK130:BK193" si="97">IF(OR(AND(AT130&lt;&gt;0,AJ130&lt;&gt;"PF",AN130&lt;&gt;"NE",AG130&lt;&gt;"A"),AND(AL130="E",OR(AT130=1,AT130=3))),Sick*W130,0)</f>
        <v>0</v>
      </c>
      <c r="BL130" s="388">
        <f t="shared" si="76"/>
        <v>0</v>
      </c>
      <c r="BM130" s="388">
        <f t="shared" si="77"/>
        <v>0</v>
      </c>
      <c r="BN130" s="388">
        <f t="shared" ref="BN130:BN193" si="98">IF(AND(AT130=1,AK130="E",AU130&gt;=0.75,AW130=1),HealthBY,IF(AND(AT130=1,AK130="E",AU130&gt;=0.75),HealthBY*P130,IF(AND(AT130=1,AK130="E",AU130&gt;=0.5,AW130=1),PTHealthBY,IF(AND(AT130=1,AK130="E",AU130&gt;=0.5),PTHealthBY*P130,0))))</f>
        <v>0</v>
      </c>
      <c r="BO130" s="388">
        <f t="shared" ref="BO130:BO193" si="99">IF(AND(AT130=3,AK130="E",AV130&gt;=0.75,AW130=1),HealthBY,IF(AND(AT130=3,AK130="E",AV130&gt;=0.75),HealthBY*P130,IF(AND(AT130=3,AK130="E",AV130&gt;=0.5,AW130=1),PTHealthBY,IF(AND(AT130=3,AK130="E",AV130&gt;=0.5),PTHealthBY*P130,0))))</f>
        <v>0</v>
      </c>
      <c r="BP130" s="388">
        <f t="shared" ref="BP130:BP193" si="100">IF(AND(AT130&lt;&gt;0,(AX130+BA130)&gt;=MAXSSDIBY),SSDIBY*MAXSSDIBY*P130,IF(AT130&lt;&gt;0,SSDIBY*W130,0))</f>
        <v>0</v>
      </c>
      <c r="BQ130" s="388">
        <f t="shared" ref="BQ130:BQ193" si="101">IF(AT130&lt;&gt;0,SSHIBY*W130,0)</f>
        <v>0</v>
      </c>
      <c r="BR130" s="388">
        <f t="shared" ref="BR130:BR193" si="102">IF(AND(AT130&lt;&gt;0,AN130&lt;&gt;"NE"),VLOOKUP(AN130,Retirement_Rates,4,FALSE)*W130,0)</f>
        <v>0</v>
      </c>
      <c r="BS130" s="388">
        <f t="shared" ref="BS130:BS193" si="103">IF(AND(AT130&lt;&gt;0,AJ130&lt;&gt;"PF"),LifeBY*W130,0)</f>
        <v>0</v>
      </c>
      <c r="BT130" s="388">
        <f t="shared" ref="BT130:BT193" si="104">IF(AND(AT130&lt;&gt;0,AM130="Y"),UIBY*W130,0)</f>
        <v>0</v>
      </c>
      <c r="BU130" s="388">
        <f t="shared" ref="BU130:BU193" si="105">IF(AND(AT130&lt;&gt;0,N130&lt;&gt;"NR"),DHRBY*W130,0)</f>
        <v>0</v>
      </c>
      <c r="BV130" s="388">
        <f t="shared" ref="BV130:BV193" si="106">IF(AT130&lt;&gt;0,WCBY*W130,0)</f>
        <v>0</v>
      </c>
      <c r="BW130" s="388">
        <f t="shared" ref="BW130:BW193" si="107">IF(OR(AND(AT130&lt;&gt;0,AJ130&lt;&gt;"PF",AN130&lt;&gt;"NE",AG130&lt;&gt;"A"),AND(AL130="E",OR(AT130=1,AT130=3))),SickBY*W130,0)</f>
        <v>0</v>
      </c>
      <c r="BX130" s="388">
        <f t="shared" si="78"/>
        <v>0</v>
      </c>
      <c r="BY130" s="388">
        <f t="shared" si="79"/>
        <v>0</v>
      </c>
      <c r="BZ130" s="388">
        <f t="shared" si="80"/>
        <v>0</v>
      </c>
      <c r="CA130" s="388">
        <f t="shared" si="81"/>
        <v>0</v>
      </c>
      <c r="CB130" s="388">
        <f t="shared" si="82"/>
        <v>0</v>
      </c>
      <c r="CC130" s="388">
        <f t="shared" ref="CC130:CC193" si="108">IF(AT130&lt;&gt;0,SSHICHG*Y130,0)</f>
        <v>0</v>
      </c>
      <c r="CD130" s="388">
        <f t="shared" ref="CD130:CD193" si="109">IF(AND(AT130&lt;&gt;0,AN130&lt;&gt;"NE"),VLOOKUP(AN130,Retirement_Rates,5,FALSE)*Y130,0)</f>
        <v>0</v>
      </c>
      <c r="CE130" s="388">
        <f t="shared" ref="CE130:CE193" si="110">IF(AND(AT130&lt;&gt;0,AJ130&lt;&gt;"PF"),LifeCHG*Y130,0)</f>
        <v>0</v>
      </c>
      <c r="CF130" s="388">
        <f t="shared" ref="CF130:CF193" si="111">IF(AND(AT130&lt;&gt;0,AM130="Y"),UICHG*Y130,0)</f>
        <v>0</v>
      </c>
      <c r="CG130" s="388">
        <f t="shared" ref="CG130:CG193" si="112">IF(AND(AT130&lt;&gt;0,N130&lt;&gt;"NR"),DHRCHG*Y130,0)</f>
        <v>0</v>
      </c>
      <c r="CH130" s="388">
        <f t="shared" ref="CH130:CH193" si="113">IF(AT130&lt;&gt;0,WCCHG*Y130,0)</f>
        <v>0</v>
      </c>
      <c r="CI130" s="388">
        <f t="shared" ref="CI130:CI193" si="114">IF(OR(AND(AT130&lt;&gt;0,AJ130&lt;&gt;"PF",AN130&lt;&gt;"NE",AG130&lt;&gt;"A"),AND(AL130="E",OR(AT130=1,AT130=3))),SickCHG*Y130,0)</f>
        <v>0</v>
      </c>
      <c r="CJ130" s="388">
        <f t="shared" si="83"/>
        <v>0</v>
      </c>
      <c r="CK130" s="388" t="str">
        <f t="shared" si="84"/>
        <v/>
      </c>
      <c r="CL130" s="388" t="str">
        <f t="shared" si="85"/>
        <v/>
      </c>
      <c r="CM130" s="388" t="str">
        <f t="shared" si="86"/>
        <v/>
      </c>
      <c r="CN130" s="388" t="str">
        <f t="shared" si="87"/>
        <v>0348-01</v>
      </c>
    </row>
    <row r="131" spans="1:92" ht="15.75" thickBot="1" x14ac:dyDescent="0.3">
      <c r="A131" s="377" t="s">
        <v>162</v>
      </c>
      <c r="B131" s="377" t="s">
        <v>163</v>
      </c>
      <c r="C131" s="377" t="s">
        <v>643</v>
      </c>
      <c r="D131" s="377" t="s">
        <v>251</v>
      </c>
      <c r="E131" s="377" t="s">
        <v>637</v>
      </c>
      <c r="F131" s="383" t="s">
        <v>638</v>
      </c>
      <c r="G131" s="377" t="s">
        <v>439</v>
      </c>
      <c r="H131" s="379"/>
      <c r="I131" s="379"/>
      <c r="J131" s="377" t="s">
        <v>169</v>
      </c>
      <c r="K131" s="377" t="s">
        <v>252</v>
      </c>
      <c r="L131" s="377" t="s">
        <v>179</v>
      </c>
      <c r="M131" s="377" t="s">
        <v>395</v>
      </c>
      <c r="N131" s="377" t="s">
        <v>173</v>
      </c>
      <c r="O131" s="380">
        <v>0</v>
      </c>
      <c r="P131" s="386">
        <v>1</v>
      </c>
      <c r="Q131" s="386">
        <v>1</v>
      </c>
      <c r="R131" s="381">
        <v>80</v>
      </c>
      <c r="S131" s="386">
        <v>1</v>
      </c>
      <c r="T131" s="381">
        <v>28928.75</v>
      </c>
      <c r="U131" s="381">
        <v>13.58</v>
      </c>
      <c r="V131" s="381">
        <v>16144.57</v>
      </c>
      <c r="W131" s="381">
        <v>35318.400000000001</v>
      </c>
      <c r="X131" s="381">
        <v>15893.28</v>
      </c>
      <c r="Y131" s="381">
        <v>35318.400000000001</v>
      </c>
      <c r="Z131" s="381">
        <v>16458.36</v>
      </c>
      <c r="AA131" s="379"/>
      <c r="AB131" s="377" t="s">
        <v>45</v>
      </c>
      <c r="AC131" s="377" t="s">
        <v>45</v>
      </c>
      <c r="AD131" s="379"/>
      <c r="AE131" s="379"/>
      <c r="AF131" s="379"/>
      <c r="AG131" s="379"/>
      <c r="AH131" s="380">
        <v>0</v>
      </c>
      <c r="AI131" s="380">
        <v>0</v>
      </c>
      <c r="AJ131" s="379"/>
      <c r="AK131" s="379"/>
      <c r="AL131" s="377" t="s">
        <v>182</v>
      </c>
      <c r="AM131" s="379"/>
      <c r="AN131" s="379"/>
      <c r="AO131" s="380">
        <v>0</v>
      </c>
      <c r="AP131" s="386">
        <v>0</v>
      </c>
      <c r="AQ131" s="386">
        <v>0</v>
      </c>
      <c r="AR131" s="385"/>
      <c r="AS131" s="388">
        <f t="shared" ref="AS131:AS194" si="115">IF(((AO131/80)*AP131*P131)&gt;1,AQ131,((AO131/80)*AP131*P131))</f>
        <v>0</v>
      </c>
      <c r="AT131">
        <f t="shared" ref="AT131:AT194" si="116">IF(AND(M131="F",N131&lt;&gt;"NG",AS131&lt;&gt;0,AND(AR131&lt;&gt;6,AR131&lt;&gt;36,AR131&lt;&gt;56),AG131&lt;&gt;"A",OR(AG131="H",AJ131="FS")),1,IF(AND(M131="F",N131&lt;&gt;"NG",AS131&lt;&gt;0,AG131="A"),3,0))</f>
        <v>0</v>
      </c>
      <c r="AU131" s="388" t="str">
        <f>IF(AT131=0,"",IF(AND(AT131=1,M131="F",SUMIF(C2:C258,C131,AS2:AS258)&lt;=1),SUMIF(C2:C258,C131,AS2:AS258),IF(AND(AT131=1,M131="F",SUMIF(C2:C258,C131,AS2:AS258)&gt;1),1,"")))</f>
        <v/>
      </c>
      <c r="AV131" s="388" t="str">
        <f>IF(AT131=0,"",IF(AND(AT131=3,M131="F",SUMIF(C2:C258,C131,AS2:AS258)&lt;=1),SUMIF(C2:C258,C131,AS2:AS258),IF(AND(AT131=3,M131="F",SUMIF(C2:C258,C131,AS2:AS258)&gt;1),1,"")))</f>
        <v/>
      </c>
      <c r="AW131" s="388">
        <f>SUMIF(C2:C258,C131,O2:O258)</f>
        <v>0</v>
      </c>
      <c r="AX131" s="388">
        <f>IF(AND(M131="F",AS131&lt;&gt;0),SUMIF(C2:C258,C131,W2:W258),0)</f>
        <v>0</v>
      </c>
      <c r="AY131" s="388" t="str">
        <f t="shared" ref="AY131:AY194" si="117">IF(AT131=1,W131,"")</f>
        <v/>
      </c>
      <c r="AZ131" s="388" t="str">
        <f t="shared" ref="AZ131:AZ194" si="118">IF(AT131=3,W131,"")</f>
        <v/>
      </c>
      <c r="BA131" s="388">
        <f t="shared" ref="BA131:BA194" si="119">IF(AT131=1,Y131-W131,0)</f>
        <v>0</v>
      </c>
      <c r="BB131" s="388">
        <f t="shared" si="88"/>
        <v>0</v>
      </c>
      <c r="BC131" s="388">
        <f t="shared" si="89"/>
        <v>0</v>
      </c>
      <c r="BD131" s="388">
        <f t="shared" si="90"/>
        <v>0</v>
      </c>
      <c r="BE131" s="388">
        <f t="shared" si="91"/>
        <v>0</v>
      </c>
      <c r="BF131" s="388">
        <f t="shared" si="92"/>
        <v>0</v>
      </c>
      <c r="BG131" s="388">
        <f t="shared" si="93"/>
        <v>0</v>
      </c>
      <c r="BH131" s="388">
        <f t="shared" si="94"/>
        <v>0</v>
      </c>
      <c r="BI131" s="388">
        <f t="shared" si="95"/>
        <v>0</v>
      </c>
      <c r="BJ131" s="388">
        <f t="shared" si="96"/>
        <v>0</v>
      </c>
      <c r="BK131" s="388">
        <f t="shared" si="97"/>
        <v>0</v>
      </c>
      <c r="BL131" s="388">
        <f t="shared" ref="BL131:BL194" si="120">IF(AT131=1,SUM(BD131:BK131),0)</f>
        <v>0</v>
      </c>
      <c r="BM131" s="388">
        <f t="shared" ref="BM131:BM194" si="121">IF(AT131=3,SUM(BD131:BK131),0)</f>
        <v>0</v>
      </c>
      <c r="BN131" s="388">
        <f t="shared" si="98"/>
        <v>0</v>
      </c>
      <c r="BO131" s="388">
        <f t="shared" si="99"/>
        <v>0</v>
      </c>
      <c r="BP131" s="388">
        <f t="shared" si="100"/>
        <v>0</v>
      </c>
      <c r="BQ131" s="388">
        <f t="shared" si="101"/>
        <v>0</v>
      </c>
      <c r="BR131" s="388">
        <f t="shared" si="102"/>
        <v>0</v>
      </c>
      <c r="BS131" s="388">
        <f t="shared" si="103"/>
        <v>0</v>
      </c>
      <c r="BT131" s="388">
        <f t="shared" si="104"/>
        <v>0</v>
      </c>
      <c r="BU131" s="388">
        <f t="shared" si="105"/>
        <v>0</v>
      </c>
      <c r="BV131" s="388">
        <f t="shared" si="106"/>
        <v>0</v>
      </c>
      <c r="BW131" s="388">
        <f t="shared" si="107"/>
        <v>0</v>
      </c>
      <c r="BX131" s="388">
        <f t="shared" ref="BX131:BX194" si="122">IF(AT131=1,SUM(BP131:BW131),0)</f>
        <v>0</v>
      </c>
      <c r="BY131" s="388">
        <f t="shared" ref="BY131:BY194" si="123">IF(AT131=3,SUM(BP131:BW131),0)</f>
        <v>0</v>
      </c>
      <c r="BZ131" s="388">
        <f t="shared" ref="BZ131:BZ194" si="124">IF(AT131=1,BN131-BB131,0)</f>
        <v>0</v>
      </c>
      <c r="CA131" s="388">
        <f t="shared" ref="CA131:CA194" si="125">IF(AT131=3,BO131-BC131,0)</f>
        <v>0</v>
      </c>
      <c r="CB131" s="388">
        <f t="shared" ref="CB131:CB194" si="126">BP131-BD131</f>
        <v>0</v>
      </c>
      <c r="CC131" s="388">
        <f t="shared" si="108"/>
        <v>0</v>
      </c>
      <c r="CD131" s="388">
        <f t="shared" si="109"/>
        <v>0</v>
      </c>
      <c r="CE131" s="388">
        <f t="shared" si="110"/>
        <v>0</v>
      </c>
      <c r="CF131" s="388">
        <f t="shared" si="111"/>
        <v>0</v>
      </c>
      <c r="CG131" s="388">
        <f t="shared" si="112"/>
        <v>0</v>
      </c>
      <c r="CH131" s="388">
        <f t="shared" si="113"/>
        <v>0</v>
      </c>
      <c r="CI131" s="388">
        <f t="shared" si="114"/>
        <v>0</v>
      </c>
      <c r="CJ131" s="388">
        <f t="shared" ref="CJ131:CJ194" si="127">IF(AT131=1,SUM(CB131:CI131),0)</f>
        <v>0</v>
      </c>
      <c r="CK131" s="388" t="str">
        <f t="shared" ref="CK131:CK194" si="128">IF(AT131=3,SUM(CB131:CI131),"")</f>
        <v/>
      </c>
      <c r="CL131" s="388" t="str">
        <f t="shared" ref="CL131:CL194" si="129">IF(OR(N131="NG",AG131="D"),(T131+U131),"")</f>
        <v/>
      </c>
      <c r="CM131" s="388" t="str">
        <f t="shared" ref="CM131:CM194" si="130">IF(OR(N131="NG",AG131="D"),V131,"")</f>
        <v/>
      </c>
      <c r="CN131" s="388" t="str">
        <f t="shared" ref="CN131:CN194" si="131">E131 &amp; "-" &amp; F131</f>
        <v>0348-01</v>
      </c>
    </row>
    <row r="132" spans="1:92" ht="15.75" thickBot="1" x14ac:dyDescent="0.3">
      <c r="A132" s="377" t="s">
        <v>162</v>
      </c>
      <c r="B132" s="377" t="s">
        <v>163</v>
      </c>
      <c r="C132" s="377" t="s">
        <v>644</v>
      </c>
      <c r="D132" s="377" t="s">
        <v>276</v>
      </c>
      <c r="E132" s="377" t="s">
        <v>637</v>
      </c>
      <c r="F132" s="383" t="s">
        <v>638</v>
      </c>
      <c r="G132" s="377" t="s">
        <v>439</v>
      </c>
      <c r="H132" s="379"/>
      <c r="I132" s="379"/>
      <c r="J132" s="377" t="s">
        <v>283</v>
      </c>
      <c r="K132" s="377" t="s">
        <v>277</v>
      </c>
      <c r="L132" s="377" t="s">
        <v>215</v>
      </c>
      <c r="M132" s="377" t="s">
        <v>172</v>
      </c>
      <c r="N132" s="377" t="s">
        <v>173</v>
      </c>
      <c r="O132" s="380">
        <v>1</v>
      </c>
      <c r="P132" s="386">
        <v>0.05</v>
      </c>
      <c r="Q132" s="386">
        <v>0.05</v>
      </c>
      <c r="R132" s="381">
        <v>80</v>
      </c>
      <c r="S132" s="386">
        <v>0.05</v>
      </c>
      <c r="T132" s="381">
        <v>3983.25</v>
      </c>
      <c r="U132" s="381">
        <v>0</v>
      </c>
      <c r="V132" s="381">
        <v>1815.6</v>
      </c>
      <c r="W132" s="381">
        <v>2383.6799999999998</v>
      </c>
      <c r="X132" s="381">
        <v>1117.49</v>
      </c>
      <c r="Y132" s="381">
        <v>2383.6799999999998</v>
      </c>
      <c r="Z132" s="381">
        <v>1162.82</v>
      </c>
      <c r="AA132" s="377" t="s">
        <v>645</v>
      </c>
      <c r="AB132" s="377" t="s">
        <v>646</v>
      </c>
      <c r="AC132" s="377" t="s">
        <v>602</v>
      </c>
      <c r="AD132" s="377" t="s">
        <v>647</v>
      </c>
      <c r="AE132" s="377" t="s">
        <v>277</v>
      </c>
      <c r="AF132" s="377" t="s">
        <v>231</v>
      </c>
      <c r="AG132" s="377" t="s">
        <v>179</v>
      </c>
      <c r="AH132" s="382">
        <v>22.92</v>
      </c>
      <c r="AI132" s="382">
        <v>20672.2</v>
      </c>
      <c r="AJ132" s="377" t="s">
        <v>180</v>
      </c>
      <c r="AK132" s="377" t="s">
        <v>181</v>
      </c>
      <c r="AL132" s="377" t="s">
        <v>182</v>
      </c>
      <c r="AM132" s="377" t="s">
        <v>183</v>
      </c>
      <c r="AN132" s="377" t="s">
        <v>66</v>
      </c>
      <c r="AO132" s="380">
        <v>80</v>
      </c>
      <c r="AP132" s="386">
        <v>1</v>
      </c>
      <c r="AQ132" s="386">
        <v>0.05</v>
      </c>
      <c r="AR132" s="384" t="s">
        <v>184</v>
      </c>
      <c r="AS132" s="388">
        <f t="shared" si="115"/>
        <v>0.05</v>
      </c>
      <c r="AT132">
        <f t="shared" si="116"/>
        <v>1</v>
      </c>
      <c r="AU132" s="388">
        <f>IF(AT132=0,"",IF(AND(AT132=1,M132="F",SUMIF(C2:C258,C132,AS2:AS258)&lt;=1),SUMIF(C2:C258,C132,AS2:AS258),IF(AND(AT132=1,M132="F",SUMIF(C2:C258,C132,AS2:AS258)&gt;1),1,"")))</f>
        <v>1</v>
      </c>
      <c r="AV132" s="388" t="str">
        <f>IF(AT132=0,"",IF(AND(AT132=3,M132="F",SUMIF(C2:C258,C132,AS2:AS258)&lt;=1),SUMIF(C2:C258,C132,AS2:AS258),IF(AND(AT132=3,M132="F",SUMIF(C2:C258,C132,AS2:AS258)&gt;1),1,"")))</f>
        <v/>
      </c>
      <c r="AW132" s="388">
        <f>SUMIF(C2:C258,C132,O2:O258)</f>
        <v>3</v>
      </c>
      <c r="AX132" s="388">
        <f>IF(AND(M132="F",AS132&lt;&gt;0),SUMIF(C2:C258,C132,W2:W258),0)</f>
        <v>47673.599999999999</v>
      </c>
      <c r="AY132" s="388">
        <f t="shared" si="117"/>
        <v>2383.6799999999998</v>
      </c>
      <c r="AZ132" s="388" t="str">
        <f t="shared" si="118"/>
        <v/>
      </c>
      <c r="BA132" s="388">
        <f t="shared" si="119"/>
        <v>0</v>
      </c>
      <c r="BB132" s="388">
        <f t="shared" si="88"/>
        <v>625</v>
      </c>
      <c r="BC132" s="388">
        <f t="shared" si="89"/>
        <v>0</v>
      </c>
      <c r="BD132" s="388">
        <f t="shared" si="90"/>
        <v>147.78815999999998</v>
      </c>
      <c r="BE132" s="388">
        <f t="shared" si="91"/>
        <v>34.563359999999996</v>
      </c>
      <c r="BF132" s="388">
        <f t="shared" si="92"/>
        <v>284.61139200000002</v>
      </c>
      <c r="BG132" s="388">
        <f t="shared" si="93"/>
        <v>17.186332799999999</v>
      </c>
      <c r="BH132" s="388">
        <f t="shared" si="94"/>
        <v>0</v>
      </c>
      <c r="BI132" s="388">
        <f t="shared" si="95"/>
        <v>0</v>
      </c>
      <c r="BJ132" s="388">
        <f t="shared" si="96"/>
        <v>8.3428799999999992</v>
      </c>
      <c r="BK132" s="388">
        <f t="shared" si="97"/>
        <v>0</v>
      </c>
      <c r="BL132" s="388">
        <f t="shared" si="120"/>
        <v>492.49212479999994</v>
      </c>
      <c r="BM132" s="388">
        <f t="shared" si="121"/>
        <v>0</v>
      </c>
      <c r="BN132" s="388">
        <f t="shared" si="98"/>
        <v>687.5</v>
      </c>
      <c r="BO132" s="388">
        <f t="shared" si="99"/>
        <v>0</v>
      </c>
      <c r="BP132" s="388">
        <f t="shared" si="100"/>
        <v>147.78815999999998</v>
      </c>
      <c r="BQ132" s="388">
        <f t="shared" si="101"/>
        <v>34.563359999999996</v>
      </c>
      <c r="BR132" s="388">
        <f t="shared" si="102"/>
        <v>266.49542399999996</v>
      </c>
      <c r="BS132" s="388">
        <f t="shared" si="103"/>
        <v>17.186332799999999</v>
      </c>
      <c r="BT132" s="388">
        <f t="shared" si="104"/>
        <v>0</v>
      </c>
      <c r="BU132" s="388">
        <f t="shared" si="105"/>
        <v>0</v>
      </c>
      <c r="BV132" s="388">
        <f t="shared" si="106"/>
        <v>9.2963519999999988</v>
      </c>
      <c r="BW132" s="388">
        <f t="shared" si="107"/>
        <v>0</v>
      </c>
      <c r="BX132" s="388">
        <f t="shared" si="122"/>
        <v>475.32962879999991</v>
      </c>
      <c r="BY132" s="388">
        <f t="shared" si="123"/>
        <v>0</v>
      </c>
      <c r="BZ132" s="388">
        <f t="shared" si="124"/>
        <v>62.5</v>
      </c>
      <c r="CA132" s="388">
        <f t="shared" si="125"/>
        <v>0</v>
      </c>
      <c r="CB132" s="388">
        <f t="shared" si="126"/>
        <v>0</v>
      </c>
      <c r="CC132" s="388">
        <f t="shared" si="108"/>
        <v>0</v>
      </c>
      <c r="CD132" s="388">
        <f t="shared" si="109"/>
        <v>-18.11596800000002</v>
      </c>
      <c r="CE132" s="388">
        <f t="shared" si="110"/>
        <v>0</v>
      </c>
      <c r="CF132" s="388">
        <f t="shared" si="111"/>
        <v>0</v>
      </c>
      <c r="CG132" s="388">
        <f t="shared" si="112"/>
        <v>0</v>
      </c>
      <c r="CH132" s="388">
        <f t="shared" si="113"/>
        <v>0.95347199999999932</v>
      </c>
      <c r="CI132" s="388">
        <f t="shared" si="114"/>
        <v>0</v>
      </c>
      <c r="CJ132" s="388">
        <f t="shared" si="127"/>
        <v>-17.162496000000022</v>
      </c>
      <c r="CK132" s="388" t="str">
        <f t="shared" si="128"/>
        <v/>
      </c>
      <c r="CL132" s="388" t="str">
        <f t="shared" si="129"/>
        <v/>
      </c>
      <c r="CM132" s="388" t="str">
        <f t="shared" si="130"/>
        <v/>
      </c>
      <c r="CN132" s="388" t="str">
        <f t="shared" si="131"/>
        <v>0348-01</v>
      </c>
    </row>
    <row r="133" spans="1:92" ht="15.75" thickBot="1" x14ac:dyDescent="0.3">
      <c r="A133" s="377" t="s">
        <v>162</v>
      </c>
      <c r="B133" s="377" t="s">
        <v>163</v>
      </c>
      <c r="C133" s="377" t="s">
        <v>516</v>
      </c>
      <c r="D133" s="377" t="s">
        <v>251</v>
      </c>
      <c r="E133" s="377" t="s">
        <v>637</v>
      </c>
      <c r="F133" s="383" t="s">
        <v>638</v>
      </c>
      <c r="G133" s="377" t="s">
        <v>439</v>
      </c>
      <c r="H133" s="379"/>
      <c r="I133" s="379"/>
      <c r="J133" s="377" t="s">
        <v>517</v>
      </c>
      <c r="K133" s="377" t="s">
        <v>252</v>
      </c>
      <c r="L133" s="377" t="s">
        <v>179</v>
      </c>
      <c r="M133" s="377" t="s">
        <v>172</v>
      </c>
      <c r="N133" s="377" t="s">
        <v>173</v>
      </c>
      <c r="O133" s="380">
        <v>1</v>
      </c>
      <c r="P133" s="386">
        <v>0.2</v>
      </c>
      <c r="Q133" s="386">
        <v>0.2</v>
      </c>
      <c r="R133" s="381">
        <v>80</v>
      </c>
      <c r="S133" s="386">
        <v>0.2</v>
      </c>
      <c r="T133" s="381">
        <v>7327</v>
      </c>
      <c r="U133" s="381">
        <v>0</v>
      </c>
      <c r="V133" s="381">
        <v>3722.08</v>
      </c>
      <c r="W133" s="381">
        <v>7704.32</v>
      </c>
      <c r="X133" s="381">
        <v>4091.77</v>
      </c>
      <c r="Y133" s="381">
        <v>7704.32</v>
      </c>
      <c r="Z133" s="381">
        <v>4286.29</v>
      </c>
      <c r="AA133" s="377" t="s">
        <v>518</v>
      </c>
      <c r="AB133" s="377" t="s">
        <v>519</v>
      </c>
      <c r="AC133" s="377" t="s">
        <v>520</v>
      </c>
      <c r="AD133" s="377" t="s">
        <v>211</v>
      </c>
      <c r="AE133" s="377" t="s">
        <v>252</v>
      </c>
      <c r="AF133" s="377" t="s">
        <v>257</v>
      </c>
      <c r="AG133" s="377" t="s">
        <v>179</v>
      </c>
      <c r="AH133" s="382">
        <v>18.52</v>
      </c>
      <c r="AI133" s="382">
        <v>2463.6</v>
      </c>
      <c r="AJ133" s="377" t="s">
        <v>180</v>
      </c>
      <c r="AK133" s="377" t="s">
        <v>181</v>
      </c>
      <c r="AL133" s="377" t="s">
        <v>182</v>
      </c>
      <c r="AM133" s="377" t="s">
        <v>183</v>
      </c>
      <c r="AN133" s="377" t="s">
        <v>66</v>
      </c>
      <c r="AO133" s="380">
        <v>80</v>
      </c>
      <c r="AP133" s="386">
        <v>1</v>
      </c>
      <c r="AQ133" s="386">
        <v>0.2</v>
      </c>
      <c r="AR133" s="384" t="s">
        <v>184</v>
      </c>
      <c r="AS133" s="388">
        <f t="shared" si="115"/>
        <v>0.2</v>
      </c>
      <c r="AT133">
        <f t="shared" si="116"/>
        <v>1</v>
      </c>
      <c r="AU133" s="388">
        <f>IF(AT133=0,"",IF(AND(AT133=1,M133="F",SUMIF(C2:C258,C133,AS2:AS258)&lt;=1),SUMIF(C2:C258,C133,AS2:AS258),IF(AND(AT133=1,M133="F",SUMIF(C2:C258,C133,AS2:AS258)&gt;1),1,"")))</f>
        <v>1</v>
      </c>
      <c r="AV133" s="388" t="str">
        <f>IF(AT133=0,"",IF(AND(AT133=3,M133="F",SUMIF(C2:C258,C133,AS2:AS258)&lt;=1),SUMIF(C2:C258,C133,AS2:AS258),IF(AND(AT133=3,M133="F",SUMIF(C2:C258,C133,AS2:AS258)&gt;1),1,"")))</f>
        <v/>
      </c>
      <c r="AW133" s="388">
        <f>SUMIF(C2:C258,C133,O2:O258)</f>
        <v>6</v>
      </c>
      <c r="AX133" s="388">
        <f>IF(AND(M133="F",AS133&lt;&gt;0),SUMIF(C2:C258,C133,W2:W258),0)</f>
        <v>38521.58</v>
      </c>
      <c r="AY133" s="388">
        <f t="shared" si="117"/>
        <v>7704.32</v>
      </c>
      <c r="AZ133" s="388" t="str">
        <f t="shared" si="118"/>
        <v/>
      </c>
      <c r="BA133" s="388">
        <f t="shared" si="119"/>
        <v>0</v>
      </c>
      <c r="BB133" s="388">
        <f t="shared" si="88"/>
        <v>2500</v>
      </c>
      <c r="BC133" s="388">
        <f t="shared" si="89"/>
        <v>0</v>
      </c>
      <c r="BD133" s="388">
        <f t="shared" si="90"/>
        <v>477.66783999999996</v>
      </c>
      <c r="BE133" s="388">
        <f t="shared" si="91"/>
        <v>111.71264000000001</v>
      </c>
      <c r="BF133" s="388">
        <f t="shared" si="92"/>
        <v>919.89580799999999</v>
      </c>
      <c r="BG133" s="388">
        <f t="shared" si="93"/>
        <v>55.548147200000002</v>
      </c>
      <c r="BH133" s="388">
        <f t="shared" si="94"/>
        <v>0</v>
      </c>
      <c r="BI133" s="388">
        <f t="shared" si="95"/>
        <v>0</v>
      </c>
      <c r="BJ133" s="388">
        <f t="shared" si="96"/>
        <v>26.965119999999999</v>
      </c>
      <c r="BK133" s="388">
        <f t="shared" si="97"/>
        <v>0</v>
      </c>
      <c r="BL133" s="388">
        <f t="shared" si="120"/>
        <v>1591.7895552</v>
      </c>
      <c r="BM133" s="388">
        <f t="shared" si="121"/>
        <v>0</v>
      </c>
      <c r="BN133" s="388">
        <f t="shared" si="98"/>
        <v>2750</v>
      </c>
      <c r="BO133" s="388">
        <f t="shared" si="99"/>
        <v>0</v>
      </c>
      <c r="BP133" s="388">
        <f t="shared" si="100"/>
        <v>477.66783999999996</v>
      </c>
      <c r="BQ133" s="388">
        <f t="shared" si="101"/>
        <v>111.71264000000001</v>
      </c>
      <c r="BR133" s="388">
        <f t="shared" si="102"/>
        <v>861.34297599999991</v>
      </c>
      <c r="BS133" s="388">
        <f t="shared" si="103"/>
        <v>55.548147200000002</v>
      </c>
      <c r="BT133" s="388">
        <f t="shared" si="104"/>
        <v>0</v>
      </c>
      <c r="BU133" s="388">
        <f t="shared" si="105"/>
        <v>0</v>
      </c>
      <c r="BV133" s="388">
        <f t="shared" si="106"/>
        <v>30.046847999999997</v>
      </c>
      <c r="BW133" s="388">
        <f t="shared" si="107"/>
        <v>0</v>
      </c>
      <c r="BX133" s="388">
        <f t="shared" si="122"/>
        <v>1536.3184511999996</v>
      </c>
      <c r="BY133" s="388">
        <f t="shared" si="123"/>
        <v>0</v>
      </c>
      <c r="BZ133" s="388">
        <f t="shared" si="124"/>
        <v>250</v>
      </c>
      <c r="CA133" s="388">
        <f t="shared" si="125"/>
        <v>0</v>
      </c>
      <c r="CB133" s="388">
        <f t="shared" si="126"/>
        <v>0</v>
      </c>
      <c r="CC133" s="388">
        <f t="shared" si="108"/>
        <v>0</v>
      </c>
      <c r="CD133" s="388">
        <f t="shared" si="109"/>
        <v>-58.552832000000073</v>
      </c>
      <c r="CE133" s="388">
        <f t="shared" si="110"/>
        <v>0</v>
      </c>
      <c r="CF133" s="388">
        <f t="shared" si="111"/>
        <v>0</v>
      </c>
      <c r="CG133" s="388">
        <f t="shared" si="112"/>
        <v>0</v>
      </c>
      <c r="CH133" s="388">
        <f t="shared" si="113"/>
        <v>3.0817279999999978</v>
      </c>
      <c r="CI133" s="388">
        <f t="shared" si="114"/>
        <v>0</v>
      </c>
      <c r="CJ133" s="388">
        <f t="shared" si="127"/>
        <v>-55.471104000000075</v>
      </c>
      <c r="CK133" s="388" t="str">
        <f t="shared" si="128"/>
        <v/>
      </c>
      <c r="CL133" s="388" t="str">
        <f t="shared" si="129"/>
        <v/>
      </c>
      <c r="CM133" s="388" t="str">
        <f t="shared" si="130"/>
        <v/>
      </c>
      <c r="CN133" s="388" t="str">
        <f t="shared" si="131"/>
        <v>0348-01</v>
      </c>
    </row>
    <row r="134" spans="1:92" ht="15.75" thickBot="1" x14ac:dyDescent="0.3">
      <c r="A134" s="377" t="s">
        <v>162</v>
      </c>
      <c r="B134" s="377" t="s">
        <v>163</v>
      </c>
      <c r="C134" s="377" t="s">
        <v>648</v>
      </c>
      <c r="D134" s="377" t="s">
        <v>194</v>
      </c>
      <c r="E134" s="377" t="s">
        <v>637</v>
      </c>
      <c r="F134" s="383" t="s">
        <v>638</v>
      </c>
      <c r="G134" s="377" t="s">
        <v>439</v>
      </c>
      <c r="H134" s="379"/>
      <c r="I134" s="379"/>
      <c r="J134" s="377" t="s">
        <v>649</v>
      </c>
      <c r="K134" s="377" t="s">
        <v>639</v>
      </c>
      <c r="L134" s="377" t="s">
        <v>321</v>
      </c>
      <c r="M134" s="377" t="s">
        <v>172</v>
      </c>
      <c r="N134" s="377" t="s">
        <v>173</v>
      </c>
      <c r="O134" s="380">
        <v>1</v>
      </c>
      <c r="P134" s="386">
        <v>0.45</v>
      </c>
      <c r="Q134" s="386">
        <v>0.45</v>
      </c>
      <c r="R134" s="381">
        <v>80</v>
      </c>
      <c r="S134" s="386">
        <v>0.45</v>
      </c>
      <c r="T134" s="381">
        <v>27997.98</v>
      </c>
      <c r="U134" s="381">
        <v>0</v>
      </c>
      <c r="V134" s="381">
        <v>10271.76</v>
      </c>
      <c r="W134" s="381">
        <v>34500.959999999999</v>
      </c>
      <c r="X134" s="381">
        <v>12753.21</v>
      </c>
      <c r="Y134" s="381">
        <v>34500.959999999999</v>
      </c>
      <c r="Z134" s="381">
        <v>13067.31</v>
      </c>
      <c r="AA134" s="377" t="s">
        <v>650</v>
      </c>
      <c r="AB134" s="377" t="s">
        <v>651</v>
      </c>
      <c r="AC134" s="377" t="s">
        <v>652</v>
      </c>
      <c r="AD134" s="377" t="s">
        <v>321</v>
      </c>
      <c r="AE134" s="377" t="s">
        <v>639</v>
      </c>
      <c r="AF134" s="377" t="s">
        <v>207</v>
      </c>
      <c r="AG134" s="377" t="s">
        <v>179</v>
      </c>
      <c r="AH134" s="382">
        <v>36.86</v>
      </c>
      <c r="AI134" s="380">
        <v>26242</v>
      </c>
      <c r="AJ134" s="377" t="s">
        <v>180</v>
      </c>
      <c r="AK134" s="377" t="s">
        <v>181</v>
      </c>
      <c r="AL134" s="377" t="s">
        <v>182</v>
      </c>
      <c r="AM134" s="377" t="s">
        <v>183</v>
      </c>
      <c r="AN134" s="377" t="s">
        <v>66</v>
      </c>
      <c r="AO134" s="380">
        <v>80</v>
      </c>
      <c r="AP134" s="386">
        <v>1</v>
      </c>
      <c r="AQ134" s="386">
        <v>0.45</v>
      </c>
      <c r="AR134" s="384" t="s">
        <v>184</v>
      </c>
      <c r="AS134" s="388">
        <f t="shared" si="115"/>
        <v>0.45</v>
      </c>
      <c r="AT134">
        <f t="shared" si="116"/>
        <v>1</v>
      </c>
      <c r="AU134" s="388">
        <f>IF(AT134=0,"",IF(AND(AT134=1,M134="F",SUMIF(C2:C258,C134,AS2:AS258)&lt;=1),SUMIF(C2:C258,C134,AS2:AS258),IF(AND(AT134=1,M134="F",SUMIF(C2:C258,C134,AS2:AS258)&gt;1),1,"")))</f>
        <v>1</v>
      </c>
      <c r="AV134" s="388" t="str">
        <f>IF(AT134=0,"",IF(AND(AT134=3,M134="F",SUMIF(C2:C258,C134,AS2:AS258)&lt;=1),SUMIF(C2:C258,C134,AS2:AS258),IF(AND(AT134=3,M134="F",SUMIF(C2:C258,C134,AS2:AS258)&gt;1),1,"")))</f>
        <v/>
      </c>
      <c r="AW134" s="388">
        <f>SUMIF(C2:C258,C134,O2:O258)</f>
        <v>4</v>
      </c>
      <c r="AX134" s="388">
        <f>IF(AND(M134="F",AS134&lt;&gt;0),SUMIF(C2:C258,C134,W2:W258),0)</f>
        <v>76668.800000000003</v>
      </c>
      <c r="AY134" s="388">
        <f t="shared" si="117"/>
        <v>34500.959999999999</v>
      </c>
      <c r="AZ134" s="388" t="str">
        <f t="shared" si="118"/>
        <v/>
      </c>
      <c r="BA134" s="388">
        <f t="shared" si="119"/>
        <v>0</v>
      </c>
      <c r="BB134" s="388">
        <f t="shared" si="88"/>
        <v>5625</v>
      </c>
      <c r="BC134" s="388">
        <f t="shared" si="89"/>
        <v>0</v>
      </c>
      <c r="BD134" s="388">
        <f t="shared" si="90"/>
        <v>2139.0595199999998</v>
      </c>
      <c r="BE134" s="388">
        <f t="shared" si="91"/>
        <v>500.26391999999998</v>
      </c>
      <c r="BF134" s="388">
        <f t="shared" si="92"/>
        <v>4119.414624</v>
      </c>
      <c r="BG134" s="388">
        <f t="shared" si="93"/>
        <v>248.7519216</v>
      </c>
      <c r="BH134" s="388">
        <f t="shared" si="94"/>
        <v>0</v>
      </c>
      <c r="BI134" s="388">
        <f t="shared" si="95"/>
        <v>0</v>
      </c>
      <c r="BJ134" s="388">
        <f t="shared" si="96"/>
        <v>120.75336</v>
      </c>
      <c r="BK134" s="388">
        <f t="shared" si="97"/>
        <v>0</v>
      </c>
      <c r="BL134" s="388">
        <f t="shared" si="120"/>
        <v>7128.243345599999</v>
      </c>
      <c r="BM134" s="388">
        <f t="shared" si="121"/>
        <v>0</v>
      </c>
      <c r="BN134" s="388">
        <f t="shared" si="98"/>
        <v>6187.5</v>
      </c>
      <c r="BO134" s="388">
        <f t="shared" si="99"/>
        <v>0</v>
      </c>
      <c r="BP134" s="388">
        <f t="shared" si="100"/>
        <v>2139.0595199999998</v>
      </c>
      <c r="BQ134" s="388">
        <f t="shared" si="101"/>
        <v>500.26391999999998</v>
      </c>
      <c r="BR134" s="388">
        <f t="shared" si="102"/>
        <v>3857.207328</v>
      </c>
      <c r="BS134" s="388">
        <f t="shared" si="103"/>
        <v>248.7519216</v>
      </c>
      <c r="BT134" s="388">
        <f t="shared" si="104"/>
        <v>0</v>
      </c>
      <c r="BU134" s="388">
        <f t="shared" si="105"/>
        <v>0</v>
      </c>
      <c r="BV134" s="388">
        <f t="shared" si="106"/>
        <v>134.55374399999999</v>
      </c>
      <c r="BW134" s="388">
        <f t="shared" si="107"/>
        <v>0</v>
      </c>
      <c r="BX134" s="388">
        <f t="shared" si="122"/>
        <v>6879.8364335999995</v>
      </c>
      <c r="BY134" s="388">
        <f t="shared" si="123"/>
        <v>0</v>
      </c>
      <c r="BZ134" s="388">
        <f t="shared" si="124"/>
        <v>562.5</v>
      </c>
      <c r="CA134" s="388">
        <f t="shared" si="125"/>
        <v>0</v>
      </c>
      <c r="CB134" s="388">
        <f t="shared" si="126"/>
        <v>0</v>
      </c>
      <c r="CC134" s="388">
        <f t="shared" si="108"/>
        <v>0</v>
      </c>
      <c r="CD134" s="388">
        <f t="shared" si="109"/>
        <v>-262.20729600000033</v>
      </c>
      <c r="CE134" s="388">
        <f t="shared" si="110"/>
        <v>0</v>
      </c>
      <c r="CF134" s="388">
        <f t="shared" si="111"/>
        <v>0</v>
      </c>
      <c r="CG134" s="388">
        <f t="shared" si="112"/>
        <v>0</v>
      </c>
      <c r="CH134" s="388">
        <f t="shared" si="113"/>
        <v>13.80038399999999</v>
      </c>
      <c r="CI134" s="388">
        <f t="shared" si="114"/>
        <v>0</v>
      </c>
      <c r="CJ134" s="388">
        <f t="shared" si="127"/>
        <v>-248.40691200000035</v>
      </c>
      <c r="CK134" s="388" t="str">
        <f t="shared" si="128"/>
        <v/>
      </c>
      <c r="CL134" s="388" t="str">
        <f t="shared" si="129"/>
        <v/>
      </c>
      <c r="CM134" s="388" t="str">
        <f t="shared" si="130"/>
        <v/>
      </c>
      <c r="CN134" s="388" t="str">
        <f t="shared" si="131"/>
        <v>0348-01</v>
      </c>
    </row>
    <row r="135" spans="1:92" ht="15.75" thickBot="1" x14ac:dyDescent="0.3">
      <c r="A135" s="377" t="s">
        <v>162</v>
      </c>
      <c r="B135" s="377" t="s">
        <v>163</v>
      </c>
      <c r="C135" s="377" t="s">
        <v>522</v>
      </c>
      <c r="D135" s="377" t="s">
        <v>300</v>
      </c>
      <c r="E135" s="377" t="s">
        <v>637</v>
      </c>
      <c r="F135" s="383" t="s">
        <v>638</v>
      </c>
      <c r="G135" s="377" t="s">
        <v>439</v>
      </c>
      <c r="H135" s="379"/>
      <c r="I135" s="379"/>
      <c r="J135" s="377" t="s">
        <v>169</v>
      </c>
      <c r="K135" s="377" t="s">
        <v>301</v>
      </c>
      <c r="L135" s="377" t="s">
        <v>167</v>
      </c>
      <c r="M135" s="377" t="s">
        <v>172</v>
      </c>
      <c r="N135" s="377" t="s">
        <v>173</v>
      </c>
      <c r="O135" s="380">
        <v>1</v>
      </c>
      <c r="P135" s="386">
        <v>0.6</v>
      </c>
      <c r="Q135" s="386">
        <v>0.6</v>
      </c>
      <c r="R135" s="381">
        <v>80</v>
      </c>
      <c r="S135" s="386">
        <v>0.6</v>
      </c>
      <c r="T135" s="381">
        <v>46985.43</v>
      </c>
      <c r="U135" s="381">
        <v>0</v>
      </c>
      <c r="V135" s="381">
        <v>16946.28</v>
      </c>
      <c r="W135" s="381">
        <v>46001.279999999999</v>
      </c>
      <c r="X135" s="381">
        <v>17004.310000000001</v>
      </c>
      <c r="Y135" s="381">
        <v>46001.279999999999</v>
      </c>
      <c r="Z135" s="381">
        <v>17423.099999999999</v>
      </c>
      <c r="AA135" s="377" t="s">
        <v>523</v>
      </c>
      <c r="AB135" s="377" t="s">
        <v>524</v>
      </c>
      <c r="AC135" s="377" t="s">
        <v>525</v>
      </c>
      <c r="AD135" s="377" t="s">
        <v>526</v>
      </c>
      <c r="AE135" s="377" t="s">
        <v>301</v>
      </c>
      <c r="AF135" s="377" t="s">
        <v>207</v>
      </c>
      <c r="AG135" s="377" t="s">
        <v>179</v>
      </c>
      <c r="AH135" s="382">
        <v>36.86</v>
      </c>
      <c r="AI135" s="382">
        <v>6286.2</v>
      </c>
      <c r="AJ135" s="377" t="s">
        <v>180</v>
      </c>
      <c r="AK135" s="377" t="s">
        <v>181</v>
      </c>
      <c r="AL135" s="377" t="s">
        <v>182</v>
      </c>
      <c r="AM135" s="377" t="s">
        <v>183</v>
      </c>
      <c r="AN135" s="377" t="s">
        <v>66</v>
      </c>
      <c r="AO135" s="380">
        <v>80</v>
      </c>
      <c r="AP135" s="386">
        <v>1</v>
      </c>
      <c r="AQ135" s="386">
        <v>0.6</v>
      </c>
      <c r="AR135" s="384" t="s">
        <v>184</v>
      </c>
      <c r="AS135" s="388">
        <f t="shared" si="115"/>
        <v>0.6</v>
      </c>
      <c r="AT135">
        <f t="shared" si="116"/>
        <v>1</v>
      </c>
      <c r="AU135" s="388">
        <f>IF(AT135=0,"",IF(AND(AT135=1,M135="F",SUMIF(C2:C258,C135,AS2:AS258)&lt;=1),SUMIF(C2:C258,C135,AS2:AS258),IF(AND(AT135=1,M135="F",SUMIF(C2:C258,C135,AS2:AS258)&gt;1),1,"")))</f>
        <v>1</v>
      </c>
      <c r="AV135" s="388" t="str">
        <f>IF(AT135=0,"",IF(AND(AT135=3,M135="F",SUMIF(C2:C258,C135,AS2:AS258)&lt;=1),SUMIF(C2:C258,C135,AS2:AS258),IF(AND(AT135=3,M135="F",SUMIF(C2:C258,C135,AS2:AS258)&gt;1),1,"")))</f>
        <v/>
      </c>
      <c r="AW135" s="388">
        <f>SUMIF(C2:C258,C135,O2:O258)</f>
        <v>2</v>
      </c>
      <c r="AX135" s="388">
        <f>IF(AND(M135="F",AS135&lt;&gt;0),SUMIF(C2:C258,C135,W2:W258),0)</f>
        <v>76668.800000000003</v>
      </c>
      <c r="AY135" s="388">
        <f t="shared" si="117"/>
        <v>46001.279999999999</v>
      </c>
      <c r="AZ135" s="388" t="str">
        <f t="shared" si="118"/>
        <v/>
      </c>
      <c r="BA135" s="388">
        <f t="shared" si="119"/>
        <v>0</v>
      </c>
      <c r="BB135" s="388">
        <f t="shared" si="88"/>
        <v>7500</v>
      </c>
      <c r="BC135" s="388">
        <f t="shared" si="89"/>
        <v>0</v>
      </c>
      <c r="BD135" s="388">
        <f t="shared" si="90"/>
        <v>2852.0793599999997</v>
      </c>
      <c r="BE135" s="388">
        <f t="shared" si="91"/>
        <v>667.01855999999998</v>
      </c>
      <c r="BF135" s="388">
        <f t="shared" si="92"/>
        <v>5492.5528320000003</v>
      </c>
      <c r="BG135" s="388">
        <f t="shared" si="93"/>
        <v>331.66922879999998</v>
      </c>
      <c r="BH135" s="388">
        <f t="shared" si="94"/>
        <v>0</v>
      </c>
      <c r="BI135" s="388">
        <f t="shared" si="95"/>
        <v>0</v>
      </c>
      <c r="BJ135" s="388">
        <f t="shared" si="96"/>
        <v>161.00448</v>
      </c>
      <c r="BK135" s="388">
        <f t="shared" si="97"/>
        <v>0</v>
      </c>
      <c r="BL135" s="388">
        <f t="shared" si="120"/>
        <v>9504.3244607999986</v>
      </c>
      <c r="BM135" s="388">
        <f t="shared" si="121"/>
        <v>0</v>
      </c>
      <c r="BN135" s="388">
        <f t="shared" si="98"/>
        <v>8250</v>
      </c>
      <c r="BO135" s="388">
        <f t="shared" si="99"/>
        <v>0</v>
      </c>
      <c r="BP135" s="388">
        <f t="shared" si="100"/>
        <v>2852.0793599999997</v>
      </c>
      <c r="BQ135" s="388">
        <f t="shared" si="101"/>
        <v>667.01855999999998</v>
      </c>
      <c r="BR135" s="388">
        <f t="shared" si="102"/>
        <v>5142.9431039999999</v>
      </c>
      <c r="BS135" s="388">
        <f t="shared" si="103"/>
        <v>331.66922879999998</v>
      </c>
      <c r="BT135" s="388">
        <f t="shared" si="104"/>
        <v>0</v>
      </c>
      <c r="BU135" s="388">
        <f t="shared" si="105"/>
        <v>0</v>
      </c>
      <c r="BV135" s="388">
        <f t="shared" si="106"/>
        <v>179.40499199999999</v>
      </c>
      <c r="BW135" s="388">
        <f t="shared" si="107"/>
        <v>0</v>
      </c>
      <c r="BX135" s="388">
        <f t="shared" si="122"/>
        <v>9173.1152447999993</v>
      </c>
      <c r="BY135" s="388">
        <f t="shared" si="123"/>
        <v>0</v>
      </c>
      <c r="BZ135" s="388">
        <f t="shared" si="124"/>
        <v>750</v>
      </c>
      <c r="CA135" s="388">
        <f t="shared" si="125"/>
        <v>0</v>
      </c>
      <c r="CB135" s="388">
        <f t="shared" si="126"/>
        <v>0</v>
      </c>
      <c r="CC135" s="388">
        <f t="shared" si="108"/>
        <v>0</v>
      </c>
      <c r="CD135" s="388">
        <f t="shared" si="109"/>
        <v>-349.60972800000042</v>
      </c>
      <c r="CE135" s="388">
        <f t="shared" si="110"/>
        <v>0</v>
      </c>
      <c r="CF135" s="388">
        <f t="shared" si="111"/>
        <v>0</v>
      </c>
      <c r="CG135" s="388">
        <f t="shared" si="112"/>
        <v>0</v>
      </c>
      <c r="CH135" s="388">
        <f t="shared" si="113"/>
        <v>18.400511999999988</v>
      </c>
      <c r="CI135" s="388">
        <f t="shared" si="114"/>
        <v>0</v>
      </c>
      <c r="CJ135" s="388">
        <f t="shared" si="127"/>
        <v>-331.20921600000042</v>
      </c>
      <c r="CK135" s="388" t="str">
        <f t="shared" si="128"/>
        <v/>
      </c>
      <c r="CL135" s="388" t="str">
        <f t="shared" si="129"/>
        <v/>
      </c>
      <c r="CM135" s="388" t="str">
        <f t="shared" si="130"/>
        <v/>
      </c>
      <c r="CN135" s="388" t="str">
        <f t="shared" si="131"/>
        <v>0348-01</v>
      </c>
    </row>
    <row r="136" spans="1:92" ht="15.75" thickBot="1" x14ac:dyDescent="0.3">
      <c r="A136" s="377" t="s">
        <v>162</v>
      </c>
      <c r="B136" s="377" t="s">
        <v>163</v>
      </c>
      <c r="C136" s="377" t="s">
        <v>653</v>
      </c>
      <c r="D136" s="377" t="s">
        <v>276</v>
      </c>
      <c r="E136" s="377" t="s">
        <v>637</v>
      </c>
      <c r="F136" s="383" t="s">
        <v>638</v>
      </c>
      <c r="G136" s="377" t="s">
        <v>439</v>
      </c>
      <c r="H136" s="379"/>
      <c r="I136" s="379"/>
      <c r="J136" s="377" t="s">
        <v>169</v>
      </c>
      <c r="K136" s="377" t="s">
        <v>277</v>
      </c>
      <c r="L136" s="377" t="s">
        <v>215</v>
      </c>
      <c r="M136" s="377" t="s">
        <v>172</v>
      </c>
      <c r="N136" s="377" t="s">
        <v>173</v>
      </c>
      <c r="O136" s="380">
        <v>1</v>
      </c>
      <c r="P136" s="386">
        <v>0.2</v>
      </c>
      <c r="Q136" s="386">
        <v>0.2</v>
      </c>
      <c r="R136" s="381">
        <v>80</v>
      </c>
      <c r="S136" s="386">
        <v>0.2</v>
      </c>
      <c r="T136" s="381">
        <v>15315.13</v>
      </c>
      <c r="U136" s="381">
        <v>0</v>
      </c>
      <c r="V136" s="381">
        <v>6861.46</v>
      </c>
      <c r="W136" s="381">
        <v>9534.7199999999993</v>
      </c>
      <c r="X136" s="381">
        <v>4469.96</v>
      </c>
      <c r="Y136" s="381">
        <v>9534.7199999999993</v>
      </c>
      <c r="Z136" s="381">
        <v>4651.3100000000004</v>
      </c>
      <c r="AA136" s="377" t="s">
        <v>654</v>
      </c>
      <c r="AB136" s="377" t="s">
        <v>655</v>
      </c>
      <c r="AC136" s="377" t="s">
        <v>656</v>
      </c>
      <c r="AD136" s="377" t="s">
        <v>657</v>
      </c>
      <c r="AE136" s="377" t="s">
        <v>277</v>
      </c>
      <c r="AF136" s="377" t="s">
        <v>231</v>
      </c>
      <c r="AG136" s="377" t="s">
        <v>179</v>
      </c>
      <c r="AH136" s="382">
        <v>22.92</v>
      </c>
      <c r="AI136" s="382">
        <v>5964.9</v>
      </c>
      <c r="AJ136" s="377" t="s">
        <v>180</v>
      </c>
      <c r="AK136" s="377" t="s">
        <v>181</v>
      </c>
      <c r="AL136" s="377" t="s">
        <v>182</v>
      </c>
      <c r="AM136" s="377" t="s">
        <v>183</v>
      </c>
      <c r="AN136" s="377" t="s">
        <v>66</v>
      </c>
      <c r="AO136" s="380">
        <v>80</v>
      </c>
      <c r="AP136" s="386">
        <v>1</v>
      </c>
      <c r="AQ136" s="386">
        <v>0.2</v>
      </c>
      <c r="AR136" s="384" t="s">
        <v>184</v>
      </c>
      <c r="AS136" s="388">
        <f t="shared" si="115"/>
        <v>0.2</v>
      </c>
      <c r="AT136">
        <f t="shared" si="116"/>
        <v>1</v>
      </c>
      <c r="AU136" s="388">
        <f>IF(AT136=0,"",IF(AND(AT136=1,M136="F",SUMIF(C2:C258,C136,AS2:AS258)&lt;=1),SUMIF(C2:C258,C136,AS2:AS258),IF(AND(AT136=1,M136="F",SUMIF(C2:C258,C136,AS2:AS258)&gt;1),1,"")))</f>
        <v>1</v>
      </c>
      <c r="AV136" s="388" t="str">
        <f>IF(AT136=0,"",IF(AND(AT136=3,M136="F",SUMIF(C2:C258,C136,AS2:AS258)&lt;=1),SUMIF(C2:C258,C136,AS2:AS258),IF(AND(AT136=3,M136="F",SUMIF(C2:C258,C136,AS2:AS258)&gt;1),1,"")))</f>
        <v/>
      </c>
      <c r="AW136" s="388">
        <f>SUMIF(C2:C258,C136,O2:O258)</f>
        <v>2</v>
      </c>
      <c r="AX136" s="388">
        <f>IF(AND(M136="F",AS136&lt;&gt;0),SUMIF(C2:C258,C136,W2:W258),0)</f>
        <v>47673.599999999999</v>
      </c>
      <c r="AY136" s="388">
        <f t="shared" si="117"/>
        <v>9534.7199999999993</v>
      </c>
      <c r="AZ136" s="388" t="str">
        <f t="shared" si="118"/>
        <v/>
      </c>
      <c r="BA136" s="388">
        <f t="shared" si="119"/>
        <v>0</v>
      </c>
      <c r="BB136" s="388">
        <f t="shared" si="88"/>
        <v>2500</v>
      </c>
      <c r="BC136" s="388">
        <f t="shared" si="89"/>
        <v>0</v>
      </c>
      <c r="BD136" s="388">
        <f t="shared" si="90"/>
        <v>591.15263999999991</v>
      </c>
      <c r="BE136" s="388">
        <f t="shared" si="91"/>
        <v>138.25343999999998</v>
      </c>
      <c r="BF136" s="388">
        <f t="shared" si="92"/>
        <v>1138.4455680000001</v>
      </c>
      <c r="BG136" s="388">
        <f t="shared" si="93"/>
        <v>68.745331199999995</v>
      </c>
      <c r="BH136" s="388">
        <f t="shared" si="94"/>
        <v>0</v>
      </c>
      <c r="BI136" s="388">
        <f t="shared" si="95"/>
        <v>0</v>
      </c>
      <c r="BJ136" s="388">
        <f t="shared" si="96"/>
        <v>33.371519999999997</v>
      </c>
      <c r="BK136" s="388">
        <f t="shared" si="97"/>
        <v>0</v>
      </c>
      <c r="BL136" s="388">
        <f t="shared" si="120"/>
        <v>1969.9684991999998</v>
      </c>
      <c r="BM136" s="388">
        <f t="shared" si="121"/>
        <v>0</v>
      </c>
      <c r="BN136" s="388">
        <f t="shared" si="98"/>
        <v>2750</v>
      </c>
      <c r="BO136" s="388">
        <f t="shared" si="99"/>
        <v>0</v>
      </c>
      <c r="BP136" s="388">
        <f t="shared" si="100"/>
        <v>591.15263999999991</v>
      </c>
      <c r="BQ136" s="388">
        <f t="shared" si="101"/>
        <v>138.25343999999998</v>
      </c>
      <c r="BR136" s="388">
        <f t="shared" si="102"/>
        <v>1065.9816959999998</v>
      </c>
      <c r="BS136" s="388">
        <f t="shared" si="103"/>
        <v>68.745331199999995</v>
      </c>
      <c r="BT136" s="388">
        <f t="shared" si="104"/>
        <v>0</v>
      </c>
      <c r="BU136" s="388">
        <f t="shared" si="105"/>
        <v>0</v>
      </c>
      <c r="BV136" s="388">
        <f t="shared" si="106"/>
        <v>37.185407999999995</v>
      </c>
      <c r="BW136" s="388">
        <f t="shared" si="107"/>
        <v>0</v>
      </c>
      <c r="BX136" s="388">
        <f t="shared" si="122"/>
        <v>1901.3185151999996</v>
      </c>
      <c r="BY136" s="388">
        <f t="shared" si="123"/>
        <v>0</v>
      </c>
      <c r="BZ136" s="388">
        <f t="shared" si="124"/>
        <v>250</v>
      </c>
      <c r="CA136" s="388">
        <f t="shared" si="125"/>
        <v>0</v>
      </c>
      <c r="CB136" s="388">
        <f t="shared" si="126"/>
        <v>0</v>
      </c>
      <c r="CC136" s="388">
        <f t="shared" si="108"/>
        <v>0</v>
      </c>
      <c r="CD136" s="388">
        <f t="shared" si="109"/>
        <v>-72.46387200000008</v>
      </c>
      <c r="CE136" s="388">
        <f t="shared" si="110"/>
        <v>0</v>
      </c>
      <c r="CF136" s="388">
        <f t="shared" si="111"/>
        <v>0</v>
      </c>
      <c r="CG136" s="388">
        <f t="shared" si="112"/>
        <v>0</v>
      </c>
      <c r="CH136" s="388">
        <f t="shared" si="113"/>
        <v>3.8138879999999973</v>
      </c>
      <c r="CI136" s="388">
        <f t="shared" si="114"/>
        <v>0</v>
      </c>
      <c r="CJ136" s="388">
        <f t="shared" si="127"/>
        <v>-68.649984000000089</v>
      </c>
      <c r="CK136" s="388" t="str">
        <f t="shared" si="128"/>
        <v/>
      </c>
      <c r="CL136" s="388" t="str">
        <f t="shared" si="129"/>
        <v/>
      </c>
      <c r="CM136" s="388" t="str">
        <f t="shared" si="130"/>
        <v/>
      </c>
      <c r="CN136" s="388" t="str">
        <f t="shared" si="131"/>
        <v>0348-01</v>
      </c>
    </row>
    <row r="137" spans="1:92" ht="15.75" thickBot="1" x14ac:dyDescent="0.3">
      <c r="A137" s="377" t="s">
        <v>162</v>
      </c>
      <c r="B137" s="377" t="s">
        <v>163</v>
      </c>
      <c r="C137" s="377" t="s">
        <v>537</v>
      </c>
      <c r="D137" s="377" t="s">
        <v>194</v>
      </c>
      <c r="E137" s="377" t="s">
        <v>637</v>
      </c>
      <c r="F137" s="383" t="s">
        <v>638</v>
      </c>
      <c r="G137" s="377" t="s">
        <v>439</v>
      </c>
      <c r="H137" s="379"/>
      <c r="I137" s="379"/>
      <c r="J137" s="377" t="s">
        <v>169</v>
      </c>
      <c r="K137" s="377" t="s">
        <v>226</v>
      </c>
      <c r="L137" s="377" t="s">
        <v>215</v>
      </c>
      <c r="M137" s="377" t="s">
        <v>172</v>
      </c>
      <c r="N137" s="377" t="s">
        <v>173</v>
      </c>
      <c r="O137" s="380">
        <v>1</v>
      </c>
      <c r="P137" s="386">
        <v>0.1</v>
      </c>
      <c r="Q137" s="386">
        <v>0.1</v>
      </c>
      <c r="R137" s="381">
        <v>80</v>
      </c>
      <c r="S137" s="386">
        <v>0.1</v>
      </c>
      <c r="T137" s="381">
        <v>1851.61</v>
      </c>
      <c r="U137" s="381">
        <v>0</v>
      </c>
      <c r="V137" s="381">
        <v>847.46</v>
      </c>
      <c r="W137" s="381">
        <v>4725.76</v>
      </c>
      <c r="X137" s="381">
        <v>2226.38</v>
      </c>
      <c r="Y137" s="381">
        <v>4725.76</v>
      </c>
      <c r="Z137" s="381">
        <v>2317.36</v>
      </c>
      <c r="AA137" s="377" t="s">
        <v>538</v>
      </c>
      <c r="AB137" s="377" t="s">
        <v>539</v>
      </c>
      <c r="AC137" s="377" t="s">
        <v>540</v>
      </c>
      <c r="AD137" s="377" t="s">
        <v>395</v>
      </c>
      <c r="AE137" s="377" t="s">
        <v>226</v>
      </c>
      <c r="AF137" s="377" t="s">
        <v>231</v>
      </c>
      <c r="AG137" s="377" t="s">
        <v>179</v>
      </c>
      <c r="AH137" s="382">
        <v>22.72</v>
      </c>
      <c r="AI137" s="382">
        <v>483.3</v>
      </c>
      <c r="AJ137" s="377" t="s">
        <v>180</v>
      </c>
      <c r="AK137" s="377" t="s">
        <v>181</v>
      </c>
      <c r="AL137" s="377" t="s">
        <v>182</v>
      </c>
      <c r="AM137" s="377" t="s">
        <v>183</v>
      </c>
      <c r="AN137" s="377" t="s">
        <v>66</v>
      </c>
      <c r="AO137" s="380">
        <v>80</v>
      </c>
      <c r="AP137" s="386">
        <v>1</v>
      </c>
      <c r="AQ137" s="386">
        <v>0.1</v>
      </c>
      <c r="AR137" s="384" t="s">
        <v>184</v>
      </c>
      <c r="AS137" s="388">
        <f t="shared" si="115"/>
        <v>0.1</v>
      </c>
      <c r="AT137">
        <f t="shared" si="116"/>
        <v>1</v>
      </c>
      <c r="AU137" s="388">
        <f>IF(AT137=0,"",IF(AND(AT137=1,M137="F",SUMIF(C2:C258,C137,AS2:AS258)&lt;=1),SUMIF(C2:C258,C137,AS2:AS258),IF(AND(AT137=1,M137="F",SUMIF(C2:C258,C137,AS2:AS258)&gt;1),1,"")))</f>
        <v>1</v>
      </c>
      <c r="AV137" s="388" t="str">
        <f>IF(AT137=0,"",IF(AND(AT137=3,M137="F",SUMIF(C2:C258,C137,AS2:AS258)&lt;=1),SUMIF(C2:C258,C137,AS2:AS258),IF(AND(AT137=3,M137="F",SUMIF(C2:C258,C137,AS2:AS258)&gt;1),1,"")))</f>
        <v/>
      </c>
      <c r="AW137" s="388">
        <f>SUMIF(C2:C258,C137,O2:O258)</f>
        <v>3</v>
      </c>
      <c r="AX137" s="388">
        <f>IF(AND(M137="F",AS137&lt;&gt;0),SUMIF(C2:C258,C137,W2:W258),0)</f>
        <v>47257.599999999999</v>
      </c>
      <c r="AY137" s="388">
        <f t="shared" si="117"/>
        <v>4725.76</v>
      </c>
      <c r="AZ137" s="388" t="str">
        <f t="shared" si="118"/>
        <v/>
      </c>
      <c r="BA137" s="388">
        <f t="shared" si="119"/>
        <v>0</v>
      </c>
      <c r="BB137" s="388">
        <f t="shared" si="88"/>
        <v>1250</v>
      </c>
      <c r="BC137" s="388">
        <f t="shared" si="89"/>
        <v>0</v>
      </c>
      <c r="BD137" s="388">
        <f t="shared" si="90"/>
        <v>292.99712</v>
      </c>
      <c r="BE137" s="388">
        <f t="shared" si="91"/>
        <v>68.523520000000005</v>
      </c>
      <c r="BF137" s="388">
        <f t="shared" si="92"/>
        <v>564.25574400000005</v>
      </c>
      <c r="BG137" s="388">
        <f t="shared" si="93"/>
        <v>34.072729600000002</v>
      </c>
      <c r="BH137" s="388">
        <f t="shared" si="94"/>
        <v>0</v>
      </c>
      <c r="BI137" s="388">
        <f t="shared" si="95"/>
        <v>0</v>
      </c>
      <c r="BJ137" s="388">
        <f t="shared" si="96"/>
        <v>16.54016</v>
      </c>
      <c r="BK137" s="388">
        <f t="shared" si="97"/>
        <v>0</v>
      </c>
      <c r="BL137" s="388">
        <f t="shared" si="120"/>
        <v>976.38927360000002</v>
      </c>
      <c r="BM137" s="388">
        <f t="shared" si="121"/>
        <v>0</v>
      </c>
      <c r="BN137" s="388">
        <f t="shared" si="98"/>
        <v>1375</v>
      </c>
      <c r="BO137" s="388">
        <f t="shared" si="99"/>
        <v>0</v>
      </c>
      <c r="BP137" s="388">
        <f t="shared" si="100"/>
        <v>292.99712</v>
      </c>
      <c r="BQ137" s="388">
        <f t="shared" si="101"/>
        <v>68.523520000000005</v>
      </c>
      <c r="BR137" s="388">
        <f t="shared" si="102"/>
        <v>528.339968</v>
      </c>
      <c r="BS137" s="388">
        <f t="shared" si="103"/>
        <v>34.072729600000002</v>
      </c>
      <c r="BT137" s="388">
        <f t="shared" si="104"/>
        <v>0</v>
      </c>
      <c r="BU137" s="388">
        <f t="shared" si="105"/>
        <v>0</v>
      </c>
      <c r="BV137" s="388">
        <f t="shared" si="106"/>
        <v>18.430464000000001</v>
      </c>
      <c r="BW137" s="388">
        <f t="shared" si="107"/>
        <v>0</v>
      </c>
      <c r="BX137" s="388">
        <f t="shared" si="122"/>
        <v>942.36380159999999</v>
      </c>
      <c r="BY137" s="388">
        <f t="shared" si="123"/>
        <v>0</v>
      </c>
      <c r="BZ137" s="388">
        <f t="shared" si="124"/>
        <v>125</v>
      </c>
      <c r="CA137" s="388">
        <f t="shared" si="125"/>
        <v>0</v>
      </c>
      <c r="CB137" s="388">
        <f t="shared" si="126"/>
        <v>0</v>
      </c>
      <c r="CC137" s="388">
        <f t="shared" si="108"/>
        <v>0</v>
      </c>
      <c r="CD137" s="388">
        <f t="shared" si="109"/>
        <v>-35.915776000000044</v>
      </c>
      <c r="CE137" s="388">
        <f t="shared" si="110"/>
        <v>0</v>
      </c>
      <c r="CF137" s="388">
        <f t="shared" si="111"/>
        <v>0</v>
      </c>
      <c r="CG137" s="388">
        <f t="shared" si="112"/>
        <v>0</v>
      </c>
      <c r="CH137" s="388">
        <f t="shared" si="113"/>
        <v>1.8903039999999989</v>
      </c>
      <c r="CI137" s="388">
        <f t="shared" si="114"/>
        <v>0</v>
      </c>
      <c r="CJ137" s="388">
        <f t="shared" si="127"/>
        <v>-34.025472000000043</v>
      </c>
      <c r="CK137" s="388" t="str">
        <f t="shared" si="128"/>
        <v/>
      </c>
      <c r="CL137" s="388" t="str">
        <f t="shared" si="129"/>
        <v/>
      </c>
      <c r="CM137" s="388" t="str">
        <f t="shared" si="130"/>
        <v/>
      </c>
      <c r="CN137" s="388" t="str">
        <f t="shared" si="131"/>
        <v>0348-01</v>
      </c>
    </row>
    <row r="138" spans="1:92" ht="15.75" thickBot="1" x14ac:dyDescent="0.3">
      <c r="A138" s="377" t="s">
        <v>162</v>
      </c>
      <c r="B138" s="377" t="s">
        <v>163</v>
      </c>
      <c r="C138" s="377" t="s">
        <v>542</v>
      </c>
      <c r="D138" s="377" t="s">
        <v>300</v>
      </c>
      <c r="E138" s="377" t="s">
        <v>637</v>
      </c>
      <c r="F138" s="383" t="s">
        <v>638</v>
      </c>
      <c r="G138" s="377" t="s">
        <v>439</v>
      </c>
      <c r="H138" s="379"/>
      <c r="I138" s="379"/>
      <c r="J138" s="377" t="s">
        <v>169</v>
      </c>
      <c r="K138" s="377" t="s">
        <v>301</v>
      </c>
      <c r="L138" s="377" t="s">
        <v>167</v>
      </c>
      <c r="M138" s="377" t="s">
        <v>172</v>
      </c>
      <c r="N138" s="377" t="s">
        <v>173</v>
      </c>
      <c r="O138" s="380">
        <v>1</v>
      </c>
      <c r="P138" s="386">
        <v>0.2</v>
      </c>
      <c r="Q138" s="386">
        <v>0.2</v>
      </c>
      <c r="R138" s="381">
        <v>80</v>
      </c>
      <c r="S138" s="386">
        <v>0.2</v>
      </c>
      <c r="T138" s="381">
        <v>11722.34</v>
      </c>
      <c r="U138" s="381">
        <v>0</v>
      </c>
      <c r="V138" s="381">
        <v>4586.95</v>
      </c>
      <c r="W138" s="381">
        <v>12064</v>
      </c>
      <c r="X138" s="381">
        <v>4992.54</v>
      </c>
      <c r="Y138" s="381">
        <v>12064</v>
      </c>
      <c r="Z138" s="381">
        <v>5155.67</v>
      </c>
      <c r="AA138" s="377" t="s">
        <v>543</v>
      </c>
      <c r="AB138" s="377" t="s">
        <v>544</v>
      </c>
      <c r="AC138" s="377" t="s">
        <v>545</v>
      </c>
      <c r="AD138" s="377" t="s">
        <v>181</v>
      </c>
      <c r="AE138" s="377" t="s">
        <v>301</v>
      </c>
      <c r="AF138" s="377" t="s">
        <v>207</v>
      </c>
      <c r="AG138" s="377" t="s">
        <v>179</v>
      </c>
      <c r="AH138" s="380">
        <v>29</v>
      </c>
      <c r="AI138" s="380">
        <v>112</v>
      </c>
      <c r="AJ138" s="377" t="s">
        <v>180</v>
      </c>
      <c r="AK138" s="377" t="s">
        <v>181</v>
      </c>
      <c r="AL138" s="377" t="s">
        <v>182</v>
      </c>
      <c r="AM138" s="377" t="s">
        <v>183</v>
      </c>
      <c r="AN138" s="377" t="s">
        <v>66</v>
      </c>
      <c r="AO138" s="380">
        <v>80</v>
      </c>
      <c r="AP138" s="386">
        <v>1</v>
      </c>
      <c r="AQ138" s="386">
        <v>0.2</v>
      </c>
      <c r="AR138" s="384" t="s">
        <v>184</v>
      </c>
      <c r="AS138" s="388">
        <f t="shared" si="115"/>
        <v>0.2</v>
      </c>
      <c r="AT138">
        <f t="shared" si="116"/>
        <v>1</v>
      </c>
      <c r="AU138" s="388">
        <f>IF(AT138=0,"",IF(AND(AT138=1,M138="F",SUMIF(C2:C258,C138,AS2:AS258)&lt;=1),SUMIF(C2:C258,C138,AS2:AS258),IF(AND(AT138=1,M138="F",SUMIF(C2:C258,C138,AS2:AS258)&gt;1),1,"")))</f>
        <v>1</v>
      </c>
      <c r="AV138" s="388" t="str">
        <f>IF(AT138=0,"",IF(AND(AT138=3,M138="F",SUMIF(C2:C258,C138,AS2:AS258)&lt;=1),SUMIF(C2:C258,C138,AS2:AS258),IF(AND(AT138=3,M138="F",SUMIF(C2:C258,C138,AS2:AS258)&gt;1),1,"")))</f>
        <v/>
      </c>
      <c r="AW138" s="388">
        <f>SUMIF(C2:C258,C138,O2:O258)</f>
        <v>2</v>
      </c>
      <c r="AX138" s="388">
        <f>IF(AND(M138="F",AS138&lt;&gt;0),SUMIF(C2:C258,C138,W2:W258),0)</f>
        <v>60320</v>
      </c>
      <c r="AY138" s="388">
        <f t="shared" si="117"/>
        <v>12064</v>
      </c>
      <c r="AZ138" s="388" t="str">
        <f t="shared" si="118"/>
        <v/>
      </c>
      <c r="BA138" s="388">
        <f t="shared" si="119"/>
        <v>0</v>
      </c>
      <c r="BB138" s="388">
        <f t="shared" si="88"/>
        <v>2500</v>
      </c>
      <c r="BC138" s="388">
        <f t="shared" si="89"/>
        <v>0</v>
      </c>
      <c r="BD138" s="388">
        <f t="shared" si="90"/>
        <v>747.96799999999996</v>
      </c>
      <c r="BE138" s="388">
        <f t="shared" si="91"/>
        <v>174.928</v>
      </c>
      <c r="BF138" s="388">
        <f t="shared" si="92"/>
        <v>1440.4416000000001</v>
      </c>
      <c r="BG138" s="388">
        <f t="shared" si="93"/>
        <v>86.981440000000006</v>
      </c>
      <c r="BH138" s="388">
        <f t="shared" si="94"/>
        <v>0</v>
      </c>
      <c r="BI138" s="388">
        <f t="shared" si="95"/>
        <v>0</v>
      </c>
      <c r="BJ138" s="388">
        <f t="shared" si="96"/>
        <v>42.224000000000004</v>
      </c>
      <c r="BK138" s="388">
        <f t="shared" si="97"/>
        <v>0</v>
      </c>
      <c r="BL138" s="388">
        <f t="shared" si="120"/>
        <v>2492.54304</v>
      </c>
      <c r="BM138" s="388">
        <f t="shared" si="121"/>
        <v>0</v>
      </c>
      <c r="BN138" s="388">
        <f t="shared" si="98"/>
        <v>2750</v>
      </c>
      <c r="BO138" s="388">
        <f t="shared" si="99"/>
        <v>0</v>
      </c>
      <c r="BP138" s="388">
        <f t="shared" si="100"/>
        <v>747.96799999999996</v>
      </c>
      <c r="BQ138" s="388">
        <f t="shared" si="101"/>
        <v>174.928</v>
      </c>
      <c r="BR138" s="388">
        <f t="shared" si="102"/>
        <v>1348.7552000000001</v>
      </c>
      <c r="BS138" s="388">
        <f t="shared" si="103"/>
        <v>86.981440000000006</v>
      </c>
      <c r="BT138" s="388">
        <f t="shared" si="104"/>
        <v>0</v>
      </c>
      <c r="BU138" s="388">
        <f t="shared" si="105"/>
        <v>0</v>
      </c>
      <c r="BV138" s="388">
        <f t="shared" si="106"/>
        <v>47.049599999999998</v>
      </c>
      <c r="BW138" s="388">
        <f t="shared" si="107"/>
        <v>0</v>
      </c>
      <c r="BX138" s="388">
        <f t="shared" si="122"/>
        <v>2405.6822400000001</v>
      </c>
      <c r="BY138" s="388">
        <f t="shared" si="123"/>
        <v>0</v>
      </c>
      <c r="BZ138" s="388">
        <f t="shared" si="124"/>
        <v>250</v>
      </c>
      <c r="CA138" s="388">
        <f t="shared" si="125"/>
        <v>0</v>
      </c>
      <c r="CB138" s="388">
        <f t="shared" si="126"/>
        <v>0</v>
      </c>
      <c r="CC138" s="388">
        <f t="shared" si="108"/>
        <v>0</v>
      </c>
      <c r="CD138" s="388">
        <f t="shared" si="109"/>
        <v>-91.68640000000012</v>
      </c>
      <c r="CE138" s="388">
        <f t="shared" si="110"/>
        <v>0</v>
      </c>
      <c r="CF138" s="388">
        <f t="shared" si="111"/>
        <v>0</v>
      </c>
      <c r="CG138" s="388">
        <f t="shared" si="112"/>
        <v>0</v>
      </c>
      <c r="CH138" s="388">
        <f t="shared" si="113"/>
        <v>4.825599999999997</v>
      </c>
      <c r="CI138" s="388">
        <f t="shared" si="114"/>
        <v>0</v>
      </c>
      <c r="CJ138" s="388">
        <f t="shared" si="127"/>
        <v>-86.860800000000125</v>
      </c>
      <c r="CK138" s="388" t="str">
        <f t="shared" si="128"/>
        <v/>
      </c>
      <c r="CL138" s="388" t="str">
        <f t="shared" si="129"/>
        <v/>
      </c>
      <c r="CM138" s="388" t="str">
        <f t="shared" si="130"/>
        <v/>
      </c>
      <c r="CN138" s="388" t="str">
        <f t="shared" si="131"/>
        <v>0348-01</v>
      </c>
    </row>
    <row r="139" spans="1:92" ht="15.75" thickBot="1" x14ac:dyDescent="0.3">
      <c r="A139" s="377" t="s">
        <v>162</v>
      </c>
      <c r="B139" s="377" t="s">
        <v>163</v>
      </c>
      <c r="C139" s="377" t="s">
        <v>658</v>
      </c>
      <c r="D139" s="377" t="s">
        <v>300</v>
      </c>
      <c r="E139" s="377" t="s">
        <v>637</v>
      </c>
      <c r="F139" s="383" t="s">
        <v>638</v>
      </c>
      <c r="G139" s="377" t="s">
        <v>439</v>
      </c>
      <c r="H139" s="379"/>
      <c r="I139" s="379"/>
      <c r="J139" s="377" t="s">
        <v>169</v>
      </c>
      <c r="K139" s="377" t="s">
        <v>301</v>
      </c>
      <c r="L139" s="377" t="s">
        <v>167</v>
      </c>
      <c r="M139" s="377" t="s">
        <v>395</v>
      </c>
      <c r="N139" s="377" t="s">
        <v>173</v>
      </c>
      <c r="O139" s="380">
        <v>0</v>
      </c>
      <c r="P139" s="386">
        <v>0.65</v>
      </c>
      <c r="Q139" s="386">
        <v>0.65</v>
      </c>
      <c r="R139" s="381">
        <v>80</v>
      </c>
      <c r="S139" s="386">
        <v>0.65</v>
      </c>
      <c r="T139" s="381">
        <v>53652.43</v>
      </c>
      <c r="U139" s="381">
        <v>0</v>
      </c>
      <c r="V139" s="381">
        <v>19531.78</v>
      </c>
      <c r="W139" s="381">
        <v>41776.800000000003</v>
      </c>
      <c r="X139" s="381">
        <v>18799.560000000001</v>
      </c>
      <c r="Y139" s="381">
        <v>41776.800000000003</v>
      </c>
      <c r="Z139" s="381">
        <v>19467.98</v>
      </c>
      <c r="AA139" s="379"/>
      <c r="AB139" s="377" t="s">
        <v>45</v>
      </c>
      <c r="AC139" s="377" t="s">
        <v>45</v>
      </c>
      <c r="AD139" s="379"/>
      <c r="AE139" s="379"/>
      <c r="AF139" s="379"/>
      <c r="AG139" s="379"/>
      <c r="AH139" s="380">
        <v>0</v>
      </c>
      <c r="AI139" s="380">
        <v>0</v>
      </c>
      <c r="AJ139" s="379"/>
      <c r="AK139" s="379"/>
      <c r="AL139" s="377" t="s">
        <v>182</v>
      </c>
      <c r="AM139" s="379"/>
      <c r="AN139" s="379"/>
      <c r="AO139" s="380">
        <v>0</v>
      </c>
      <c r="AP139" s="386">
        <v>0</v>
      </c>
      <c r="AQ139" s="386">
        <v>0</v>
      </c>
      <c r="AR139" s="385"/>
      <c r="AS139" s="388">
        <f t="shared" si="115"/>
        <v>0</v>
      </c>
      <c r="AT139">
        <f t="shared" si="116"/>
        <v>0</v>
      </c>
      <c r="AU139" s="388" t="str">
        <f>IF(AT139=0,"",IF(AND(AT139=1,M139="F",SUMIF(C2:C258,C139,AS2:AS258)&lt;=1),SUMIF(C2:C258,C139,AS2:AS258),IF(AND(AT139=1,M139="F",SUMIF(C2:C258,C139,AS2:AS258)&gt;1),1,"")))</f>
        <v/>
      </c>
      <c r="AV139" s="388" t="str">
        <f>IF(AT139=0,"",IF(AND(AT139=3,M139="F",SUMIF(C2:C258,C139,AS2:AS258)&lt;=1),SUMIF(C2:C258,C139,AS2:AS258),IF(AND(AT139=3,M139="F",SUMIF(C2:C258,C139,AS2:AS258)&gt;1),1,"")))</f>
        <v/>
      </c>
      <c r="AW139" s="388">
        <f>SUMIF(C2:C258,C139,O2:O258)</f>
        <v>0</v>
      </c>
      <c r="AX139" s="388">
        <f>IF(AND(M139="F",AS139&lt;&gt;0),SUMIF(C2:C258,C139,W2:W258),0)</f>
        <v>0</v>
      </c>
      <c r="AY139" s="388" t="str">
        <f t="shared" si="117"/>
        <v/>
      </c>
      <c r="AZ139" s="388" t="str">
        <f t="shared" si="118"/>
        <v/>
      </c>
      <c r="BA139" s="388">
        <f t="shared" si="119"/>
        <v>0</v>
      </c>
      <c r="BB139" s="388">
        <f t="shared" si="88"/>
        <v>0</v>
      </c>
      <c r="BC139" s="388">
        <f t="shared" si="89"/>
        <v>0</v>
      </c>
      <c r="BD139" s="388">
        <f t="shared" si="90"/>
        <v>0</v>
      </c>
      <c r="BE139" s="388">
        <f t="shared" si="91"/>
        <v>0</v>
      </c>
      <c r="BF139" s="388">
        <f t="shared" si="92"/>
        <v>0</v>
      </c>
      <c r="BG139" s="388">
        <f t="shared" si="93"/>
        <v>0</v>
      </c>
      <c r="BH139" s="388">
        <f t="shared" si="94"/>
        <v>0</v>
      </c>
      <c r="BI139" s="388">
        <f t="shared" si="95"/>
        <v>0</v>
      </c>
      <c r="BJ139" s="388">
        <f t="shared" si="96"/>
        <v>0</v>
      </c>
      <c r="BK139" s="388">
        <f t="shared" si="97"/>
        <v>0</v>
      </c>
      <c r="BL139" s="388">
        <f t="shared" si="120"/>
        <v>0</v>
      </c>
      <c r="BM139" s="388">
        <f t="shared" si="121"/>
        <v>0</v>
      </c>
      <c r="BN139" s="388">
        <f t="shared" si="98"/>
        <v>0</v>
      </c>
      <c r="BO139" s="388">
        <f t="shared" si="99"/>
        <v>0</v>
      </c>
      <c r="BP139" s="388">
        <f t="shared" si="100"/>
        <v>0</v>
      </c>
      <c r="BQ139" s="388">
        <f t="shared" si="101"/>
        <v>0</v>
      </c>
      <c r="BR139" s="388">
        <f t="shared" si="102"/>
        <v>0</v>
      </c>
      <c r="BS139" s="388">
        <f t="shared" si="103"/>
        <v>0</v>
      </c>
      <c r="BT139" s="388">
        <f t="shared" si="104"/>
        <v>0</v>
      </c>
      <c r="BU139" s="388">
        <f t="shared" si="105"/>
        <v>0</v>
      </c>
      <c r="BV139" s="388">
        <f t="shared" si="106"/>
        <v>0</v>
      </c>
      <c r="BW139" s="388">
        <f t="shared" si="107"/>
        <v>0</v>
      </c>
      <c r="BX139" s="388">
        <f t="shared" si="122"/>
        <v>0</v>
      </c>
      <c r="BY139" s="388">
        <f t="shared" si="123"/>
        <v>0</v>
      </c>
      <c r="BZ139" s="388">
        <f t="shared" si="124"/>
        <v>0</v>
      </c>
      <c r="CA139" s="388">
        <f t="shared" si="125"/>
        <v>0</v>
      </c>
      <c r="CB139" s="388">
        <f t="shared" si="126"/>
        <v>0</v>
      </c>
      <c r="CC139" s="388">
        <f t="shared" si="108"/>
        <v>0</v>
      </c>
      <c r="CD139" s="388">
        <f t="shared" si="109"/>
        <v>0</v>
      </c>
      <c r="CE139" s="388">
        <f t="shared" si="110"/>
        <v>0</v>
      </c>
      <c r="CF139" s="388">
        <f t="shared" si="111"/>
        <v>0</v>
      </c>
      <c r="CG139" s="388">
        <f t="shared" si="112"/>
        <v>0</v>
      </c>
      <c r="CH139" s="388">
        <f t="shared" si="113"/>
        <v>0</v>
      </c>
      <c r="CI139" s="388">
        <f t="shared" si="114"/>
        <v>0</v>
      </c>
      <c r="CJ139" s="388">
        <f t="shared" si="127"/>
        <v>0</v>
      </c>
      <c r="CK139" s="388" t="str">
        <f t="shared" si="128"/>
        <v/>
      </c>
      <c r="CL139" s="388" t="str">
        <f t="shared" si="129"/>
        <v/>
      </c>
      <c r="CM139" s="388" t="str">
        <f t="shared" si="130"/>
        <v/>
      </c>
      <c r="CN139" s="388" t="str">
        <f t="shared" si="131"/>
        <v>0348-01</v>
      </c>
    </row>
    <row r="140" spans="1:92" ht="15.75" thickBot="1" x14ac:dyDescent="0.3">
      <c r="A140" s="377" t="s">
        <v>162</v>
      </c>
      <c r="B140" s="377" t="s">
        <v>163</v>
      </c>
      <c r="C140" s="377" t="s">
        <v>659</v>
      </c>
      <c r="D140" s="377" t="s">
        <v>300</v>
      </c>
      <c r="E140" s="377" t="s">
        <v>637</v>
      </c>
      <c r="F140" s="383" t="s">
        <v>638</v>
      </c>
      <c r="G140" s="377" t="s">
        <v>439</v>
      </c>
      <c r="H140" s="379"/>
      <c r="I140" s="379"/>
      <c r="J140" s="377" t="s">
        <v>269</v>
      </c>
      <c r="K140" s="377" t="s">
        <v>301</v>
      </c>
      <c r="L140" s="377" t="s">
        <v>167</v>
      </c>
      <c r="M140" s="377" t="s">
        <v>172</v>
      </c>
      <c r="N140" s="377" t="s">
        <v>173</v>
      </c>
      <c r="O140" s="380">
        <v>1</v>
      </c>
      <c r="P140" s="386">
        <v>0.2</v>
      </c>
      <c r="Q140" s="386">
        <v>0.2</v>
      </c>
      <c r="R140" s="381">
        <v>80</v>
      </c>
      <c r="S140" s="386">
        <v>0.2</v>
      </c>
      <c r="T140" s="381">
        <v>25927.74</v>
      </c>
      <c r="U140" s="381">
        <v>0</v>
      </c>
      <c r="V140" s="381">
        <v>8661.51</v>
      </c>
      <c r="W140" s="381">
        <v>18586.88</v>
      </c>
      <c r="X140" s="381">
        <v>6340.23</v>
      </c>
      <c r="Y140" s="381">
        <v>18586.88</v>
      </c>
      <c r="Z140" s="381">
        <v>6456.4</v>
      </c>
      <c r="AA140" s="377" t="s">
        <v>660</v>
      </c>
      <c r="AB140" s="377" t="s">
        <v>661</v>
      </c>
      <c r="AC140" s="377" t="s">
        <v>662</v>
      </c>
      <c r="AD140" s="377" t="s">
        <v>171</v>
      </c>
      <c r="AE140" s="377" t="s">
        <v>301</v>
      </c>
      <c r="AF140" s="377" t="s">
        <v>207</v>
      </c>
      <c r="AG140" s="377" t="s">
        <v>179</v>
      </c>
      <c r="AH140" s="382">
        <v>44.68</v>
      </c>
      <c r="AI140" s="380">
        <v>24864</v>
      </c>
      <c r="AJ140" s="377" t="s">
        <v>180</v>
      </c>
      <c r="AK140" s="377" t="s">
        <v>181</v>
      </c>
      <c r="AL140" s="377" t="s">
        <v>182</v>
      </c>
      <c r="AM140" s="377" t="s">
        <v>183</v>
      </c>
      <c r="AN140" s="377" t="s">
        <v>66</v>
      </c>
      <c r="AO140" s="380">
        <v>80</v>
      </c>
      <c r="AP140" s="386">
        <v>1</v>
      </c>
      <c r="AQ140" s="386">
        <v>0.2</v>
      </c>
      <c r="AR140" s="384" t="s">
        <v>184</v>
      </c>
      <c r="AS140" s="388">
        <f t="shared" si="115"/>
        <v>0.2</v>
      </c>
      <c r="AT140">
        <f t="shared" si="116"/>
        <v>1</v>
      </c>
      <c r="AU140" s="388">
        <f>IF(AT140=0,"",IF(AND(AT140=1,M140="F",SUMIF(C2:C258,C140,AS2:AS258)&lt;=1),SUMIF(C2:C258,C140,AS2:AS258),IF(AND(AT140=1,M140="F",SUMIF(C2:C258,C140,AS2:AS258)&gt;1),1,"")))</f>
        <v>1</v>
      </c>
      <c r="AV140" s="388" t="str">
        <f>IF(AT140=0,"",IF(AND(AT140=3,M140="F",SUMIF(C2:C258,C140,AS2:AS258)&lt;=1),SUMIF(C2:C258,C140,AS2:AS258),IF(AND(AT140=3,M140="F",SUMIF(C2:C258,C140,AS2:AS258)&gt;1),1,"")))</f>
        <v/>
      </c>
      <c r="AW140" s="388">
        <f>SUMIF(C2:C258,C140,O2:O258)</f>
        <v>2</v>
      </c>
      <c r="AX140" s="388">
        <f>IF(AND(M140="F",AS140&lt;&gt;0),SUMIF(C2:C258,C140,W2:W258),0)</f>
        <v>92934.39</v>
      </c>
      <c r="AY140" s="388">
        <f t="shared" si="117"/>
        <v>18586.88</v>
      </c>
      <c r="AZ140" s="388" t="str">
        <f t="shared" si="118"/>
        <v/>
      </c>
      <c r="BA140" s="388">
        <f t="shared" si="119"/>
        <v>0</v>
      </c>
      <c r="BB140" s="388">
        <f t="shared" si="88"/>
        <v>2500</v>
      </c>
      <c r="BC140" s="388">
        <f t="shared" si="89"/>
        <v>0</v>
      </c>
      <c r="BD140" s="388">
        <f t="shared" si="90"/>
        <v>1152.3865600000001</v>
      </c>
      <c r="BE140" s="388">
        <f t="shared" si="91"/>
        <v>269.50976000000003</v>
      </c>
      <c r="BF140" s="388">
        <f t="shared" si="92"/>
        <v>2219.2734720000003</v>
      </c>
      <c r="BG140" s="388">
        <f t="shared" si="93"/>
        <v>134.01140480000001</v>
      </c>
      <c r="BH140" s="388">
        <f t="shared" si="94"/>
        <v>0</v>
      </c>
      <c r="BI140" s="388">
        <f t="shared" si="95"/>
        <v>0</v>
      </c>
      <c r="BJ140" s="388">
        <f t="shared" si="96"/>
        <v>65.054079999999999</v>
      </c>
      <c r="BK140" s="388">
        <f t="shared" si="97"/>
        <v>0</v>
      </c>
      <c r="BL140" s="388">
        <f t="shared" si="120"/>
        <v>3840.2352768000005</v>
      </c>
      <c r="BM140" s="388">
        <f t="shared" si="121"/>
        <v>0</v>
      </c>
      <c r="BN140" s="388">
        <f t="shared" si="98"/>
        <v>2750</v>
      </c>
      <c r="BO140" s="388">
        <f t="shared" si="99"/>
        <v>0</v>
      </c>
      <c r="BP140" s="388">
        <f t="shared" si="100"/>
        <v>1152.3865600000001</v>
      </c>
      <c r="BQ140" s="388">
        <f t="shared" si="101"/>
        <v>269.50976000000003</v>
      </c>
      <c r="BR140" s="388">
        <f t="shared" si="102"/>
        <v>2078.0131839999999</v>
      </c>
      <c r="BS140" s="388">
        <f t="shared" si="103"/>
        <v>134.01140480000001</v>
      </c>
      <c r="BT140" s="388">
        <f t="shared" si="104"/>
        <v>0</v>
      </c>
      <c r="BU140" s="388">
        <f t="shared" si="105"/>
        <v>0</v>
      </c>
      <c r="BV140" s="388">
        <f t="shared" si="106"/>
        <v>72.488832000000002</v>
      </c>
      <c r="BW140" s="388">
        <f t="shared" si="107"/>
        <v>0</v>
      </c>
      <c r="BX140" s="388">
        <f t="shared" si="122"/>
        <v>3706.4097408000002</v>
      </c>
      <c r="BY140" s="388">
        <f t="shared" si="123"/>
        <v>0</v>
      </c>
      <c r="BZ140" s="388">
        <f t="shared" si="124"/>
        <v>250</v>
      </c>
      <c r="CA140" s="388">
        <f t="shared" si="125"/>
        <v>0</v>
      </c>
      <c r="CB140" s="388">
        <f t="shared" si="126"/>
        <v>0</v>
      </c>
      <c r="CC140" s="388">
        <f t="shared" si="108"/>
        <v>0</v>
      </c>
      <c r="CD140" s="388">
        <f t="shared" si="109"/>
        <v>-141.26028800000017</v>
      </c>
      <c r="CE140" s="388">
        <f t="shared" si="110"/>
        <v>0</v>
      </c>
      <c r="CF140" s="388">
        <f t="shared" si="111"/>
        <v>0</v>
      </c>
      <c r="CG140" s="388">
        <f t="shared" si="112"/>
        <v>0</v>
      </c>
      <c r="CH140" s="388">
        <f t="shared" si="113"/>
        <v>7.434751999999996</v>
      </c>
      <c r="CI140" s="388">
        <f t="shared" si="114"/>
        <v>0</v>
      </c>
      <c r="CJ140" s="388">
        <f t="shared" si="127"/>
        <v>-133.82553600000017</v>
      </c>
      <c r="CK140" s="388" t="str">
        <f t="shared" si="128"/>
        <v/>
      </c>
      <c r="CL140" s="388" t="str">
        <f t="shared" si="129"/>
        <v/>
      </c>
      <c r="CM140" s="388" t="str">
        <f t="shared" si="130"/>
        <v/>
      </c>
      <c r="CN140" s="388" t="str">
        <f t="shared" si="131"/>
        <v>0348-01</v>
      </c>
    </row>
    <row r="141" spans="1:92" ht="15.75" thickBot="1" x14ac:dyDescent="0.3">
      <c r="A141" s="377" t="s">
        <v>162</v>
      </c>
      <c r="B141" s="377" t="s">
        <v>163</v>
      </c>
      <c r="C141" s="377" t="s">
        <v>663</v>
      </c>
      <c r="D141" s="377" t="s">
        <v>300</v>
      </c>
      <c r="E141" s="377" t="s">
        <v>637</v>
      </c>
      <c r="F141" s="383" t="s">
        <v>638</v>
      </c>
      <c r="G141" s="377" t="s">
        <v>439</v>
      </c>
      <c r="H141" s="379"/>
      <c r="I141" s="379"/>
      <c r="J141" s="377" t="s">
        <v>219</v>
      </c>
      <c r="K141" s="377" t="s">
        <v>301</v>
      </c>
      <c r="L141" s="377" t="s">
        <v>167</v>
      </c>
      <c r="M141" s="377" t="s">
        <v>172</v>
      </c>
      <c r="N141" s="377" t="s">
        <v>173</v>
      </c>
      <c r="O141" s="380">
        <v>1</v>
      </c>
      <c r="P141" s="386">
        <v>1</v>
      </c>
      <c r="Q141" s="386">
        <v>1</v>
      </c>
      <c r="R141" s="381">
        <v>80</v>
      </c>
      <c r="S141" s="386">
        <v>1</v>
      </c>
      <c r="T141" s="381">
        <v>84366.42</v>
      </c>
      <c r="U141" s="381">
        <v>0</v>
      </c>
      <c r="V141" s="381">
        <v>29174.81</v>
      </c>
      <c r="W141" s="381">
        <v>82992</v>
      </c>
      <c r="X141" s="381">
        <v>29646.959999999999</v>
      </c>
      <c r="Y141" s="381">
        <v>82992</v>
      </c>
      <c r="Z141" s="381">
        <v>30299.41</v>
      </c>
      <c r="AA141" s="377" t="s">
        <v>664</v>
      </c>
      <c r="AB141" s="377" t="s">
        <v>665</v>
      </c>
      <c r="AC141" s="377" t="s">
        <v>666</v>
      </c>
      <c r="AD141" s="377" t="s">
        <v>206</v>
      </c>
      <c r="AE141" s="377" t="s">
        <v>301</v>
      </c>
      <c r="AF141" s="377" t="s">
        <v>207</v>
      </c>
      <c r="AG141" s="377" t="s">
        <v>179</v>
      </c>
      <c r="AH141" s="382">
        <v>39.9</v>
      </c>
      <c r="AI141" s="382">
        <v>14687.9</v>
      </c>
      <c r="AJ141" s="377" t="s">
        <v>180</v>
      </c>
      <c r="AK141" s="377" t="s">
        <v>181</v>
      </c>
      <c r="AL141" s="377" t="s">
        <v>182</v>
      </c>
      <c r="AM141" s="377" t="s">
        <v>183</v>
      </c>
      <c r="AN141" s="377" t="s">
        <v>66</v>
      </c>
      <c r="AO141" s="380">
        <v>80</v>
      </c>
      <c r="AP141" s="386">
        <v>1</v>
      </c>
      <c r="AQ141" s="386">
        <v>1</v>
      </c>
      <c r="AR141" s="384" t="s">
        <v>184</v>
      </c>
      <c r="AS141" s="388">
        <f t="shared" si="115"/>
        <v>1</v>
      </c>
      <c r="AT141">
        <f t="shared" si="116"/>
        <v>1</v>
      </c>
      <c r="AU141" s="388">
        <f>IF(AT141=0,"",IF(AND(AT141=1,M141="F",SUMIF(C2:C258,C141,AS2:AS258)&lt;=1),SUMIF(C2:C258,C141,AS2:AS258),IF(AND(AT141=1,M141="F",SUMIF(C2:C258,C141,AS2:AS258)&gt;1),1,"")))</f>
        <v>1</v>
      </c>
      <c r="AV141" s="388" t="str">
        <f>IF(AT141=0,"",IF(AND(AT141=3,M141="F",SUMIF(C2:C258,C141,AS2:AS258)&lt;=1),SUMIF(C2:C258,C141,AS2:AS258),IF(AND(AT141=3,M141="F",SUMIF(C2:C258,C141,AS2:AS258)&gt;1),1,"")))</f>
        <v/>
      </c>
      <c r="AW141" s="388">
        <f>SUMIF(C2:C258,C141,O2:O258)</f>
        <v>1</v>
      </c>
      <c r="AX141" s="388">
        <f>IF(AND(M141="F",AS141&lt;&gt;0),SUMIF(C2:C258,C141,W2:W258),0)</f>
        <v>82992</v>
      </c>
      <c r="AY141" s="388">
        <f t="shared" si="117"/>
        <v>82992</v>
      </c>
      <c r="AZ141" s="388" t="str">
        <f t="shared" si="118"/>
        <v/>
      </c>
      <c r="BA141" s="388">
        <f t="shared" si="119"/>
        <v>0</v>
      </c>
      <c r="BB141" s="388">
        <f t="shared" si="88"/>
        <v>12500</v>
      </c>
      <c r="BC141" s="388">
        <f t="shared" si="89"/>
        <v>0</v>
      </c>
      <c r="BD141" s="388">
        <f t="shared" si="90"/>
        <v>5145.5039999999999</v>
      </c>
      <c r="BE141" s="388">
        <f t="shared" si="91"/>
        <v>1203.384</v>
      </c>
      <c r="BF141" s="388">
        <f t="shared" si="92"/>
        <v>9909.2448000000004</v>
      </c>
      <c r="BG141" s="388">
        <f t="shared" si="93"/>
        <v>598.37232000000006</v>
      </c>
      <c r="BH141" s="388">
        <f t="shared" si="94"/>
        <v>0</v>
      </c>
      <c r="BI141" s="388">
        <f t="shared" si="95"/>
        <v>0</v>
      </c>
      <c r="BJ141" s="388">
        <f t="shared" si="96"/>
        <v>290.47199999999998</v>
      </c>
      <c r="BK141" s="388">
        <f t="shared" si="97"/>
        <v>0</v>
      </c>
      <c r="BL141" s="388">
        <f t="shared" si="120"/>
        <v>17146.97712</v>
      </c>
      <c r="BM141" s="388">
        <f t="shared" si="121"/>
        <v>0</v>
      </c>
      <c r="BN141" s="388">
        <f t="shared" si="98"/>
        <v>13750</v>
      </c>
      <c r="BO141" s="388">
        <f t="shared" si="99"/>
        <v>0</v>
      </c>
      <c r="BP141" s="388">
        <f t="shared" si="100"/>
        <v>5145.5039999999999</v>
      </c>
      <c r="BQ141" s="388">
        <f t="shared" si="101"/>
        <v>1203.384</v>
      </c>
      <c r="BR141" s="388">
        <f t="shared" si="102"/>
        <v>9278.5056000000004</v>
      </c>
      <c r="BS141" s="388">
        <f t="shared" si="103"/>
        <v>598.37232000000006</v>
      </c>
      <c r="BT141" s="388">
        <f t="shared" si="104"/>
        <v>0</v>
      </c>
      <c r="BU141" s="388">
        <f t="shared" si="105"/>
        <v>0</v>
      </c>
      <c r="BV141" s="388">
        <f t="shared" si="106"/>
        <v>323.66879999999998</v>
      </c>
      <c r="BW141" s="388">
        <f t="shared" si="107"/>
        <v>0</v>
      </c>
      <c r="BX141" s="388">
        <f t="shared" si="122"/>
        <v>16549.434720000001</v>
      </c>
      <c r="BY141" s="388">
        <f t="shared" si="123"/>
        <v>0</v>
      </c>
      <c r="BZ141" s="388">
        <f t="shared" si="124"/>
        <v>1250</v>
      </c>
      <c r="CA141" s="388">
        <f t="shared" si="125"/>
        <v>0</v>
      </c>
      <c r="CB141" s="388">
        <f t="shared" si="126"/>
        <v>0</v>
      </c>
      <c r="CC141" s="388">
        <f t="shared" si="108"/>
        <v>0</v>
      </c>
      <c r="CD141" s="388">
        <f t="shared" si="109"/>
        <v>-630.73920000000078</v>
      </c>
      <c r="CE141" s="388">
        <f t="shared" si="110"/>
        <v>0</v>
      </c>
      <c r="CF141" s="388">
        <f t="shared" si="111"/>
        <v>0</v>
      </c>
      <c r="CG141" s="388">
        <f t="shared" si="112"/>
        <v>0</v>
      </c>
      <c r="CH141" s="388">
        <f t="shared" si="113"/>
        <v>33.196799999999982</v>
      </c>
      <c r="CI141" s="388">
        <f t="shared" si="114"/>
        <v>0</v>
      </c>
      <c r="CJ141" s="388">
        <f t="shared" si="127"/>
        <v>-597.54240000000084</v>
      </c>
      <c r="CK141" s="388" t="str">
        <f t="shared" si="128"/>
        <v/>
      </c>
      <c r="CL141" s="388" t="str">
        <f t="shared" si="129"/>
        <v/>
      </c>
      <c r="CM141" s="388" t="str">
        <f t="shared" si="130"/>
        <v/>
      </c>
      <c r="CN141" s="388" t="str">
        <f t="shared" si="131"/>
        <v>0348-01</v>
      </c>
    </row>
    <row r="142" spans="1:92" ht="15.75" thickBot="1" x14ac:dyDescent="0.3">
      <c r="A142" s="377" t="s">
        <v>162</v>
      </c>
      <c r="B142" s="377" t="s">
        <v>163</v>
      </c>
      <c r="C142" s="377" t="s">
        <v>628</v>
      </c>
      <c r="D142" s="377" t="s">
        <v>300</v>
      </c>
      <c r="E142" s="377" t="s">
        <v>637</v>
      </c>
      <c r="F142" s="383" t="s">
        <v>638</v>
      </c>
      <c r="G142" s="377" t="s">
        <v>439</v>
      </c>
      <c r="H142" s="379"/>
      <c r="I142" s="379"/>
      <c r="J142" s="377" t="s">
        <v>283</v>
      </c>
      <c r="K142" s="377" t="s">
        <v>301</v>
      </c>
      <c r="L142" s="377" t="s">
        <v>167</v>
      </c>
      <c r="M142" s="377" t="s">
        <v>172</v>
      </c>
      <c r="N142" s="377" t="s">
        <v>173</v>
      </c>
      <c r="O142" s="380">
        <v>1</v>
      </c>
      <c r="P142" s="386">
        <v>0.87</v>
      </c>
      <c r="Q142" s="386">
        <v>0.87</v>
      </c>
      <c r="R142" s="381">
        <v>80</v>
      </c>
      <c r="S142" s="386">
        <v>0.87</v>
      </c>
      <c r="T142" s="381">
        <v>65194.21</v>
      </c>
      <c r="U142" s="381">
        <v>0</v>
      </c>
      <c r="V142" s="381">
        <v>24705.48</v>
      </c>
      <c r="W142" s="381">
        <v>57490.99</v>
      </c>
      <c r="X142" s="381">
        <v>22753.18</v>
      </c>
      <c r="Y142" s="381">
        <v>57490.99</v>
      </c>
      <c r="Z142" s="381">
        <v>23426.75</v>
      </c>
      <c r="AA142" s="377" t="s">
        <v>629</v>
      </c>
      <c r="AB142" s="377" t="s">
        <v>630</v>
      </c>
      <c r="AC142" s="377" t="s">
        <v>631</v>
      </c>
      <c r="AD142" s="377" t="s">
        <v>199</v>
      </c>
      <c r="AE142" s="377" t="s">
        <v>301</v>
      </c>
      <c r="AF142" s="377" t="s">
        <v>207</v>
      </c>
      <c r="AG142" s="377" t="s">
        <v>179</v>
      </c>
      <c r="AH142" s="382">
        <v>31.77</v>
      </c>
      <c r="AI142" s="382">
        <v>5894.5</v>
      </c>
      <c r="AJ142" s="377" t="s">
        <v>180</v>
      </c>
      <c r="AK142" s="377" t="s">
        <v>181</v>
      </c>
      <c r="AL142" s="377" t="s">
        <v>182</v>
      </c>
      <c r="AM142" s="377" t="s">
        <v>183</v>
      </c>
      <c r="AN142" s="377" t="s">
        <v>66</v>
      </c>
      <c r="AO142" s="380">
        <v>80</v>
      </c>
      <c r="AP142" s="386">
        <v>1</v>
      </c>
      <c r="AQ142" s="386">
        <v>0.87</v>
      </c>
      <c r="AR142" s="384" t="s">
        <v>184</v>
      </c>
      <c r="AS142" s="388">
        <f t="shared" si="115"/>
        <v>0.87</v>
      </c>
      <c r="AT142">
        <f t="shared" si="116"/>
        <v>1</v>
      </c>
      <c r="AU142" s="388">
        <f>IF(AT142=0,"",IF(AND(AT142=1,M142="F",SUMIF(C2:C258,C142,AS2:AS258)&lt;=1),SUMIF(C2:C258,C142,AS2:AS258),IF(AND(AT142=1,M142="F",SUMIF(C2:C258,C142,AS2:AS258)&gt;1),1,"")))</f>
        <v>1</v>
      </c>
      <c r="AV142" s="388" t="str">
        <f>IF(AT142=0,"",IF(AND(AT142=3,M142="F",SUMIF(C2:C258,C142,AS2:AS258)&lt;=1),SUMIF(C2:C258,C142,AS2:AS258),IF(AND(AT142=3,M142="F",SUMIF(C2:C258,C142,AS2:AS258)&gt;1),1,"")))</f>
        <v/>
      </c>
      <c r="AW142" s="388">
        <f>SUMIF(C2:C258,C142,O2:O258)</f>
        <v>3</v>
      </c>
      <c r="AX142" s="388">
        <f>IF(AND(M142="F",AS142&lt;&gt;0),SUMIF(C2:C258,C142,W2:W258),0)</f>
        <v>66081.59</v>
      </c>
      <c r="AY142" s="388">
        <f t="shared" si="117"/>
        <v>57490.99</v>
      </c>
      <c r="AZ142" s="388" t="str">
        <f t="shared" si="118"/>
        <v/>
      </c>
      <c r="BA142" s="388">
        <f t="shared" si="119"/>
        <v>0</v>
      </c>
      <c r="BB142" s="388">
        <f t="shared" si="88"/>
        <v>10875</v>
      </c>
      <c r="BC142" s="388">
        <f t="shared" si="89"/>
        <v>0</v>
      </c>
      <c r="BD142" s="388">
        <f t="shared" si="90"/>
        <v>3564.4413799999998</v>
      </c>
      <c r="BE142" s="388">
        <f t="shared" si="91"/>
        <v>833.61935500000004</v>
      </c>
      <c r="BF142" s="388">
        <f t="shared" si="92"/>
        <v>6864.4242059999997</v>
      </c>
      <c r="BG142" s="388">
        <f t="shared" si="93"/>
        <v>414.51003789999999</v>
      </c>
      <c r="BH142" s="388">
        <f t="shared" si="94"/>
        <v>0</v>
      </c>
      <c r="BI142" s="388">
        <f t="shared" si="95"/>
        <v>0</v>
      </c>
      <c r="BJ142" s="388">
        <f t="shared" si="96"/>
        <v>201.21846500000001</v>
      </c>
      <c r="BK142" s="388">
        <f t="shared" si="97"/>
        <v>0</v>
      </c>
      <c r="BL142" s="388">
        <f t="shared" si="120"/>
        <v>11878.213443899998</v>
      </c>
      <c r="BM142" s="388">
        <f t="shared" si="121"/>
        <v>0</v>
      </c>
      <c r="BN142" s="388">
        <f t="shared" si="98"/>
        <v>11962.5</v>
      </c>
      <c r="BO142" s="388">
        <f t="shared" si="99"/>
        <v>0</v>
      </c>
      <c r="BP142" s="388">
        <f t="shared" si="100"/>
        <v>3564.4413799999998</v>
      </c>
      <c r="BQ142" s="388">
        <f t="shared" si="101"/>
        <v>833.61935500000004</v>
      </c>
      <c r="BR142" s="388">
        <f t="shared" si="102"/>
        <v>6427.4926819999991</v>
      </c>
      <c r="BS142" s="388">
        <f t="shared" si="103"/>
        <v>414.51003789999999</v>
      </c>
      <c r="BT142" s="388">
        <f t="shared" si="104"/>
        <v>0</v>
      </c>
      <c r="BU142" s="388">
        <f t="shared" si="105"/>
        <v>0</v>
      </c>
      <c r="BV142" s="388">
        <f t="shared" si="106"/>
        <v>224.21486099999998</v>
      </c>
      <c r="BW142" s="388">
        <f t="shared" si="107"/>
        <v>0</v>
      </c>
      <c r="BX142" s="388">
        <f t="shared" si="122"/>
        <v>11464.278315899999</v>
      </c>
      <c r="BY142" s="388">
        <f t="shared" si="123"/>
        <v>0</v>
      </c>
      <c r="BZ142" s="388">
        <f t="shared" si="124"/>
        <v>1087.5</v>
      </c>
      <c r="CA142" s="388">
        <f t="shared" si="125"/>
        <v>0</v>
      </c>
      <c r="CB142" s="388">
        <f t="shared" si="126"/>
        <v>0</v>
      </c>
      <c r="CC142" s="388">
        <f t="shared" si="108"/>
        <v>0</v>
      </c>
      <c r="CD142" s="388">
        <f t="shared" si="109"/>
        <v>-436.93152400000054</v>
      </c>
      <c r="CE142" s="388">
        <f t="shared" si="110"/>
        <v>0</v>
      </c>
      <c r="CF142" s="388">
        <f t="shared" si="111"/>
        <v>0</v>
      </c>
      <c r="CG142" s="388">
        <f t="shared" si="112"/>
        <v>0</v>
      </c>
      <c r="CH142" s="388">
        <f t="shared" si="113"/>
        <v>22.996395999999983</v>
      </c>
      <c r="CI142" s="388">
        <f t="shared" si="114"/>
        <v>0</v>
      </c>
      <c r="CJ142" s="388">
        <f t="shared" si="127"/>
        <v>-413.93512800000053</v>
      </c>
      <c r="CK142" s="388" t="str">
        <f t="shared" si="128"/>
        <v/>
      </c>
      <c r="CL142" s="388" t="str">
        <f t="shared" si="129"/>
        <v/>
      </c>
      <c r="CM142" s="388" t="str">
        <f t="shared" si="130"/>
        <v/>
      </c>
      <c r="CN142" s="388" t="str">
        <f t="shared" si="131"/>
        <v>0348-01</v>
      </c>
    </row>
    <row r="143" spans="1:92" ht="15.75" thickBot="1" x14ac:dyDescent="0.3">
      <c r="A143" s="377" t="s">
        <v>162</v>
      </c>
      <c r="B143" s="377" t="s">
        <v>163</v>
      </c>
      <c r="C143" s="377" t="s">
        <v>667</v>
      </c>
      <c r="D143" s="377" t="s">
        <v>300</v>
      </c>
      <c r="E143" s="377" t="s">
        <v>637</v>
      </c>
      <c r="F143" s="383" t="s">
        <v>638</v>
      </c>
      <c r="G143" s="377" t="s">
        <v>439</v>
      </c>
      <c r="H143" s="379"/>
      <c r="I143" s="379"/>
      <c r="J143" s="377" t="s">
        <v>169</v>
      </c>
      <c r="K143" s="377" t="s">
        <v>301</v>
      </c>
      <c r="L143" s="377" t="s">
        <v>167</v>
      </c>
      <c r="M143" s="377" t="s">
        <v>172</v>
      </c>
      <c r="N143" s="377" t="s">
        <v>173</v>
      </c>
      <c r="O143" s="380">
        <v>1</v>
      </c>
      <c r="P143" s="386">
        <v>0.8</v>
      </c>
      <c r="Q143" s="386">
        <v>0.8</v>
      </c>
      <c r="R143" s="381">
        <v>80</v>
      </c>
      <c r="S143" s="386">
        <v>0.8</v>
      </c>
      <c r="T143" s="381">
        <v>59089.85</v>
      </c>
      <c r="U143" s="381">
        <v>0</v>
      </c>
      <c r="V143" s="381">
        <v>20527.18</v>
      </c>
      <c r="W143" s="381">
        <v>61335.040000000001</v>
      </c>
      <c r="X143" s="381">
        <v>22672.41</v>
      </c>
      <c r="Y143" s="381">
        <v>61335.040000000001</v>
      </c>
      <c r="Z143" s="381">
        <v>23230.799999999999</v>
      </c>
      <c r="AA143" s="377" t="s">
        <v>668</v>
      </c>
      <c r="AB143" s="377" t="s">
        <v>669</v>
      </c>
      <c r="AC143" s="377" t="s">
        <v>670</v>
      </c>
      <c r="AD143" s="377" t="s">
        <v>211</v>
      </c>
      <c r="AE143" s="377" t="s">
        <v>301</v>
      </c>
      <c r="AF143" s="377" t="s">
        <v>207</v>
      </c>
      <c r="AG143" s="377" t="s">
        <v>179</v>
      </c>
      <c r="AH143" s="382">
        <v>36.86</v>
      </c>
      <c r="AI143" s="380">
        <v>9866</v>
      </c>
      <c r="AJ143" s="377" t="s">
        <v>180</v>
      </c>
      <c r="AK143" s="377" t="s">
        <v>181</v>
      </c>
      <c r="AL143" s="377" t="s">
        <v>182</v>
      </c>
      <c r="AM143" s="377" t="s">
        <v>183</v>
      </c>
      <c r="AN143" s="377" t="s">
        <v>66</v>
      </c>
      <c r="AO143" s="380">
        <v>80</v>
      </c>
      <c r="AP143" s="386">
        <v>1</v>
      </c>
      <c r="AQ143" s="386">
        <v>0.8</v>
      </c>
      <c r="AR143" s="384" t="s">
        <v>184</v>
      </c>
      <c r="AS143" s="388">
        <f t="shared" si="115"/>
        <v>0.8</v>
      </c>
      <c r="AT143">
        <f t="shared" si="116"/>
        <v>1</v>
      </c>
      <c r="AU143" s="388">
        <f>IF(AT143=0,"",IF(AND(AT143=1,M143="F",SUMIF(C2:C258,C143,AS2:AS258)&lt;=1),SUMIF(C2:C258,C143,AS2:AS258),IF(AND(AT143=1,M143="F",SUMIF(C2:C258,C143,AS2:AS258)&gt;1),1,"")))</f>
        <v>1</v>
      </c>
      <c r="AV143" s="388" t="str">
        <f>IF(AT143=0,"",IF(AND(AT143=3,M143="F",SUMIF(C2:C258,C143,AS2:AS258)&lt;=1),SUMIF(C2:C258,C143,AS2:AS258),IF(AND(AT143=3,M143="F",SUMIF(C2:C258,C143,AS2:AS258)&gt;1),1,"")))</f>
        <v/>
      </c>
      <c r="AW143" s="388">
        <f>SUMIF(C2:C258,C143,O2:O258)</f>
        <v>3</v>
      </c>
      <c r="AX143" s="388">
        <f>IF(AND(M143="F",AS143&lt;&gt;0),SUMIF(C2:C258,C143,W2:W258),0)</f>
        <v>76668.800000000003</v>
      </c>
      <c r="AY143" s="388">
        <f t="shared" si="117"/>
        <v>61335.040000000001</v>
      </c>
      <c r="AZ143" s="388" t="str">
        <f t="shared" si="118"/>
        <v/>
      </c>
      <c r="BA143" s="388">
        <f t="shared" si="119"/>
        <v>0</v>
      </c>
      <c r="BB143" s="388">
        <f t="shared" si="88"/>
        <v>10000</v>
      </c>
      <c r="BC143" s="388">
        <f t="shared" si="89"/>
        <v>0</v>
      </c>
      <c r="BD143" s="388">
        <f t="shared" si="90"/>
        <v>3802.7724800000001</v>
      </c>
      <c r="BE143" s="388">
        <f t="shared" si="91"/>
        <v>889.35808000000009</v>
      </c>
      <c r="BF143" s="388">
        <f t="shared" si="92"/>
        <v>7323.4037760000001</v>
      </c>
      <c r="BG143" s="388">
        <f t="shared" si="93"/>
        <v>442.22563840000004</v>
      </c>
      <c r="BH143" s="388">
        <f t="shared" si="94"/>
        <v>0</v>
      </c>
      <c r="BI143" s="388">
        <f t="shared" si="95"/>
        <v>0</v>
      </c>
      <c r="BJ143" s="388">
        <f t="shared" si="96"/>
        <v>214.67264</v>
      </c>
      <c r="BK143" s="388">
        <f t="shared" si="97"/>
        <v>0</v>
      </c>
      <c r="BL143" s="388">
        <f t="shared" si="120"/>
        <v>12672.432614400001</v>
      </c>
      <c r="BM143" s="388">
        <f t="shared" si="121"/>
        <v>0</v>
      </c>
      <c r="BN143" s="388">
        <f t="shared" si="98"/>
        <v>11000</v>
      </c>
      <c r="BO143" s="388">
        <f t="shared" si="99"/>
        <v>0</v>
      </c>
      <c r="BP143" s="388">
        <f t="shared" si="100"/>
        <v>3802.7724800000001</v>
      </c>
      <c r="BQ143" s="388">
        <f t="shared" si="101"/>
        <v>889.35808000000009</v>
      </c>
      <c r="BR143" s="388">
        <f t="shared" si="102"/>
        <v>6857.2574720000002</v>
      </c>
      <c r="BS143" s="388">
        <f t="shared" si="103"/>
        <v>442.22563840000004</v>
      </c>
      <c r="BT143" s="388">
        <f t="shared" si="104"/>
        <v>0</v>
      </c>
      <c r="BU143" s="388">
        <f t="shared" si="105"/>
        <v>0</v>
      </c>
      <c r="BV143" s="388">
        <f t="shared" si="106"/>
        <v>239.20665599999998</v>
      </c>
      <c r="BW143" s="388">
        <f t="shared" si="107"/>
        <v>0</v>
      </c>
      <c r="BX143" s="388">
        <f t="shared" si="122"/>
        <v>12230.8203264</v>
      </c>
      <c r="BY143" s="388">
        <f t="shared" si="123"/>
        <v>0</v>
      </c>
      <c r="BZ143" s="388">
        <f t="shared" si="124"/>
        <v>1000</v>
      </c>
      <c r="CA143" s="388">
        <f t="shared" si="125"/>
        <v>0</v>
      </c>
      <c r="CB143" s="388">
        <f t="shared" si="126"/>
        <v>0</v>
      </c>
      <c r="CC143" s="388">
        <f t="shared" si="108"/>
        <v>0</v>
      </c>
      <c r="CD143" s="388">
        <f t="shared" si="109"/>
        <v>-466.14630400000061</v>
      </c>
      <c r="CE143" s="388">
        <f t="shared" si="110"/>
        <v>0</v>
      </c>
      <c r="CF143" s="388">
        <f t="shared" si="111"/>
        <v>0</v>
      </c>
      <c r="CG143" s="388">
        <f t="shared" si="112"/>
        <v>0</v>
      </c>
      <c r="CH143" s="388">
        <f t="shared" si="113"/>
        <v>24.534015999999983</v>
      </c>
      <c r="CI143" s="388">
        <f t="shared" si="114"/>
        <v>0</v>
      </c>
      <c r="CJ143" s="388">
        <f t="shared" si="127"/>
        <v>-441.6122880000006</v>
      </c>
      <c r="CK143" s="388" t="str">
        <f t="shared" si="128"/>
        <v/>
      </c>
      <c r="CL143" s="388" t="str">
        <f t="shared" si="129"/>
        <v/>
      </c>
      <c r="CM143" s="388" t="str">
        <f t="shared" si="130"/>
        <v/>
      </c>
      <c r="CN143" s="388" t="str">
        <f t="shared" si="131"/>
        <v>0348-01</v>
      </c>
    </row>
    <row r="144" spans="1:92" ht="15.75" thickBot="1" x14ac:dyDescent="0.3">
      <c r="A144" s="377" t="s">
        <v>162</v>
      </c>
      <c r="B144" s="377" t="s">
        <v>163</v>
      </c>
      <c r="C144" s="377" t="s">
        <v>521</v>
      </c>
      <c r="D144" s="377" t="s">
        <v>282</v>
      </c>
      <c r="E144" s="377" t="s">
        <v>637</v>
      </c>
      <c r="F144" s="383" t="s">
        <v>638</v>
      </c>
      <c r="G144" s="377" t="s">
        <v>439</v>
      </c>
      <c r="H144" s="379"/>
      <c r="I144" s="379"/>
      <c r="J144" s="377" t="s">
        <v>517</v>
      </c>
      <c r="K144" s="377" t="s">
        <v>244</v>
      </c>
      <c r="L144" s="377" t="s">
        <v>167</v>
      </c>
      <c r="M144" s="377" t="s">
        <v>395</v>
      </c>
      <c r="N144" s="377" t="s">
        <v>173</v>
      </c>
      <c r="O144" s="380">
        <v>0</v>
      </c>
      <c r="P144" s="386">
        <v>0.26</v>
      </c>
      <c r="Q144" s="386">
        <v>0.26</v>
      </c>
      <c r="R144" s="381">
        <v>80</v>
      </c>
      <c r="S144" s="386">
        <v>0.26</v>
      </c>
      <c r="T144" s="381">
        <v>17691.79</v>
      </c>
      <c r="U144" s="381">
        <v>0</v>
      </c>
      <c r="V144" s="381">
        <v>6030.62</v>
      </c>
      <c r="W144" s="381">
        <v>22497.279999999999</v>
      </c>
      <c r="X144" s="381">
        <v>10123.76</v>
      </c>
      <c r="Y144" s="381">
        <v>22497.279999999999</v>
      </c>
      <c r="Z144" s="381">
        <v>10483.719999999999</v>
      </c>
      <c r="AA144" s="379"/>
      <c r="AB144" s="377" t="s">
        <v>45</v>
      </c>
      <c r="AC144" s="377" t="s">
        <v>45</v>
      </c>
      <c r="AD144" s="379"/>
      <c r="AE144" s="379"/>
      <c r="AF144" s="379"/>
      <c r="AG144" s="379"/>
      <c r="AH144" s="380">
        <v>0</v>
      </c>
      <c r="AI144" s="380">
        <v>0</v>
      </c>
      <c r="AJ144" s="379"/>
      <c r="AK144" s="379"/>
      <c r="AL144" s="377" t="s">
        <v>182</v>
      </c>
      <c r="AM144" s="379"/>
      <c r="AN144" s="379"/>
      <c r="AO144" s="380">
        <v>0</v>
      </c>
      <c r="AP144" s="386">
        <v>0</v>
      </c>
      <c r="AQ144" s="386">
        <v>0</v>
      </c>
      <c r="AR144" s="385"/>
      <c r="AS144" s="388">
        <f t="shared" si="115"/>
        <v>0</v>
      </c>
      <c r="AT144">
        <f t="shared" si="116"/>
        <v>0</v>
      </c>
      <c r="AU144" s="388" t="str">
        <f>IF(AT144=0,"",IF(AND(AT144=1,M144="F",SUMIF(C2:C258,C144,AS2:AS258)&lt;=1),SUMIF(C2:C258,C144,AS2:AS258),IF(AND(AT144=1,M144="F",SUMIF(C2:C258,C144,AS2:AS258)&gt;1),1,"")))</f>
        <v/>
      </c>
      <c r="AV144" s="388" t="str">
        <f>IF(AT144=0,"",IF(AND(AT144=3,M144="F",SUMIF(C2:C258,C144,AS2:AS258)&lt;=1),SUMIF(C2:C258,C144,AS2:AS258),IF(AND(AT144=3,M144="F",SUMIF(C2:C258,C144,AS2:AS258)&gt;1),1,"")))</f>
        <v/>
      </c>
      <c r="AW144" s="388">
        <f>SUMIF(C2:C258,C144,O2:O258)</f>
        <v>0</v>
      </c>
      <c r="AX144" s="388">
        <f>IF(AND(M144="F",AS144&lt;&gt;0),SUMIF(C2:C258,C144,W2:W258),0)</f>
        <v>0</v>
      </c>
      <c r="AY144" s="388" t="str">
        <f t="shared" si="117"/>
        <v/>
      </c>
      <c r="AZ144" s="388" t="str">
        <f t="shared" si="118"/>
        <v/>
      </c>
      <c r="BA144" s="388">
        <f t="shared" si="119"/>
        <v>0</v>
      </c>
      <c r="BB144" s="388">
        <f t="shared" si="88"/>
        <v>0</v>
      </c>
      <c r="BC144" s="388">
        <f t="shared" si="89"/>
        <v>0</v>
      </c>
      <c r="BD144" s="388">
        <f t="shared" si="90"/>
        <v>0</v>
      </c>
      <c r="BE144" s="388">
        <f t="shared" si="91"/>
        <v>0</v>
      </c>
      <c r="BF144" s="388">
        <f t="shared" si="92"/>
        <v>0</v>
      </c>
      <c r="BG144" s="388">
        <f t="shared" si="93"/>
        <v>0</v>
      </c>
      <c r="BH144" s="388">
        <f t="shared" si="94"/>
        <v>0</v>
      </c>
      <c r="BI144" s="388">
        <f t="shared" si="95"/>
        <v>0</v>
      </c>
      <c r="BJ144" s="388">
        <f t="shared" si="96"/>
        <v>0</v>
      </c>
      <c r="BK144" s="388">
        <f t="shared" si="97"/>
        <v>0</v>
      </c>
      <c r="BL144" s="388">
        <f t="shared" si="120"/>
        <v>0</v>
      </c>
      <c r="BM144" s="388">
        <f t="shared" si="121"/>
        <v>0</v>
      </c>
      <c r="BN144" s="388">
        <f t="shared" si="98"/>
        <v>0</v>
      </c>
      <c r="BO144" s="388">
        <f t="shared" si="99"/>
        <v>0</v>
      </c>
      <c r="BP144" s="388">
        <f t="shared" si="100"/>
        <v>0</v>
      </c>
      <c r="BQ144" s="388">
        <f t="shared" si="101"/>
        <v>0</v>
      </c>
      <c r="BR144" s="388">
        <f t="shared" si="102"/>
        <v>0</v>
      </c>
      <c r="BS144" s="388">
        <f t="shared" si="103"/>
        <v>0</v>
      </c>
      <c r="BT144" s="388">
        <f t="shared" si="104"/>
        <v>0</v>
      </c>
      <c r="BU144" s="388">
        <f t="shared" si="105"/>
        <v>0</v>
      </c>
      <c r="BV144" s="388">
        <f t="shared" si="106"/>
        <v>0</v>
      </c>
      <c r="BW144" s="388">
        <f t="shared" si="107"/>
        <v>0</v>
      </c>
      <c r="BX144" s="388">
        <f t="shared" si="122"/>
        <v>0</v>
      </c>
      <c r="BY144" s="388">
        <f t="shared" si="123"/>
        <v>0</v>
      </c>
      <c r="BZ144" s="388">
        <f t="shared" si="124"/>
        <v>0</v>
      </c>
      <c r="CA144" s="388">
        <f t="shared" si="125"/>
        <v>0</v>
      </c>
      <c r="CB144" s="388">
        <f t="shared" si="126"/>
        <v>0</v>
      </c>
      <c r="CC144" s="388">
        <f t="shared" si="108"/>
        <v>0</v>
      </c>
      <c r="CD144" s="388">
        <f t="shared" si="109"/>
        <v>0</v>
      </c>
      <c r="CE144" s="388">
        <f t="shared" si="110"/>
        <v>0</v>
      </c>
      <c r="CF144" s="388">
        <f t="shared" si="111"/>
        <v>0</v>
      </c>
      <c r="CG144" s="388">
        <f t="shared" si="112"/>
        <v>0</v>
      </c>
      <c r="CH144" s="388">
        <f t="shared" si="113"/>
        <v>0</v>
      </c>
      <c r="CI144" s="388">
        <f t="shared" si="114"/>
        <v>0</v>
      </c>
      <c r="CJ144" s="388">
        <f t="shared" si="127"/>
        <v>0</v>
      </c>
      <c r="CK144" s="388" t="str">
        <f t="shared" si="128"/>
        <v/>
      </c>
      <c r="CL144" s="388" t="str">
        <f t="shared" si="129"/>
        <v/>
      </c>
      <c r="CM144" s="388" t="str">
        <f t="shared" si="130"/>
        <v/>
      </c>
      <c r="CN144" s="388" t="str">
        <f t="shared" si="131"/>
        <v>0348-01</v>
      </c>
    </row>
    <row r="145" spans="1:92" ht="15.75" thickBot="1" x14ac:dyDescent="0.3">
      <c r="A145" s="377" t="s">
        <v>162</v>
      </c>
      <c r="B145" s="377" t="s">
        <v>163</v>
      </c>
      <c r="C145" s="377" t="s">
        <v>671</v>
      </c>
      <c r="D145" s="377" t="s">
        <v>300</v>
      </c>
      <c r="E145" s="377" t="s">
        <v>637</v>
      </c>
      <c r="F145" s="383" t="s">
        <v>638</v>
      </c>
      <c r="G145" s="377" t="s">
        <v>439</v>
      </c>
      <c r="H145" s="379"/>
      <c r="I145" s="379"/>
      <c r="J145" s="377" t="s">
        <v>169</v>
      </c>
      <c r="K145" s="377" t="s">
        <v>301</v>
      </c>
      <c r="L145" s="377" t="s">
        <v>167</v>
      </c>
      <c r="M145" s="377" t="s">
        <v>172</v>
      </c>
      <c r="N145" s="377" t="s">
        <v>173</v>
      </c>
      <c r="O145" s="380">
        <v>1</v>
      </c>
      <c r="P145" s="386">
        <v>0.15</v>
      </c>
      <c r="Q145" s="386">
        <v>0.15</v>
      </c>
      <c r="R145" s="381">
        <v>80</v>
      </c>
      <c r="S145" s="386">
        <v>0.15</v>
      </c>
      <c r="T145" s="381">
        <v>10582.03</v>
      </c>
      <c r="U145" s="381">
        <v>0</v>
      </c>
      <c r="V145" s="381">
        <v>3868.78</v>
      </c>
      <c r="W145" s="381">
        <v>10673.52</v>
      </c>
      <c r="X145" s="381">
        <v>4080.25</v>
      </c>
      <c r="Y145" s="381">
        <v>10673.52</v>
      </c>
      <c r="Z145" s="381">
        <v>4190.8999999999996</v>
      </c>
      <c r="AA145" s="377" t="s">
        <v>672</v>
      </c>
      <c r="AB145" s="377" t="s">
        <v>673</v>
      </c>
      <c r="AC145" s="377" t="s">
        <v>674</v>
      </c>
      <c r="AD145" s="377" t="s">
        <v>531</v>
      </c>
      <c r="AE145" s="377" t="s">
        <v>301</v>
      </c>
      <c r="AF145" s="377" t="s">
        <v>207</v>
      </c>
      <c r="AG145" s="377" t="s">
        <v>179</v>
      </c>
      <c r="AH145" s="382">
        <v>34.21</v>
      </c>
      <c r="AI145" s="382">
        <v>2419.5</v>
      </c>
      <c r="AJ145" s="377" t="s">
        <v>180</v>
      </c>
      <c r="AK145" s="377" t="s">
        <v>181</v>
      </c>
      <c r="AL145" s="377" t="s">
        <v>182</v>
      </c>
      <c r="AM145" s="377" t="s">
        <v>183</v>
      </c>
      <c r="AN145" s="377" t="s">
        <v>66</v>
      </c>
      <c r="AO145" s="380">
        <v>80</v>
      </c>
      <c r="AP145" s="386">
        <v>1</v>
      </c>
      <c r="AQ145" s="386">
        <v>0.15</v>
      </c>
      <c r="AR145" s="384" t="s">
        <v>184</v>
      </c>
      <c r="AS145" s="388">
        <f t="shared" si="115"/>
        <v>0.15</v>
      </c>
      <c r="AT145">
        <f t="shared" si="116"/>
        <v>1</v>
      </c>
      <c r="AU145" s="388">
        <f>IF(AT145=0,"",IF(AND(AT145=1,M145="F",SUMIF(C2:C258,C145,AS2:AS258)&lt;=1),SUMIF(C2:C258,C145,AS2:AS258),IF(AND(AT145=1,M145="F",SUMIF(C2:C258,C145,AS2:AS258)&gt;1),1,"")))</f>
        <v>1</v>
      </c>
      <c r="AV145" s="388" t="str">
        <f>IF(AT145=0,"",IF(AND(AT145=3,M145="F",SUMIF(C2:C258,C145,AS2:AS258)&lt;=1),SUMIF(C2:C258,C145,AS2:AS258),IF(AND(AT145=3,M145="F",SUMIF(C2:C258,C145,AS2:AS258)&gt;1),1,"")))</f>
        <v/>
      </c>
      <c r="AW145" s="388">
        <f>SUMIF(C2:C258,C145,O2:O258)</f>
        <v>2</v>
      </c>
      <c r="AX145" s="388">
        <f>IF(AND(M145="F",AS145&lt;&gt;0),SUMIF(C2:C258,C145,W2:W258),0)</f>
        <v>71156.800000000003</v>
      </c>
      <c r="AY145" s="388">
        <f t="shared" si="117"/>
        <v>10673.52</v>
      </c>
      <c r="AZ145" s="388" t="str">
        <f t="shared" si="118"/>
        <v/>
      </c>
      <c r="BA145" s="388">
        <f t="shared" si="119"/>
        <v>0</v>
      </c>
      <c r="BB145" s="388">
        <f t="shared" si="88"/>
        <v>1875</v>
      </c>
      <c r="BC145" s="388">
        <f t="shared" si="89"/>
        <v>0</v>
      </c>
      <c r="BD145" s="388">
        <f t="shared" si="90"/>
        <v>661.75824</v>
      </c>
      <c r="BE145" s="388">
        <f t="shared" si="91"/>
        <v>154.76604</v>
      </c>
      <c r="BF145" s="388">
        <f t="shared" si="92"/>
        <v>1274.4182880000001</v>
      </c>
      <c r="BG145" s="388">
        <f t="shared" si="93"/>
        <v>76.956079200000005</v>
      </c>
      <c r="BH145" s="388">
        <f t="shared" si="94"/>
        <v>0</v>
      </c>
      <c r="BI145" s="388">
        <f t="shared" si="95"/>
        <v>0</v>
      </c>
      <c r="BJ145" s="388">
        <f t="shared" si="96"/>
        <v>37.357320000000001</v>
      </c>
      <c r="BK145" s="388">
        <f t="shared" si="97"/>
        <v>0</v>
      </c>
      <c r="BL145" s="388">
        <f t="shared" si="120"/>
        <v>2205.2559672000002</v>
      </c>
      <c r="BM145" s="388">
        <f t="shared" si="121"/>
        <v>0</v>
      </c>
      <c r="BN145" s="388">
        <f t="shared" si="98"/>
        <v>2062.5</v>
      </c>
      <c r="BO145" s="388">
        <f t="shared" si="99"/>
        <v>0</v>
      </c>
      <c r="BP145" s="388">
        <f t="shared" si="100"/>
        <v>661.75824</v>
      </c>
      <c r="BQ145" s="388">
        <f t="shared" si="101"/>
        <v>154.76604</v>
      </c>
      <c r="BR145" s="388">
        <f t="shared" si="102"/>
        <v>1193.299536</v>
      </c>
      <c r="BS145" s="388">
        <f t="shared" si="103"/>
        <v>76.956079200000005</v>
      </c>
      <c r="BT145" s="388">
        <f t="shared" si="104"/>
        <v>0</v>
      </c>
      <c r="BU145" s="388">
        <f t="shared" si="105"/>
        <v>0</v>
      </c>
      <c r="BV145" s="388">
        <f t="shared" si="106"/>
        <v>41.626728</v>
      </c>
      <c r="BW145" s="388">
        <f t="shared" si="107"/>
        <v>0</v>
      </c>
      <c r="BX145" s="388">
        <f t="shared" si="122"/>
        <v>2128.4066232000005</v>
      </c>
      <c r="BY145" s="388">
        <f t="shared" si="123"/>
        <v>0</v>
      </c>
      <c r="BZ145" s="388">
        <f t="shared" si="124"/>
        <v>187.5</v>
      </c>
      <c r="CA145" s="388">
        <f t="shared" si="125"/>
        <v>0</v>
      </c>
      <c r="CB145" s="388">
        <f t="shared" si="126"/>
        <v>0</v>
      </c>
      <c r="CC145" s="388">
        <f t="shared" si="108"/>
        <v>0</v>
      </c>
      <c r="CD145" s="388">
        <f t="shared" si="109"/>
        <v>-81.1187520000001</v>
      </c>
      <c r="CE145" s="388">
        <f t="shared" si="110"/>
        <v>0</v>
      </c>
      <c r="CF145" s="388">
        <f t="shared" si="111"/>
        <v>0</v>
      </c>
      <c r="CG145" s="388">
        <f t="shared" si="112"/>
        <v>0</v>
      </c>
      <c r="CH145" s="388">
        <f t="shared" si="113"/>
        <v>4.2694079999999976</v>
      </c>
      <c r="CI145" s="388">
        <f t="shared" si="114"/>
        <v>0</v>
      </c>
      <c r="CJ145" s="388">
        <f t="shared" si="127"/>
        <v>-76.849344000000102</v>
      </c>
      <c r="CK145" s="388" t="str">
        <f t="shared" si="128"/>
        <v/>
      </c>
      <c r="CL145" s="388" t="str">
        <f t="shared" si="129"/>
        <v/>
      </c>
      <c r="CM145" s="388" t="str">
        <f t="shared" si="130"/>
        <v/>
      </c>
      <c r="CN145" s="388" t="str">
        <f t="shared" si="131"/>
        <v>0348-01</v>
      </c>
    </row>
    <row r="146" spans="1:92" ht="15.75" thickBot="1" x14ac:dyDescent="0.3">
      <c r="A146" s="377" t="s">
        <v>162</v>
      </c>
      <c r="B146" s="377" t="s">
        <v>163</v>
      </c>
      <c r="C146" s="377" t="s">
        <v>496</v>
      </c>
      <c r="D146" s="377" t="s">
        <v>282</v>
      </c>
      <c r="E146" s="377" t="s">
        <v>637</v>
      </c>
      <c r="F146" s="383" t="s">
        <v>638</v>
      </c>
      <c r="G146" s="377" t="s">
        <v>439</v>
      </c>
      <c r="H146" s="379"/>
      <c r="I146" s="379"/>
      <c r="J146" s="377" t="s">
        <v>169</v>
      </c>
      <c r="K146" s="377" t="s">
        <v>244</v>
      </c>
      <c r="L146" s="377" t="s">
        <v>167</v>
      </c>
      <c r="M146" s="377" t="s">
        <v>172</v>
      </c>
      <c r="N146" s="377" t="s">
        <v>173</v>
      </c>
      <c r="O146" s="380">
        <v>1</v>
      </c>
      <c r="P146" s="386">
        <v>0.45</v>
      </c>
      <c r="Q146" s="386">
        <v>0.45</v>
      </c>
      <c r="R146" s="381">
        <v>80</v>
      </c>
      <c r="S146" s="386">
        <v>0.45</v>
      </c>
      <c r="T146" s="381">
        <v>43105.440000000002</v>
      </c>
      <c r="U146" s="381">
        <v>0</v>
      </c>
      <c r="V146" s="381">
        <v>14075.06</v>
      </c>
      <c r="W146" s="381">
        <v>40837.68</v>
      </c>
      <c r="X146" s="381">
        <v>14062.46</v>
      </c>
      <c r="Y146" s="381">
        <v>40837.68</v>
      </c>
      <c r="Z146" s="381">
        <v>14330.93</v>
      </c>
      <c r="AA146" s="377" t="s">
        <v>497</v>
      </c>
      <c r="AB146" s="377" t="s">
        <v>498</v>
      </c>
      <c r="AC146" s="377" t="s">
        <v>499</v>
      </c>
      <c r="AD146" s="377" t="s">
        <v>500</v>
      </c>
      <c r="AE146" s="377" t="s">
        <v>244</v>
      </c>
      <c r="AF146" s="377" t="s">
        <v>207</v>
      </c>
      <c r="AG146" s="377" t="s">
        <v>179</v>
      </c>
      <c r="AH146" s="382">
        <v>43.63</v>
      </c>
      <c r="AI146" s="382">
        <v>6935.5</v>
      </c>
      <c r="AJ146" s="377" t="s">
        <v>180</v>
      </c>
      <c r="AK146" s="377" t="s">
        <v>181</v>
      </c>
      <c r="AL146" s="377" t="s">
        <v>182</v>
      </c>
      <c r="AM146" s="377" t="s">
        <v>183</v>
      </c>
      <c r="AN146" s="377" t="s">
        <v>66</v>
      </c>
      <c r="AO146" s="380">
        <v>80</v>
      </c>
      <c r="AP146" s="386">
        <v>1</v>
      </c>
      <c r="AQ146" s="386">
        <v>0.45</v>
      </c>
      <c r="AR146" s="384" t="s">
        <v>184</v>
      </c>
      <c r="AS146" s="388">
        <f t="shared" si="115"/>
        <v>0.45</v>
      </c>
      <c r="AT146">
        <f t="shared" si="116"/>
        <v>1</v>
      </c>
      <c r="AU146" s="388">
        <f>IF(AT146=0,"",IF(AND(AT146=1,M146="F",SUMIF(C2:C258,C146,AS2:AS258)&lt;=1),SUMIF(C2:C258,C146,AS2:AS258),IF(AND(AT146=1,M146="F",SUMIF(C2:C258,C146,AS2:AS258)&gt;1),1,"")))</f>
        <v>1</v>
      </c>
      <c r="AV146" s="388" t="str">
        <f>IF(AT146=0,"",IF(AND(AT146=3,M146="F",SUMIF(C2:C258,C146,AS2:AS258)&lt;=1),SUMIF(C2:C258,C146,AS2:AS258),IF(AND(AT146=3,M146="F",SUMIF(C2:C258,C146,AS2:AS258)&gt;1),1,"")))</f>
        <v/>
      </c>
      <c r="AW146" s="388">
        <f>SUMIF(C2:C258,C146,O2:O258)</f>
        <v>2</v>
      </c>
      <c r="AX146" s="388">
        <f>IF(AND(M146="F",AS146&lt;&gt;0),SUMIF(C2:C258,C146,W2:W258),0)</f>
        <v>90750.399999999994</v>
      </c>
      <c r="AY146" s="388">
        <f t="shared" si="117"/>
        <v>40837.68</v>
      </c>
      <c r="AZ146" s="388" t="str">
        <f t="shared" si="118"/>
        <v/>
      </c>
      <c r="BA146" s="388">
        <f t="shared" si="119"/>
        <v>0</v>
      </c>
      <c r="BB146" s="388">
        <f t="shared" si="88"/>
        <v>5625</v>
      </c>
      <c r="BC146" s="388">
        <f t="shared" si="89"/>
        <v>0</v>
      </c>
      <c r="BD146" s="388">
        <f t="shared" si="90"/>
        <v>2531.9361600000002</v>
      </c>
      <c r="BE146" s="388">
        <f t="shared" si="91"/>
        <v>592.14636000000007</v>
      </c>
      <c r="BF146" s="388">
        <f t="shared" si="92"/>
        <v>4876.0189920000003</v>
      </c>
      <c r="BG146" s="388">
        <f t="shared" si="93"/>
        <v>294.43967280000004</v>
      </c>
      <c r="BH146" s="388">
        <f t="shared" si="94"/>
        <v>0</v>
      </c>
      <c r="BI146" s="388">
        <f t="shared" si="95"/>
        <v>0</v>
      </c>
      <c r="BJ146" s="388">
        <f t="shared" si="96"/>
        <v>142.93188000000001</v>
      </c>
      <c r="BK146" s="388">
        <f t="shared" si="97"/>
        <v>0</v>
      </c>
      <c r="BL146" s="388">
        <f t="shared" si="120"/>
        <v>8437.4730648000004</v>
      </c>
      <c r="BM146" s="388">
        <f t="shared" si="121"/>
        <v>0</v>
      </c>
      <c r="BN146" s="388">
        <f t="shared" si="98"/>
        <v>6187.5</v>
      </c>
      <c r="BO146" s="388">
        <f t="shared" si="99"/>
        <v>0</v>
      </c>
      <c r="BP146" s="388">
        <f t="shared" si="100"/>
        <v>2531.9361600000002</v>
      </c>
      <c r="BQ146" s="388">
        <f t="shared" si="101"/>
        <v>592.14636000000007</v>
      </c>
      <c r="BR146" s="388">
        <f t="shared" si="102"/>
        <v>4565.6526240000003</v>
      </c>
      <c r="BS146" s="388">
        <f t="shared" si="103"/>
        <v>294.43967280000004</v>
      </c>
      <c r="BT146" s="388">
        <f t="shared" si="104"/>
        <v>0</v>
      </c>
      <c r="BU146" s="388">
        <f t="shared" si="105"/>
        <v>0</v>
      </c>
      <c r="BV146" s="388">
        <f t="shared" si="106"/>
        <v>159.266952</v>
      </c>
      <c r="BW146" s="388">
        <f t="shared" si="107"/>
        <v>0</v>
      </c>
      <c r="BX146" s="388">
        <f t="shared" si="122"/>
        <v>8143.4417688000003</v>
      </c>
      <c r="BY146" s="388">
        <f t="shared" si="123"/>
        <v>0</v>
      </c>
      <c r="BZ146" s="388">
        <f t="shared" si="124"/>
        <v>562.5</v>
      </c>
      <c r="CA146" s="388">
        <f t="shared" si="125"/>
        <v>0</v>
      </c>
      <c r="CB146" s="388">
        <f t="shared" si="126"/>
        <v>0</v>
      </c>
      <c r="CC146" s="388">
        <f t="shared" si="108"/>
        <v>0</v>
      </c>
      <c r="CD146" s="388">
        <f t="shared" si="109"/>
        <v>-310.36636800000036</v>
      </c>
      <c r="CE146" s="388">
        <f t="shared" si="110"/>
        <v>0</v>
      </c>
      <c r="CF146" s="388">
        <f t="shared" si="111"/>
        <v>0</v>
      </c>
      <c r="CG146" s="388">
        <f t="shared" si="112"/>
        <v>0</v>
      </c>
      <c r="CH146" s="388">
        <f t="shared" si="113"/>
        <v>16.33507199999999</v>
      </c>
      <c r="CI146" s="388">
        <f t="shared" si="114"/>
        <v>0</v>
      </c>
      <c r="CJ146" s="388">
        <f t="shared" si="127"/>
        <v>-294.0312960000004</v>
      </c>
      <c r="CK146" s="388" t="str">
        <f t="shared" si="128"/>
        <v/>
      </c>
      <c r="CL146" s="388" t="str">
        <f t="shared" si="129"/>
        <v/>
      </c>
      <c r="CM146" s="388" t="str">
        <f t="shared" si="130"/>
        <v/>
      </c>
      <c r="CN146" s="388" t="str">
        <f t="shared" si="131"/>
        <v>0348-01</v>
      </c>
    </row>
    <row r="147" spans="1:92" ht="15.75" thickBot="1" x14ac:dyDescent="0.3">
      <c r="A147" s="377" t="s">
        <v>162</v>
      </c>
      <c r="B147" s="377" t="s">
        <v>163</v>
      </c>
      <c r="C147" s="377" t="s">
        <v>675</v>
      </c>
      <c r="D147" s="377" t="s">
        <v>282</v>
      </c>
      <c r="E147" s="377" t="s">
        <v>637</v>
      </c>
      <c r="F147" s="383" t="s">
        <v>638</v>
      </c>
      <c r="G147" s="377" t="s">
        <v>439</v>
      </c>
      <c r="H147" s="379"/>
      <c r="I147" s="379"/>
      <c r="J147" s="377" t="s">
        <v>169</v>
      </c>
      <c r="K147" s="377" t="s">
        <v>244</v>
      </c>
      <c r="L147" s="377" t="s">
        <v>167</v>
      </c>
      <c r="M147" s="377" t="s">
        <v>172</v>
      </c>
      <c r="N147" s="377" t="s">
        <v>173</v>
      </c>
      <c r="O147" s="380">
        <v>1</v>
      </c>
      <c r="P147" s="386">
        <v>0.05</v>
      </c>
      <c r="Q147" s="386">
        <v>0.05</v>
      </c>
      <c r="R147" s="381">
        <v>80</v>
      </c>
      <c r="S147" s="386">
        <v>0.05</v>
      </c>
      <c r="T147" s="381">
        <v>7745.84</v>
      </c>
      <c r="U147" s="381">
        <v>0</v>
      </c>
      <c r="V147" s="381">
        <v>2299.21</v>
      </c>
      <c r="W147" s="381">
        <v>6154.72</v>
      </c>
      <c r="X147" s="381">
        <v>1896.62</v>
      </c>
      <c r="Y147" s="381">
        <v>6154.72</v>
      </c>
      <c r="Z147" s="381">
        <v>1914.81</v>
      </c>
      <c r="AA147" s="377" t="s">
        <v>676</v>
      </c>
      <c r="AB147" s="377" t="s">
        <v>357</v>
      </c>
      <c r="AC147" s="377" t="s">
        <v>677</v>
      </c>
      <c r="AD147" s="377" t="s">
        <v>211</v>
      </c>
      <c r="AE147" s="377" t="s">
        <v>244</v>
      </c>
      <c r="AF147" s="377" t="s">
        <v>207</v>
      </c>
      <c r="AG147" s="377" t="s">
        <v>179</v>
      </c>
      <c r="AH147" s="382">
        <v>59.18</v>
      </c>
      <c r="AI147" s="382">
        <v>22066.5</v>
      </c>
      <c r="AJ147" s="377" t="s">
        <v>180</v>
      </c>
      <c r="AK147" s="377" t="s">
        <v>181</v>
      </c>
      <c r="AL147" s="377" t="s">
        <v>182</v>
      </c>
      <c r="AM147" s="377" t="s">
        <v>183</v>
      </c>
      <c r="AN147" s="377" t="s">
        <v>66</v>
      </c>
      <c r="AO147" s="380">
        <v>80</v>
      </c>
      <c r="AP147" s="386">
        <v>1</v>
      </c>
      <c r="AQ147" s="386">
        <v>0.05</v>
      </c>
      <c r="AR147" s="384" t="s">
        <v>184</v>
      </c>
      <c r="AS147" s="388">
        <f t="shared" si="115"/>
        <v>0.05</v>
      </c>
      <c r="AT147">
        <f t="shared" si="116"/>
        <v>1</v>
      </c>
      <c r="AU147" s="388">
        <f>IF(AT147=0,"",IF(AND(AT147=1,M147="F",SUMIF(C2:C258,C147,AS2:AS258)&lt;=1),SUMIF(C2:C258,C147,AS2:AS258),IF(AND(AT147=1,M147="F",SUMIF(C2:C258,C147,AS2:AS258)&gt;1),1,"")))</f>
        <v>1</v>
      </c>
      <c r="AV147" s="388" t="str">
        <f>IF(AT147=0,"",IF(AND(AT147=3,M147="F",SUMIF(C2:C258,C147,AS2:AS258)&lt;=1),SUMIF(C2:C258,C147,AS2:AS258),IF(AND(AT147=3,M147="F",SUMIF(C2:C258,C147,AS2:AS258)&gt;1),1,"")))</f>
        <v/>
      </c>
      <c r="AW147" s="388">
        <f>SUMIF(C2:C258,C147,O2:O258)</f>
        <v>2</v>
      </c>
      <c r="AX147" s="388">
        <f>IF(AND(M147="F",AS147&lt;&gt;0),SUMIF(C2:C258,C147,W2:W258),0)</f>
        <v>123094.39999999999</v>
      </c>
      <c r="AY147" s="388">
        <f t="shared" si="117"/>
        <v>6154.72</v>
      </c>
      <c r="AZ147" s="388" t="str">
        <f t="shared" si="118"/>
        <v/>
      </c>
      <c r="BA147" s="388">
        <f t="shared" si="119"/>
        <v>0</v>
      </c>
      <c r="BB147" s="388">
        <f t="shared" si="88"/>
        <v>625</v>
      </c>
      <c r="BC147" s="388">
        <f t="shared" si="89"/>
        <v>0</v>
      </c>
      <c r="BD147" s="388">
        <f t="shared" si="90"/>
        <v>381.59264000000002</v>
      </c>
      <c r="BE147" s="388">
        <f t="shared" si="91"/>
        <v>89.243440000000007</v>
      </c>
      <c r="BF147" s="388">
        <f t="shared" si="92"/>
        <v>734.87356800000009</v>
      </c>
      <c r="BG147" s="388">
        <f t="shared" si="93"/>
        <v>44.375531200000005</v>
      </c>
      <c r="BH147" s="388">
        <f t="shared" si="94"/>
        <v>0</v>
      </c>
      <c r="BI147" s="388">
        <f t="shared" si="95"/>
        <v>0</v>
      </c>
      <c r="BJ147" s="388">
        <f t="shared" si="96"/>
        <v>21.541520000000002</v>
      </c>
      <c r="BK147" s="388">
        <f t="shared" si="97"/>
        <v>0</v>
      </c>
      <c r="BL147" s="388">
        <f t="shared" si="120"/>
        <v>1271.6266992000001</v>
      </c>
      <c r="BM147" s="388">
        <f t="shared" si="121"/>
        <v>0</v>
      </c>
      <c r="BN147" s="388">
        <f t="shared" si="98"/>
        <v>687.5</v>
      </c>
      <c r="BO147" s="388">
        <f t="shared" si="99"/>
        <v>0</v>
      </c>
      <c r="BP147" s="388">
        <f t="shared" si="100"/>
        <v>381.59264000000002</v>
      </c>
      <c r="BQ147" s="388">
        <f t="shared" si="101"/>
        <v>89.243440000000007</v>
      </c>
      <c r="BR147" s="388">
        <f t="shared" si="102"/>
        <v>688.09769600000004</v>
      </c>
      <c r="BS147" s="388">
        <f t="shared" si="103"/>
        <v>44.375531200000005</v>
      </c>
      <c r="BT147" s="388">
        <f t="shared" si="104"/>
        <v>0</v>
      </c>
      <c r="BU147" s="388">
        <f t="shared" si="105"/>
        <v>0</v>
      </c>
      <c r="BV147" s="388">
        <f t="shared" si="106"/>
        <v>24.003408</v>
      </c>
      <c r="BW147" s="388">
        <f t="shared" si="107"/>
        <v>0</v>
      </c>
      <c r="BX147" s="388">
        <f t="shared" si="122"/>
        <v>1227.3127152000002</v>
      </c>
      <c r="BY147" s="388">
        <f t="shared" si="123"/>
        <v>0</v>
      </c>
      <c r="BZ147" s="388">
        <f t="shared" si="124"/>
        <v>62.5</v>
      </c>
      <c r="CA147" s="388">
        <f t="shared" si="125"/>
        <v>0</v>
      </c>
      <c r="CB147" s="388">
        <f t="shared" si="126"/>
        <v>0</v>
      </c>
      <c r="CC147" s="388">
        <f t="shared" si="108"/>
        <v>0</v>
      </c>
      <c r="CD147" s="388">
        <f t="shared" si="109"/>
        <v>-46.775872000000064</v>
      </c>
      <c r="CE147" s="388">
        <f t="shared" si="110"/>
        <v>0</v>
      </c>
      <c r="CF147" s="388">
        <f t="shared" si="111"/>
        <v>0</v>
      </c>
      <c r="CG147" s="388">
        <f t="shared" si="112"/>
        <v>0</v>
      </c>
      <c r="CH147" s="388">
        <f t="shared" si="113"/>
        <v>2.4618879999999987</v>
      </c>
      <c r="CI147" s="388">
        <f t="shared" si="114"/>
        <v>0</v>
      </c>
      <c r="CJ147" s="388">
        <f t="shared" si="127"/>
        <v>-44.313984000000062</v>
      </c>
      <c r="CK147" s="388" t="str">
        <f t="shared" si="128"/>
        <v/>
      </c>
      <c r="CL147" s="388" t="str">
        <f t="shared" si="129"/>
        <v/>
      </c>
      <c r="CM147" s="388" t="str">
        <f t="shared" si="130"/>
        <v/>
      </c>
      <c r="CN147" s="388" t="str">
        <f t="shared" si="131"/>
        <v>0348-01</v>
      </c>
    </row>
    <row r="148" spans="1:92" ht="15.75" thickBot="1" x14ac:dyDescent="0.3">
      <c r="A148" s="377" t="s">
        <v>162</v>
      </c>
      <c r="B148" s="377" t="s">
        <v>163</v>
      </c>
      <c r="C148" s="377" t="s">
        <v>541</v>
      </c>
      <c r="D148" s="377" t="s">
        <v>276</v>
      </c>
      <c r="E148" s="377" t="s">
        <v>637</v>
      </c>
      <c r="F148" s="383" t="s">
        <v>638</v>
      </c>
      <c r="G148" s="377" t="s">
        <v>439</v>
      </c>
      <c r="H148" s="379"/>
      <c r="I148" s="379"/>
      <c r="J148" s="377" t="s">
        <v>283</v>
      </c>
      <c r="K148" s="377" t="s">
        <v>277</v>
      </c>
      <c r="L148" s="377" t="s">
        <v>215</v>
      </c>
      <c r="M148" s="377" t="s">
        <v>395</v>
      </c>
      <c r="N148" s="377" t="s">
        <v>173</v>
      </c>
      <c r="O148" s="380">
        <v>0</v>
      </c>
      <c r="P148" s="386">
        <v>0</v>
      </c>
      <c r="Q148" s="386">
        <v>0</v>
      </c>
      <c r="R148" s="381">
        <v>80</v>
      </c>
      <c r="S148" s="386">
        <v>0</v>
      </c>
      <c r="T148" s="381">
        <v>693.33</v>
      </c>
      <c r="U148" s="381">
        <v>0</v>
      </c>
      <c r="V148" s="381">
        <v>343.05</v>
      </c>
      <c r="W148" s="381">
        <v>0</v>
      </c>
      <c r="X148" s="381">
        <v>0</v>
      </c>
      <c r="Y148" s="381">
        <v>0</v>
      </c>
      <c r="Z148" s="381">
        <v>0</v>
      </c>
      <c r="AA148" s="379"/>
      <c r="AB148" s="377" t="s">
        <v>45</v>
      </c>
      <c r="AC148" s="377" t="s">
        <v>45</v>
      </c>
      <c r="AD148" s="379"/>
      <c r="AE148" s="379"/>
      <c r="AF148" s="379"/>
      <c r="AG148" s="379"/>
      <c r="AH148" s="380">
        <v>0</v>
      </c>
      <c r="AI148" s="380">
        <v>0</v>
      </c>
      <c r="AJ148" s="379"/>
      <c r="AK148" s="379"/>
      <c r="AL148" s="377" t="s">
        <v>182</v>
      </c>
      <c r="AM148" s="379"/>
      <c r="AN148" s="379"/>
      <c r="AO148" s="380">
        <v>0</v>
      </c>
      <c r="AP148" s="386">
        <v>0</v>
      </c>
      <c r="AQ148" s="386">
        <v>0</v>
      </c>
      <c r="AR148" s="385"/>
      <c r="AS148" s="388">
        <f t="shared" si="115"/>
        <v>0</v>
      </c>
      <c r="AT148">
        <f t="shared" si="116"/>
        <v>0</v>
      </c>
      <c r="AU148" s="388" t="str">
        <f>IF(AT148=0,"",IF(AND(AT148=1,M148="F",SUMIF(C2:C258,C148,AS2:AS258)&lt;=1),SUMIF(C2:C258,C148,AS2:AS258),IF(AND(AT148=1,M148="F",SUMIF(C2:C258,C148,AS2:AS258)&gt;1),1,"")))</f>
        <v/>
      </c>
      <c r="AV148" s="388" t="str">
        <f>IF(AT148=0,"",IF(AND(AT148=3,M148="F",SUMIF(C2:C258,C148,AS2:AS258)&lt;=1),SUMIF(C2:C258,C148,AS2:AS258),IF(AND(AT148=3,M148="F",SUMIF(C2:C258,C148,AS2:AS258)&gt;1),1,"")))</f>
        <v/>
      </c>
      <c r="AW148" s="388">
        <f>SUMIF(C2:C258,C148,O2:O258)</f>
        <v>0</v>
      </c>
      <c r="AX148" s="388">
        <f>IF(AND(M148="F",AS148&lt;&gt;0),SUMIF(C2:C258,C148,W2:W258),0)</f>
        <v>0</v>
      </c>
      <c r="AY148" s="388" t="str">
        <f t="shared" si="117"/>
        <v/>
      </c>
      <c r="AZ148" s="388" t="str">
        <f t="shared" si="118"/>
        <v/>
      </c>
      <c r="BA148" s="388">
        <f t="shared" si="119"/>
        <v>0</v>
      </c>
      <c r="BB148" s="388">
        <f t="shared" si="88"/>
        <v>0</v>
      </c>
      <c r="BC148" s="388">
        <f t="shared" si="89"/>
        <v>0</v>
      </c>
      <c r="BD148" s="388">
        <f t="shared" si="90"/>
        <v>0</v>
      </c>
      <c r="BE148" s="388">
        <f t="shared" si="91"/>
        <v>0</v>
      </c>
      <c r="BF148" s="388">
        <f t="shared" si="92"/>
        <v>0</v>
      </c>
      <c r="BG148" s="388">
        <f t="shared" si="93"/>
        <v>0</v>
      </c>
      <c r="BH148" s="388">
        <f t="shared" si="94"/>
        <v>0</v>
      </c>
      <c r="BI148" s="388">
        <f t="shared" si="95"/>
        <v>0</v>
      </c>
      <c r="BJ148" s="388">
        <f t="shared" si="96"/>
        <v>0</v>
      </c>
      <c r="BK148" s="388">
        <f t="shared" si="97"/>
        <v>0</v>
      </c>
      <c r="BL148" s="388">
        <f t="shared" si="120"/>
        <v>0</v>
      </c>
      <c r="BM148" s="388">
        <f t="shared" si="121"/>
        <v>0</v>
      </c>
      <c r="BN148" s="388">
        <f t="shared" si="98"/>
        <v>0</v>
      </c>
      <c r="BO148" s="388">
        <f t="shared" si="99"/>
        <v>0</v>
      </c>
      <c r="BP148" s="388">
        <f t="shared" si="100"/>
        <v>0</v>
      </c>
      <c r="BQ148" s="388">
        <f t="shared" si="101"/>
        <v>0</v>
      </c>
      <c r="BR148" s="388">
        <f t="shared" si="102"/>
        <v>0</v>
      </c>
      <c r="BS148" s="388">
        <f t="shared" si="103"/>
        <v>0</v>
      </c>
      <c r="BT148" s="388">
        <f t="shared" si="104"/>
        <v>0</v>
      </c>
      <c r="BU148" s="388">
        <f t="shared" si="105"/>
        <v>0</v>
      </c>
      <c r="BV148" s="388">
        <f t="shared" si="106"/>
        <v>0</v>
      </c>
      <c r="BW148" s="388">
        <f t="shared" si="107"/>
        <v>0</v>
      </c>
      <c r="BX148" s="388">
        <f t="shared" si="122"/>
        <v>0</v>
      </c>
      <c r="BY148" s="388">
        <f t="shared" si="123"/>
        <v>0</v>
      </c>
      <c r="BZ148" s="388">
        <f t="shared" si="124"/>
        <v>0</v>
      </c>
      <c r="CA148" s="388">
        <f t="shared" si="125"/>
        <v>0</v>
      </c>
      <c r="CB148" s="388">
        <f t="shared" si="126"/>
        <v>0</v>
      </c>
      <c r="CC148" s="388">
        <f t="shared" si="108"/>
        <v>0</v>
      </c>
      <c r="CD148" s="388">
        <f t="shared" si="109"/>
        <v>0</v>
      </c>
      <c r="CE148" s="388">
        <f t="shared" si="110"/>
        <v>0</v>
      </c>
      <c r="CF148" s="388">
        <f t="shared" si="111"/>
        <v>0</v>
      </c>
      <c r="CG148" s="388">
        <f t="shared" si="112"/>
        <v>0</v>
      </c>
      <c r="CH148" s="388">
        <f t="shared" si="113"/>
        <v>0</v>
      </c>
      <c r="CI148" s="388">
        <f t="shared" si="114"/>
        <v>0</v>
      </c>
      <c r="CJ148" s="388">
        <f t="shared" si="127"/>
        <v>0</v>
      </c>
      <c r="CK148" s="388" t="str">
        <f t="shared" si="128"/>
        <v/>
      </c>
      <c r="CL148" s="388" t="str">
        <f t="shared" si="129"/>
        <v/>
      </c>
      <c r="CM148" s="388" t="str">
        <f t="shared" si="130"/>
        <v/>
      </c>
      <c r="CN148" s="388" t="str">
        <f t="shared" si="131"/>
        <v>0348-01</v>
      </c>
    </row>
    <row r="149" spans="1:92" ht="15.75" thickBot="1" x14ac:dyDescent="0.3">
      <c r="A149" s="377" t="s">
        <v>162</v>
      </c>
      <c r="B149" s="377" t="s">
        <v>163</v>
      </c>
      <c r="C149" s="377" t="s">
        <v>678</v>
      </c>
      <c r="D149" s="377" t="s">
        <v>282</v>
      </c>
      <c r="E149" s="377" t="s">
        <v>637</v>
      </c>
      <c r="F149" s="383" t="s">
        <v>638</v>
      </c>
      <c r="G149" s="377" t="s">
        <v>439</v>
      </c>
      <c r="H149" s="379"/>
      <c r="I149" s="379"/>
      <c r="J149" s="377" t="s">
        <v>547</v>
      </c>
      <c r="K149" s="377" t="s">
        <v>244</v>
      </c>
      <c r="L149" s="377" t="s">
        <v>167</v>
      </c>
      <c r="M149" s="377" t="s">
        <v>395</v>
      </c>
      <c r="N149" s="377" t="s">
        <v>173</v>
      </c>
      <c r="O149" s="380">
        <v>0</v>
      </c>
      <c r="P149" s="386">
        <v>0.4</v>
      </c>
      <c r="Q149" s="386">
        <v>0.4</v>
      </c>
      <c r="R149" s="381">
        <v>80</v>
      </c>
      <c r="S149" s="386">
        <v>0.4</v>
      </c>
      <c r="T149" s="381">
        <v>29558.17</v>
      </c>
      <c r="U149" s="381">
        <v>0</v>
      </c>
      <c r="V149" s="381">
        <v>10013.280000000001</v>
      </c>
      <c r="W149" s="381">
        <v>33754.239999999998</v>
      </c>
      <c r="X149" s="381">
        <v>15189.4</v>
      </c>
      <c r="Y149" s="381">
        <v>33754.239999999998</v>
      </c>
      <c r="Z149" s="381">
        <v>15729.46</v>
      </c>
      <c r="AA149" s="379"/>
      <c r="AB149" s="377" t="s">
        <v>45</v>
      </c>
      <c r="AC149" s="377" t="s">
        <v>45</v>
      </c>
      <c r="AD149" s="379"/>
      <c r="AE149" s="379"/>
      <c r="AF149" s="379"/>
      <c r="AG149" s="379"/>
      <c r="AH149" s="380">
        <v>0</v>
      </c>
      <c r="AI149" s="380">
        <v>0</v>
      </c>
      <c r="AJ149" s="379"/>
      <c r="AK149" s="379"/>
      <c r="AL149" s="377" t="s">
        <v>182</v>
      </c>
      <c r="AM149" s="379"/>
      <c r="AN149" s="379"/>
      <c r="AO149" s="380">
        <v>0</v>
      </c>
      <c r="AP149" s="386">
        <v>0</v>
      </c>
      <c r="AQ149" s="386">
        <v>0</v>
      </c>
      <c r="AR149" s="385"/>
      <c r="AS149" s="388">
        <f t="shared" si="115"/>
        <v>0</v>
      </c>
      <c r="AT149">
        <f t="shared" si="116"/>
        <v>0</v>
      </c>
      <c r="AU149" s="388" t="str">
        <f>IF(AT149=0,"",IF(AND(AT149=1,M149="F",SUMIF(C2:C258,C149,AS2:AS258)&lt;=1),SUMIF(C2:C258,C149,AS2:AS258),IF(AND(AT149=1,M149="F",SUMIF(C2:C258,C149,AS2:AS258)&gt;1),1,"")))</f>
        <v/>
      </c>
      <c r="AV149" s="388" t="str">
        <f>IF(AT149=0,"",IF(AND(AT149=3,M149="F",SUMIF(C2:C258,C149,AS2:AS258)&lt;=1),SUMIF(C2:C258,C149,AS2:AS258),IF(AND(AT149=3,M149="F",SUMIF(C2:C258,C149,AS2:AS258)&gt;1),1,"")))</f>
        <v/>
      </c>
      <c r="AW149" s="388">
        <f>SUMIF(C2:C258,C149,O2:O258)</f>
        <v>0</v>
      </c>
      <c r="AX149" s="388">
        <f>IF(AND(M149="F",AS149&lt;&gt;0),SUMIF(C2:C258,C149,W2:W258),0)</f>
        <v>0</v>
      </c>
      <c r="AY149" s="388" t="str">
        <f t="shared" si="117"/>
        <v/>
      </c>
      <c r="AZ149" s="388" t="str">
        <f t="shared" si="118"/>
        <v/>
      </c>
      <c r="BA149" s="388">
        <f t="shared" si="119"/>
        <v>0</v>
      </c>
      <c r="BB149" s="388">
        <f t="shared" si="88"/>
        <v>0</v>
      </c>
      <c r="BC149" s="388">
        <f t="shared" si="89"/>
        <v>0</v>
      </c>
      <c r="BD149" s="388">
        <f t="shared" si="90"/>
        <v>0</v>
      </c>
      <c r="BE149" s="388">
        <f t="shared" si="91"/>
        <v>0</v>
      </c>
      <c r="BF149" s="388">
        <f t="shared" si="92"/>
        <v>0</v>
      </c>
      <c r="BG149" s="388">
        <f t="shared" si="93"/>
        <v>0</v>
      </c>
      <c r="BH149" s="388">
        <f t="shared" si="94"/>
        <v>0</v>
      </c>
      <c r="BI149" s="388">
        <f t="shared" si="95"/>
        <v>0</v>
      </c>
      <c r="BJ149" s="388">
        <f t="shared" si="96"/>
        <v>0</v>
      </c>
      <c r="BK149" s="388">
        <f t="shared" si="97"/>
        <v>0</v>
      </c>
      <c r="BL149" s="388">
        <f t="shared" si="120"/>
        <v>0</v>
      </c>
      <c r="BM149" s="388">
        <f t="shared" si="121"/>
        <v>0</v>
      </c>
      <c r="BN149" s="388">
        <f t="shared" si="98"/>
        <v>0</v>
      </c>
      <c r="BO149" s="388">
        <f t="shared" si="99"/>
        <v>0</v>
      </c>
      <c r="BP149" s="388">
        <f t="shared" si="100"/>
        <v>0</v>
      </c>
      <c r="BQ149" s="388">
        <f t="shared" si="101"/>
        <v>0</v>
      </c>
      <c r="BR149" s="388">
        <f t="shared" si="102"/>
        <v>0</v>
      </c>
      <c r="BS149" s="388">
        <f t="shared" si="103"/>
        <v>0</v>
      </c>
      <c r="BT149" s="388">
        <f t="shared" si="104"/>
        <v>0</v>
      </c>
      <c r="BU149" s="388">
        <f t="shared" si="105"/>
        <v>0</v>
      </c>
      <c r="BV149" s="388">
        <f t="shared" si="106"/>
        <v>0</v>
      </c>
      <c r="BW149" s="388">
        <f t="shared" si="107"/>
        <v>0</v>
      </c>
      <c r="BX149" s="388">
        <f t="shared" si="122"/>
        <v>0</v>
      </c>
      <c r="BY149" s="388">
        <f t="shared" si="123"/>
        <v>0</v>
      </c>
      <c r="BZ149" s="388">
        <f t="shared" si="124"/>
        <v>0</v>
      </c>
      <c r="CA149" s="388">
        <f t="shared" si="125"/>
        <v>0</v>
      </c>
      <c r="CB149" s="388">
        <f t="shared" si="126"/>
        <v>0</v>
      </c>
      <c r="CC149" s="388">
        <f t="shared" si="108"/>
        <v>0</v>
      </c>
      <c r="CD149" s="388">
        <f t="shared" si="109"/>
        <v>0</v>
      </c>
      <c r="CE149" s="388">
        <f t="shared" si="110"/>
        <v>0</v>
      </c>
      <c r="CF149" s="388">
        <f t="shared" si="111"/>
        <v>0</v>
      </c>
      <c r="CG149" s="388">
        <f t="shared" si="112"/>
        <v>0</v>
      </c>
      <c r="CH149" s="388">
        <f t="shared" si="113"/>
        <v>0</v>
      </c>
      <c r="CI149" s="388">
        <f t="shared" si="114"/>
        <v>0</v>
      </c>
      <c r="CJ149" s="388">
        <f t="shared" si="127"/>
        <v>0</v>
      </c>
      <c r="CK149" s="388" t="str">
        <f t="shared" si="128"/>
        <v/>
      </c>
      <c r="CL149" s="388" t="str">
        <f t="shared" si="129"/>
        <v/>
      </c>
      <c r="CM149" s="388" t="str">
        <f t="shared" si="130"/>
        <v/>
      </c>
      <c r="CN149" s="388" t="str">
        <f t="shared" si="131"/>
        <v>0348-01</v>
      </c>
    </row>
    <row r="150" spans="1:92" ht="15.75" thickBot="1" x14ac:dyDescent="0.3">
      <c r="A150" s="377" t="s">
        <v>162</v>
      </c>
      <c r="B150" s="377" t="s">
        <v>163</v>
      </c>
      <c r="C150" s="377" t="s">
        <v>594</v>
      </c>
      <c r="D150" s="377" t="s">
        <v>300</v>
      </c>
      <c r="E150" s="377" t="s">
        <v>637</v>
      </c>
      <c r="F150" s="383" t="s">
        <v>638</v>
      </c>
      <c r="G150" s="377" t="s">
        <v>439</v>
      </c>
      <c r="H150" s="379"/>
      <c r="I150" s="379"/>
      <c r="J150" s="377" t="s">
        <v>169</v>
      </c>
      <c r="K150" s="377" t="s">
        <v>301</v>
      </c>
      <c r="L150" s="377" t="s">
        <v>167</v>
      </c>
      <c r="M150" s="377" t="s">
        <v>172</v>
      </c>
      <c r="N150" s="377" t="s">
        <v>173</v>
      </c>
      <c r="O150" s="380">
        <v>1</v>
      </c>
      <c r="P150" s="386">
        <v>0.8</v>
      </c>
      <c r="Q150" s="386">
        <v>0.8</v>
      </c>
      <c r="R150" s="381">
        <v>80</v>
      </c>
      <c r="S150" s="386">
        <v>0.8</v>
      </c>
      <c r="T150" s="381">
        <v>33644.800000000003</v>
      </c>
      <c r="U150" s="381">
        <v>0</v>
      </c>
      <c r="V150" s="381">
        <v>13356.35</v>
      </c>
      <c r="W150" s="381">
        <v>51417.599999999999</v>
      </c>
      <c r="X150" s="381">
        <v>20623.37</v>
      </c>
      <c r="Y150" s="381">
        <v>51417.599999999999</v>
      </c>
      <c r="Z150" s="381">
        <v>21253.16</v>
      </c>
      <c r="AA150" s="377" t="s">
        <v>595</v>
      </c>
      <c r="AB150" s="377" t="s">
        <v>596</v>
      </c>
      <c r="AC150" s="377" t="s">
        <v>597</v>
      </c>
      <c r="AD150" s="377" t="s">
        <v>598</v>
      </c>
      <c r="AE150" s="377" t="s">
        <v>301</v>
      </c>
      <c r="AF150" s="377" t="s">
        <v>207</v>
      </c>
      <c r="AG150" s="377" t="s">
        <v>179</v>
      </c>
      <c r="AH150" s="382">
        <v>30.9</v>
      </c>
      <c r="AI150" s="380">
        <v>560</v>
      </c>
      <c r="AJ150" s="377" t="s">
        <v>180</v>
      </c>
      <c r="AK150" s="377" t="s">
        <v>181</v>
      </c>
      <c r="AL150" s="377" t="s">
        <v>182</v>
      </c>
      <c r="AM150" s="377" t="s">
        <v>183</v>
      </c>
      <c r="AN150" s="377" t="s">
        <v>66</v>
      </c>
      <c r="AO150" s="380">
        <v>80</v>
      </c>
      <c r="AP150" s="386">
        <v>1</v>
      </c>
      <c r="AQ150" s="386">
        <v>0.8</v>
      </c>
      <c r="AR150" s="384" t="s">
        <v>184</v>
      </c>
      <c r="AS150" s="388">
        <f t="shared" si="115"/>
        <v>0.8</v>
      </c>
      <c r="AT150">
        <f t="shared" si="116"/>
        <v>1</v>
      </c>
      <c r="AU150" s="388">
        <f>IF(AT150=0,"",IF(AND(AT150=1,M150="F",SUMIF(C2:C258,C150,AS2:AS258)&lt;=1),SUMIF(C2:C258,C150,AS2:AS258),IF(AND(AT150=1,M150="F",SUMIF(C2:C258,C150,AS2:AS258)&gt;1),1,"")))</f>
        <v>1</v>
      </c>
      <c r="AV150" s="388" t="str">
        <f>IF(AT150=0,"",IF(AND(AT150=3,M150="F",SUMIF(C2:C258,C150,AS2:AS258)&lt;=1),SUMIF(C2:C258,C150,AS2:AS258),IF(AND(AT150=3,M150="F",SUMIF(C2:C258,C150,AS2:AS258)&gt;1),1,"")))</f>
        <v/>
      </c>
      <c r="AW150" s="388">
        <f>SUMIF(C2:C258,C150,O2:O258)</f>
        <v>2</v>
      </c>
      <c r="AX150" s="388">
        <f>IF(AND(M150="F",AS150&lt;&gt;0),SUMIF(C2:C258,C150,W2:W258),0)</f>
        <v>64272</v>
      </c>
      <c r="AY150" s="388">
        <f t="shared" si="117"/>
        <v>51417.599999999999</v>
      </c>
      <c r="AZ150" s="388" t="str">
        <f t="shared" si="118"/>
        <v/>
      </c>
      <c r="BA150" s="388">
        <f t="shared" si="119"/>
        <v>0</v>
      </c>
      <c r="BB150" s="388">
        <f t="shared" si="88"/>
        <v>10000</v>
      </c>
      <c r="BC150" s="388">
        <f t="shared" si="89"/>
        <v>0</v>
      </c>
      <c r="BD150" s="388">
        <f t="shared" si="90"/>
        <v>3187.8912</v>
      </c>
      <c r="BE150" s="388">
        <f t="shared" si="91"/>
        <v>745.55520000000001</v>
      </c>
      <c r="BF150" s="388">
        <f t="shared" si="92"/>
        <v>6139.2614400000002</v>
      </c>
      <c r="BG150" s="388">
        <f t="shared" si="93"/>
        <v>370.72089599999998</v>
      </c>
      <c r="BH150" s="388">
        <f t="shared" si="94"/>
        <v>0</v>
      </c>
      <c r="BI150" s="388">
        <f t="shared" si="95"/>
        <v>0</v>
      </c>
      <c r="BJ150" s="388">
        <f t="shared" si="96"/>
        <v>179.9616</v>
      </c>
      <c r="BK150" s="388">
        <f t="shared" si="97"/>
        <v>0</v>
      </c>
      <c r="BL150" s="388">
        <f t="shared" si="120"/>
        <v>10623.390336</v>
      </c>
      <c r="BM150" s="388">
        <f t="shared" si="121"/>
        <v>0</v>
      </c>
      <c r="BN150" s="388">
        <f t="shared" si="98"/>
        <v>11000</v>
      </c>
      <c r="BO150" s="388">
        <f t="shared" si="99"/>
        <v>0</v>
      </c>
      <c r="BP150" s="388">
        <f t="shared" si="100"/>
        <v>3187.8912</v>
      </c>
      <c r="BQ150" s="388">
        <f t="shared" si="101"/>
        <v>745.55520000000001</v>
      </c>
      <c r="BR150" s="388">
        <f t="shared" si="102"/>
        <v>5748.4876799999993</v>
      </c>
      <c r="BS150" s="388">
        <f t="shared" si="103"/>
        <v>370.72089599999998</v>
      </c>
      <c r="BT150" s="388">
        <f t="shared" si="104"/>
        <v>0</v>
      </c>
      <c r="BU150" s="388">
        <f t="shared" si="105"/>
        <v>0</v>
      </c>
      <c r="BV150" s="388">
        <f t="shared" si="106"/>
        <v>200.52864</v>
      </c>
      <c r="BW150" s="388">
        <f t="shared" si="107"/>
        <v>0</v>
      </c>
      <c r="BX150" s="388">
        <f t="shared" si="122"/>
        <v>10253.183616</v>
      </c>
      <c r="BY150" s="388">
        <f t="shared" si="123"/>
        <v>0</v>
      </c>
      <c r="BZ150" s="388">
        <f t="shared" si="124"/>
        <v>1000</v>
      </c>
      <c r="CA150" s="388">
        <f t="shared" si="125"/>
        <v>0</v>
      </c>
      <c r="CB150" s="388">
        <f t="shared" si="126"/>
        <v>0</v>
      </c>
      <c r="CC150" s="388">
        <f t="shared" si="108"/>
        <v>0</v>
      </c>
      <c r="CD150" s="388">
        <f t="shared" si="109"/>
        <v>-390.77376000000049</v>
      </c>
      <c r="CE150" s="388">
        <f t="shared" si="110"/>
        <v>0</v>
      </c>
      <c r="CF150" s="388">
        <f t="shared" si="111"/>
        <v>0</v>
      </c>
      <c r="CG150" s="388">
        <f t="shared" si="112"/>
        <v>0</v>
      </c>
      <c r="CH150" s="388">
        <f t="shared" si="113"/>
        <v>20.567039999999988</v>
      </c>
      <c r="CI150" s="388">
        <f t="shared" si="114"/>
        <v>0</v>
      </c>
      <c r="CJ150" s="388">
        <f t="shared" si="127"/>
        <v>-370.20672000000053</v>
      </c>
      <c r="CK150" s="388" t="str">
        <f t="shared" si="128"/>
        <v/>
      </c>
      <c r="CL150" s="388" t="str">
        <f t="shared" si="129"/>
        <v/>
      </c>
      <c r="CM150" s="388" t="str">
        <f t="shared" si="130"/>
        <v/>
      </c>
      <c r="CN150" s="388" t="str">
        <f t="shared" si="131"/>
        <v>0348-01</v>
      </c>
    </row>
    <row r="151" spans="1:92" ht="15.75" thickBot="1" x14ac:dyDescent="0.3">
      <c r="A151" s="377" t="s">
        <v>162</v>
      </c>
      <c r="B151" s="377" t="s">
        <v>163</v>
      </c>
      <c r="C151" s="377" t="s">
        <v>445</v>
      </c>
      <c r="D151" s="377" t="s">
        <v>300</v>
      </c>
      <c r="E151" s="377" t="s">
        <v>637</v>
      </c>
      <c r="F151" s="383" t="s">
        <v>638</v>
      </c>
      <c r="G151" s="377" t="s">
        <v>439</v>
      </c>
      <c r="H151" s="379"/>
      <c r="I151" s="379"/>
      <c r="J151" s="377" t="s">
        <v>169</v>
      </c>
      <c r="K151" s="377" t="s">
        <v>301</v>
      </c>
      <c r="L151" s="377" t="s">
        <v>167</v>
      </c>
      <c r="M151" s="377" t="s">
        <v>172</v>
      </c>
      <c r="N151" s="377" t="s">
        <v>173</v>
      </c>
      <c r="O151" s="380">
        <v>1</v>
      </c>
      <c r="P151" s="386">
        <v>0.5</v>
      </c>
      <c r="Q151" s="386">
        <v>0.5</v>
      </c>
      <c r="R151" s="381">
        <v>80</v>
      </c>
      <c r="S151" s="386">
        <v>0.5</v>
      </c>
      <c r="T151" s="381">
        <v>36551.449999999997</v>
      </c>
      <c r="U151" s="381">
        <v>0</v>
      </c>
      <c r="V151" s="381">
        <v>13413.67</v>
      </c>
      <c r="W151" s="381">
        <v>36452</v>
      </c>
      <c r="X151" s="381">
        <v>13781.33</v>
      </c>
      <c r="Y151" s="381">
        <v>36452</v>
      </c>
      <c r="Z151" s="381">
        <v>14143.87</v>
      </c>
      <c r="AA151" s="377" t="s">
        <v>446</v>
      </c>
      <c r="AB151" s="377" t="s">
        <v>447</v>
      </c>
      <c r="AC151" s="377" t="s">
        <v>448</v>
      </c>
      <c r="AD151" s="377" t="s">
        <v>449</v>
      </c>
      <c r="AE151" s="377" t="s">
        <v>301</v>
      </c>
      <c r="AF151" s="377" t="s">
        <v>207</v>
      </c>
      <c r="AG151" s="377" t="s">
        <v>179</v>
      </c>
      <c r="AH151" s="382">
        <v>35.049999999999997</v>
      </c>
      <c r="AI151" s="382">
        <v>6968.1</v>
      </c>
      <c r="AJ151" s="377" t="s">
        <v>180</v>
      </c>
      <c r="AK151" s="377" t="s">
        <v>181</v>
      </c>
      <c r="AL151" s="377" t="s">
        <v>182</v>
      </c>
      <c r="AM151" s="377" t="s">
        <v>183</v>
      </c>
      <c r="AN151" s="377" t="s">
        <v>66</v>
      </c>
      <c r="AO151" s="380">
        <v>80</v>
      </c>
      <c r="AP151" s="386">
        <v>1</v>
      </c>
      <c r="AQ151" s="386">
        <v>0.5</v>
      </c>
      <c r="AR151" s="384" t="s">
        <v>184</v>
      </c>
      <c r="AS151" s="388">
        <f t="shared" si="115"/>
        <v>0.5</v>
      </c>
      <c r="AT151">
        <f t="shared" si="116"/>
        <v>1</v>
      </c>
      <c r="AU151" s="388">
        <f>IF(AT151=0,"",IF(AND(AT151=1,M151="F",SUMIF(C2:C258,C151,AS2:AS258)&lt;=1),SUMIF(C2:C258,C151,AS2:AS258),IF(AND(AT151=1,M151="F",SUMIF(C2:C258,C151,AS2:AS258)&gt;1),1,"")))</f>
        <v>1</v>
      </c>
      <c r="AV151" s="388" t="str">
        <f>IF(AT151=0,"",IF(AND(AT151=3,M151="F",SUMIF(C2:C258,C151,AS2:AS258)&lt;=1),SUMIF(C2:C258,C151,AS2:AS258),IF(AND(AT151=3,M151="F",SUMIF(C2:C258,C151,AS2:AS258)&gt;1),1,"")))</f>
        <v/>
      </c>
      <c r="AW151" s="388">
        <f>SUMIF(C2:C258,C151,O2:O258)</f>
        <v>2</v>
      </c>
      <c r="AX151" s="388">
        <f>IF(AND(M151="F",AS151&lt;&gt;0),SUMIF(C2:C258,C151,W2:W258),0)</f>
        <v>72904</v>
      </c>
      <c r="AY151" s="388">
        <f t="shared" si="117"/>
        <v>36452</v>
      </c>
      <c r="AZ151" s="388" t="str">
        <f t="shared" si="118"/>
        <v/>
      </c>
      <c r="BA151" s="388">
        <f t="shared" si="119"/>
        <v>0</v>
      </c>
      <c r="BB151" s="388">
        <f t="shared" si="88"/>
        <v>6250</v>
      </c>
      <c r="BC151" s="388">
        <f t="shared" si="89"/>
        <v>0</v>
      </c>
      <c r="BD151" s="388">
        <f t="shared" si="90"/>
        <v>2260.0239999999999</v>
      </c>
      <c r="BE151" s="388">
        <f t="shared" si="91"/>
        <v>528.55399999999997</v>
      </c>
      <c r="BF151" s="388">
        <f t="shared" si="92"/>
        <v>4352.3688000000002</v>
      </c>
      <c r="BG151" s="388">
        <f t="shared" si="93"/>
        <v>262.81891999999999</v>
      </c>
      <c r="BH151" s="388">
        <f t="shared" si="94"/>
        <v>0</v>
      </c>
      <c r="BI151" s="388">
        <f t="shared" si="95"/>
        <v>0</v>
      </c>
      <c r="BJ151" s="388">
        <f t="shared" si="96"/>
        <v>127.58200000000001</v>
      </c>
      <c r="BK151" s="388">
        <f t="shared" si="97"/>
        <v>0</v>
      </c>
      <c r="BL151" s="388">
        <f t="shared" si="120"/>
        <v>7531.3477199999998</v>
      </c>
      <c r="BM151" s="388">
        <f t="shared" si="121"/>
        <v>0</v>
      </c>
      <c r="BN151" s="388">
        <f t="shared" si="98"/>
        <v>6875</v>
      </c>
      <c r="BO151" s="388">
        <f t="shared" si="99"/>
        <v>0</v>
      </c>
      <c r="BP151" s="388">
        <f t="shared" si="100"/>
        <v>2260.0239999999999</v>
      </c>
      <c r="BQ151" s="388">
        <f t="shared" si="101"/>
        <v>528.55399999999997</v>
      </c>
      <c r="BR151" s="388">
        <f t="shared" si="102"/>
        <v>4075.3335999999999</v>
      </c>
      <c r="BS151" s="388">
        <f t="shared" si="103"/>
        <v>262.81891999999999</v>
      </c>
      <c r="BT151" s="388">
        <f t="shared" si="104"/>
        <v>0</v>
      </c>
      <c r="BU151" s="388">
        <f t="shared" si="105"/>
        <v>0</v>
      </c>
      <c r="BV151" s="388">
        <f t="shared" si="106"/>
        <v>142.1628</v>
      </c>
      <c r="BW151" s="388">
        <f t="shared" si="107"/>
        <v>0</v>
      </c>
      <c r="BX151" s="388">
        <f t="shared" si="122"/>
        <v>7268.8933199999992</v>
      </c>
      <c r="BY151" s="388">
        <f t="shared" si="123"/>
        <v>0</v>
      </c>
      <c r="BZ151" s="388">
        <f t="shared" si="124"/>
        <v>625</v>
      </c>
      <c r="CA151" s="388">
        <f t="shared" si="125"/>
        <v>0</v>
      </c>
      <c r="CB151" s="388">
        <f t="shared" si="126"/>
        <v>0</v>
      </c>
      <c r="CC151" s="388">
        <f t="shared" si="108"/>
        <v>0</v>
      </c>
      <c r="CD151" s="388">
        <f t="shared" si="109"/>
        <v>-277.03520000000037</v>
      </c>
      <c r="CE151" s="388">
        <f t="shared" si="110"/>
        <v>0</v>
      </c>
      <c r="CF151" s="388">
        <f t="shared" si="111"/>
        <v>0</v>
      </c>
      <c r="CG151" s="388">
        <f t="shared" si="112"/>
        <v>0</v>
      </c>
      <c r="CH151" s="388">
        <f t="shared" si="113"/>
        <v>14.580799999999991</v>
      </c>
      <c r="CI151" s="388">
        <f t="shared" si="114"/>
        <v>0</v>
      </c>
      <c r="CJ151" s="388">
        <f t="shared" si="127"/>
        <v>-262.45440000000036</v>
      </c>
      <c r="CK151" s="388" t="str">
        <f t="shared" si="128"/>
        <v/>
      </c>
      <c r="CL151" s="388" t="str">
        <f t="shared" si="129"/>
        <v/>
      </c>
      <c r="CM151" s="388" t="str">
        <f t="shared" si="130"/>
        <v/>
      </c>
      <c r="CN151" s="388" t="str">
        <f t="shared" si="131"/>
        <v>0348-01</v>
      </c>
    </row>
    <row r="152" spans="1:92" ht="15.75" thickBot="1" x14ac:dyDescent="0.3">
      <c r="A152" s="377" t="s">
        <v>162</v>
      </c>
      <c r="B152" s="377" t="s">
        <v>163</v>
      </c>
      <c r="C152" s="377" t="s">
        <v>584</v>
      </c>
      <c r="D152" s="377" t="s">
        <v>276</v>
      </c>
      <c r="E152" s="377" t="s">
        <v>637</v>
      </c>
      <c r="F152" s="383" t="s">
        <v>638</v>
      </c>
      <c r="G152" s="377" t="s">
        <v>439</v>
      </c>
      <c r="H152" s="379"/>
      <c r="I152" s="379"/>
      <c r="J152" s="377" t="s">
        <v>283</v>
      </c>
      <c r="K152" s="377" t="s">
        <v>277</v>
      </c>
      <c r="L152" s="377" t="s">
        <v>215</v>
      </c>
      <c r="M152" s="377" t="s">
        <v>395</v>
      </c>
      <c r="N152" s="377" t="s">
        <v>173</v>
      </c>
      <c r="O152" s="380">
        <v>0</v>
      </c>
      <c r="P152" s="386">
        <v>0.8</v>
      </c>
      <c r="Q152" s="386">
        <v>0.8</v>
      </c>
      <c r="R152" s="381">
        <v>80</v>
      </c>
      <c r="S152" s="386">
        <v>0.8</v>
      </c>
      <c r="T152" s="381">
        <v>35799.24</v>
      </c>
      <c r="U152" s="381">
        <v>0</v>
      </c>
      <c r="V152" s="381">
        <v>16332.51</v>
      </c>
      <c r="W152" s="381">
        <v>33629.43</v>
      </c>
      <c r="X152" s="381">
        <v>15133.24</v>
      </c>
      <c r="Y152" s="381">
        <v>33629.43</v>
      </c>
      <c r="Z152" s="381">
        <v>15671.3</v>
      </c>
      <c r="AA152" s="379"/>
      <c r="AB152" s="377" t="s">
        <v>45</v>
      </c>
      <c r="AC152" s="377" t="s">
        <v>45</v>
      </c>
      <c r="AD152" s="379"/>
      <c r="AE152" s="379"/>
      <c r="AF152" s="379"/>
      <c r="AG152" s="379"/>
      <c r="AH152" s="380">
        <v>0</v>
      </c>
      <c r="AI152" s="380">
        <v>0</v>
      </c>
      <c r="AJ152" s="379"/>
      <c r="AK152" s="379"/>
      <c r="AL152" s="377" t="s">
        <v>182</v>
      </c>
      <c r="AM152" s="379"/>
      <c r="AN152" s="379"/>
      <c r="AO152" s="380">
        <v>0</v>
      </c>
      <c r="AP152" s="386">
        <v>0</v>
      </c>
      <c r="AQ152" s="386">
        <v>0</v>
      </c>
      <c r="AR152" s="385"/>
      <c r="AS152" s="388">
        <f t="shared" si="115"/>
        <v>0</v>
      </c>
      <c r="AT152">
        <f t="shared" si="116"/>
        <v>0</v>
      </c>
      <c r="AU152" s="388" t="str">
        <f>IF(AT152=0,"",IF(AND(AT152=1,M152="F",SUMIF(C2:C258,C152,AS2:AS258)&lt;=1),SUMIF(C2:C258,C152,AS2:AS258),IF(AND(AT152=1,M152="F",SUMIF(C2:C258,C152,AS2:AS258)&gt;1),1,"")))</f>
        <v/>
      </c>
      <c r="AV152" s="388" t="str">
        <f>IF(AT152=0,"",IF(AND(AT152=3,M152="F",SUMIF(C2:C258,C152,AS2:AS258)&lt;=1),SUMIF(C2:C258,C152,AS2:AS258),IF(AND(AT152=3,M152="F",SUMIF(C2:C258,C152,AS2:AS258)&gt;1),1,"")))</f>
        <v/>
      </c>
      <c r="AW152" s="388">
        <f>SUMIF(C2:C258,C152,O2:O258)</f>
        <v>0</v>
      </c>
      <c r="AX152" s="388">
        <f>IF(AND(M152="F",AS152&lt;&gt;0),SUMIF(C2:C258,C152,W2:W258),0)</f>
        <v>0</v>
      </c>
      <c r="AY152" s="388" t="str">
        <f t="shared" si="117"/>
        <v/>
      </c>
      <c r="AZ152" s="388" t="str">
        <f t="shared" si="118"/>
        <v/>
      </c>
      <c r="BA152" s="388">
        <f t="shared" si="119"/>
        <v>0</v>
      </c>
      <c r="BB152" s="388">
        <f t="shared" si="88"/>
        <v>0</v>
      </c>
      <c r="BC152" s="388">
        <f t="shared" si="89"/>
        <v>0</v>
      </c>
      <c r="BD152" s="388">
        <f t="shared" si="90"/>
        <v>0</v>
      </c>
      <c r="BE152" s="388">
        <f t="shared" si="91"/>
        <v>0</v>
      </c>
      <c r="BF152" s="388">
        <f t="shared" si="92"/>
        <v>0</v>
      </c>
      <c r="BG152" s="388">
        <f t="shared" si="93"/>
        <v>0</v>
      </c>
      <c r="BH152" s="388">
        <f t="shared" si="94"/>
        <v>0</v>
      </c>
      <c r="BI152" s="388">
        <f t="shared" si="95"/>
        <v>0</v>
      </c>
      <c r="BJ152" s="388">
        <f t="shared" si="96"/>
        <v>0</v>
      </c>
      <c r="BK152" s="388">
        <f t="shared" si="97"/>
        <v>0</v>
      </c>
      <c r="BL152" s="388">
        <f t="shared" si="120"/>
        <v>0</v>
      </c>
      <c r="BM152" s="388">
        <f t="shared" si="121"/>
        <v>0</v>
      </c>
      <c r="BN152" s="388">
        <f t="shared" si="98"/>
        <v>0</v>
      </c>
      <c r="BO152" s="388">
        <f t="shared" si="99"/>
        <v>0</v>
      </c>
      <c r="BP152" s="388">
        <f t="shared" si="100"/>
        <v>0</v>
      </c>
      <c r="BQ152" s="388">
        <f t="shared" si="101"/>
        <v>0</v>
      </c>
      <c r="BR152" s="388">
        <f t="shared" si="102"/>
        <v>0</v>
      </c>
      <c r="BS152" s="388">
        <f t="shared" si="103"/>
        <v>0</v>
      </c>
      <c r="BT152" s="388">
        <f t="shared" si="104"/>
        <v>0</v>
      </c>
      <c r="BU152" s="388">
        <f t="shared" si="105"/>
        <v>0</v>
      </c>
      <c r="BV152" s="388">
        <f t="shared" si="106"/>
        <v>0</v>
      </c>
      <c r="BW152" s="388">
        <f t="shared" si="107"/>
        <v>0</v>
      </c>
      <c r="BX152" s="388">
        <f t="shared" si="122"/>
        <v>0</v>
      </c>
      <c r="BY152" s="388">
        <f t="shared" si="123"/>
        <v>0</v>
      </c>
      <c r="BZ152" s="388">
        <f t="shared" si="124"/>
        <v>0</v>
      </c>
      <c r="CA152" s="388">
        <f t="shared" si="125"/>
        <v>0</v>
      </c>
      <c r="CB152" s="388">
        <f t="shared" si="126"/>
        <v>0</v>
      </c>
      <c r="CC152" s="388">
        <f t="shared" si="108"/>
        <v>0</v>
      </c>
      <c r="CD152" s="388">
        <f t="shared" si="109"/>
        <v>0</v>
      </c>
      <c r="CE152" s="388">
        <f t="shared" si="110"/>
        <v>0</v>
      </c>
      <c r="CF152" s="388">
        <f t="shared" si="111"/>
        <v>0</v>
      </c>
      <c r="CG152" s="388">
        <f t="shared" si="112"/>
        <v>0</v>
      </c>
      <c r="CH152" s="388">
        <f t="shared" si="113"/>
        <v>0</v>
      </c>
      <c r="CI152" s="388">
        <f t="shared" si="114"/>
        <v>0</v>
      </c>
      <c r="CJ152" s="388">
        <f t="shared" si="127"/>
        <v>0</v>
      </c>
      <c r="CK152" s="388" t="str">
        <f t="shared" si="128"/>
        <v/>
      </c>
      <c r="CL152" s="388" t="str">
        <f t="shared" si="129"/>
        <v/>
      </c>
      <c r="CM152" s="388" t="str">
        <f t="shared" si="130"/>
        <v/>
      </c>
      <c r="CN152" s="388" t="str">
        <f t="shared" si="131"/>
        <v>0348-01</v>
      </c>
    </row>
    <row r="153" spans="1:92" ht="15.75" thickBot="1" x14ac:dyDescent="0.3">
      <c r="A153" s="377" t="s">
        <v>162</v>
      </c>
      <c r="B153" s="377" t="s">
        <v>163</v>
      </c>
      <c r="C153" s="377" t="s">
        <v>679</v>
      </c>
      <c r="D153" s="377" t="s">
        <v>300</v>
      </c>
      <c r="E153" s="377" t="s">
        <v>637</v>
      </c>
      <c r="F153" s="383" t="s">
        <v>638</v>
      </c>
      <c r="G153" s="377" t="s">
        <v>439</v>
      </c>
      <c r="H153" s="379"/>
      <c r="I153" s="379"/>
      <c r="J153" s="377" t="s">
        <v>219</v>
      </c>
      <c r="K153" s="377" t="s">
        <v>301</v>
      </c>
      <c r="L153" s="377" t="s">
        <v>167</v>
      </c>
      <c r="M153" s="377" t="s">
        <v>172</v>
      </c>
      <c r="N153" s="377" t="s">
        <v>173</v>
      </c>
      <c r="O153" s="380">
        <v>1</v>
      </c>
      <c r="P153" s="386">
        <v>1</v>
      </c>
      <c r="Q153" s="386">
        <v>1</v>
      </c>
      <c r="R153" s="381">
        <v>80</v>
      </c>
      <c r="S153" s="386">
        <v>1</v>
      </c>
      <c r="T153" s="381">
        <v>73450</v>
      </c>
      <c r="U153" s="381">
        <v>0</v>
      </c>
      <c r="V153" s="381">
        <v>26962</v>
      </c>
      <c r="W153" s="381">
        <v>72238.399999999994</v>
      </c>
      <c r="X153" s="381">
        <v>27425.15</v>
      </c>
      <c r="Y153" s="381">
        <v>72238.399999999994</v>
      </c>
      <c r="Z153" s="381">
        <v>28155.03</v>
      </c>
      <c r="AA153" s="377" t="s">
        <v>680</v>
      </c>
      <c r="AB153" s="377" t="s">
        <v>681</v>
      </c>
      <c r="AC153" s="377" t="s">
        <v>682</v>
      </c>
      <c r="AD153" s="377" t="s">
        <v>462</v>
      </c>
      <c r="AE153" s="377" t="s">
        <v>301</v>
      </c>
      <c r="AF153" s="377" t="s">
        <v>207</v>
      </c>
      <c r="AG153" s="377" t="s">
        <v>179</v>
      </c>
      <c r="AH153" s="382">
        <v>34.729999999999997</v>
      </c>
      <c r="AI153" s="382">
        <v>12051.5</v>
      </c>
      <c r="AJ153" s="377" t="s">
        <v>180</v>
      </c>
      <c r="AK153" s="377" t="s">
        <v>181</v>
      </c>
      <c r="AL153" s="377" t="s">
        <v>182</v>
      </c>
      <c r="AM153" s="377" t="s">
        <v>183</v>
      </c>
      <c r="AN153" s="377" t="s">
        <v>66</v>
      </c>
      <c r="AO153" s="380">
        <v>80</v>
      </c>
      <c r="AP153" s="386">
        <v>1</v>
      </c>
      <c r="AQ153" s="386">
        <v>1</v>
      </c>
      <c r="AR153" s="384" t="s">
        <v>184</v>
      </c>
      <c r="AS153" s="388">
        <f t="shared" si="115"/>
        <v>1</v>
      </c>
      <c r="AT153">
        <f t="shared" si="116"/>
        <v>1</v>
      </c>
      <c r="AU153" s="388">
        <f>IF(AT153=0,"",IF(AND(AT153=1,M153="F",SUMIF(C2:C258,C153,AS2:AS258)&lt;=1),SUMIF(C2:C258,C153,AS2:AS258),IF(AND(AT153=1,M153="F",SUMIF(C2:C258,C153,AS2:AS258)&gt;1),1,"")))</f>
        <v>1</v>
      </c>
      <c r="AV153" s="388" t="str">
        <f>IF(AT153=0,"",IF(AND(AT153=3,M153="F",SUMIF(C2:C258,C153,AS2:AS258)&lt;=1),SUMIF(C2:C258,C153,AS2:AS258),IF(AND(AT153=3,M153="F",SUMIF(C2:C258,C153,AS2:AS258)&gt;1),1,"")))</f>
        <v/>
      </c>
      <c r="AW153" s="388">
        <f>SUMIF(C2:C258,C153,O2:O258)</f>
        <v>1</v>
      </c>
      <c r="AX153" s="388">
        <f>IF(AND(M153="F",AS153&lt;&gt;0),SUMIF(C2:C258,C153,W2:W258),0)</f>
        <v>72238.399999999994</v>
      </c>
      <c r="AY153" s="388">
        <f t="shared" si="117"/>
        <v>72238.399999999994</v>
      </c>
      <c r="AZ153" s="388" t="str">
        <f t="shared" si="118"/>
        <v/>
      </c>
      <c r="BA153" s="388">
        <f t="shared" si="119"/>
        <v>0</v>
      </c>
      <c r="BB153" s="388">
        <f t="shared" si="88"/>
        <v>12500</v>
      </c>
      <c r="BC153" s="388">
        <f t="shared" si="89"/>
        <v>0</v>
      </c>
      <c r="BD153" s="388">
        <f t="shared" si="90"/>
        <v>4478.7807999999995</v>
      </c>
      <c r="BE153" s="388">
        <f t="shared" si="91"/>
        <v>1047.4567999999999</v>
      </c>
      <c r="BF153" s="388">
        <f t="shared" si="92"/>
        <v>8625.2649600000004</v>
      </c>
      <c r="BG153" s="388">
        <f t="shared" si="93"/>
        <v>520.83886399999994</v>
      </c>
      <c r="BH153" s="388">
        <f t="shared" si="94"/>
        <v>0</v>
      </c>
      <c r="BI153" s="388">
        <f t="shared" si="95"/>
        <v>0</v>
      </c>
      <c r="BJ153" s="388">
        <f t="shared" si="96"/>
        <v>252.83439999999999</v>
      </c>
      <c r="BK153" s="388">
        <f t="shared" si="97"/>
        <v>0</v>
      </c>
      <c r="BL153" s="388">
        <f t="shared" si="120"/>
        <v>14925.175824</v>
      </c>
      <c r="BM153" s="388">
        <f t="shared" si="121"/>
        <v>0</v>
      </c>
      <c r="BN153" s="388">
        <f t="shared" si="98"/>
        <v>13750</v>
      </c>
      <c r="BO153" s="388">
        <f t="shared" si="99"/>
        <v>0</v>
      </c>
      <c r="BP153" s="388">
        <f t="shared" si="100"/>
        <v>4478.7807999999995</v>
      </c>
      <c r="BQ153" s="388">
        <f t="shared" si="101"/>
        <v>1047.4567999999999</v>
      </c>
      <c r="BR153" s="388">
        <f t="shared" si="102"/>
        <v>8076.2531199999994</v>
      </c>
      <c r="BS153" s="388">
        <f t="shared" si="103"/>
        <v>520.83886399999994</v>
      </c>
      <c r="BT153" s="388">
        <f t="shared" si="104"/>
        <v>0</v>
      </c>
      <c r="BU153" s="388">
        <f t="shared" si="105"/>
        <v>0</v>
      </c>
      <c r="BV153" s="388">
        <f t="shared" si="106"/>
        <v>281.72975999999994</v>
      </c>
      <c r="BW153" s="388">
        <f t="shared" si="107"/>
        <v>0</v>
      </c>
      <c r="BX153" s="388">
        <f t="shared" si="122"/>
        <v>14405.059343999998</v>
      </c>
      <c r="BY153" s="388">
        <f t="shared" si="123"/>
        <v>0</v>
      </c>
      <c r="BZ153" s="388">
        <f t="shared" si="124"/>
        <v>1250</v>
      </c>
      <c r="CA153" s="388">
        <f t="shared" si="125"/>
        <v>0</v>
      </c>
      <c r="CB153" s="388">
        <f t="shared" si="126"/>
        <v>0</v>
      </c>
      <c r="CC153" s="388">
        <f t="shared" si="108"/>
        <v>0</v>
      </c>
      <c r="CD153" s="388">
        <f t="shared" si="109"/>
        <v>-549.01184000000069</v>
      </c>
      <c r="CE153" s="388">
        <f t="shared" si="110"/>
        <v>0</v>
      </c>
      <c r="CF153" s="388">
        <f t="shared" si="111"/>
        <v>0</v>
      </c>
      <c r="CG153" s="388">
        <f t="shared" si="112"/>
        <v>0</v>
      </c>
      <c r="CH153" s="388">
        <f t="shared" si="113"/>
        <v>28.895359999999979</v>
      </c>
      <c r="CI153" s="388">
        <f t="shared" si="114"/>
        <v>0</v>
      </c>
      <c r="CJ153" s="388">
        <f t="shared" si="127"/>
        <v>-520.11648000000071</v>
      </c>
      <c r="CK153" s="388" t="str">
        <f t="shared" si="128"/>
        <v/>
      </c>
      <c r="CL153" s="388" t="str">
        <f t="shared" si="129"/>
        <v/>
      </c>
      <c r="CM153" s="388" t="str">
        <f t="shared" si="130"/>
        <v/>
      </c>
      <c r="CN153" s="388" t="str">
        <f t="shared" si="131"/>
        <v>0348-01</v>
      </c>
    </row>
    <row r="154" spans="1:92" ht="15.75" thickBot="1" x14ac:dyDescent="0.3">
      <c r="A154" s="377" t="s">
        <v>162</v>
      </c>
      <c r="B154" s="377" t="s">
        <v>163</v>
      </c>
      <c r="C154" s="377" t="s">
        <v>683</v>
      </c>
      <c r="D154" s="377" t="s">
        <v>300</v>
      </c>
      <c r="E154" s="377" t="s">
        <v>637</v>
      </c>
      <c r="F154" s="383" t="s">
        <v>638</v>
      </c>
      <c r="G154" s="377" t="s">
        <v>439</v>
      </c>
      <c r="H154" s="379"/>
      <c r="I154" s="379"/>
      <c r="J154" s="377" t="s">
        <v>219</v>
      </c>
      <c r="K154" s="377" t="s">
        <v>301</v>
      </c>
      <c r="L154" s="377" t="s">
        <v>167</v>
      </c>
      <c r="M154" s="377" t="s">
        <v>172</v>
      </c>
      <c r="N154" s="377" t="s">
        <v>173</v>
      </c>
      <c r="O154" s="380">
        <v>1</v>
      </c>
      <c r="P154" s="386">
        <v>1</v>
      </c>
      <c r="Q154" s="386">
        <v>1</v>
      </c>
      <c r="R154" s="381">
        <v>80</v>
      </c>
      <c r="S154" s="386">
        <v>1</v>
      </c>
      <c r="T154" s="381">
        <v>51596.43</v>
      </c>
      <c r="U154" s="381">
        <v>0</v>
      </c>
      <c r="V154" s="381">
        <v>22610.54</v>
      </c>
      <c r="W154" s="381">
        <v>60216</v>
      </c>
      <c r="X154" s="381">
        <v>24941.21</v>
      </c>
      <c r="Y154" s="381">
        <v>60216</v>
      </c>
      <c r="Z154" s="381">
        <v>25757.65</v>
      </c>
      <c r="AA154" s="377" t="s">
        <v>684</v>
      </c>
      <c r="AB154" s="377" t="s">
        <v>685</v>
      </c>
      <c r="AC154" s="377" t="s">
        <v>686</v>
      </c>
      <c r="AD154" s="377" t="s">
        <v>230</v>
      </c>
      <c r="AE154" s="377" t="s">
        <v>301</v>
      </c>
      <c r="AF154" s="377" t="s">
        <v>207</v>
      </c>
      <c r="AG154" s="377" t="s">
        <v>179</v>
      </c>
      <c r="AH154" s="382">
        <v>28.95</v>
      </c>
      <c r="AI154" s="380">
        <v>716</v>
      </c>
      <c r="AJ154" s="377" t="s">
        <v>180</v>
      </c>
      <c r="AK154" s="377" t="s">
        <v>181</v>
      </c>
      <c r="AL154" s="377" t="s">
        <v>182</v>
      </c>
      <c r="AM154" s="377" t="s">
        <v>183</v>
      </c>
      <c r="AN154" s="377" t="s">
        <v>66</v>
      </c>
      <c r="AO154" s="380">
        <v>80</v>
      </c>
      <c r="AP154" s="386">
        <v>1</v>
      </c>
      <c r="AQ154" s="386">
        <v>1</v>
      </c>
      <c r="AR154" s="384" t="s">
        <v>184</v>
      </c>
      <c r="AS154" s="388">
        <f t="shared" si="115"/>
        <v>1</v>
      </c>
      <c r="AT154">
        <f t="shared" si="116"/>
        <v>1</v>
      </c>
      <c r="AU154" s="388">
        <f>IF(AT154=0,"",IF(AND(AT154=1,M154="F",SUMIF(C2:C258,C154,AS2:AS258)&lt;=1),SUMIF(C2:C258,C154,AS2:AS258),IF(AND(AT154=1,M154="F",SUMIF(C2:C258,C154,AS2:AS258)&gt;1),1,"")))</f>
        <v>1</v>
      </c>
      <c r="AV154" s="388" t="str">
        <f>IF(AT154=0,"",IF(AND(AT154=3,M154="F",SUMIF(C2:C258,C154,AS2:AS258)&lt;=1),SUMIF(C2:C258,C154,AS2:AS258),IF(AND(AT154=3,M154="F",SUMIF(C2:C258,C154,AS2:AS258)&gt;1),1,"")))</f>
        <v/>
      </c>
      <c r="AW154" s="388">
        <f>SUMIF(C2:C258,C154,O2:O258)</f>
        <v>1</v>
      </c>
      <c r="AX154" s="388">
        <f>IF(AND(M154="F",AS154&lt;&gt;0),SUMIF(C2:C258,C154,W2:W258),0)</f>
        <v>60216</v>
      </c>
      <c r="AY154" s="388">
        <f t="shared" si="117"/>
        <v>60216</v>
      </c>
      <c r="AZ154" s="388" t="str">
        <f t="shared" si="118"/>
        <v/>
      </c>
      <c r="BA154" s="388">
        <f t="shared" si="119"/>
        <v>0</v>
      </c>
      <c r="BB154" s="388">
        <f t="shared" si="88"/>
        <v>12500</v>
      </c>
      <c r="BC154" s="388">
        <f t="shared" si="89"/>
        <v>0</v>
      </c>
      <c r="BD154" s="388">
        <f t="shared" si="90"/>
        <v>3733.3919999999998</v>
      </c>
      <c r="BE154" s="388">
        <f t="shared" si="91"/>
        <v>873.13200000000006</v>
      </c>
      <c r="BF154" s="388">
        <f t="shared" si="92"/>
        <v>7189.7904000000008</v>
      </c>
      <c r="BG154" s="388">
        <f t="shared" si="93"/>
        <v>434.15736000000004</v>
      </c>
      <c r="BH154" s="388">
        <f t="shared" si="94"/>
        <v>0</v>
      </c>
      <c r="BI154" s="388">
        <f t="shared" si="95"/>
        <v>0</v>
      </c>
      <c r="BJ154" s="388">
        <f t="shared" si="96"/>
        <v>210.756</v>
      </c>
      <c r="BK154" s="388">
        <f t="shared" si="97"/>
        <v>0</v>
      </c>
      <c r="BL154" s="388">
        <f t="shared" si="120"/>
        <v>12441.227759999998</v>
      </c>
      <c r="BM154" s="388">
        <f t="shared" si="121"/>
        <v>0</v>
      </c>
      <c r="BN154" s="388">
        <f t="shared" si="98"/>
        <v>13750</v>
      </c>
      <c r="BO154" s="388">
        <f t="shared" si="99"/>
        <v>0</v>
      </c>
      <c r="BP154" s="388">
        <f t="shared" si="100"/>
        <v>3733.3919999999998</v>
      </c>
      <c r="BQ154" s="388">
        <f t="shared" si="101"/>
        <v>873.13200000000006</v>
      </c>
      <c r="BR154" s="388">
        <f t="shared" si="102"/>
        <v>6732.1487999999999</v>
      </c>
      <c r="BS154" s="388">
        <f t="shared" si="103"/>
        <v>434.15736000000004</v>
      </c>
      <c r="BT154" s="388">
        <f t="shared" si="104"/>
        <v>0</v>
      </c>
      <c r="BU154" s="388">
        <f t="shared" si="105"/>
        <v>0</v>
      </c>
      <c r="BV154" s="388">
        <f t="shared" si="106"/>
        <v>234.8424</v>
      </c>
      <c r="BW154" s="388">
        <f t="shared" si="107"/>
        <v>0</v>
      </c>
      <c r="BX154" s="388">
        <f t="shared" si="122"/>
        <v>12007.672559999999</v>
      </c>
      <c r="BY154" s="388">
        <f t="shared" si="123"/>
        <v>0</v>
      </c>
      <c r="BZ154" s="388">
        <f t="shared" si="124"/>
        <v>1250</v>
      </c>
      <c r="CA154" s="388">
        <f t="shared" si="125"/>
        <v>0</v>
      </c>
      <c r="CB154" s="388">
        <f t="shared" si="126"/>
        <v>0</v>
      </c>
      <c r="CC154" s="388">
        <f t="shared" si="108"/>
        <v>0</v>
      </c>
      <c r="CD154" s="388">
        <f t="shared" si="109"/>
        <v>-457.64160000000055</v>
      </c>
      <c r="CE154" s="388">
        <f t="shared" si="110"/>
        <v>0</v>
      </c>
      <c r="CF154" s="388">
        <f t="shared" si="111"/>
        <v>0</v>
      </c>
      <c r="CG154" s="388">
        <f t="shared" si="112"/>
        <v>0</v>
      </c>
      <c r="CH154" s="388">
        <f t="shared" si="113"/>
        <v>24.086399999999983</v>
      </c>
      <c r="CI154" s="388">
        <f t="shared" si="114"/>
        <v>0</v>
      </c>
      <c r="CJ154" s="388">
        <f t="shared" si="127"/>
        <v>-433.55520000000058</v>
      </c>
      <c r="CK154" s="388" t="str">
        <f t="shared" si="128"/>
        <v/>
      </c>
      <c r="CL154" s="388" t="str">
        <f t="shared" si="129"/>
        <v/>
      </c>
      <c r="CM154" s="388" t="str">
        <f t="shared" si="130"/>
        <v/>
      </c>
      <c r="CN154" s="388" t="str">
        <f t="shared" si="131"/>
        <v>0348-01</v>
      </c>
    </row>
    <row r="155" spans="1:92" ht="15.75" thickBot="1" x14ac:dyDescent="0.3">
      <c r="A155" s="377" t="s">
        <v>162</v>
      </c>
      <c r="B155" s="377" t="s">
        <v>163</v>
      </c>
      <c r="C155" s="377" t="s">
        <v>492</v>
      </c>
      <c r="D155" s="377" t="s">
        <v>276</v>
      </c>
      <c r="E155" s="377" t="s">
        <v>637</v>
      </c>
      <c r="F155" s="383" t="s">
        <v>638</v>
      </c>
      <c r="G155" s="377" t="s">
        <v>439</v>
      </c>
      <c r="H155" s="379"/>
      <c r="I155" s="379"/>
      <c r="J155" s="377" t="s">
        <v>169</v>
      </c>
      <c r="K155" s="377" t="s">
        <v>277</v>
      </c>
      <c r="L155" s="377" t="s">
        <v>215</v>
      </c>
      <c r="M155" s="377" t="s">
        <v>172</v>
      </c>
      <c r="N155" s="377" t="s">
        <v>173</v>
      </c>
      <c r="O155" s="380">
        <v>1</v>
      </c>
      <c r="P155" s="386">
        <v>1</v>
      </c>
      <c r="Q155" s="386">
        <v>1</v>
      </c>
      <c r="R155" s="381">
        <v>80</v>
      </c>
      <c r="S155" s="386">
        <v>1</v>
      </c>
      <c r="T155" s="381">
        <v>44002.36</v>
      </c>
      <c r="U155" s="381">
        <v>0</v>
      </c>
      <c r="V155" s="381">
        <v>20586.32</v>
      </c>
      <c r="W155" s="381">
        <v>46758.400000000001</v>
      </c>
      <c r="X155" s="381">
        <v>22160.720000000001</v>
      </c>
      <c r="Y155" s="381">
        <v>46758.400000000001</v>
      </c>
      <c r="Z155" s="381">
        <v>23074.05</v>
      </c>
      <c r="AA155" s="377" t="s">
        <v>493</v>
      </c>
      <c r="AB155" s="377" t="s">
        <v>494</v>
      </c>
      <c r="AC155" s="377" t="s">
        <v>495</v>
      </c>
      <c r="AD155" s="377" t="s">
        <v>171</v>
      </c>
      <c r="AE155" s="377" t="s">
        <v>277</v>
      </c>
      <c r="AF155" s="377" t="s">
        <v>231</v>
      </c>
      <c r="AG155" s="377" t="s">
        <v>179</v>
      </c>
      <c r="AH155" s="382">
        <v>22.48</v>
      </c>
      <c r="AI155" s="382">
        <v>1745.2</v>
      </c>
      <c r="AJ155" s="377" t="s">
        <v>180</v>
      </c>
      <c r="AK155" s="377" t="s">
        <v>181</v>
      </c>
      <c r="AL155" s="377" t="s">
        <v>182</v>
      </c>
      <c r="AM155" s="377" t="s">
        <v>183</v>
      </c>
      <c r="AN155" s="377" t="s">
        <v>66</v>
      </c>
      <c r="AO155" s="380">
        <v>80</v>
      </c>
      <c r="AP155" s="386">
        <v>1</v>
      </c>
      <c r="AQ155" s="386">
        <v>1</v>
      </c>
      <c r="AR155" s="384" t="s">
        <v>184</v>
      </c>
      <c r="AS155" s="388">
        <f t="shared" si="115"/>
        <v>1</v>
      </c>
      <c r="AT155">
        <f t="shared" si="116"/>
        <v>1</v>
      </c>
      <c r="AU155" s="388">
        <f>IF(AT155=0,"",IF(AND(AT155=1,M155="F",SUMIF(C2:C258,C155,AS2:AS258)&lt;=1),SUMIF(C2:C258,C155,AS2:AS258),IF(AND(AT155=1,M155="F",SUMIF(C2:C258,C155,AS2:AS258)&gt;1),1,"")))</f>
        <v>1</v>
      </c>
      <c r="AV155" s="388" t="str">
        <f>IF(AT155=0,"",IF(AND(AT155=3,M155="F",SUMIF(C2:C258,C155,AS2:AS258)&lt;=1),SUMIF(C2:C258,C155,AS2:AS258),IF(AND(AT155=3,M155="F",SUMIF(C2:C258,C155,AS2:AS258)&gt;1),1,"")))</f>
        <v/>
      </c>
      <c r="AW155" s="388">
        <f>SUMIF(C2:C258,C155,O2:O258)</f>
        <v>3</v>
      </c>
      <c r="AX155" s="388">
        <f>IF(AND(M155="F",AS155&lt;&gt;0),SUMIF(C2:C258,C155,W2:W258),0)</f>
        <v>46758.400000000001</v>
      </c>
      <c r="AY155" s="388">
        <f t="shared" si="117"/>
        <v>46758.400000000001</v>
      </c>
      <c r="AZ155" s="388" t="str">
        <f t="shared" si="118"/>
        <v/>
      </c>
      <c r="BA155" s="388">
        <f t="shared" si="119"/>
        <v>0</v>
      </c>
      <c r="BB155" s="388">
        <f t="shared" si="88"/>
        <v>12500</v>
      </c>
      <c r="BC155" s="388">
        <f t="shared" si="89"/>
        <v>0</v>
      </c>
      <c r="BD155" s="388">
        <f t="shared" si="90"/>
        <v>2899.0208000000002</v>
      </c>
      <c r="BE155" s="388">
        <f t="shared" si="91"/>
        <v>677.99680000000001</v>
      </c>
      <c r="BF155" s="388">
        <f t="shared" si="92"/>
        <v>5582.9529600000005</v>
      </c>
      <c r="BG155" s="388">
        <f t="shared" si="93"/>
        <v>337.12806399999999</v>
      </c>
      <c r="BH155" s="388">
        <f t="shared" si="94"/>
        <v>0</v>
      </c>
      <c r="BI155" s="388">
        <f t="shared" si="95"/>
        <v>0</v>
      </c>
      <c r="BJ155" s="388">
        <f t="shared" si="96"/>
        <v>163.65440000000001</v>
      </c>
      <c r="BK155" s="388">
        <f t="shared" si="97"/>
        <v>0</v>
      </c>
      <c r="BL155" s="388">
        <f t="shared" si="120"/>
        <v>9660.7530240000015</v>
      </c>
      <c r="BM155" s="388">
        <f t="shared" si="121"/>
        <v>0</v>
      </c>
      <c r="BN155" s="388">
        <f t="shared" si="98"/>
        <v>13750</v>
      </c>
      <c r="BO155" s="388">
        <f t="shared" si="99"/>
        <v>0</v>
      </c>
      <c r="BP155" s="388">
        <f t="shared" si="100"/>
        <v>2899.0208000000002</v>
      </c>
      <c r="BQ155" s="388">
        <f t="shared" si="101"/>
        <v>677.99680000000001</v>
      </c>
      <c r="BR155" s="388">
        <f t="shared" si="102"/>
        <v>5227.5891199999996</v>
      </c>
      <c r="BS155" s="388">
        <f t="shared" si="103"/>
        <v>337.12806399999999</v>
      </c>
      <c r="BT155" s="388">
        <f t="shared" si="104"/>
        <v>0</v>
      </c>
      <c r="BU155" s="388">
        <f t="shared" si="105"/>
        <v>0</v>
      </c>
      <c r="BV155" s="388">
        <f t="shared" si="106"/>
        <v>182.35775999999998</v>
      </c>
      <c r="BW155" s="388">
        <f t="shared" si="107"/>
        <v>0</v>
      </c>
      <c r="BX155" s="388">
        <f t="shared" si="122"/>
        <v>9324.092544000001</v>
      </c>
      <c r="BY155" s="388">
        <f t="shared" si="123"/>
        <v>0</v>
      </c>
      <c r="BZ155" s="388">
        <f t="shared" si="124"/>
        <v>1250</v>
      </c>
      <c r="CA155" s="388">
        <f t="shared" si="125"/>
        <v>0</v>
      </c>
      <c r="CB155" s="388">
        <f t="shared" si="126"/>
        <v>0</v>
      </c>
      <c r="CC155" s="388">
        <f t="shared" si="108"/>
        <v>0</v>
      </c>
      <c r="CD155" s="388">
        <f t="shared" si="109"/>
        <v>-355.36384000000044</v>
      </c>
      <c r="CE155" s="388">
        <f t="shared" si="110"/>
        <v>0</v>
      </c>
      <c r="CF155" s="388">
        <f t="shared" si="111"/>
        <v>0</v>
      </c>
      <c r="CG155" s="388">
        <f t="shared" si="112"/>
        <v>0</v>
      </c>
      <c r="CH155" s="388">
        <f t="shared" si="113"/>
        <v>18.703359999999989</v>
      </c>
      <c r="CI155" s="388">
        <f t="shared" si="114"/>
        <v>0</v>
      </c>
      <c r="CJ155" s="388">
        <f t="shared" si="127"/>
        <v>-336.66048000000046</v>
      </c>
      <c r="CK155" s="388" t="str">
        <f t="shared" si="128"/>
        <v/>
      </c>
      <c r="CL155" s="388" t="str">
        <f t="shared" si="129"/>
        <v/>
      </c>
      <c r="CM155" s="388" t="str">
        <f t="shared" si="130"/>
        <v/>
      </c>
      <c r="CN155" s="388" t="str">
        <f t="shared" si="131"/>
        <v>0348-01</v>
      </c>
    </row>
    <row r="156" spans="1:92" ht="15.75" thickBot="1" x14ac:dyDescent="0.3">
      <c r="A156" s="377" t="s">
        <v>162</v>
      </c>
      <c r="B156" s="377" t="s">
        <v>163</v>
      </c>
      <c r="C156" s="377" t="s">
        <v>237</v>
      </c>
      <c r="D156" s="377" t="s">
        <v>238</v>
      </c>
      <c r="E156" s="377" t="s">
        <v>637</v>
      </c>
      <c r="F156" s="383" t="s">
        <v>638</v>
      </c>
      <c r="G156" s="377" t="s">
        <v>439</v>
      </c>
      <c r="H156" s="379"/>
      <c r="I156" s="379"/>
      <c r="J156" s="377" t="s">
        <v>219</v>
      </c>
      <c r="K156" s="377" t="s">
        <v>239</v>
      </c>
      <c r="L156" s="377" t="s">
        <v>240</v>
      </c>
      <c r="M156" s="377" t="s">
        <v>172</v>
      </c>
      <c r="N156" s="377" t="s">
        <v>173</v>
      </c>
      <c r="O156" s="380">
        <v>1</v>
      </c>
      <c r="P156" s="386">
        <v>0</v>
      </c>
      <c r="Q156" s="386">
        <v>0</v>
      </c>
      <c r="R156" s="381">
        <v>80</v>
      </c>
      <c r="S156" s="386">
        <v>0</v>
      </c>
      <c r="T156" s="381">
        <v>10879.06</v>
      </c>
      <c r="U156" s="381">
        <v>0</v>
      </c>
      <c r="V156" s="381">
        <v>3296.8</v>
      </c>
      <c r="W156" s="381">
        <v>0</v>
      </c>
      <c r="X156" s="381">
        <v>0</v>
      </c>
      <c r="Y156" s="381">
        <v>0</v>
      </c>
      <c r="Z156" s="381">
        <v>0</v>
      </c>
      <c r="AA156" s="377" t="s">
        <v>241</v>
      </c>
      <c r="AB156" s="377" t="s">
        <v>242</v>
      </c>
      <c r="AC156" s="377" t="s">
        <v>243</v>
      </c>
      <c r="AD156" s="377" t="s">
        <v>211</v>
      </c>
      <c r="AE156" s="377" t="s">
        <v>244</v>
      </c>
      <c r="AF156" s="377" t="s">
        <v>207</v>
      </c>
      <c r="AG156" s="377" t="s">
        <v>179</v>
      </c>
      <c r="AH156" s="382">
        <v>47.19</v>
      </c>
      <c r="AI156" s="382">
        <v>6916.8</v>
      </c>
      <c r="AJ156" s="377" t="s">
        <v>180</v>
      </c>
      <c r="AK156" s="377" t="s">
        <v>181</v>
      </c>
      <c r="AL156" s="377" t="s">
        <v>182</v>
      </c>
      <c r="AM156" s="377" t="s">
        <v>183</v>
      </c>
      <c r="AN156" s="377" t="s">
        <v>66</v>
      </c>
      <c r="AO156" s="380">
        <v>80</v>
      </c>
      <c r="AP156" s="386">
        <v>1</v>
      </c>
      <c r="AQ156" s="386">
        <v>0</v>
      </c>
      <c r="AR156" s="384" t="s">
        <v>184</v>
      </c>
      <c r="AS156" s="388">
        <f t="shared" si="115"/>
        <v>0</v>
      </c>
      <c r="AT156">
        <f t="shared" si="116"/>
        <v>0</v>
      </c>
      <c r="AU156" s="388" t="str">
        <f>IF(AT156=0,"",IF(AND(AT156=1,M156="F",SUMIF(C2:C258,C156,AS2:AS258)&lt;=1),SUMIF(C2:C258,C156,AS2:AS258),IF(AND(AT156=1,M156="F",SUMIF(C2:C258,C156,AS2:AS258)&gt;1),1,"")))</f>
        <v/>
      </c>
      <c r="AV156" s="388" t="str">
        <f>IF(AT156=0,"",IF(AND(AT156=3,M156="F",SUMIF(C2:C258,C156,AS2:AS258)&lt;=1),SUMIF(C2:C258,C156,AS2:AS258),IF(AND(AT156=3,M156="F",SUMIF(C2:C258,C156,AS2:AS258)&gt;1),1,"")))</f>
        <v/>
      </c>
      <c r="AW156" s="388">
        <f>SUMIF(C2:C258,C156,O2:O258)</f>
        <v>7</v>
      </c>
      <c r="AX156" s="388">
        <f>IF(AND(M156="F",AS156&lt;&gt;0),SUMIF(C2:C258,C156,W2:W258),0)</f>
        <v>0</v>
      </c>
      <c r="AY156" s="388" t="str">
        <f t="shared" si="117"/>
        <v/>
      </c>
      <c r="AZ156" s="388" t="str">
        <f t="shared" si="118"/>
        <v/>
      </c>
      <c r="BA156" s="388">
        <f t="shared" si="119"/>
        <v>0</v>
      </c>
      <c r="BB156" s="388">
        <f t="shared" si="88"/>
        <v>0</v>
      </c>
      <c r="BC156" s="388">
        <f t="shared" si="89"/>
        <v>0</v>
      </c>
      <c r="BD156" s="388">
        <f t="shared" si="90"/>
        <v>0</v>
      </c>
      <c r="BE156" s="388">
        <f t="shared" si="91"/>
        <v>0</v>
      </c>
      <c r="BF156" s="388">
        <f t="shared" si="92"/>
        <v>0</v>
      </c>
      <c r="BG156" s="388">
        <f t="shared" si="93"/>
        <v>0</v>
      </c>
      <c r="BH156" s="388">
        <f t="shared" si="94"/>
        <v>0</v>
      </c>
      <c r="BI156" s="388">
        <f t="shared" si="95"/>
        <v>0</v>
      </c>
      <c r="BJ156" s="388">
        <f t="shared" si="96"/>
        <v>0</v>
      </c>
      <c r="BK156" s="388">
        <f t="shared" si="97"/>
        <v>0</v>
      </c>
      <c r="BL156" s="388">
        <f t="shared" si="120"/>
        <v>0</v>
      </c>
      <c r="BM156" s="388">
        <f t="shared" si="121"/>
        <v>0</v>
      </c>
      <c r="BN156" s="388">
        <f t="shared" si="98"/>
        <v>0</v>
      </c>
      <c r="BO156" s="388">
        <f t="shared" si="99"/>
        <v>0</v>
      </c>
      <c r="BP156" s="388">
        <f t="shared" si="100"/>
        <v>0</v>
      </c>
      <c r="BQ156" s="388">
        <f t="shared" si="101"/>
        <v>0</v>
      </c>
      <c r="BR156" s="388">
        <f t="shared" si="102"/>
        <v>0</v>
      </c>
      <c r="BS156" s="388">
        <f t="shared" si="103"/>
        <v>0</v>
      </c>
      <c r="BT156" s="388">
        <f t="shared" si="104"/>
        <v>0</v>
      </c>
      <c r="BU156" s="388">
        <f t="shared" si="105"/>
        <v>0</v>
      </c>
      <c r="BV156" s="388">
        <f t="shared" si="106"/>
        <v>0</v>
      </c>
      <c r="BW156" s="388">
        <f t="shared" si="107"/>
        <v>0</v>
      </c>
      <c r="BX156" s="388">
        <f t="shared" si="122"/>
        <v>0</v>
      </c>
      <c r="BY156" s="388">
        <f t="shared" si="123"/>
        <v>0</v>
      </c>
      <c r="BZ156" s="388">
        <f t="shared" si="124"/>
        <v>0</v>
      </c>
      <c r="CA156" s="388">
        <f t="shared" si="125"/>
        <v>0</v>
      </c>
      <c r="CB156" s="388">
        <f t="shared" si="126"/>
        <v>0</v>
      </c>
      <c r="CC156" s="388">
        <f t="shared" si="108"/>
        <v>0</v>
      </c>
      <c r="CD156" s="388">
        <f t="shared" si="109"/>
        <v>0</v>
      </c>
      <c r="CE156" s="388">
        <f t="shared" si="110"/>
        <v>0</v>
      </c>
      <c r="CF156" s="388">
        <f t="shared" si="111"/>
        <v>0</v>
      </c>
      <c r="CG156" s="388">
        <f t="shared" si="112"/>
        <v>0</v>
      </c>
      <c r="CH156" s="388">
        <f t="shared" si="113"/>
        <v>0</v>
      </c>
      <c r="CI156" s="388">
        <f t="shared" si="114"/>
        <v>0</v>
      </c>
      <c r="CJ156" s="388">
        <f t="shared" si="127"/>
        <v>0</v>
      </c>
      <c r="CK156" s="388" t="str">
        <f t="shared" si="128"/>
        <v/>
      </c>
      <c r="CL156" s="388" t="str">
        <f t="shared" si="129"/>
        <v/>
      </c>
      <c r="CM156" s="388" t="str">
        <f t="shared" si="130"/>
        <v/>
      </c>
      <c r="CN156" s="388" t="str">
        <f t="shared" si="131"/>
        <v>0348-01</v>
      </c>
    </row>
    <row r="157" spans="1:92" ht="15.75" thickBot="1" x14ac:dyDescent="0.3">
      <c r="A157" s="377" t="s">
        <v>162</v>
      </c>
      <c r="B157" s="377" t="s">
        <v>163</v>
      </c>
      <c r="C157" s="377" t="s">
        <v>608</v>
      </c>
      <c r="D157" s="377" t="s">
        <v>276</v>
      </c>
      <c r="E157" s="377" t="s">
        <v>637</v>
      </c>
      <c r="F157" s="383" t="s">
        <v>418</v>
      </c>
      <c r="G157" s="377" t="s">
        <v>439</v>
      </c>
      <c r="H157" s="379"/>
      <c r="I157" s="379"/>
      <c r="J157" s="377" t="s">
        <v>169</v>
      </c>
      <c r="K157" s="377" t="s">
        <v>277</v>
      </c>
      <c r="L157" s="377" t="s">
        <v>215</v>
      </c>
      <c r="M157" s="377" t="s">
        <v>172</v>
      </c>
      <c r="N157" s="377" t="s">
        <v>173</v>
      </c>
      <c r="O157" s="380">
        <v>1</v>
      </c>
      <c r="P157" s="386">
        <v>1</v>
      </c>
      <c r="Q157" s="386">
        <v>1</v>
      </c>
      <c r="R157" s="381">
        <v>80</v>
      </c>
      <c r="S157" s="386">
        <v>1</v>
      </c>
      <c r="T157" s="381">
        <v>26782.18</v>
      </c>
      <c r="U157" s="381">
        <v>0</v>
      </c>
      <c r="V157" s="381">
        <v>12089.43</v>
      </c>
      <c r="W157" s="381">
        <v>47132.800000000003</v>
      </c>
      <c r="X157" s="381">
        <v>22238.080000000002</v>
      </c>
      <c r="Y157" s="381">
        <v>47132.800000000003</v>
      </c>
      <c r="Z157" s="381">
        <v>23148.720000000001</v>
      </c>
      <c r="AA157" s="377" t="s">
        <v>610</v>
      </c>
      <c r="AB157" s="377" t="s">
        <v>611</v>
      </c>
      <c r="AC157" s="377" t="s">
        <v>331</v>
      </c>
      <c r="AD157" s="377" t="s">
        <v>316</v>
      </c>
      <c r="AE157" s="377" t="s">
        <v>277</v>
      </c>
      <c r="AF157" s="377" t="s">
        <v>231</v>
      </c>
      <c r="AG157" s="377" t="s">
        <v>179</v>
      </c>
      <c r="AH157" s="382">
        <v>22.66</v>
      </c>
      <c r="AI157" s="382">
        <v>16999.2</v>
      </c>
      <c r="AJ157" s="377" t="s">
        <v>180</v>
      </c>
      <c r="AK157" s="377" t="s">
        <v>181</v>
      </c>
      <c r="AL157" s="377" t="s">
        <v>182</v>
      </c>
      <c r="AM157" s="377" t="s">
        <v>183</v>
      </c>
      <c r="AN157" s="377" t="s">
        <v>66</v>
      </c>
      <c r="AO157" s="380">
        <v>80</v>
      </c>
      <c r="AP157" s="386">
        <v>1</v>
      </c>
      <c r="AQ157" s="386">
        <v>1</v>
      </c>
      <c r="AR157" s="384" t="s">
        <v>184</v>
      </c>
      <c r="AS157" s="388">
        <f t="shared" si="115"/>
        <v>1</v>
      </c>
      <c r="AT157">
        <f t="shared" si="116"/>
        <v>1</v>
      </c>
      <c r="AU157" s="388">
        <f>IF(AT157=0,"",IF(AND(AT157=1,M157="F",SUMIF(C2:C258,C157,AS2:AS258)&lt;=1),SUMIF(C2:C258,C157,AS2:AS258),IF(AND(AT157=1,M157="F",SUMIF(C2:C258,C157,AS2:AS258)&gt;1),1,"")))</f>
        <v>1</v>
      </c>
      <c r="AV157" s="388" t="str">
        <f>IF(AT157=0,"",IF(AND(AT157=3,M157="F",SUMIF(C2:C258,C157,AS2:AS258)&lt;=1),SUMIF(C2:C258,C157,AS2:AS258),IF(AND(AT157=3,M157="F",SUMIF(C2:C258,C157,AS2:AS258)&gt;1),1,"")))</f>
        <v/>
      </c>
      <c r="AW157" s="388">
        <f>SUMIF(C2:C258,C157,O2:O258)</f>
        <v>3</v>
      </c>
      <c r="AX157" s="388">
        <f>IF(AND(M157="F",AS157&lt;&gt;0),SUMIF(C2:C258,C157,W2:W258),0)</f>
        <v>47132.800000000003</v>
      </c>
      <c r="AY157" s="388">
        <f t="shared" si="117"/>
        <v>47132.800000000003</v>
      </c>
      <c r="AZ157" s="388" t="str">
        <f t="shared" si="118"/>
        <v/>
      </c>
      <c r="BA157" s="388">
        <f t="shared" si="119"/>
        <v>0</v>
      </c>
      <c r="BB157" s="388">
        <f t="shared" si="88"/>
        <v>12500</v>
      </c>
      <c r="BC157" s="388">
        <f t="shared" si="89"/>
        <v>0</v>
      </c>
      <c r="BD157" s="388">
        <f t="shared" si="90"/>
        <v>2922.2336</v>
      </c>
      <c r="BE157" s="388">
        <f t="shared" si="91"/>
        <v>683.42560000000003</v>
      </c>
      <c r="BF157" s="388">
        <f t="shared" si="92"/>
        <v>5627.656320000001</v>
      </c>
      <c r="BG157" s="388">
        <f t="shared" si="93"/>
        <v>339.82748800000002</v>
      </c>
      <c r="BH157" s="388">
        <f t="shared" si="94"/>
        <v>0</v>
      </c>
      <c r="BI157" s="388">
        <f t="shared" si="95"/>
        <v>0</v>
      </c>
      <c r="BJ157" s="388">
        <f t="shared" si="96"/>
        <v>164.96480000000003</v>
      </c>
      <c r="BK157" s="388">
        <f t="shared" si="97"/>
        <v>0</v>
      </c>
      <c r="BL157" s="388">
        <f t="shared" si="120"/>
        <v>9738.1078080000007</v>
      </c>
      <c r="BM157" s="388">
        <f t="shared" si="121"/>
        <v>0</v>
      </c>
      <c r="BN157" s="388">
        <f t="shared" si="98"/>
        <v>13750</v>
      </c>
      <c r="BO157" s="388">
        <f t="shared" si="99"/>
        <v>0</v>
      </c>
      <c r="BP157" s="388">
        <f t="shared" si="100"/>
        <v>2922.2336</v>
      </c>
      <c r="BQ157" s="388">
        <f t="shared" si="101"/>
        <v>683.42560000000003</v>
      </c>
      <c r="BR157" s="388">
        <f t="shared" si="102"/>
        <v>5269.44704</v>
      </c>
      <c r="BS157" s="388">
        <f t="shared" si="103"/>
        <v>339.82748800000002</v>
      </c>
      <c r="BT157" s="388">
        <f t="shared" si="104"/>
        <v>0</v>
      </c>
      <c r="BU157" s="388">
        <f t="shared" si="105"/>
        <v>0</v>
      </c>
      <c r="BV157" s="388">
        <f t="shared" si="106"/>
        <v>183.81792000000002</v>
      </c>
      <c r="BW157" s="388">
        <f t="shared" si="107"/>
        <v>0</v>
      </c>
      <c r="BX157" s="388">
        <f t="shared" si="122"/>
        <v>9398.7516480000013</v>
      </c>
      <c r="BY157" s="388">
        <f t="shared" si="123"/>
        <v>0</v>
      </c>
      <c r="BZ157" s="388">
        <f t="shared" si="124"/>
        <v>1250</v>
      </c>
      <c r="CA157" s="388">
        <f t="shared" si="125"/>
        <v>0</v>
      </c>
      <c r="CB157" s="388">
        <f t="shared" si="126"/>
        <v>0</v>
      </c>
      <c r="CC157" s="388">
        <f t="shared" si="108"/>
        <v>0</v>
      </c>
      <c r="CD157" s="388">
        <f t="shared" si="109"/>
        <v>-358.20928000000049</v>
      </c>
      <c r="CE157" s="388">
        <f t="shared" si="110"/>
        <v>0</v>
      </c>
      <c r="CF157" s="388">
        <f t="shared" si="111"/>
        <v>0</v>
      </c>
      <c r="CG157" s="388">
        <f t="shared" si="112"/>
        <v>0</v>
      </c>
      <c r="CH157" s="388">
        <f t="shared" si="113"/>
        <v>18.85311999999999</v>
      </c>
      <c r="CI157" s="388">
        <f t="shared" si="114"/>
        <v>0</v>
      </c>
      <c r="CJ157" s="388">
        <f t="shared" si="127"/>
        <v>-339.3561600000005</v>
      </c>
      <c r="CK157" s="388" t="str">
        <f t="shared" si="128"/>
        <v/>
      </c>
      <c r="CL157" s="388" t="str">
        <f t="shared" si="129"/>
        <v/>
      </c>
      <c r="CM157" s="388" t="str">
        <f t="shared" si="130"/>
        <v/>
      </c>
      <c r="CN157" s="388" t="str">
        <f t="shared" si="131"/>
        <v>0348-03</v>
      </c>
    </row>
    <row r="158" spans="1:92" ht="15.75" thickBot="1" x14ac:dyDescent="0.3">
      <c r="A158" s="377" t="s">
        <v>162</v>
      </c>
      <c r="B158" s="377" t="s">
        <v>163</v>
      </c>
      <c r="C158" s="377" t="s">
        <v>612</v>
      </c>
      <c r="D158" s="377" t="s">
        <v>194</v>
      </c>
      <c r="E158" s="377" t="s">
        <v>637</v>
      </c>
      <c r="F158" s="383" t="s">
        <v>418</v>
      </c>
      <c r="G158" s="377" t="s">
        <v>439</v>
      </c>
      <c r="H158" s="379"/>
      <c r="I158" s="379"/>
      <c r="J158" s="377" t="s">
        <v>613</v>
      </c>
      <c r="K158" s="377" t="s">
        <v>195</v>
      </c>
      <c r="L158" s="377" t="s">
        <v>171</v>
      </c>
      <c r="M158" s="377" t="s">
        <v>172</v>
      </c>
      <c r="N158" s="377" t="s">
        <v>173</v>
      </c>
      <c r="O158" s="380">
        <v>1</v>
      </c>
      <c r="P158" s="386">
        <v>0.9</v>
      </c>
      <c r="Q158" s="386">
        <v>0.9</v>
      </c>
      <c r="R158" s="381">
        <v>80</v>
      </c>
      <c r="S158" s="386">
        <v>0.9</v>
      </c>
      <c r="T158" s="381">
        <v>55796.57</v>
      </c>
      <c r="U158" s="381">
        <v>0</v>
      </c>
      <c r="V158" s="381">
        <v>21403.43</v>
      </c>
      <c r="W158" s="381">
        <v>58013.279999999999</v>
      </c>
      <c r="X158" s="381">
        <v>23236.07</v>
      </c>
      <c r="Y158" s="381">
        <v>58013.279999999999</v>
      </c>
      <c r="Z158" s="381">
        <v>23943.360000000001</v>
      </c>
      <c r="AA158" s="377" t="s">
        <v>614</v>
      </c>
      <c r="AB158" s="377" t="s">
        <v>615</v>
      </c>
      <c r="AC158" s="377" t="s">
        <v>416</v>
      </c>
      <c r="AD158" s="377" t="s">
        <v>560</v>
      </c>
      <c r="AE158" s="377" t="s">
        <v>195</v>
      </c>
      <c r="AF158" s="377" t="s">
        <v>178</v>
      </c>
      <c r="AG158" s="377" t="s">
        <v>179</v>
      </c>
      <c r="AH158" s="382">
        <v>30.99</v>
      </c>
      <c r="AI158" s="382">
        <v>49155.5</v>
      </c>
      <c r="AJ158" s="377" t="s">
        <v>180</v>
      </c>
      <c r="AK158" s="377" t="s">
        <v>181</v>
      </c>
      <c r="AL158" s="377" t="s">
        <v>182</v>
      </c>
      <c r="AM158" s="377" t="s">
        <v>183</v>
      </c>
      <c r="AN158" s="377" t="s">
        <v>66</v>
      </c>
      <c r="AO158" s="380">
        <v>80</v>
      </c>
      <c r="AP158" s="386">
        <v>1</v>
      </c>
      <c r="AQ158" s="386">
        <v>0.9</v>
      </c>
      <c r="AR158" s="384" t="s">
        <v>184</v>
      </c>
      <c r="AS158" s="388">
        <f t="shared" si="115"/>
        <v>0.9</v>
      </c>
      <c r="AT158">
        <f t="shared" si="116"/>
        <v>1</v>
      </c>
      <c r="AU158" s="388">
        <f>IF(AT158=0,"",IF(AND(AT158=1,M158="F",SUMIF(C2:C258,C158,AS2:AS258)&lt;=1),SUMIF(C2:C258,C158,AS2:AS258),IF(AND(AT158=1,M158="F",SUMIF(C2:C258,C158,AS2:AS258)&gt;1),1,"")))</f>
        <v>1</v>
      </c>
      <c r="AV158" s="388" t="str">
        <f>IF(AT158=0,"",IF(AND(AT158=3,M158="F",SUMIF(C2:C258,C158,AS2:AS258)&lt;=1),SUMIF(C2:C258,C158,AS2:AS258),IF(AND(AT158=3,M158="F",SUMIF(C2:C258,C158,AS2:AS258)&gt;1),1,"")))</f>
        <v/>
      </c>
      <c r="AW158" s="388">
        <f>SUMIF(C2:C258,C158,O2:O258)</f>
        <v>4</v>
      </c>
      <c r="AX158" s="388">
        <f>IF(AND(M158="F",AS158&lt;&gt;0),SUMIF(C2:C258,C158,W2:W258),0)</f>
        <v>64459.199999999997</v>
      </c>
      <c r="AY158" s="388">
        <f t="shared" si="117"/>
        <v>58013.279999999999</v>
      </c>
      <c r="AZ158" s="388" t="str">
        <f t="shared" si="118"/>
        <v/>
      </c>
      <c r="BA158" s="388">
        <f t="shared" si="119"/>
        <v>0</v>
      </c>
      <c r="BB158" s="388">
        <f t="shared" si="88"/>
        <v>11250</v>
      </c>
      <c r="BC158" s="388">
        <f t="shared" si="89"/>
        <v>0</v>
      </c>
      <c r="BD158" s="388">
        <f t="shared" si="90"/>
        <v>3596.8233599999999</v>
      </c>
      <c r="BE158" s="388">
        <f t="shared" si="91"/>
        <v>841.19256000000007</v>
      </c>
      <c r="BF158" s="388">
        <f t="shared" si="92"/>
        <v>6926.7856320000001</v>
      </c>
      <c r="BG158" s="388">
        <f t="shared" si="93"/>
        <v>418.27574880000003</v>
      </c>
      <c r="BH158" s="388">
        <f t="shared" si="94"/>
        <v>0</v>
      </c>
      <c r="BI158" s="388">
        <f t="shared" si="95"/>
        <v>0</v>
      </c>
      <c r="BJ158" s="388">
        <f t="shared" si="96"/>
        <v>203.04648</v>
      </c>
      <c r="BK158" s="388">
        <f t="shared" si="97"/>
        <v>0</v>
      </c>
      <c r="BL158" s="388">
        <f t="shared" si="120"/>
        <v>11986.123780800002</v>
      </c>
      <c r="BM158" s="388">
        <f t="shared" si="121"/>
        <v>0</v>
      </c>
      <c r="BN158" s="388">
        <f t="shared" si="98"/>
        <v>12375</v>
      </c>
      <c r="BO158" s="388">
        <f t="shared" si="99"/>
        <v>0</v>
      </c>
      <c r="BP158" s="388">
        <f t="shared" si="100"/>
        <v>3596.8233599999999</v>
      </c>
      <c r="BQ158" s="388">
        <f t="shared" si="101"/>
        <v>841.19256000000007</v>
      </c>
      <c r="BR158" s="388">
        <f t="shared" si="102"/>
        <v>6485.8847040000001</v>
      </c>
      <c r="BS158" s="388">
        <f t="shared" si="103"/>
        <v>418.27574880000003</v>
      </c>
      <c r="BT158" s="388">
        <f t="shared" si="104"/>
        <v>0</v>
      </c>
      <c r="BU158" s="388">
        <f t="shared" si="105"/>
        <v>0</v>
      </c>
      <c r="BV158" s="388">
        <f t="shared" si="106"/>
        <v>226.25179199999999</v>
      </c>
      <c r="BW158" s="388">
        <f t="shared" si="107"/>
        <v>0</v>
      </c>
      <c r="BX158" s="388">
        <f t="shared" si="122"/>
        <v>11568.4281648</v>
      </c>
      <c r="BY158" s="388">
        <f t="shared" si="123"/>
        <v>0</v>
      </c>
      <c r="BZ158" s="388">
        <f t="shared" si="124"/>
        <v>1125</v>
      </c>
      <c r="CA158" s="388">
        <f t="shared" si="125"/>
        <v>0</v>
      </c>
      <c r="CB158" s="388">
        <f t="shared" si="126"/>
        <v>0</v>
      </c>
      <c r="CC158" s="388">
        <f t="shared" si="108"/>
        <v>0</v>
      </c>
      <c r="CD158" s="388">
        <f t="shared" si="109"/>
        <v>-440.90092800000053</v>
      </c>
      <c r="CE158" s="388">
        <f t="shared" si="110"/>
        <v>0</v>
      </c>
      <c r="CF158" s="388">
        <f t="shared" si="111"/>
        <v>0</v>
      </c>
      <c r="CG158" s="388">
        <f t="shared" si="112"/>
        <v>0</v>
      </c>
      <c r="CH158" s="388">
        <f t="shared" si="113"/>
        <v>23.205311999999985</v>
      </c>
      <c r="CI158" s="388">
        <f t="shared" si="114"/>
        <v>0</v>
      </c>
      <c r="CJ158" s="388">
        <f t="shared" si="127"/>
        <v>-417.69561600000054</v>
      </c>
      <c r="CK158" s="388" t="str">
        <f t="shared" si="128"/>
        <v/>
      </c>
      <c r="CL158" s="388" t="str">
        <f t="shared" si="129"/>
        <v/>
      </c>
      <c r="CM158" s="388" t="str">
        <f t="shared" si="130"/>
        <v/>
      </c>
      <c r="CN158" s="388" t="str">
        <f t="shared" si="131"/>
        <v>0348-03</v>
      </c>
    </row>
    <row r="159" spans="1:92" ht="15.75" thickBot="1" x14ac:dyDescent="0.3">
      <c r="A159" s="377" t="s">
        <v>162</v>
      </c>
      <c r="B159" s="377" t="s">
        <v>163</v>
      </c>
      <c r="C159" s="377" t="s">
        <v>616</v>
      </c>
      <c r="D159" s="377" t="s">
        <v>194</v>
      </c>
      <c r="E159" s="377" t="s">
        <v>637</v>
      </c>
      <c r="F159" s="383" t="s">
        <v>418</v>
      </c>
      <c r="G159" s="377" t="s">
        <v>439</v>
      </c>
      <c r="H159" s="379"/>
      <c r="I159" s="379"/>
      <c r="J159" s="377" t="s">
        <v>169</v>
      </c>
      <c r="K159" s="377" t="s">
        <v>226</v>
      </c>
      <c r="L159" s="377" t="s">
        <v>215</v>
      </c>
      <c r="M159" s="377" t="s">
        <v>172</v>
      </c>
      <c r="N159" s="377" t="s">
        <v>173</v>
      </c>
      <c r="O159" s="380">
        <v>1</v>
      </c>
      <c r="P159" s="386">
        <v>1</v>
      </c>
      <c r="Q159" s="386">
        <v>1</v>
      </c>
      <c r="R159" s="381">
        <v>80</v>
      </c>
      <c r="S159" s="386">
        <v>1</v>
      </c>
      <c r="T159" s="381">
        <v>44559.78</v>
      </c>
      <c r="U159" s="381">
        <v>0</v>
      </c>
      <c r="V159" s="381">
        <v>18173.79</v>
      </c>
      <c r="W159" s="381">
        <v>55598.400000000001</v>
      </c>
      <c r="X159" s="381">
        <v>23987.15</v>
      </c>
      <c r="Y159" s="381">
        <v>55598.400000000001</v>
      </c>
      <c r="Z159" s="381">
        <v>24836.85</v>
      </c>
      <c r="AA159" s="377" t="s">
        <v>617</v>
      </c>
      <c r="AB159" s="377" t="s">
        <v>618</v>
      </c>
      <c r="AC159" s="377" t="s">
        <v>619</v>
      </c>
      <c r="AD159" s="377" t="s">
        <v>620</v>
      </c>
      <c r="AE159" s="377" t="s">
        <v>226</v>
      </c>
      <c r="AF159" s="377" t="s">
        <v>231</v>
      </c>
      <c r="AG159" s="377" t="s">
        <v>179</v>
      </c>
      <c r="AH159" s="382">
        <v>26.73</v>
      </c>
      <c r="AI159" s="382">
        <v>12207.9</v>
      </c>
      <c r="AJ159" s="377" t="s">
        <v>180</v>
      </c>
      <c r="AK159" s="377" t="s">
        <v>181</v>
      </c>
      <c r="AL159" s="377" t="s">
        <v>182</v>
      </c>
      <c r="AM159" s="377" t="s">
        <v>183</v>
      </c>
      <c r="AN159" s="377" t="s">
        <v>66</v>
      </c>
      <c r="AO159" s="380">
        <v>80</v>
      </c>
      <c r="AP159" s="386">
        <v>1</v>
      </c>
      <c r="AQ159" s="386">
        <v>1</v>
      </c>
      <c r="AR159" s="384" t="s">
        <v>184</v>
      </c>
      <c r="AS159" s="388">
        <f t="shared" si="115"/>
        <v>1</v>
      </c>
      <c r="AT159">
        <f t="shared" si="116"/>
        <v>1</v>
      </c>
      <c r="AU159" s="388">
        <f>IF(AT159=0,"",IF(AND(AT159=1,M159="F",SUMIF(C2:C258,C159,AS2:AS258)&lt;=1),SUMIF(C2:C258,C159,AS2:AS258),IF(AND(AT159=1,M159="F",SUMIF(C2:C258,C159,AS2:AS258)&gt;1),1,"")))</f>
        <v>1</v>
      </c>
      <c r="AV159" s="388" t="str">
        <f>IF(AT159=0,"",IF(AND(AT159=3,M159="F",SUMIF(C2:C258,C159,AS2:AS258)&lt;=1),SUMIF(C2:C258,C159,AS2:AS258),IF(AND(AT159=3,M159="F",SUMIF(C2:C258,C159,AS2:AS258)&gt;1),1,"")))</f>
        <v/>
      </c>
      <c r="AW159" s="388">
        <f>SUMIF(C2:C258,C159,O2:O258)</f>
        <v>3</v>
      </c>
      <c r="AX159" s="388">
        <f>IF(AND(M159="F",AS159&lt;&gt;0),SUMIF(C2:C258,C159,W2:W258),0)</f>
        <v>55598.400000000001</v>
      </c>
      <c r="AY159" s="388">
        <f t="shared" si="117"/>
        <v>55598.400000000001</v>
      </c>
      <c r="AZ159" s="388" t="str">
        <f t="shared" si="118"/>
        <v/>
      </c>
      <c r="BA159" s="388">
        <f t="shared" si="119"/>
        <v>0</v>
      </c>
      <c r="BB159" s="388">
        <f t="shared" si="88"/>
        <v>12500</v>
      </c>
      <c r="BC159" s="388">
        <f t="shared" si="89"/>
        <v>0</v>
      </c>
      <c r="BD159" s="388">
        <f t="shared" si="90"/>
        <v>3447.1008000000002</v>
      </c>
      <c r="BE159" s="388">
        <f t="shared" si="91"/>
        <v>806.17680000000007</v>
      </c>
      <c r="BF159" s="388">
        <f t="shared" si="92"/>
        <v>6638.4489600000006</v>
      </c>
      <c r="BG159" s="388">
        <f t="shared" si="93"/>
        <v>400.864464</v>
      </c>
      <c r="BH159" s="388">
        <f t="shared" si="94"/>
        <v>0</v>
      </c>
      <c r="BI159" s="388">
        <f t="shared" si="95"/>
        <v>0</v>
      </c>
      <c r="BJ159" s="388">
        <f t="shared" si="96"/>
        <v>194.59440000000001</v>
      </c>
      <c r="BK159" s="388">
        <f t="shared" si="97"/>
        <v>0</v>
      </c>
      <c r="BL159" s="388">
        <f t="shared" si="120"/>
        <v>11487.185424000001</v>
      </c>
      <c r="BM159" s="388">
        <f t="shared" si="121"/>
        <v>0</v>
      </c>
      <c r="BN159" s="388">
        <f t="shared" si="98"/>
        <v>13750</v>
      </c>
      <c r="BO159" s="388">
        <f t="shared" si="99"/>
        <v>0</v>
      </c>
      <c r="BP159" s="388">
        <f t="shared" si="100"/>
        <v>3447.1008000000002</v>
      </c>
      <c r="BQ159" s="388">
        <f t="shared" si="101"/>
        <v>806.17680000000007</v>
      </c>
      <c r="BR159" s="388">
        <f t="shared" si="102"/>
        <v>6215.9011199999995</v>
      </c>
      <c r="BS159" s="388">
        <f t="shared" si="103"/>
        <v>400.864464</v>
      </c>
      <c r="BT159" s="388">
        <f t="shared" si="104"/>
        <v>0</v>
      </c>
      <c r="BU159" s="388">
        <f t="shared" si="105"/>
        <v>0</v>
      </c>
      <c r="BV159" s="388">
        <f t="shared" si="106"/>
        <v>216.83375999999998</v>
      </c>
      <c r="BW159" s="388">
        <f t="shared" si="107"/>
        <v>0</v>
      </c>
      <c r="BX159" s="388">
        <f t="shared" si="122"/>
        <v>11086.876944</v>
      </c>
      <c r="BY159" s="388">
        <f t="shared" si="123"/>
        <v>0</v>
      </c>
      <c r="BZ159" s="388">
        <f t="shared" si="124"/>
        <v>1250</v>
      </c>
      <c r="CA159" s="388">
        <f t="shared" si="125"/>
        <v>0</v>
      </c>
      <c r="CB159" s="388">
        <f t="shared" si="126"/>
        <v>0</v>
      </c>
      <c r="CC159" s="388">
        <f t="shared" si="108"/>
        <v>0</v>
      </c>
      <c r="CD159" s="388">
        <f t="shared" si="109"/>
        <v>-422.54784000000052</v>
      </c>
      <c r="CE159" s="388">
        <f t="shared" si="110"/>
        <v>0</v>
      </c>
      <c r="CF159" s="388">
        <f t="shared" si="111"/>
        <v>0</v>
      </c>
      <c r="CG159" s="388">
        <f t="shared" si="112"/>
        <v>0</v>
      </c>
      <c r="CH159" s="388">
        <f t="shared" si="113"/>
        <v>22.239359999999987</v>
      </c>
      <c r="CI159" s="388">
        <f t="shared" si="114"/>
        <v>0</v>
      </c>
      <c r="CJ159" s="388">
        <f t="shared" si="127"/>
        <v>-400.30848000000054</v>
      </c>
      <c r="CK159" s="388" t="str">
        <f t="shared" si="128"/>
        <v/>
      </c>
      <c r="CL159" s="388" t="str">
        <f t="shared" si="129"/>
        <v/>
      </c>
      <c r="CM159" s="388" t="str">
        <f t="shared" si="130"/>
        <v/>
      </c>
      <c r="CN159" s="388" t="str">
        <f t="shared" si="131"/>
        <v>0348-03</v>
      </c>
    </row>
    <row r="160" spans="1:92" ht="15.75" thickBot="1" x14ac:dyDescent="0.3">
      <c r="A160" s="377" t="s">
        <v>162</v>
      </c>
      <c r="B160" s="377" t="s">
        <v>163</v>
      </c>
      <c r="C160" s="377" t="s">
        <v>687</v>
      </c>
      <c r="D160" s="377" t="s">
        <v>276</v>
      </c>
      <c r="E160" s="377" t="s">
        <v>637</v>
      </c>
      <c r="F160" s="383" t="s">
        <v>418</v>
      </c>
      <c r="G160" s="377" t="s">
        <v>439</v>
      </c>
      <c r="H160" s="379"/>
      <c r="I160" s="379"/>
      <c r="J160" s="377" t="s">
        <v>613</v>
      </c>
      <c r="K160" s="377" t="s">
        <v>277</v>
      </c>
      <c r="L160" s="377" t="s">
        <v>215</v>
      </c>
      <c r="M160" s="377" t="s">
        <v>172</v>
      </c>
      <c r="N160" s="377" t="s">
        <v>173</v>
      </c>
      <c r="O160" s="380">
        <v>1</v>
      </c>
      <c r="P160" s="386">
        <v>1</v>
      </c>
      <c r="Q160" s="386">
        <v>1</v>
      </c>
      <c r="R160" s="381">
        <v>80</v>
      </c>
      <c r="S160" s="386">
        <v>1</v>
      </c>
      <c r="T160" s="381">
        <v>47858.37</v>
      </c>
      <c r="U160" s="381">
        <v>0</v>
      </c>
      <c r="V160" s="381">
        <v>19264.759999999998</v>
      </c>
      <c r="W160" s="381">
        <v>56472</v>
      </c>
      <c r="X160" s="381">
        <v>24167.63</v>
      </c>
      <c r="Y160" s="381">
        <v>56472</v>
      </c>
      <c r="Z160" s="381">
        <v>25011.03</v>
      </c>
      <c r="AA160" s="377" t="s">
        <v>688</v>
      </c>
      <c r="AB160" s="377" t="s">
        <v>689</v>
      </c>
      <c r="AC160" s="377" t="s">
        <v>690</v>
      </c>
      <c r="AD160" s="377" t="s">
        <v>181</v>
      </c>
      <c r="AE160" s="377" t="s">
        <v>277</v>
      </c>
      <c r="AF160" s="377" t="s">
        <v>231</v>
      </c>
      <c r="AG160" s="377" t="s">
        <v>179</v>
      </c>
      <c r="AH160" s="382">
        <v>27.15</v>
      </c>
      <c r="AI160" s="382">
        <v>20161.400000000001</v>
      </c>
      <c r="AJ160" s="377" t="s">
        <v>180</v>
      </c>
      <c r="AK160" s="377" t="s">
        <v>181</v>
      </c>
      <c r="AL160" s="377" t="s">
        <v>182</v>
      </c>
      <c r="AM160" s="377" t="s">
        <v>183</v>
      </c>
      <c r="AN160" s="377" t="s">
        <v>66</v>
      </c>
      <c r="AO160" s="380">
        <v>80</v>
      </c>
      <c r="AP160" s="386">
        <v>1</v>
      </c>
      <c r="AQ160" s="386">
        <v>1</v>
      </c>
      <c r="AR160" s="384" t="s">
        <v>184</v>
      </c>
      <c r="AS160" s="388">
        <f t="shared" si="115"/>
        <v>1</v>
      </c>
      <c r="AT160">
        <f t="shared" si="116"/>
        <v>1</v>
      </c>
      <c r="AU160" s="388">
        <f>IF(AT160=0,"",IF(AND(AT160=1,M160="F",SUMIF(C2:C258,C160,AS2:AS258)&lt;=1),SUMIF(C2:C258,C160,AS2:AS258),IF(AND(AT160=1,M160="F",SUMIF(C2:C258,C160,AS2:AS258)&gt;1),1,"")))</f>
        <v>1</v>
      </c>
      <c r="AV160" s="388" t="str">
        <f>IF(AT160=0,"",IF(AND(AT160=3,M160="F",SUMIF(C2:C258,C160,AS2:AS258)&lt;=1),SUMIF(C2:C258,C160,AS2:AS258),IF(AND(AT160=3,M160="F",SUMIF(C2:C258,C160,AS2:AS258)&gt;1),1,"")))</f>
        <v/>
      </c>
      <c r="AW160" s="388">
        <f>SUMIF(C2:C258,C160,O2:O258)</f>
        <v>3</v>
      </c>
      <c r="AX160" s="388">
        <f>IF(AND(M160="F",AS160&lt;&gt;0),SUMIF(C2:C258,C160,W2:W258),0)</f>
        <v>56472</v>
      </c>
      <c r="AY160" s="388">
        <f t="shared" si="117"/>
        <v>56472</v>
      </c>
      <c r="AZ160" s="388" t="str">
        <f t="shared" si="118"/>
        <v/>
      </c>
      <c r="BA160" s="388">
        <f t="shared" si="119"/>
        <v>0</v>
      </c>
      <c r="BB160" s="388">
        <f t="shared" si="88"/>
        <v>12500</v>
      </c>
      <c r="BC160" s="388">
        <f t="shared" si="89"/>
        <v>0</v>
      </c>
      <c r="BD160" s="388">
        <f t="shared" si="90"/>
        <v>3501.2640000000001</v>
      </c>
      <c r="BE160" s="388">
        <f t="shared" si="91"/>
        <v>818.84400000000005</v>
      </c>
      <c r="BF160" s="388">
        <f t="shared" si="92"/>
        <v>6742.7568000000001</v>
      </c>
      <c r="BG160" s="388">
        <f t="shared" si="93"/>
        <v>407.16311999999999</v>
      </c>
      <c r="BH160" s="388">
        <f t="shared" si="94"/>
        <v>0</v>
      </c>
      <c r="BI160" s="388">
        <f t="shared" si="95"/>
        <v>0</v>
      </c>
      <c r="BJ160" s="388">
        <f t="shared" si="96"/>
        <v>197.65200000000002</v>
      </c>
      <c r="BK160" s="388">
        <f t="shared" si="97"/>
        <v>0</v>
      </c>
      <c r="BL160" s="388">
        <f t="shared" si="120"/>
        <v>11667.679919999999</v>
      </c>
      <c r="BM160" s="388">
        <f t="shared" si="121"/>
        <v>0</v>
      </c>
      <c r="BN160" s="388">
        <f t="shared" si="98"/>
        <v>13750</v>
      </c>
      <c r="BO160" s="388">
        <f t="shared" si="99"/>
        <v>0</v>
      </c>
      <c r="BP160" s="388">
        <f t="shared" si="100"/>
        <v>3501.2640000000001</v>
      </c>
      <c r="BQ160" s="388">
        <f t="shared" si="101"/>
        <v>818.84400000000005</v>
      </c>
      <c r="BR160" s="388">
        <f t="shared" si="102"/>
        <v>6313.5695999999998</v>
      </c>
      <c r="BS160" s="388">
        <f t="shared" si="103"/>
        <v>407.16311999999999</v>
      </c>
      <c r="BT160" s="388">
        <f t="shared" si="104"/>
        <v>0</v>
      </c>
      <c r="BU160" s="388">
        <f t="shared" si="105"/>
        <v>0</v>
      </c>
      <c r="BV160" s="388">
        <f t="shared" si="106"/>
        <v>220.24079999999998</v>
      </c>
      <c r="BW160" s="388">
        <f t="shared" si="107"/>
        <v>0</v>
      </c>
      <c r="BX160" s="388">
        <f t="shared" si="122"/>
        <v>11261.081519999998</v>
      </c>
      <c r="BY160" s="388">
        <f t="shared" si="123"/>
        <v>0</v>
      </c>
      <c r="BZ160" s="388">
        <f t="shared" si="124"/>
        <v>1250</v>
      </c>
      <c r="CA160" s="388">
        <f t="shared" si="125"/>
        <v>0</v>
      </c>
      <c r="CB160" s="388">
        <f t="shared" si="126"/>
        <v>0</v>
      </c>
      <c r="CC160" s="388">
        <f t="shared" si="108"/>
        <v>0</v>
      </c>
      <c r="CD160" s="388">
        <f t="shared" si="109"/>
        <v>-429.18720000000053</v>
      </c>
      <c r="CE160" s="388">
        <f t="shared" si="110"/>
        <v>0</v>
      </c>
      <c r="CF160" s="388">
        <f t="shared" si="111"/>
        <v>0</v>
      </c>
      <c r="CG160" s="388">
        <f t="shared" si="112"/>
        <v>0</v>
      </c>
      <c r="CH160" s="388">
        <f t="shared" si="113"/>
        <v>22.588799999999985</v>
      </c>
      <c r="CI160" s="388">
        <f t="shared" si="114"/>
        <v>0</v>
      </c>
      <c r="CJ160" s="388">
        <f t="shared" si="127"/>
        <v>-406.59840000000054</v>
      </c>
      <c r="CK160" s="388" t="str">
        <f t="shared" si="128"/>
        <v/>
      </c>
      <c r="CL160" s="388" t="str">
        <f t="shared" si="129"/>
        <v/>
      </c>
      <c r="CM160" s="388" t="str">
        <f t="shared" si="130"/>
        <v/>
      </c>
      <c r="CN160" s="388" t="str">
        <f t="shared" si="131"/>
        <v>0348-03</v>
      </c>
    </row>
    <row r="161" spans="1:92" ht="15.75" thickBot="1" x14ac:dyDescent="0.3">
      <c r="A161" s="377" t="s">
        <v>162</v>
      </c>
      <c r="B161" s="377" t="s">
        <v>163</v>
      </c>
      <c r="C161" s="377" t="s">
        <v>405</v>
      </c>
      <c r="D161" s="377" t="s">
        <v>251</v>
      </c>
      <c r="E161" s="377" t="s">
        <v>637</v>
      </c>
      <c r="F161" s="383" t="s">
        <v>418</v>
      </c>
      <c r="G161" s="377" t="s">
        <v>439</v>
      </c>
      <c r="H161" s="379"/>
      <c r="I161" s="379"/>
      <c r="J161" s="377" t="s">
        <v>283</v>
      </c>
      <c r="K161" s="377" t="s">
        <v>252</v>
      </c>
      <c r="L161" s="377" t="s">
        <v>179</v>
      </c>
      <c r="M161" s="377" t="s">
        <v>172</v>
      </c>
      <c r="N161" s="377" t="s">
        <v>173</v>
      </c>
      <c r="O161" s="380">
        <v>1</v>
      </c>
      <c r="P161" s="386">
        <v>0.85</v>
      </c>
      <c r="Q161" s="386">
        <v>0.85</v>
      </c>
      <c r="R161" s="381">
        <v>80</v>
      </c>
      <c r="S161" s="386">
        <v>0.85</v>
      </c>
      <c r="T161" s="381">
        <v>23612.79</v>
      </c>
      <c r="U161" s="381">
        <v>0</v>
      </c>
      <c r="V161" s="381">
        <v>13833.6</v>
      </c>
      <c r="W161" s="381">
        <v>31523.439999999999</v>
      </c>
      <c r="X161" s="381">
        <v>17138.04</v>
      </c>
      <c r="Y161" s="381">
        <v>31523.439999999999</v>
      </c>
      <c r="Z161" s="381">
        <v>17973.54</v>
      </c>
      <c r="AA161" s="377" t="s">
        <v>406</v>
      </c>
      <c r="AB161" s="377" t="s">
        <v>407</v>
      </c>
      <c r="AC161" s="377" t="s">
        <v>408</v>
      </c>
      <c r="AD161" s="377" t="s">
        <v>316</v>
      </c>
      <c r="AE161" s="377" t="s">
        <v>252</v>
      </c>
      <c r="AF161" s="377" t="s">
        <v>257</v>
      </c>
      <c r="AG161" s="377" t="s">
        <v>179</v>
      </c>
      <c r="AH161" s="382">
        <v>17.829999999999998</v>
      </c>
      <c r="AI161" s="380">
        <v>440</v>
      </c>
      <c r="AJ161" s="377" t="s">
        <v>180</v>
      </c>
      <c r="AK161" s="377" t="s">
        <v>181</v>
      </c>
      <c r="AL161" s="377" t="s">
        <v>182</v>
      </c>
      <c r="AM161" s="377" t="s">
        <v>183</v>
      </c>
      <c r="AN161" s="377" t="s">
        <v>66</v>
      </c>
      <c r="AO161" s="380">
        <v>80</v>
      </c>
      <c r="AP161" s="386">
        <v>1</v>
      </c>
      <c r="AQ161" s="386">
        <v>0.85</v>
      </c>
      <c r="AR161" s="384" t="s">
        <v>184</v>
      </c>
      <c r="AS161" s="388">
        <f t="shared" si="115"/>
        <v>0.85</v>
      </c>
      <c r="AT161">
        <f t="shared" si="116"/>
        <v>1</v>
      </c>
      <c r="AU161" s="388">
        <f>IF(AT161=0,"",IF(AND(AT161=1,M161="F",SUMIF(C2:C258,C161,AS2:AS258)&lt;=1),SUMIF(C2:C258,C161,AS2:AS258),IF(AND(AT161=1,M161="F",SUMIF(C2:C258,C161,AS2:AS258)&gt;1),1,"")))</f>
        <v>1</v>
      </c>
      <c r="AV161" s="388" t="str">
        <f>IF(AT161=0,"",IF(AND(AT161=3,M161="F",SUMIF(C2:C258,C161,AS2:AS258)&lt;=1),SUMIF(C2:C258,C161,AS2:AS258),IF(AND(AT161=3,M161="F",SUMIF(C2:C258,C161,AS2:AS258)&gt;1),1,"")))</f>
        <v/>
      </c>
      <c r="AW161" s="388">
        <f>SUMIF(C2:C258,C161,O2:O258)</f>
        <v>6</v>
      </c>
      <c r="AX161" s="388">
        <f>IF(AND(M161="F",AS161&lt;&gt;0),SUMIF(C2:C258,C161,W2:W258),0)</f>
        <v>37086.400000000001</v>
      </c>
      <c r="AY161" s="388">
        <f t="shared" si="117"/>
        <v>31523.439999999999</v>
      </c>
      <c r="AZ161" s="388" t="str">
        <f t="shared" si="118"/>
        <v/>
      </c>
      <c r="BA161" s="388">
        <f t="shared" si="119"/>
        <v>0</v>
      </c>
      <c r="BB161" s="388">
        <f t="shared" si="88"/>
        <v>10625</v>
      </c>
      <c r="BC161" s="388">
        <f t="shared" si="89"/>
        <v>0</v>
      </c>
      <c r="BD161" s="388">
        <f t="shared" si="90"/>
        <v>1954.4532799999999</v>
      </c>
      <c r="BE161" s="388">
        <f t="shared" si="91"/>
        <v>457.08987999999999</v>
      </c>
      <c r="BF161" s="388">
        <f t="shared" si="92"/>
        <v>3763.8987360000001</v>
      </c>
      <c r="BG161" s="388">
        <f t="shared" si="93"/>
        <v>227.28400239999999</v>
      </c>
      <c r="BH161" s="388">
        <f t="shared" si="94"/>
        <v>0</v>
      </c>
      <c r="BI161" s="388">
        <f t="shared" si="95"/>
        <v>0</v>
      </c>
      <c r="BJ161" s="388">
        <f t="shared" si="96"/>
        <v>110.33203999999999</v>
      </c>
      <c r="BK161" s="388">
        <f t="shared" si="97"/>
        <v>0</v>
      </c>
      <c r="BL161" s="388">
        <f t="shared" si="120"/>
        <v>6513.0579384000002</v>
      </c>
      <c r="BM161" s="388">
        <f t="shared" si="121"/>
        <v>0</v>
      </c>
      <c r="BN161" s="388">
        <f t="shared" si="98"/>
        <v>11687.5</v>
      </c>
      <c r="BO161" s="388">
        <f t="shared" si="99"/>
        <v>0</v>
      </c>
      <c r="BP161" s="388">
        <f t="shared" si="100"/>
        <v>1954.4532799999999</v>
      </c>
      <c r="BQ161" s="388">
        <f t="shared" si="101"/>
        <v>457.08987999999999</v>
      </c>
      <c r="BR161" s="388">
        <f t="shared" si="102"/>
        <v>3524.3205919999996</v>
      </c>
      <c r="BS161" s="388">
        <f t="shared" si="103"/>
        <v>227.28400239999999</v>
      </c>
      <c r="BT161" s="388">
        <f t="shared" si="104"/>
        <v>0</v>
      </c>
      <c r="BU161" s="388">
        <f t="shared" si="105"/>
        <v>0</v>
      </c>
      <c r="BV161" s="388">
        <f t="shared" si="106"/>
        <v>122.94141599999999</v>
      </c>
      <c r="BW161" s="388">
        <f t="shared" si="107"/>
        <v>0</v>
      </c>
      <c r="BX161" s="388">
        <f t="shared" si="122"/>
        <v>6286.0891703999987</v>
      </c>
      <c r="BY161" s="388">
        <f t="shared" si="123"/>
        <v>0</v>
      </c>
      <c r="BZ161" s="388">
        <f t="shared" si="124"/>
        <v>1062.5</v>
      </c>
      <c r="CA161" s="388">
        <f t="shared" si="125"/>
        <v>0</v>
      </c>
      <c r="CB161" s="388">
        <f t="shared" si="126"/>
        <v>0</v>
      </c>
      <c r="CC161" s="388">
        <f t="shared" si="108"/>
        <v>0</v>
      </c>
      <c r="CD161" s="388">
        <f t="shared" si="109"/>
        <v>-239.57814400000029</v>
      </c>
      <c r="CE161" s="388">
        <f t="shared" si="110"/>
        <v>0</v>
      </c>
      <c r="CF161" s="388">
        <f t="shared" si="111"/>
        <v>0</v>
      </c>
      <c r="CG161" s="388">
        <f t="shared" si="112"/>
        <v>0</v>
      </c>
      <c r="CH161" s="388">
        <f t="shared" si="113"/>
        <v>12.609375999999992</v>
      </c>
      <c r="CI161" s="388">
        <f t="shared" si="114"/>
        <v>0</v>
      </c>
      <c r="CJ161" s="388">
        <f t="shared" si="127"/>
        <v>-226.9687680000003</v>
      </c>
      <c r="CK161" s="388" t="str">
        <f t="shared" si="128"/>
        <v/>
      </c>
      <c r="CL161" s="388" t="str">
        <f t="shared" si="129"/>
        <v/>
      </c>
      <c r="CM161" s="388" t="str">
        <f t="shared" si="130"/>
        <v/>
      </c>
      <c r="CN161" s="388" t="str">
        <f t="shared" si="131"/>
        <v>0348-03</v>
      </c>
    </row>
    <row r="162" spans="1:92" ht="15.75" thickBot="1" x14ac:dyDescent="0.3">
      <c r="A162" s="377" t="s">
        <v>162</v>
      </c>
      <c r="B162" s="377" t="s">
        <v>163</v>
      </c>
      <c r="C162" s="377" t="s">
        <v>546</v>
      </c>
      <c r="D162" s="377" t="s">
        <v>282</v>
      </c>
      <c r="E162" s="377" t="s">
        <v>637</v>
      </c>
      <c r="F162" s="383" t="s">
        <v>418</v>
      </c>
      <c r="G162" s="377" t="s">
        <v>439</v>
      </c>
      <c r="H162" s="379"/>
      <c r="I162" s="379"/>
      <c r="J162" s="377" t="s">
        <v>547</v>
      </c>
      <c r="K162" s="377" t="s">
        <v>244</v>
      </c>
      <c r="L162" s="377" t="s">
        <v>167</v>
      </c>
      <c r="M162" s="377" t="s">
        <v>172</v>
      </c>
      <c r="N162" s="377" t="s">
        <v>173</v>
      </c>
      <c r="O162" s="380">
        <v>1</v>
      </c>
      <c r="P162" s="386">
        <v>0.6</v>
      </c>
      <c r="Q162" s="386">
        <v>0.6</v>
      </c>
      <c r="R162" s="381">
        <v>80</v>
      </c>
      <c r="S162" s="386">
        <v>0.6</v>
      </c>
      <c r="T162" s="381">
        <v>59671.74</v>
      </c>
      <c r="U162" s="381">
        <v>0</v>
      </c>
      <c r="V162" s="381">
        <v>18013.5</v>
      </c>
      <c r="W162" s="381">
        <v>57420.45</v>
      </c>
      <c r="X162" s="381">
        <v>19363.61</v>
      </c>
      <c r="Y162" s="381">
        <v>57420.45</v>
      </c>
      <c r="Z162" s="381">
        <v>19700.18</v>
      </c>
      <c r="AA162" s="377" t="s">
        <v>548</v>
      </c>
      <c r="AB162" s="377" t="s">
        <v>549</v>
      </c>
      <c r="AC162" s="377" t="s">
        <v>550</v>
      </c>
      <c r="AD162" s="377" t="s">
        <v>211</v>
      </c>
      <c r="AE162" s="377" t="s">
        <v>244</v>
      </c>
      <c r="AF162" s="377" t="s">
        <v>207</v>
      </c>
      <c r="AG162" s="377" t="s">
        <v>179</v>
      </c>
      <c r="AH162" s="382">
        <v>46.01</v>
      </c>
      <c r="AI162" s="382">
        <v>45530.2</v>
      </c>
      <c r="AJ162" s="377" t="s">
        <v>180</v>
      </c>
      <c r="AK162" s="377" t="s">
        <v>181</v>
      </c>
      <c r="AL162" s="377" t="s">
        <v>182</v>
      </c>
      <c r="AM162" s="377" t="s">
        <v>183</v>
      </c>
      <c r="AN162" s="377" t="s">
        <v>66</v>
      </c>
      <c r="AO162" s="380">
        <v>80</v>
      </c>
      <c r="AP162" s="386">
        <v>1</v>
      </c>
      <c r="AQ162" s="386">
        <v>0.6</v>
      </c>
      <c r="AR162" s="384" t="s">
        <v>184</v>
      </c>
      <c r="AS162" s="388">
        <f t="shared" si="115"/>
        <v>0.6</v>
      </c>
      <c r="AT162">
        <f t="shared" si="116"/>
        <v>1</v>
      </c>
      <c r="AU162" s="388">
        <f>IF(AT162=0,"",IF(AND(AT162=1,M162="F",SUMIF(C2:C258,C162,AS2:AS258)&lt;=1),SUMIF(C2:C258,C162,AS2:AS258),IF(AND(AT162=1,M162="F",SUMIF(C2:C258,C162,AS2:AS258)&gt;1),1,"")))</f>
        <v>1</v>
      </c>
      <c r="AV162" s="388" t="str">
        <f>IF(AT162=0,"",IF(AND(AT162=3,M162="F",SUMIF(C2:C258,C162,AS2:AS258)&lt;=1),SUMIF(C2:C258,C162,AS2:AS258),IF(AND(AT162=3,M162="F",SUMIF(C2:C258,C162,AS2:AS258)&gt;1),1,"")))</f>
        <v/>
      </c>
      <c r="AW162" s="388">
        <f>SUMIF(C2:C258,C162,O2:O258)</f>
        <v>5</v>
      </c>
      <c r="AX162" s="388">
        <f>IF(AND(M162="F",AS162&lt;&gt;0),SUMIF(C2:C258,C162,W2:W258),0)</f>
        <v>95700.76999999999</v>
      </c>
      <c r="AY162" s="388">
        <f t="shared" si="117"/>
        <v>57420.45</v>
      </c>
      <c r="AZ162" s="388" t="str">
        <f t="shared" si="118"/>
        <v/>
      </c>
      <c r="BA162" s="388">
        <f t="shared" si="119"/>
        <v>0</v>
      </c>
      <c r="BB162" s="388">
        <f t="shared" si="88"/>
        <v>7500</v>
      </c>
      <c r="BC162" s="388">
        <f t="shared" si="89"/>
        <v>0</v>
      </c>
      <c r="BD162" s="388">
        <f t="shared" si="90"/>
        <v>3560.0679</v>
      </c>
      <c r="BE162" s="388">
        <f t="shared" si="91"/>
        <v>832.59652500000004</v>
      </c>
      <c r="BF162" s="388">
        <f t="shared" si="92"/>
        <v>6856.00173</v>
      </c>
      <c r="BG162" s="388">
        <f t="shared" si="93"/>
        <v>414.00144449999999</v>
      </c>
      <c r="BH162" s="388">
        <f t="shared" si="94"/>
        <v>0</v>
      </c>
      <c r="BI162" s="388">
        <f t="shared" si="95"/>
        <v>0</v>
      </c>
      <c r="BJ162" s="388">
        <f t="shared" si="96"/>
        <v>200.971575</v>
      </c>
      <c r="BK162" s="388">
        <f t="shared" si="97"/>
        <v>0</v>
      </c>
      <c r="BL162" s="388">
        <f t="shared" si="120"/>
        <v>11863.639174499998</v>
      </c>
      <c r="BM162" s="388">
        <f t="shared" si="121"/>
        <v>0</v>
      </c>
      <c r="BN162" s="388">
        <f t="shared" si="98"/>
        <v>8250</v>
      </c>
      <c r="BO162" s="388">
        <f t="shared" si="99"/>
        <v>0</v>
      </c>
      <c r="BP162" s="388">
        <f t="shared" si="100"/>
        <v>3560.0679</v>
      </c>
      <c r="BQ162" s="388">
        <f t="shared" si="101"/>
        <v>832.59652500000004</v>
      </c>
      <c r="BR162" s="388">
        <f t="shared" si="102"/>
        <v>6419.6063099999992</v>
      </c>
      <c r="BS162" s="388">
        <f t="shared" si="103"/>
        <v>414.00144449999999</v>
      </c>
      <c r="BT162" s="388">
        <f t="shared" si="104"/>
        <v>0</v>
      </c>
      <c r="BU162" s="388">
        <f t="shared" si="105"/>
        <v>0</v>
      </c>
      <c r="BV162" s="388">
        <f t="shared" si="106"/>
        <v>223.93975499999999</v>
      </c>
      <c r="BW162" s="388">
        <f t="shared" si="107"/>
        <v>0</v>
      </c>
      <c r="BX162" s="388">
        <f t="shared" si="122"/>
        <v>11450.211934499997</v>
      </c>
      <c r="BY162" s="388">
        <f t="shared" si="123"/>
        <v>0</v>
      </c>
      <c r="BZ162" s="388">
        <f t="shared" si="124"/>
        <v>750</v>
      </c>
      <c r="CA162" s="388">
        <f t="shared" si="125"/>
        <v>0</v>
      </c>
      <c r="CB162" s="388">
        <f t="shared" si="126"/>
        <v>0</v>
      </c>
      <c r="CC162" s="388">
        <f t="shared" si="108"/>
        <v>0</v>
      </c>
      <c r="CD162" s="388">
        <f t="shared" si="109"/>
        <v>-436.39542000000051</v>
      </c>
      <c r="CE162" s="388">
        <f t="shared" si="110"/>
        <v>0</v>
      </c>
      <c r="CF162" s="388">
        <f t="shared" si="111"/>
        <v>0</v>
      </c>
      <c r="CG162" s="388">
        <f t="shared" si="112"/>
        <v>0</v>
      </c>
      <c r="CH162" s="388">
        <f t="shared" si="113"/>
        <v>22.968179999999986</v>
      </c>
      <c r="CI162" s="388">
        <f t="shared" si="114"/>
        <v>0</v>
      </c>
      <c r="CJ162" s="388">
        <f t="shared" si="127"/>
        <v>-413.42724000000055</v>
      </c>
      <c r="CK162" s="388" t="str">
        <f t="shared" si="128"/>
        <v/>
      </c>
      <c r="CL162" s="388" t="str">
        <f t="shared" si="129"/>
        <v/>
      </c>
      <c r="CM162" s="388" t="str">
        <f t="shared" si="130"/>
        <v/>
      </c>
      <c r="CN162" s="388" t="str">
        <f t="shared" si="131"/>
        <v>0348-03</v>
      </c>
    </row>
    <row r="163" spans="1:92" ht="15.75" thickBot="1" x14ac:dyDescent="0.3">
      <c r="A163" s="377" t="s">
        <v>162</v>
      </c>
      <c r="B163" s="377" t="s">
        <v>163</v>
      </c>
      <c r="C163" s="377" t="s">
        <v>691</v>
      </c>
      <c r="D163" s="377" t="s">
        <v>300</v>
      </c>
      <c r="E163" s="377" t="s">
        <v>637</v>
      </c>
      <c r="F163" s="383" t="s">
        <v>418</v>
      </c>
      <c r="G163" s="377" t="s">
        <v>439</v>
      </c>
      <c r="H163" s="379"/>
      <c r="I163" s="379"/>
      <c r="J163" s="377" t="s">
        <v>219</v>
      </c>
      <c r="K163" s="377" t="s">
        <v>301</v>
      </c>
      <c r="L163" s="377" t="s">
        <v>167</v>
      </c>
      <c r="M163" s="377" t="s">
        <v>172</v>
      </c>
      <c r="N163" s="377" t="s">
        <v>173</v>
      </c>
      <c r="O163" s="380">
        <v>1</v>
      </c>
      <c r="P163" s="386">
        <v>0</v>
      </c>
      <c r="Q163" s="386">
        <v>0</v>
      </c>
      <c r="R163" s="381">
        <v>80</v>
      </c>
      <c r="S163" s="386">
        <v>0</v>
      </c>
      <c r="T163" s="381">
        <v>6153.5</v>
      </c>
      <c r="U163" s="381">
        <v>0</v>
      </c>
      <c r="V163" s="381">
        <v>2994.85</v>
      </c>
      <c r="W163" s="381">
        <v>0</v>
      </c>
      <c r="X163" s="381">
        <v>0</v>
      </c>
      <c r="Y163" s="381">
        <v>0</v>
      </c>
      <c r="Z163" s="381">
        <v>0</v>
      </c>
      <c r="AA163" s="377" t="s">
        <v>692</v>
      </c>
      <c r="AB163" s="377" t="s">
        <v>364</v>
      </c>
      <c r="AC163" s="377" t="s">
        <v>320</v>
      </c>
      <c r="AD163" s="377" t="s">
        <v>598</v>
      </c>
      <c r="AE163" s="377" t="s">
        <v>301</v>
      </c>
      <c r="AF163" s="377" t="s">
        <v>207</v>
      </c>
      <c r="AG163" s="377" t="s">
        <v>179</v>
      </c>
      <c r="AH163" s="382">
        <v>33.68</v>
      </c>
      <c r="AI163" s="380">
        <v>2560</v>
      </c>
      <c r="AJ163" s="377" t="s">
        <v>180</v>
      </c>
      <c r="AK163" s="377" t="s">
        <v>181</v>
      </c>
      <c r="AL163" s="377" t="s">
        <v>182</v>
      </c>
      <c r="AM163" s="377" t="s">
        <v>183</v>
      </c>
      <c r="AN163" s="377" t="s">
        <v>66</v>
      </c>
      <c r="AO163" s="380">
        <v>80</v>
      </c>
      <c r="AP163" s="386">
        <v>1</v>
      </c>
      <c r="AQ163" s="386">
        <v>0</v>
      </c>
      <c r="AR163" s="384" t="s">
        <v>184</v>
      </c>
      <c r="AS163" s="388">
        <f t="shared" si="115"/>
        <v>0</v>
      </c>
      <c r="AT163">
        <f t="shared" si="116"/>
        <v>0</v>
      </c>
      <c r="AU163" s="388" t="str">
        <f>IF(AT163=0,"",IF(AND(AT163=1,M163="F",SUMIF(C2:C258,C163,AS2:AS258)&lt;=1),SUMIF(C2:C258,C163,AS2:AS258),IF(AND(AT163=1,M163="F",SUMIF(C2:C258,C163,AS2:AS258)&gt;1),1,"")))</f>
        <v/>
      </c>
      <c r="AV163" s="388" t="str">
        <f>IF(AT163=0,"",IF(AND(AT163=3,M163="F",SUMIF(C2:C258,C163,AS2:AS258)&lt;=1),SUMIF(C2:C258,C163,AS2:AS258),IF(AND(AT163=3,M163="F",SUMIF(C2:C258,C163,AS2:AS258)&gt;1),1,"")))</f>
        <v/>
      </c>
      <c r="AW163" s="388">
        <f>SUMIF(C2:C258,C163,O2:O258)</f>
        <v>3</v>
      </c>
      <c r="AX163" s="388">
        <f>IF(AND(M163="F",AS163&lt;&gt;0),SUMIF(C2:C258,C163,W2:W258),0)</f>
        <v>0</v>
      </c>
      <c r="AY163" s="388" t="str">
        <f t="shared" si="117"/>
        <v/>
      </c>
      <c r="AZ163" s="388" t="str">
        <f t="shared" si="118"/>
        <v/>
      </c>
      <c r="BA163" s="388">
        <f t="shared" si="119"/>
        <v>0</v>
      </c>
      <c r="BB163" s="388">
        <f t="shared" si="88"/>
        <v>0</v>
      </c>
      <c r="BC163" s="388">
        <f t="shared" si="89"/>
        <v>0</v>
      </c>
      <c r="BD163" s="388">
        <f t="shared" si="90"/>
        <v>0</v>
      </c>
      <c r="BE163" s="388">
        <f t="shared" si="91"/>
        <v>0</v>
      </c>
      <c r="BF163" s="388">
        <f t="shared" si="92"/>
        <v>0</v>
      </c>
      <c r="BG163" s="388">
        <f t="shared" si="93"/>
        <v>0</v>
      </c>
      <c r="BH163" s="388">
        <f t="shared" si="94"/>
        <v>0</v>
      </c>
      <c r="BI163" s="388">
        <f t="shared" si="95"/>
        <v>0</v>
      </c>
      <c r="BJ163" s="388">
        <f t="shared" si="96"/>
        <v>0</v>
      </c>
      <c r="BK163" s="388">
        <f t="shared" si="97"/>
        <v>0</v>
      </c>
      <c r="BL163" s="388">
        <f t="shared" si="120"/>
        <v>0</v>
      </c>
      <c r="BM163" s="388">
        <f t="shared" si="121"/>
        <v>0</v>
      </c>
      <c r="BN163" s="388">
        <f t="shared" si="98"/>
        <v>0</v>
      </c>
      <c r="BO163" s="388">
        <f t="shared" si="99"/>
        <v>0</v>
      </c>
      <c r="BP163" s="388">
        <f t="shared" si="100"/>
        <v>0</v>
      </c>
      <c r="BQ163" s="388">
        <f t="shared" si="101"/>
        <v>0</v>
      </c>
      <c r="BR163" s="388">
        <f t="shared" si="102"/>
        <v>0</v>
      </c>
      <c r="BS163" s="388">
        <f t="shared" si="103"/>
        <v>0</v>
      </c>
      <c r="BT163" s="388">
        <f t="shared" si="104"/>
        <v>0</v>
      </c>
      <c r="BU163" s="388">
        <f t="shared" si="105"/>
        <v>0</v>
      </c>
      <c r="BV163" s="388">
        <f t="shared" si="106"/>
        <v>0</v>
      </c>
      <c r="BW163" s="388">
        <f t="shared" si="107"/>
        <v>0</v>
      </c>
      <c r="BX163" s="388">
        <f t="shared" si="122"/>
        <v>0</v>
      </c>
      <c r="BY163" s="388">
        <f t="shared" si="123"/>
        <v>0</v>
      </c>
      <c r="BZ163" s="388">
        <f t="shared" si="124"/>
        <v>0</v>
      </c>
      <c r="CA163" s="388">
        <f t="shared" si="125"/>
        <v>0</v>
      </c>
      <c r="CB163" s="388">
        <f t="shared" si="126"/>
        <v>0</v>
      </c>
      <c r="CC163" s="388">
        <f t="shared" si="108"/>
        <v>0</v>
      </c>
      <c r="CD163" s="388">
        <f t="shared" si="109"/>
        <v>0</v>
      </c>
      <c r="CE163" s="388">
        <f t="shared" si="110"/>
        <v>0</v>
      </c>
      <c r="CF163" s="388">
        <f t="shared" si="111"/>
        <v>0</v>
      </c>
      <c r="CG163" s="388">
        <f t="shared" si="112"/>
        <v>0</v>
      </c>
      <c r="CH163" s="388">
        <f t="shared" si="113"/>
        <v>0</v>
      </c>
      <c r="CI163" s="388">
        <f t="shared" si="114"/>
        <v>0</v>
      </c>
      <c r="CJ163" s="388">
        <f t="shared" si="127"/>
        <v>0</v>
      </c>
      <c r="CK163" s="388" t="str">
        <f t="shared" si="128"/>
        <v/>
      </c>
      <c r="CL163" s="388" t="str">
        <f t="shared" si="129"/>
        <v/>
      </c>
      <c r="CM163" s="388" t="str">
        <f t="shared" si="130"/>
        <v/>
      </c>
      <c r="CN163" s="388" t="str">
        <f t="shared" si="131"/>
        <v>0348-03</v>
      </c>
    </row>
    <row r="164" spans="1:92" ht="15.75" thickBot="1" x14ac:dyDescent="0.3">
      <c r="A164" s="377" t="s">
        <v>162</v>
      </c>
      <c r="B164" s="377" t="s">
        <v>163</v>
      </c>
      <c r="C164" s="377" t="s">
        <v>621</v>
      </c>
      <c r="D164" s="377" t="s">
        <v>300</v>
      </c>
      <c r="E164" s="377" t="s">
        <v>637</v>
      </c>
      <c r="F164" s="383" t="s">
        <v>418</v>
      </c>
      <c r="G164" s="377" t="s">
        <v>439</v>
      </c>
      <c r="H164" s="379"/>
      <c r="I164" s="379"/>
      <c r="J164" s="377" t="s">
        <v>219</v>
      </c>
      <c r="K164" s="377" t="s">
        <v>301</v>
      </c>
      <c r="L164" s="377" t="s">
        <v>167</v>
      </c>
      <c r="M164" s="377" t="s">
        <v>172</v>
      </c>
      <c r="N164" s="377" t="s">
        <v>173</v>
      </c>
      <c r="O164" s="380">
        <v>1</v>
      </c>
      <c r="P164" s="386">
        <v>1</v>
      </c>
      <c r="Q164" s="386">
        <v>1</v>
      </c>
      <c r="R164" s="381">
        <v>80</v>
      </c>
      <c r="S164" s="386">
        <v>1</v>
      </c>
      <c r="T164" s="381">
        <v>64008.23</v>
      </c>
      <c r="U164" s="381">
        <v>0</v>
      </c>
      <c r="V164" s="381">
        <v>22802.51</v>
      </c>
      <c r="W164" s="381">
        <v>75337.600000000006</v>
      </c>
      <c r="X164" s="381">
        <v>28065.48</v>
      </c>
      <c r="Y164" s="381">
        <v>75337.600000000006</v>
      </c>
      <c r="Z164" s="381">
        <v>28773.05</v>
      </c>
      <c r="AA164" s="377" t="s">
        <v>622</v>
      </c>
      <c r="AB164" s="377" t="s">
        <v>623</v>
      </c>
      <c r="AC164" s="377" t="s">
        <v>624</v>
      </c>
      <c r="AD164" s="377" t="s">
        <v>574</v>
      </c>
      <c r="AE164" s="377" t="s">
        <v>301</v>
      </c>
      <c r="AF164" s="377" t="s">
        <v>207</v>
      </c>
      <c r="AG164" s="377" t="s">
        <v>179</v>
      </c>
      <c r="AH164" s="382">
        <v>36.22</v>
      </c>
      <c r="AI164" s="382">
        <v>24908.6</v>
      </c>
      <c r="AJ164" s="377" t="s">
        <v>180</v>
      </c>
      <c r="AK164" s="377" t="s">
        <v>181</v>
      </c>
      <c r="AL164" s="377" t="s">
        <v>182</v>
      </c>
      <c r="AM164" s="377" t="s">
        <v>183</v>
      </c>
      <c r="AN164" s="377" t="s">
        <v>66</v>
      </c>
      <c r="AO164" s="380">
        <v>80</v>
      </c>
      <c r="AP164" s="386">
        <v>1</v>
      </c>
      <c r="AQ164" s="386">
        <v>1</v>
      </c>
      <c r="AR164" s="384" t="s">
        <v>184</v>
      </c>
      <c r="AS164" s="388">
        <f t="shared" si="115"/>
        <v>1</v>
      </c>
      <c r="AT164">
        <f t="shared" si="116"/>
        <v>1</v>
      </c>
      <c r="AU164" s="388">
        <f>IF(AT164=0,"",IF(AND(AT164=1,M164="F",SUMIF(C2:C258,C164,AS2:AS258)&lt;=1),SUMIF(C2:C258,C164,AS2:AS258),IF(AND(AT164=1,M164="F",SUMIF(C2:C258,C164,AS2:AS258)&gt;1),1,"")))</f>
        <v>1</v>
      </c>
      <c r="AV164" s="388" t="str">
        <f>IF(AT164=0,"",IF(AND(AT164=3,M164="F",SUMIF(C2:C258,C164,AS2:AS258)&lt;=1),SUMIF(C2:C258,C164,AS2:AS258),IF(AND(AT164=3,M164="F",SUMIF(C2:C258,C164,AS2:AS258)&gt;1),1,"")))</f>
        <v/>
      </c>
      <c r="AW164" s="388">
        <f>SUMIF(C2:C258,C164,O2:O258)</f>
        <v>2</v>
      </c>
      <c r="AX164" s="388">
        <f>IF(AND(M164="F",AS164&lt;&gt;0),SUMIF(C2:C258,C164,W2:W258),0)</f>
        <v>75337.600000000006</v>
      </c>
      <c r="AY164" s="388">
        <f t="shared" si="117"/>
        <v>75337.600000000006</v>
      </c>
      <c r="AZ164" s="388" t="str">
        <f t="shared" si="118"/>
        <v/>
      </c>
      <c r="BA164" s="388">
        <f t="shared" si="119"/>
        <v>0</v>
      </c>
      <c r="BB164" s="388">
        <f t="shared" si="88"/>
        <v>12500</v>
      </c>
      <c r="BC164" s="388">
        <f t="shared" si="89"/>
        <v>0</v>
      </c>
      <c r="BD164" s="388">
        <f t="shared" si="90"/>
        <v>4670.9312</v>
      </c>
      <c r="BE164" s="388">
        <f t="shared" si="91"/>
        <v>1092.3952000000002</v>
      </c>
      <c r="BF164" s="388">
        <f t="shared" si="92"/>
        <v>8995.3094400000009</v>
      </c>
      <c r="BG164" s="388">
        <f t="shared" si="93"/>
        <v>543.18409600000007</v>
      </c>
      <c r="BH164" s="388">
        <f t="shared" si="94"/>
        <v>0</v>
      </c>
      <c r="BI164" s="388">
        <f t="shared" si="95"/>
        <v>0</v>
      </c>
      <c r="BJ164" s="388">
        <f t="shared" si="96"/>
        <v>263.6816</v>
      </c>
      <c r="BK164" s="388">
        <f t="shared" si="97"/>
        <v>0</v>
      </c>
      <c r="BL164" s="388">
        <f t="shared" si="120"/>
        <v>15565.501536000002</v>
      </c>
      <c r="BM164" s="388">
        <f t="shared" si="121"/>
        <v>0</v>
      </c>
      <c r="BN164" s="388">
        <f t="shared" si="98"/>
        <v>13750</v>
      </c>
      <c r="BO164" s="388">
        <f t="shared" si="99"/>
        <v>0</v>
      </c>
      <c r="BP164" s="388">
        <f t="shared" si="100"/>
        <v>4670.9312</v>
      </c>
      <c r="BQ164" s="388">
        <f t="shared" si="101"/>
        <v>1092.3952000000002</v>
      </c>
      <c r="BR164" s="388">
        <f t="shared" si="102"/>
        <v>8422.7436799999996</v>
      </c>
      <c r="BS164" s="388">
        <f t="shared" si="103"/>
        <v>543.18409600000007</v>
      </c>
      <c r="BT164" s="388">
        <f t="shared" si="104"/>
        <v>0</v>
      </c>
      <c r="BU164" s="388">
        <f t="shared" si="105"/>
        <v>0</v>
      </c>
      <c r="BV164" s="388">
        <f t="shared" si="106"/>
        <v>293.81664000000001</v>
      </c>
      <c r="BW164" s="388">
        <f t="shared" si="107"/>
        <v>0</v>
      </c>
      <c r="BX164" s="388">
        <f t="shared" si="122"/>
        <v>15023.070815999999</v>
      </c>
      <c r="BY164" s="388">
        <f t="shared" si="123"/>
        <v>0</v>
      </c>
      <c r="BZ164" s="388">
        <f t="shared" si="124"/>
        <v>1250</v>
      </c>
      <c r="CA164" s="388">
        <f t="shared" si="125"/>
        <v>0</v>
      </c>
      <c r="CB164" s="388">
        <f t="shared" si="126"/>
        <v>0</v>
      </c>
      <c r="CC164" s="388">
        <f t="shared" si="108"/>
        <v>0</v>
      </c>
      <c r="CD164" s="388">
        <f t="shared" si="109"/>
        <v>-572.56576000000075</v>
      </c>
      <c r="CE164" s="388">
        <f t="shared" si="110"/>
        <v>0</v>
      </c>
      <c r="CF164" s="388">
        <f t="shared" si="111"/>
        <v>0</v>
      </c>
      <c r="CG164" s="388">
        <f t="shared" si="112"/>
        <v>0</v>
      </c>
      <c r="CH164" s="388">
        <f t="shared" si="113"/>
        <v>30.135039999999982</v>
      </c>
      <c r="CI164" s="388">
        <f t="shared" si="114"/>
        <v>0</v>
      </c>
      <c r="CJ164" s="388">
        <f t="shared" si="127"/>
        <v>-542.43072000000075</v>
      </c>
      <c r="CK164" s="388" t="str">
        <f t="shared" si="128"/>
        <v/>
      </c>
      <c r="CL164" s="388" t="str">
        <f t="shared" si="129"/>
        <v/>
      </c>
      <c r="CM164" s="388" t="str">
        <f t="shared" si="130"/>
        <v/>
      </c>
      <c r="CN164" s="388" t="str">
        <f t="shared" si="131"/>
        <v>0348-03</v>
      </c>
    </row>
    <row r="165" spans="1:92" ht="15.75" thickBot="1" x14ac:dyDescent="0.3">
      <c r="A165" s="377" t="s">
        <v>162</v>
      </c>
      <c r="B165" s="377" t="s">
        <v>163</v>
      </c>
      <c r="C165" s="377" t="s">
        <v>693</v>
      </c>
      <c r="D165" s="377" t="s">
        <v>300</v>
      </c>
      <c r="E165" s="377" t="s">
        <v>637</v>
      </c>
      <c r="F165" s="383" t="s">
        <v>418</v>
      </c>
      <c r="G165" s="377" t="s">
        <v>439</v>
      </c>
      <c r="H165" s="379"/>
      <c r="I165" s="379"/>
      <c r="J165" s="377" t="s">
        <v>269</v>
      </c>
      <c r="K165" s="377" t="s">
        <v>301</v>
      </c>
      <c r="L165" s="377" t="s">
        <v>167</v>
      </c>
      <c r="M165" s="377" t="s">
        <v>172</v>
      </c>
      <c r="N165" s="377" t="s">
        <v>173</v>
      </c>
      <c r="O165" s="380">
        <v>1</v>
      </c>
      <c r="P165" s="386">
        <v>0.25</v>
      </c>
      <c r="Q165" s="386">
        <v>0.25</v>
      </c>
      <c r="R165" s="381">
        <v>80</v>
      </c>
      <c r="S165" s="386">
        <v>0.25</v>
      </c>
      <c r="T165" s="381">
        <v>7114.4</v>
      </c>
      <c r="U165" s="381">
        <v>0</v>
      </c>
      <c r="V165" s="381">
        <v>2739.09</v>
      </c>
      <c r="W165" s="381">
        <v>18283.2</v>
      </c>
      <c r="X165" s="381">
        <v>6902.48</v>
      </c>
      <c r="Y165" s="381">
        <v>18283.2</v>
      </c>
      <c r="Z165" s="381">
        <v>7083.33</v>
      </c>
      <c r="AA165" s="377" t="s">
        <v>694</v>
      </c>
      <c r="AB165" s="377" t="s">
        <v>695</v>
      </c>
      <c r="AC165" s="377" t="s">
        <v>696</v>
      </c>
      <c r="AD165" s="377" t="s">
        <v>697</v>
      </c>
      <c r="AE165" s="377" t="s">
        <v>301</v>
      </c>
      <c r="AF165" s="377" t="s">
        <v>207</v>
      </c>
      <c r="AG165" s="377" t="s">
        <v>179</v>
      </c>
      <c r="AH165" s="382">
        <v>35.159999999999997</v>
      </c>
      <c r="AI165" s="382">
        <v>5016.5</v>
      </c>
      <c r="AJ165" s="377" t="s">
        <v>180</v>
      </c>
      <c r="AK165" s="377" t="s">
        <v>181</v>
      </c>
      <c r="AL165" s="377" t="s">
        <v>182</v>
      </c>
      <c r="AM165" s="377" t="s">
        <v>183</v>
      </c>
      <c r="AN165" s="377" t="s">
        <v>66</v>
      </c>
      <c r="AO165" s="380">
        <v>80</v>
      </c>
      <c r="AP165" s="386">
        <v>1</v>
      </c>
      <c r="AQ165" s="386">
        <v>0.25</v>
      </c>
      <c r="AR165" s="384" t="s">
        <v>184</v>
      </c>
      <c r="AS165" s="388">
        <f t="shared" si="115"/>
        <v>0.25</v>
      </c>
      <c r="AT165">
        <f t="shared" si="116"/>
        <v>1</v>
      </c>
      <c r="AU165" s="388">
        <f>IF(AT165=0,"",IF(AND(AT165=1,M165="F",SUMIF(C2:C258,C165,AS2:AS258)&lt;=1),SUMIF(C2:C258,C165,AS2:AS258),IF(AND(AT165=1,M165="F",SUMIF(C2:C258,C165,AS2:AS258)&gt;1),1,"")))</f>
        <v>1</v>
      </c>
      <c r="AV165" s="388" t="str">
        <f>IF(AT165=0,"",IF(AND(AT165=3,M165="F",SUMIF(C2:C258,C165,AS2:AS258)&lt;=1),SUMIF(C2:C258,C165,AS2:AS258),IF(AND(AT165=3,M165="F",SUMIF(C2:C258,C165,AS2:AS258)&gt;1),1,"")))</f>
        <v/>
      </c>
      <c r="AW165" s="388">
        <f>SUMIF(C2:C258,C165,O2:O258)</f>
        <v>3</v>
      </c>
      <c r="AX165" s="388">
        <f>IF(AND(M165="F",AS165&lt;&gt;0),SUMIF(C2:C258,C165,W2:W258),0)</f>
        <v>73132.800000000003</v>
      </c>
      <c r="AY165" s="388">
        <f t="shared" si="117"/>
        <v>18283.2</v>
      </c>
      <c r="AZ165" s="388" t="str">
        <f t="shared" si="118"/>
        <v/>
      </c>
      <c r="BA165" s="388">
        <f t="shared" si="119"/>
        <v>0</v>
      </c>
      <c r="BB165" s="388">
        <f t="shared" si="88"/>
        <v>3125</v>
      </c>
      <c r="BC165" s="388">
        <f t="shared" si="89"/>
        <v>0</v>
      </c>
      <c r="BD165" s="388">
        <f t="shared" si="90"/>
        <v>1133.5584000000001</v>
      </c>
      <c r="BE165" s="388">
        <f t="shared" si="91"/>
        <v>265.10640000000001</v>
      </c>
      <c r="BF165" s="388">
        <f t="shared" si="92"/>
        <v>2183.0140800000004</v>
      </c>
      <c r="BG165" s="388">
        <f t="shared" si="93"/>
        <v>131.82187200000001</v>
      </c>
      <c r="BH165" s="388">
        <f t="shared" si="94"/>
        <v>0</v>
      </c>
      <c r="BI165" s="388">
        <f t="shared" si="95"/>
        <v>0</v>
      </c>
      <c r="BJ165" s="388">
        <f t="shared" si="96"/>
        <v>63.991200000000006</v>
      </c>
      <c r="BK165" s="388">
        <f t="shared" si="97"/>
        <v>0</v>
      </c>
      <c r="BL165" s="388">
        <f t="shared" si="120"/>
        <v>3777.4919520000003</v>
      </c>
      <c r="BM165" s="388">
        <f t="shared" si="121"/>
        <v>0</v>
      </c>
      <c r="BN165" s="388">
        <f t="shared" si="98"/>
        <v>3437.5</v>
      </c>
      <c r="BO165" s="388">
        <f t="shared" si="99"/>
        <v>0</v>
      </c>
      <c r="BP165" s="388">
        <f t="shared" si="100"/>
        <v>1133.5584000000001</v>
      </c>
      <c r="BQ165" s="388">
        <f t="shared" si="101"/>
        <v>265.10640000000001</v>
      </c>
      <c r="BR165" s="388">
        <f t="shared" si="102"/>
        <v>2044.06176</v>
      </c>
      <c r="BS165" s="388">
        <f t="shared" si="103"/>
        <v>131.82187200000001</v>
      </c>
      <c r="BT165" s="388">
        <f t="shared" si="104"/>
        <v>0</v>
      </c>
      <c r="BU165" s="388">
        <f t="shared" si="105"/>
        <v>0</v>
      </c>
      <c r="BV165" s="388">
        <f t="shared" si="106"/>
        <v>71.304479999999998</v>
      </c>
      <c r="BW165" s="388">
        <f t="shared" si="107"/>
        <v>0</v>
      </c>
      <c r="BX165" s="388">
        <f t="shared" si="122"/>
        <v>3645.8529119999998</v>
      </c>
      <c r="BY165" s="388">
        <f t="shared" si="123"/>
        <v>0</v>
      </c>
      <c r="BZ165" s="388">
        <f t="shared" si="124"/>
        <v>312.5</v>
      </c>
      <c r="CA165" s="388">
        <f t="shared" si="125"/>
        <v>0</v>
      </c>
      <c r="CB165" s="388">
        <f t="shared" si="126"/>
        <v>0</v>
      </c>
      <c r="CC165" s="388">
        <f t="shared" si="108"/>
        <v>0</v>
      </c>
      <c r="CD165" s="388">
        <f t="shared" si="109"/>
        <v>-138.95232000000019</v>
      </c>
      <c r="CE165" s="388">
        <f t="shared" si="110"/>
        <v>0</v>
      </c>
      <c r="CF165" s="388">
        <f t="shared" si="111"/>
        <v>0</v>
      </c>
      <c r="CG165" s="388">
        <f t="shared" si="112"/>
        <v>0</v>
      </c>
      <c r="CH165" s="388">
        <f t="shared" si="113"/>
        <v>7.3132799999999953</v>
      </c>
      <c r="CI165" s="388">
        <f t="shared" si="114"/>
        <v>0</v>
      </c>
      <c r="CJ165" s="388">
        <f t="shared" si="127"/>
        <v>-131.63904000000019</v>
      </c>
      <c r="CK165" s="388" t="str">
        <f t="shared" si="128"/>
        <v/>
      </c>
      <c r="CL165" s="388" t="str">
        <f t="shared" si="129"/>
        <v/>
      </c>
      <c r="CM165" s="388" t="str">
        <f t="shared" si="130"/>
        <v/>
      </c>
      <c r="CN165" s="388" t="str">
        <f t="shared" si="131"/>
        <v>0348-03</v>
      </c>
    </row>
    <row r="166" spans="1:92" ht="15.75" thickBot="1" x14ac:dyDescent="0.3">
      <c r="A166" s="377" t="s">
        <v>162</v>
      </c>
      <c r="B166" s="377" t="s">
        <v>163</v>
      </c>
      <c r="C166" s="377" t="s">
        <v>698</v>
      </c>
      <c r="D166" s="377" t="s">
        <v>300</v>
      </c>
      <c r="E166" s="377" t="s">
        <v>637</v>
      </c>
      <c r="F166" s="383" t="s">
        <v>418</v>
      </c>
      <c r="G166" s="377" t="s">
        <v>439</v>
      </c>
      <c r="H166" s="379"/>
      <c r="I166" s="379"/>
      <c r="J166" s="377" t="s">
        <v>169</v>
      </c>
      <c r="K166" s="377" t="s">
        <v>301</v>
      </c>
      <c r="L166" s="377" t="s">
        <v>167</v>
      </c>
      <c r="M166" s="377" t="s">
        <v>172</v>
      </c>
      <c r="N166" s="377" t="s">
        <v>173</v>
      </c>
      <c r="O166" s="380">
        <v>1</v>
      </c>
      <c r="P166" s="386">
        <v>1</v>
      </c>
      <c r="Q166" s="386">
        <v>1</v>
      </c>
      <c r="R166" s="381">
        <v>80</v>
      </c>
      <c r="S166" s="386">
        <v>1</v>
      </c>
      <c r="T166" s="381">
        <v>65763.520000000004</v>
      </c>
      <c r="U166" s="381">
        <v>0</v>
      </c>
      <c r="V166" s="381">
        <v>22306.67</v>
      </c>
      <c r="W166" s="381">
        <v>77896</v>
      </c>
      <c r="X166" s="381">
        <v>28594.07</v>
      </c>
      <c r="Y166" s="381">
        <v>77896</v>
      </c>
      <c r="Z166" s="381">
        <v>29283.22</v>
      </c>
      <c r="AA166" s="377" t="s">
        <v>699</v>
      </c>
      <c r="AB166" s="377" t="s">
        <v>700</v>
      </c>
      <c r="AC166" s="377" t="s">
        <v>701</v>
      </c>
      <c r="AD166" s="377" t="s">
        <v>702</v>
      </c>
      <c r="AE166" s="377" t="s">
        <v>301</v>
      </c>
      <c r="AF166" s="377" t="s">
        <v>207</v>
      </c>
      <c r="AG166" s="377" t="s">
        <v>179</v>
      </c>
      <c r="AH166" s="382">
        <v>37.450000000000003</v>
      </c>
      <c r="AI166" s="382">
        <v>16282.6</v>
      </c>
      <c r="AJ166" s="377" t="s">
        <v>180</v>
      </c>
      <c r="AK166" s="377" t="s">
        <v>181</v>
      </c>
      <c r="AL166" s="377" t="s">
        <v>182</v>
      </c>
      <c r="AM166" s="377" t="s">
        <v>183</v>
      </c>
      <c r="AN166" s="377" t="s">
        <v>66</v>
      </c>
      <c r="AO166" s="380">
        <v>80</v>
      </c>
      <c r="AP166" s="386">
        <v>1</v>
      </c>
      <c r="AQ166" s="386">
        <v>1</v>
      </c>
      <c r="AR166" s="384" t="s">
        <v>184</v>
      </c>
      <c r="AS166" s="388">
        <f t="shared" si="115"/>
        <v>1</v>
      </c>
      <c r="AT166">
        <f t="shared" si="116"/>
        <v>1</v>
      </c>
      <c r="AU166" s="388">
        <f>IF(AT166=0,"",IF(AND(AT166=1,M166="F",SUMIF(C2:C258,C166,AS2:AS258)&lt;=1),SUMIF(C2:C258,C166,AS2:AS258),IF(AND(AT166=1,M166="F",SUMIF(C2:C258,C166,AS2:AS258)&gt;1),1,"")))</f>
        <v>1</v>
      </c>
      <c r="AV166" s="388" t="str">
        <f>IF(AT166=0,"",IF(AND(AT166=3,M166="F",SUMIF(C2:C258,C166,AS2:AS258)&lt;=1),SUMIF(C2:C258,C166,AS2:AS258),IF(AND(AT166=3,M166="F",SUMIF(C2:C258,C166,AS2:AS258)&gt;1),1,"")))</f>
        <v/>
      </c>
      <c r="AW166" s="388">
        <f>SUMIF(C2:C258,C166,O2:O258)</f>
        <v>2</v>
      </c>
      <c r="AX166" s="388">
        <f>IF(AND(M166="F",AS166&lt;&gt;0),SUMIF(C2:C258,C166,W2:W258),0)</f>
        <v>77896</v>
      </c>
      <c r="AY166" s="388">
        <f t="shared" si="117"/>
        <v>77896</v>
      </c>
      <c r="AZ166" s="388" t="str">
        <f t="shared" si="118"/>
        <v/>
      </c>
      <c r="BA166" s="388">
        <f t="shared" si="119"/>
        <v>0</v>
      </c>
      <c r="BB166" s="388">
        <f t="shared" si="88"/>
        <v>12500</v>
      </c>
      <c r="BC166" s="388">
        <f t="shared" si="89"/>
        <v>0</v>
      </c>
      <c r="BD166" s="388">
        <f t="shared" si="90"/>
        <v>4829.5519999999997</v>
      </c>
      <c r="BE166" s="388">
        <f t="shared" si="91"/>
        <v>1129.492</v>
      </c>
      <c r="BF166" s="388">
        <f t="shared" si="92"/>
        <v>9300.7824000000001</v>
      </c>
      <c r="BG166" s="388">
        <f t="shared" si="93"/>
        <v>561.63016000000005</v>
      </c>
      <c r="BH166" s="388">
        <f t="shared" si="94"/>
        <v>0</v>
      </c>
      <c r="BI166" s="388">
        <f t="shared" si="95"/>
        <v>0</v>
      </c>
      <c r="BJ166" s="388">
        <f t="shared" si="96"/>
        <v>272.63600000000002</v>
      </c>
      <c r="BK166" s="388">
        <f t="shared" si="97"/>
        <v>0</v>
      </c>
      <c r="BL166" s="388">
        <f t="shared" si="120"/>
        <v>16094.092560000001</v>
      </c>
      <c r="BM166" s="388">
        <f t="shared" si="121"/>
        <v>0</v>
      </c>
      <c r="BN166" s="388">
        <f t="shared" si="98"/>
        <v>13750</v>
      </c>
      <c r="BO166" s="388">
        <f t="shared" si="99"/>
        <v>0</v>
      </c>
      <c r="BP166" s="388">
        <f t="shared" si="100"/>
        <v>4829.5519999999997</v>
      </c>
      <c r="BQ166" s="388">
        <f t="shared" si="101"/>
        <v>1129.492</v>
      </c>
      <c r="BR166" s="388">
        <f t="shared" si="102"/>
        <v>8708.7728000000006</v>
      </c>
      <c r="BS166" s="388">
        <f t="shared" si="103"/>
        <v>561.63016000000005</v>
      </c>
      <c r="BT166" s="388">
        <f t="shared" si="104"/>
        <v>0</v>
      </c>
      <c r="BU166" s="388">
        <f t="shared" si="105"/>
        <v>0</v>
      </c>
      <c r="BV166" s="388">
        <f t="shared" si="106"/>
        <v>303.7944</v>
      </c>
      <c r="BW166" s="388">
        <f t="shared" si="107"/>
        <v>0</v>
      </c>
      <c r="BX166" s="388">
        <f t="shared" si="122"/>
        <v>15533.241360000002</v>
      </c>
      <c r="BY166" s="388">
        <f t="shared" si="123"/>
        <v>0</v>
      </c>
      <c r="BZ166" s="388">
        <f t="shared" si="124"/>
        <v>1250</v>
      </c>
      <c r="CA166" s="388">
        <f t="shared" si="125"/>
        <v>0</v>
      </c>
      <c r="CB166" s="388">
        <f t="shared" si="126"/>
        <v>0</v>
      </c>
      <c r="CC166" s="388">
        <f t="shared" si="108"/>
        <v>0</v>
      </c>
      <c r="CD166" s="388">
        <f t="shared" si="109"/>
        <v>-592.00960000000077</v>
      </c>
      <c r="CE166" s="388">
        <f t="shared" si="110"/>
        <v>0</v>
      </c>
      <c r="CF166" s="388">
        <f t="shared" si="111"/>
        <v>0</v>
      </c>
      <c r="CG166" s="388">
        <f t="shared" si="112"/>
        <v>0</v>
      </c>
      <c r="CH166" s="388">
        <f t="shared" si="113"/>
        <v>31.158399999999979</v>
      </c>
      <c r="CI166" s="388">
        <f t="shared" si="114"/>
        <v>0</v>
      </c>
      <c r="CJ166" s="388">
        <f t="shared" si="127"/>
        <v>-560.85120000000074</v>
      </c>
      <c r="CK166" s="388" t="str">
        <f t="shared" si="128"/>
        <v/>
      </c>
      <c r="CL166" s="388" t="str">
        <f t="shared" si="129"/>
        <v/>
      </c>
      <c r="CM166" s="388" t="str">
        <f t="shared" si="130"/>
        <v/>
      </c>
      <c r="CN166" s="388" t="str">
        <f t="shared" si="131"/>
        <v>0348-03</v>
      </c>
    </row>
    <row r="167" spans="1:92" ht="15.75" thickBot="1" x14ac:dyDescent="0.3">
      <c r="A167" s="377" t="s">
        <v>162</v>
      </c>
      <c r="B167" s="377" t="s">
        <v>163</v>
      </c>
      <c r="C167" s="377" t="s">
        <v>703</v>
      </c>
      <c r="D167" s="377" t="s">
        <v>300</v>
      </c>
      <c r="E167" s="377" t="s">
        <v>637</v>
      </c>
      <c r="F167" s="383" t="s">
        <v>418</v>
      </c>
      <c r="G167" s="377" t="s">
        <v>439</v>
      </c>
      <c r="H167" s="379"/>
      <c r="I167" s="379"/>
      <c r="J167" s="377" t="s">
        <v>169</v>
      </c>
      <c r="K167" s="377" t="s">
        <v>301</v>
      </c>
      <c r="L167" s="377" t="s">
        <v>167</v>
      </c>
      <c r="M167" s="377" t="s">
        <v>172</v>
      </c>
      <c r="N167" s="377" t="s">
        <v>173</v>
      </c>
      <c r="O167" s="380">
        <v>1</v>
      </c>
      <c r="P167" s="386">
        <v>1</v>
      </c>
      <c r="Q167" s="386">
        <v>1</v>
      </c>
      <c r="R167" s="381">
        <v>80</v>
      </c>
      <c r="S167" s="386">
        <v>1</v>
      </c>
      <c r="T167" s="381">
        <v>51954.9</v>
      </c>
      <c r="U167" s="381">
        <v>0</v>
      </c>
      <c r="V167" s="381">
        <v>18555.2</v>
      </c>
      <c r="W167" s="381">
        <v>82409.600000000006</v>
      </c>
      <c r="X167" s="381">
        <v>29526.61</v>
      </c>
      <c r="Y167" s="381">
        <v>82409.600000000006</v>
      </c>
      <c r="Z167" s="381">
        <v>30183.26</v>
      </c>
      <c r="AA167" s="377" t="s">
        <v>704</v>
      </c>
      <c r="AB167" s="377" t="s">
        <v>705</v>
      </c>
      <c r="AC167" s="377" t="s">
        <v>706</v>
      </c>
      <c r="AD167" s="377" t="s">
        <v>199</v>
      </c>
      <c r="AE167" s="377" t="s">
        <v>301</v>
      </c>
      <c r="AF167" s="377" t="s">
        <v>207</v>
      </c>
      <c r="AG167" s="377" t="s">
        <v>179</v>
      </c>
      <c r="AH167" s="382">
        <v>39.619999999999997</v>
      </c>
      <c r="AI167" s="380">
        <v>24854</v>
      </c>
      <c r="AJ167" s="377" t="s">
        <v>180</v>
      </c>
      <c r="AK167" s="377" t="s">
        <v>181</v>
      </c>
      <c r="AL167" s="377" t="s">
        <v>182</v>
      </c>
      <c r="AM167" s="377" t="s">
        <v>183</v>
      </c>
      <c r="AN167" s="377" t="s">
        <v>66</v>
      </c>
      <c r="AO167" s="380">
        <v>80</v>
      </c>
      <c r="AP167" s="386">
        <v>1</v>
      </c>
      <c r="AQ167" s="386">
        <v>1</v>
      </c>
      <c r="AR167" s="384" t="s">
        <v>184</v>
      </c>
      <c r="AS167" s="388">
        <f t="shared" si="115"/>
        <v>1</v>
      </c>
      <c r="AT167">
        <f t="shared" si="116"/>
        <v>1</v>
      </c>
      <c r="AU167" s="388">
        <f>IF(AT167=0,"",IF(AND(AT167=1,M167="F",SUMIF(C2:C258,C167,AS2:AS258)&lt;=1),SUMIF(C2:C258,C167,AS2:AS258),IF(AND(AT167=1,M167="F",SUMIF(C2:C258,C167,AS2:AS258)&gt;1),1,"")))</f>
        <v>1</v>
      </c>
      <c r="AV167" s="388" t="str">
        <f>IF(AT167=0,"",IF(AND(AT167=3,M167="F",SUMIF(C2:C258,C167,AS2:AS258)&lt;=1),SUMIF(C2:C258,C167,AS2:AS258),IF(AND(AT167=3,M167="F",SUMIF(C2:C258,C167,AS2:AS258)&gt;1),1,"")))</f>
        <v/>
      </c>
      <c r="AW167" s="388">
        <f>SUMIF(C2:C258,C167,O2:O258)</f>
        <v>2</v>
      </c>
      <c r="AX167" s="388">
        <f>IF(AND(M167="F",AS167&lt;&gt;0),SUMIF(C2:C258,C167,W2:W258),0)</f>
        <v>82409.600000000006</v>
      </c>
      <c r="AY167" s="388">
        <f t="shared" si="117"/>
        <v>82409.600000000006</v>
      </c>
      <c r="AZ167" s="388" t="str">
        <f t="shared" si="118"/>
        <v/>
      </c>
      <c r="BA167" s="388">
        <f t="shared" si="119"/>
        <v>0</v>
      </c>
      <c r="BB167" s="388">
        <f t="shared" si="88"/>
        <v>12500</v>
      </c>
      <c r="BC167" s="388">
        <f t="shared" si="89"/>
        <v>0</v>
      </c>
      <c r="BD167" s="388">
        <f t="shared" si="90"/>
        <v>5109.3951999999999</v>
      </c>
      <c r="BE167" s="388">
        <f t="shared" si="91"/>
        <v>1194.9392000000003</v>
      </c>
      <c r="BF167" s="388">
        <f t="shared" si="92"/>
        <v>9839.7062400000013</v>
      </c>
      <c r="BG167" s="388">
        <f t="shared" si="93"/>
        <v>594.17321600000002</v>
      </c>
      <c r="BH167" s="388">
        <f t="shared" si="94"/>
        <v>0</v>
      </c>
      <c r="BI167" s="388">
        <f t="shared" si="95"/>
        <v>0</v>
      </c>
      <c r="BJ167" s="388">
        <f t="shared" si="96"/>
        <v>288.43360000000001</v>
      </c>
      <c r="BK167" s="388">
        <f t="shared" si="97"/>
        <v>0</v>
      </c>
      <c r="BL167" s="388">
        <f t="shared" si="120"/>
        <v>17026.647456000002</v>
      </c>
      <c r="BM167" s="388">
        <f t="shared" si="121"/>
        <v>0</v>
      </c>
      <c r="BN167" s="388">
        <f t="shared" si="98"/>
        <v>13750</v>
      </c>
      <c r="BO167" s="388">
        <f t="shared" si="99"/>
        <v>0</v>
      </c>
      <c r="BP167" s="388">
        <f t="shared" si="100"/>
        <v>5109.3951999999999</v>
      </c>
      <c r="BQ167" s="388">
        <f t="shared" si="101"/>
        <v>1194.9392000000003</v>
      </c>
      <c r="BR167" s="388">
        <f t="shared" si="102"/>
        <v>9213.3932800000002</v>
      </c>
      <c r="BS167" s="388">
        <f t="shared" si="103"/>
        <v>594.17321600000002</v>
      </c>
      <c r="BT167" s="388">
        <f t="shared" si="104"/>
        <v>0</v>
      </c>
      <c r="BU167" s="388">
        <f t="shared" si="105"/>
        <v>0</v>
      </c>
      <c r="BV167" s="388">
        <f t="shared" si="106"/>
        <v>321.39744000000002</v>
      </c>
      <c r="BW167" s="388">
        <f t="shared" si="107"/>
        <v>0</v>
      </c>
      <c r="BX167" s="388">
        <f t="shared" si="122"/>
        <v>16433.298336</v>
      </c>
      <c r="BY167" s="388">
        <f t="shared" si="123"/>
        <v>0</v>
      </c>
      <c r="BZ167" s="388">
        <f t="shared" si="124"/>
        <v>1250</v>
      </c>
      <c r="CA167" s="388">
        <f t="shared" si="125"/>
        <v>0</v>
      </c>
      <c r="CB167" s="388">
        <f t="shared" si="126"/>
        <v>0</v>
      </c>
      <c r="CC167" s="388">
        <f t="shared" si="108"/>
        <v>0</v>
      </c>
      <c r="CD167" s="388">
        <f t="shared" si="109"/>
        <v>-626.31296000000088</v>
      </c>
      <c r="CE167" s="388">
        <f t="shared" si="110"/>
        <v>0</v>
      </c>
      <c r="CF167" s="388">
        <f t="shared" si="111"/>
        <v>0</v>
      </c>
      <c r="CG167" s="388">
        <f t="shared" si="112"/>
        <v>0</v>
      </c>
      <c r="CH167" s="388">
        <f t="shared" si="113"/>
        <v>32.963839999999983</v>
      </c>
      <c r="CI167" s="388">
        <f t="shared" si="114"/>
        <v>0</v>
      </c>
      <c r="CJ167" s="388">
        <f t="shared" si="127"/>
        <v>-593.34912000000088</v>
      </c>
      <c r="CK167" s="388" t="str">
        <f t="shared" si="128"/>
        <v/>
      </c>
      <c r="CL167" s="388" t="str">
        <f t="shared" si="129"/>
        <v/>
      </c>
      <c r="CM167" s="388" t="str">
        <f t="shared" si="130"/>
        <v/>
      </c>
      <c r="CN167" s="388" t="str">
        <f t="shared" si="131"/>
        <v>0348-03</v>
      </c>
    </row>
    <row r="168" spans="1:92" ht="15.75" thickBot="1" x14ac:dyDescent="0.3">
      <c r="A168" s="377" t="s">
        <v>162</v>
      </c>
      <c r="B168" s="377" t="s">
        <v>163</v>
      </c>
      <c r="C168" s="377" t="s">
        <v>707</v>
      </c>
      <c r="D168" s="377" t="s">
        <v>300</v>
      </c>
      <c r="E168" s="377" t="s">
        <v>637</v>
      </c>
      <c r="F168" s="383" t="s">
        <v>418</v>
      </c>
      <c r="G168" s="377" t="s">
        <v>439</v>
      </c>
      <c r="H168" s="379"/>
      <c r="I168" s="379"/>
      <c r="J168" s="377" t="s">
        <v>169</v>
      </c>
      <c r="K168" s="377" t="s">
        <v>301</v>
      </c>
      <c r="L168" s="377" t="s">
        <v>167</v>
      </c>
      <c r="M168" s="377" t="s">
        <v>172</v>
      </c>
      <c r="N168" s="377" t="s">
        <v>173</v>
      </c>
      <c r="O168" s="380">
        <v>1</v>
      </c>
      <c r="P168" s="386">
        <v>0.8</v>
      </c>
      <c r="Q168" s="386">
        <v>0.8</v>
      </c>
      <c r="R168" s="381">
        <v>80</v>
      </c>
      <c r="S168" s="386">
        <v>0.8</v>
      </c>
      <c r="T168" s="381">
        <v>34209.129999999997</v>
      </c>
      <c r="U168" s="381">
        <v>0</v>
      </c>
      <c r="V168" s="381">
        <v>12611.63</v>
      </c>
      <c r="W168" s="381">
        <v>60270.080000000002</v>
      </c>
      <c r="X168" s="381">
        <v>22452.38</v>
      </c>
      <c r="Y168" s="381">
        <v>60270.080000000002</v>
      </c>
      <c r="Z168" s="381">
        <v>23018.44</v>
      </c>
      <c r="AA168" s="377" t="s">
        <v>708</v>
      </c>
      <c r="AB168" s="377" t="s">
        <v>709</v>
      </c>
      <c r="AC168" s="377" t="s">
        <v>710</v>
      </c>
      <c r="AD168" s="377" t="s">
        <v>508</v>
      </c>
      <c r="AE168" s="377" t="s">
        <v>301</v>
      </c>
      <c r="AF168" s="377" t="s">
        <v>207</v>
      </c>
      <c r="AG168" s="377" t="s">
        <v>179</v>
      </c>
      <c r="AH168" s="382">
        <v>36.22</v>
      </c>
      <c r="AI168" s="382">
        <v>9154.6</v>
      </c>
      <c r="AJ168" s="377" t="s">
        <v>180</v>
      </c>
      <c r="AK168" s="377" t="s">
        <v>181</v>
      </c>
      <c r="AL168" s="377" t="s">
        <v>182</v>
      </c>
      <c r="AM168" s="377" t="s">
        <v>183</v>
      </c>
      <c r="AN168" s="377" t="s">
        <v>66</v>
      </c>
      <c r="AO168" s="380">
        <v>80</v>
      </c>
      <c r="AP168" s="386">
        <v>1</v>
      </c>
      <c r="AQ168" s="386">
        <v>0.8</v>
      </c>
      <c r="AR168" s="384" t="s">
        <v>184</v>
      </c>
      <c r="AS168" s="388">
        <f t="shared" si="115"/>
        <v>0.8</v>
      </c>
      <c r="AT168">
        <f t="shared" si="116"/>
        <v>1</v>
      </c>
      <c r="AU168" s="388">
        <f>IF(AT168=0,"",IF(AND(AT168=1,M168="F",SUMIF(C2:C258,C168,AS2:AS258)&lt;=1),SUMIF(C2:C258,C168,AS2:AS258),IF(AND(AT168=1,M168="F",SUMIF(C2:C258,C168,AS2:AS258)&gt;1),1,"")))</f>
        <v>1</v>
      </c>
      <c r="AV168" s="388" t="str">
        <f>IF(AT168=0,"",IF(AND(AT168=3,M168="F",SUMIF(C2:C258,C168,AS2:AS258)&lt;=1),SUMIF(C2:C258,C168,AS2:AS258),IF(AND(AT168=3,M168="F",SUMIF(C2:C258,C168,AS2:AS258)&gt;1),1,"")))</f>
        <v/>
      </c>
      <c r="AW168" s="388">
        <f>SUMIF(C2:C258,C168,O2:O258)</f>
        <v>3</v>
      </c>
      <c r="AX168" s="388">
        <f>IF(AND(M168="F",AS168&lt;&gt;0),SUMIF(C2:C258,C168,W2:W258),0)</f>
        <v>75337.600000000006</v>
      </c>
      <c r="AY168" s="388">
        <f t="shared" si="117"/>
        <v>60270.080000000002</v>
      </c>
      <c r="AZ168" s="388" t="str">
        <f t="shared" si="118"/>
        <v/>
      </c>
      <c r="BA168" s="388">
        <f t="shared" si="119"/>
        <v>0</v>
      </c>
      <c r="BB168" s="388">
        <f t="shared" si="88"/>
        <v>10000</v>
      </c>
      <c r="BC168" s="388">
        <f t="shared" si="89"/>
        <v>0</v>
      </c>
      <c r="BD168" s="388">
        <f t="shared" si="90"/>
        <v>3736.74496</v>
      </c>
      <c r="BE168" s="388">
        <f t="shared" si="91"/>
        <v>873.9161600000001</v>
      </c>
      <c r="BF168" s="388">
        <f t="shared" si="92"/>
        <v>7196.2475520000007</v>
      </c>
      <c r="BG168" s="388">
        <f t="shared" si="93"/>
        <v>434.54727680000002</v>
      </c>
      <c r="BH168" s="388">
        <f t="shared" si="94"/>
        <v>0</v>
      </c>
      <c r="BI168" s="388">
        <f t="shared" si="95"/>
        <v>0</v>
      </c>
      <c r="BJ168" s="388">
        <f t="shared" si="96"/>
        <v>210.94528</v>
      </c>
      <c r="BK168" s="388">
        <f t="shared" si="97"/>
        <v>0</v>
      </c>
      <c r="BL168" s="388">
        <f t="shared" si="120"/>
        <v>12452.401228800001</v>
      </c>
      <c r="BM168" s="388">
        <f t="shared" si="121"/>
        <v>0</v>
      </c>
      <c r="BN168" s="388">
        <f t="shared" si="98"/>
        <v>11000</v>
      </c>
      <c r="BO168" s="388">
        <f t="shared" si="99"/>
        <v>0</v>
      </c>
      <c r="BP168" s="388">
        <f t="shared" si="100"/>
        <v>3736.74496</v>
      </c>
      <c r="BQ168" s="388">
        <f t="shared" si="101"/>
        <v>873.9161600000001</v>
      </c>
      <c r="BR168" s="388">
        <f t="shared" si="102"/>
        <v>6738.1949439999999</v>
      </c>
      <c r="BS168" s="388">
        <f t="shared" si="103"/>
        <v>434.54727680000002</v>
      </c>
      <c r="BT168" s="388">
        <f t="shared" si="104"/>
        <v>0</v>
      </c>
      <c r="BU168" s="388">
        <f t="shared" si="105"/>
        <v>0</v>
      </c>
      <c r="BV168" s="388">
        <f t="shared" si="106"/>
        <v>235.05331200000001</v>
      </c>
      <c r="BW168" s="388">
        <f t="shared" si="107"/>
        <v>0</v>
      </c>
      <c r="BX168" s="388">
        <f t="shared" si="122"/>
        <v>12018.4566528</v>
      </c>
      <c r="BY168" s="388">
        <f t="shared" si="123"/>
        <v>0</v>
      </c>
      <c r="BZ168" s="388">
        <f t="shared" si="124"/>
        <v>1000</v>
      </c>
      <c r="CA168" s="388">
        <f t="shared" si="125"/>
        <v>0</v>
      </c>
      <c r="CB168" s="388">
        <f t="shared" si="126"/>
        <v>0</v>
      </c>
      <c r="CC168" s="388">
        <f t="shared" si="108"/>
        <v>0</v>
      </c>
      <c r="CD168" s="388">
        <f t="shared" si="109"/>
        <v>-458.05260800000059</v>
      </c>
      <c r="CE168" s="388">
        <f t="shared" si="110"/>
        <v>0</v>
      </c>
      <c r="CF168" s="388">
        <f t="shared" si="111"/>
        <v>0</v>
      </c>
      <c r="CG168" s="388">
        <f t="shared" si="112"/>
        <v>0</v>
      </c>
      <c r="CH168" s="388">
        <f t="shared" si="113"/>
        <v>24.108031999999987</v>
      </c>
      <c r="CI168" s="388">
        <f t="shared" si="114"/>
        <v>0</v>
      </c>
      <c r="CJ168" s="388">
        <f t="shared" si="127"/>
        <v>-433.94457600000061</v>
      </c>
      <c r="CK168" s="388" t="str">
        <f t="shared" si="128"/>
        <v/>
      </c>
      <c r="CL168" s="388" t="str">
        <f t="shared" si="129"/>
        <v/>
      </c>
      <c r="CM168" s="388" t="str">
        <f t="shared" si="130"/>
        <v/>
      </c>
      <c r="CN168" s="388" t="str">
        <f t="shared" si="131"/>
        <v>0348-03</v>
      </c>
    </row>
    <row r="169" spans="1:92" ht="15.75" thickBot="1" x14ac:dyDescent="0.3">
      <c r="A169" s="377" t="s">
        <v>162</v>
      </c>
      <c r="B169" s="377" t="s">
        <v>163</v>
      </c>
      <c r="C169" s="377" t="s">
        <v>711</v>
      </c>
      <c r="D169" s="377" t="s">
        <v>300</v>
      </c>
      <c r="E169" s="377" t="s">
        <v>637</v>
      </c>
      <c r="F169" s="383" t="s">
        <v>418</v>
      </c>
      <c r="G169" s="377" t="s">
        <v>439</v>
      </c>
      <c r="H169" s="379"/>
      <c r="I169" s="379"/>
      <c r="J169" s="377" t="s">
        <v>169</v>
      </c>
      <c r="K169" s="377" t="s">
        <v>301</v>
      </c>
      <c r="L169" s="377" t="s">
        <v>167</v>
      </c>
      <c r="M169" s="377" t="s">
        <v>172</v>
      </c>
      <c r="N169" s="377" t="s">
        <v>173</v>
      </c>
      <c r="O169" s="380">
        <v>1</v>
      </c>
      <c r="P169" s="386">
        <v>1</v>
      </c>
      <c r="Q169" s="386">
        <v>1</v>
      </c>
      <c r="R169" s="381">
        <v>80</v>
      </c>
      <c r="S169" s="386">
        <v>1</v>
      </c>
      <c r="T169" s="381">
        <v>61021.66</v>
      </c>
      <c r="U169" s="381">
        <v>0</v>
      </c>
      <c r="V169" s="381">
        <v>21791.66</v>
      </c>
      <c r="W169" s="381">
        <v>68993.600000000006</v>
      </c>
      <c r="X169" s="381">
        <v>26754.73</v>
      </c>
      <c r="Y169" s="381">
        <v>68993.600000000006</v>
      </c>
      <c r="Z169" s="381">
        <v>27507.98</v>
      </c>
      <c r="AA169" s="377" t="s">
        <v>712</v>
      </c>
      <c r="AB169" s="377" t="s">
        <v>713</v>
      </c>
      <c r="AC169" s="377" t="s">
        <v>714</v>
      </c>
      <c r="AD169" s="377" t="s">
        <v>715</v>
      </c>
      <c r="AE169" s="377" t="s">
        <v>301</v>
      </c>
      <c r="AF169" s="377" t="s">
        <v>207</v>
      </c>
      <c r="AG169" s="377" t="s">
        <v>179</v>
      </c>
      <c r="AH169" s="382">
        <v>33.17</v>
      </c>
      <c r="AI169" s="382">
        <v>2091.3000000000002</v>
      </c>
      <c r="AJ169" s="377" t="s">
        <v>180</v>
      </c>
      <c r="AK169" s="377" t="s">
        <v>181</v>
      </c>
      <c r="AL169" s="377" t="s">
        <v>182</v>
      </c>
      <c r="AM169" s="377" t="s">
        <v>183</v>
      </c>
      <c r="AN169" s="377" t="s">
        <v>66</v>
      </c>
      <c r="AO169" s="380">
        <v>80</v>
      </c>
      <c r="AP169" s="386">
        <v>1</v>
      </c>
      <c r="AQ169" s="386">
        <v>1</v>
      </c>
      <c r="AR169" s="384" t="s">
        <v>184</v>
      </c>
      <c r="AS169" s="388">
        <f t="shared" si="115"/>
        <v>1</v>
      </c>
      <c r="AT169">
        <f t="shared" si="116"/>
        <v>1</v>
      </c>
      <c r="AU169" s="388">
        <f>IF(AT169=0,"",IF(AND(AT169=1,M169="F",SUMIF(C2:C258,C169,AS2:AS258)&lt;=1),SUMIF(C2:C258,C169,AS2:AS258),IF(AND(AT169=1,M169="F",SUMIF(C2:C258,C169,AS2:AS258)&gt;1),1,"")))</f>
        <v>1</v>
      </c>
      <c r="AV169" s="388" t="str">
        <f>IF(AT169=0,"",IF(AND(AT169=3,M169="F",SUMIF(C2:C258,C169,AS2:AS258)&lt;=1),SUMIF(C2:C258,C169,AS2:AS258),IF(AND(AT169=3,M169="F",SUMIF(C2:C258,C169,AS2:AS258)&gt;1),1,"")))</f>
        <v/>
      </c>
      <c r="AW169" s="388">
        <f>SUMIF(C2:C258,C169,O2:O258)</f>
        <v>2</v>
      </c>
      <c r="AX169" s="388">
        <f>IF(AND(M169="F",AS169&lt;&gt;0),SUMIF(C2:C258,C169,W2:W258),0)</f>
        <v>68993.600000000006</v>
      </c>
      <c r="AY169" s="388">
        <f t="shared" si="117"/>
        <v>68993.600000000006</v>
      </c>
      <c r="AZ169" s="388" t="str">
        <f t="shared" si="118"/>
        <v/>
      </c>
      <c r="BA169" s="388">
        <f t="shared" si="119"/>
        <v>0</v>
      </c>
      <c r="BB169" s="388">
        <f t="shared" si="88"/>
        <v>12500</v>
      </c>
      <c r="BC169" s="388">
        <f t="shared" si="89"/>
        <v>0</v>
      </c>
      <c r="BD169" s="388">
        <f t="shared" si="90"/>
        <v>4277.6032000000005</v>
      </c>
      <c r="BE169" s="388">
        <f t="shared" si="91"/>
        <v>1000.4072000000001</v>
      </c>
      <c r="BF169" s="388">
        <f t="shared" si="92"/>
        <v>8237.8358400000016</v>
      </c>
      <c r="BG169" s="388">
        <f t="shared" si="93"/>
        <v>497.44385600000004</v>
      </c>
      <c r="BH169" s="388">
        <f t="shared" si="94"/>
        <v>0</v>
      </c>
      <c r="BI169" s="388">
        <f t="shared" si="95"/>
        <v>0</v>
      </c>
      <c r="BJ169" s="388">
        <f t="shared" si="96"/>
        <v>241.47760000000002</v>
      </c>
      <c r="BK169" s="388">
        <f t="shared" si="97"/>
        <v>0</v>
      </c>
      <c r="BL169" s="388">
        <f t="shared" si="120"/>
        <v>14254.767696000003</v>
      </c>
      <c r="BM169" s="388">
        <f t="shared" si="121"/>
        <v>0</v>
      </c>
      <c r="BN169" s="388">
        <f t="shared" si="98"/>
        <v>13750</v>
      </c>
      <c r="BO169" s="388">
        <f t="shared" si="99"/>
        <v>0</v>
      </c>
      <c r="BP169" s="388">
        <f t="shared" si="100"/>
        <v>4277.6032000000005</v>
      </c>
      <c r="BQ169" s="388">
        <f t="shared" si="101"/>
        <v>1000.4072000000001</v>
      </c>
      <c r="BR169" s="388">
        <f t="shared" si="102"/>
        <v>7713.4844800000001</v>
      </c>
      <c r="BS169" s="388">
        <f t="shared" si="103"/>
        <v>497.44385600000004</v>
      </c>
      <c r="BT169" s="388">
        <f t="shared" si="104"/>
        <v>0</v>
      </c>
      <c r="BU169" s="388">
        <f t="shared" si="105"/>
        <v>0</v>
      </c>
      <c r="BV169" s="388">
        <f t="shared" si="106"/>
        <v>269.07504</v>
      </c>
      <c r="BW169" s="388">
        <f t="shared" si="107"/>
        <v>0</v>
      </c>
      <c r="BX169" s="388">
        <f t="shared" si="122"/>
        <v>13758.013776000002</v>
      </c>
      <c r="BY169" s="388">
        <f t="shared" si="123"/>
        <v>0</v>
      </c>
      <c r="BZ169" s="388">
        <f t="shared" si="124"/>
        <v>1250</v>
      </c>
      <c r="CA169" s="388">
        <f t="shared" si="125"/>
        <v>0</v>
      </c>
      <c r="CB169" s="388">
        <f t="shared" si="126"/>
        <v>0</v>
      </c>
      <c r="CC169" s="388">
        <f t="shared" si="108"/>
        <v>0</v>
      </c>
      <c r="CD169" s="388">
        <f t="shared" si="109"/>
        <v>-524.35136000000068</v>
      </c>
      <c r="CE169" s="388">
        <f t="shared" si="110"/>
        <v>0</v>
      </c>
      <c r="CF169" s="388">
        <f t="shared" si="111"/>
        <v>0</v>
      </c>
      <c r="CG169" s="388">
        <f t="shared" si="112"/>
        <v>0</v>
      </c>
      <c r="CH169" s="388">
        <f t="shared" si="113"/>
        <v>27.597439999999985</v>
      </c>
      <c r="CI169" s="388">
        <f t="shared" si="114"/>
        <v>0</v>
      </c>
      <c r="CJ169" s="388">
        <f t="shared" si="127"/>
        <v>-496.75392000000068</v>
      </c>
      <c r="CK169" s="388" t="str">
        <f t="shared" si="128"/>
        <v/>
      </c>
      <c r="CL169" s="388" t="str">
        <f t="shared" si="129"/>
        <v/>
      </c>
      <c r="CM169" s="388" t="str">
        <f t="shared" si="130"/>
        <v/>
      </c>
      <c r="CN169" s="388" t="str">
        <f t="shared" si="131"/>
        <v>0348-03</v>
      </c>
    </row>
    <row r="170" spans="1:92" ht="15.75" thickBot="1" x14ac:dyDescent="0.3">
      <c r="A170" s="377" t="s">
        <v>162</v>
      </c>
      <c r="B170" s="377" t="s">
        <v>163</v>
      </c>
      <c r="C170" s="377" t="s">
        <v>716</v>
      </c>
      <c r="D170" s="377" t="s">
        <v>300</v>
      </c>
      <c r="E170" s="377" t="s">
        <v>637</v>
      </c>
      <c r="F170" s="383" t="s">
        <v>418</v>
      </c>
      <c r="G170" s="377" t="s">
        <v>439</v>
      </c>
      <c r="H170" s="379"/>
      <c r="I170" s="379"/>
      <c r="J170" s="377" t="s">
        <v>169</v>
      </c>
      <c r="K170" s="377" t="s">
        <v>301</v>
      </c>
      <c r="L170" s="377" t="s">
        <v>167</v>
      </c>
      <c r="M170" s="377" t="s">
        <v>172</v>
      </c>
      <c r="N170" s="377" t="s">
        <v>173</v>
      </c>
      <c r="O170" s="380">
        <v>1</v>
      </c>
      <c r="P170" s="386">
        <v>1</v>
      </c>
      <c r="Q170" s="386">
        <v>1</v>
      </c>
      <c r="R170" s="381">
        <v>80</v>
      </c>
      <c r="S170" s="386">
        <v>1</v>
      </c>
      <c r="T170" s="381">
        <v>58399.38</v>
      </c>
      <c r="U170" s="381">
        <v>0</v>
      </c>
      <c r="V170" s="381">
        <v>23540.13</v>
      </c>
      <c r="W170" s="381">
        <v>62400</v>
      </c>
      <c r="X170" s="381">
        <v>25392.45</v>
      </c>
      <c r="Y170" s="381">
        <v>62400</v>
      </c>
      <c r="Z170" s="381">
        <v>26193.17</v>
      </c>
      <c r="AA170" s="377" t="s">
        <v>717</v>
      </c>
      <c r="AB170" s="377" t="s">
        <v>718</v>
      </c>
      <c r="AC170" s="377" t="s">
        <v>719</v>
      </c>
      <c r="AD170" s="377" t="s">
        <v>332</v>
      </c>
      <c r="AE170" s="377" t="s">
        <v>301</v>
      </c>
      <c r="AF170" s="377" t="s">
        <v>207</v>
      </c>
      <c r="AG170" s="377" t="s">
        <v>179</v>
      </c>
      <c r="AH170" s="380">
        <v>30</v>
      </c>
      <c r="AI170" s="380">
        <v>568</v>
      </c>
      <c r="AJ170" s="377" t="s">
        <v>180</v>
      </c>
      <c r="AK170" s="377" t="s">
        <v>181</v>
      </c>
      <c r="AL170" s="377" t="s">
        <v>182</v>
      </c>
      <c r="AM170" s="377" t="s">
        <v>183</v>
      </c>
      <c r="AN170" s="377" t="s">
        <v>66</v>
      </c>
      <c r="AO170" s="380">
        <v>80</v>
      </c>
      <c r="AP170" s="386">
        <v>1</v>
      </c>
      <c r="AQ170" s="386">
        <v>1</v>
      </c>
      <c r="AR170" s="384" t="s">
        <v>184</v>
      </c>
      <c r="AS170" s="388">
        <f t="shared" si="115"/>
        <v>1</v>
      </c>
      <c r="AT170">
        <f t="shared" si="116"/>
        <v>1</v>
      </c>
      <c r="AU170" s="388">
        <f>IF(AT170=0,"",IF(AND(AT170=1,M170="F",SUMIF(C2:C258,C170,AS2:AS258)&lt;=1),SUMIF(C2:C258,C170,AS2:AS258),IF(AND(AT170=1,M170="F",SUMIF(C2:C258,C170,AS2:AS258)&gt;1),1,"")))</f>
        <v>1</v>
      </c>
      <c r="AV170" s="388" t="str">
        <f>IF(AT170=0,"",IF(AND(AT170=3,M170="F",SUMIF(C2:C258,C170,AS2:AS258)&lt;=1),SUMIF(C2:C258,C170,AS2:AS258),IF(AND(AT170=3,M170="F",SUMIF(C2:C258,C170,AS2:AS258)&gt;1),1,"")))</f>
        <v/>
      </c>
      <c r="AW170" s="388">
        <f>SUMIF(C2:C258,C170,O2:O258)</f>
        <v>1</v>
      </c>
      <c r="AX170" s="388">
        <f>IF(AND(M170="F",AS170&lt;&gt;0),SUMIF(C2:C258,C170,W2:W258),0)</f>
        <v>62400</v>
      </c>
      <c r="AY170" s="388">
        <f t="shared" si="117"/>
        <v>62400</v>
      </c>
      <c r="AZ170" s="388" t="str">
        <f t="shared" si="118"/>
        <v/>
      </c>
      <c r="BA170" s="388">
        <f t="shared" si="119"/>
        <v>0</v>
      </c>
      <c r="BB170" s="388">
        <f t="shared" si="88"/>
        <v>12500</v>
      </c>
      <c r="BC170" s="388">
        <f t="shared" si="89"/>
        <v>0</v>
      </c>
      <c r="BD170" s="388">
        <f t="shared" si="90"/>
        <v>3868.8</v>
      </c>
      <c r="BE170" s="388">
        <f t="shared" si="91"/>
        <v>904.80000000000007</v>
      </c>
      <c r="BF170" s="388">
        <f t="shared" si="92"/>
        <v>7450.56</v>
      </c>
      <c r="BG170" s="388">
        <f t="shared" si="93"/>
        <v>449.904</v>
      </c>
      <c r="BH170" s="388">
        <f t="shared" si="94"/>
        <v>0</v>
      </c>
      <c r="BI170" s="388">
        <f t="shared" si="95"/>
        <v>0</v>
      </c>
      <c r="BJ170" s="388">
        <f t="shared" si="96"/>
        <v>218.4</v>
      </c>
      <c r="BK170" s="388">
        <f t="shared" si="97"/>
        <v>0</v>
      </c>
      <c r="BL170" s="388">
        <f t="shared" si="120"/>
        <v>12892.464</v>
      </c>
      <c r="BM170" s="388">
        <f t="shared" si="121"/>
        <v>0</v>
      </c>
      <c r="BN170" s="388">
        <f t="shared" si="98"/>
        <v>13750</v>
      </c>
      <c r="BO170" s="388">
        <f t="shared" si="99"/>
        <v>0</v>
      </c>
      <c r="BP170" s="388">
        <f t="shared" si="100"/>
        <v>3868.8</v>
      </c>
      <c r="BQ170" s="388">
        <f t="shared" si="101"/>
        <v>904.80000000000007</v>
      </c>
      <c r="BR170" s="388">
        <f t="shared" si="102"/>
        <v>6976.32</v>
      </c>
      <c r="BS170" s="388">
        <f t="shared" si="103"/>
        <v>449.904</v>
      </c>
      <c r="BT170" s="388">
        <f t="shared" si="104"/>
        <v>0</v>
      </c>
      <c r="BU170" s="388">
        <f t="shared" si="105"/>
        <v>0</v>
      </c>
      <c r="BV170" s="388">
        <f t="shared" si="106"/>
        <v>243.35999999999999</v>
      </c>
      <c r="BW170" s="388">
        <f t="shared" si="107"/>
        <v>0</v>
      </c>
      <c r="BX170" s="388">
        <f t="shared" si="122"/>
        <v>12443.184000000001</v>
      </c>
      <c r="BY170" s="388">
        <f t="shared" si="123"/>
        <v>0</v>
      </c>
      <c r="BZ170" s="388">
        <f t="shared" si="124"/>
        <v>1250</v>
      </c>
      <c r="CA170" s="388">
        <f t="shared" si="125"/>
        <v>0</v>
      </c>
      <c r="CB170" s="388">
        <f t="shared" si="126"/>
        <v>0</v>
      </c>
      <c r="CC170" s="388">
        <f t="shared" si="108"/>
        <v>0</v>
      </c>
      <c r="CD170" s="388">
        <f t="shared" si="109"/>
        <v>-474.24000000000058</v>
      </c>
      <c r="CE170" s="388">
        <f t="shared" si="110"/>
        <v>0</v>
      </c>
      <c r="CF170" s="388">
        <f t="shared" si="111"/>
        <v>0</v>
      </c>
      <c r="CG170" s="388">
        <f t="shared" si="112"/>
        <v>0</v>
      </c>
      <c r="CH170" s="388">
        <f t="shared" si="113"/>
        <v>24.959999999999983</v>
      </c>
      <c r="CI170" s="388">
        <f t="shared" si="114"/>
        <v>0</v>
      </c>
      <c r="CJ170" s="388">
        <f t="shared" si="127"/>
        <v>-449.2800000000006</v>
      </c>
      <c r="CK170" s="388" t="str">
        <f t="shared" si="128"/>
        <v/>
      </c>
      <c r="CL170" s="388" t="str">
        <f t="shared" si="129"/>
        <v/>
      </c>
      <c r="CM170" s="388" t="str">
        <f t="shared" si="130"/>
        <v/>
      </c>
      <c r="CN170" s="388" t="str">
        <f t="shared" si="131"/>
        <v>0348-03</v>
      </c>
    </row>
    <row r="171" spans="1:92" ht="15.75" thickBot="1" x14ac:dyDescent="0.3">
      <c r="A171" s="377" t="s">
        <v>162</v>
      </c>
      <c r="B171" s="377" t="s">
        <v>163</v>
      </c>
      <c r="C171" s="377" t="s">
        <v>487</v>
      </c>
      <c r="D171" s="377" t="s">
        <v>300</v>
      </c>
      <c r="E171" s="377" t="s">
        <v>637</v>
      </c>
      <c r="F171" s="383" t="s">
        <v>418</v>
      </c>
      <c r="G171" s="377" t="s">
        <v>439</v>
      </c>
      <c r="H171" s="379"/>
      <c r="I171" s="379"/>
      <c r="J171" s="377" t="s">
        <v>269</v>
      </c>
      <c r="K171" s="377" t="s">
        <v>301</v>
      </c>
      <c r="L171" s="377" t="s">
        <v>167</v>
      </c>
      <c r="M171" s="377" t="s">
        <v>172</v>
      </c>
      <c r="N171" s="377" t="s">
        <v>173</v>
      </c>
      <c r="O171" s="380">
        <v>1</v>
      </c>
      <c r="P171" s="386">
        <v>1</v>
      </c>
      <c r="Q171" s="386">
        <v>1</v>
      </c>
      <c r="R171" s="381">
        <v>80</v>
      </c>
      <c r="S171" s="386">
        <v>1</v>
      </c>
      <c r="T171" s="381">
        <v>71923.44</v>
      </c>
      <c r="U171" s="381">
        <v>0</v>
      </c>
      <c r="V171" s="381">
        <v>25704.53</v>
      </c>
      <c r="W171" s="381">
        <v>73132.800000000003</v>
      </c>
      <c r="X171" s="381">
        <v>27609.93</v>
      </c>
      <c r="Y171" s="381">
        <v>73132.800000000003</v>
      </c>
      <c r="Z171" s="381">
        <v>28333.37</v>
      </c>
      <c r="AA171" s="377" t="s">
        <v>488</v>
      </c>
      <c r="AB171" s="377" t="s">
        <v>489</v>
      </c>
      <c r="AC171" s="377" t="s">
        <v>490</v>
      </c>
      <c r="AD171" s="377" t="s">
        <v>491</v>
      </c>
      <c r="AE171" s="377" t="s">
        <v>301</v>
      </c>
      <c r="AF171" s="377" t="s">
        <v>207</v>
      </c>
      <c r="AG171" s="377" t="s">
        <v>179</v>
      </c>
      <c r="AH171" s="382">
        <v>35.159999999999997</v>
      </c>
      <c r="AI171" s="382">
        <v>3729.2</v>
      </c>
      <c r="AJ171" s="377" t="s">
        <v>180</v>
      </c>
      <c r="AK171" s="377" t="s">
        <v>181</v>
      </c>
      <c r="AL171" s="377" t="s">
        <v>182</v>
      </c>
      <c r="AM171" s="377" t="s">
        <v>183</v>
      </c>
      <c r="AN171" s="377" t="s">
        <v>66</v>
      </c>
      <c r="AO171" s="380">
        <v>80</v>
      </c>
      <c r="AP171" s="386">
        <v>1</v>
      </c>
      <c r="AQ171" s="386">
        <v>1</v>
      </c>
      <c r="AR171" s="384" t="s">
        <v>184</v>
      </c>
      <c r="AS171" s="388">
        <f t="shared" si="115"/>
        <v>1</v>
      </c>
      <c r="AT171">
        <f t="shared" si="116"/>
        <v>1</v>
      </c>
      <c r="AU171" s="388">
        <f>IF(AT171=0,"",IF(AND(AT171=1,M171="F",SUMIF(C2:C258,C171,AS2:AS258)&lt;=1),SUMIF(C2:C258,C171,AS2:AS258),IF(AND(AT171=1,M171="F",SUMIF(C2:C258,C171,AS2:AS258)&gt;1),1,"")))</f>
        <v>1</v>
      </c>
      <c r="AV171" s="388" t="str">
        <f>IF(AT171=0,"",IF(AND(AT171=3,M171="F",SUMIF(C2:C258,C171,AS2:AS258)&lt;=1),SUMIF(C2:C258,C171,AS2:AS258),IF(AND(AT171=3,M171="F",SUMIF(C2:C258,C171,AS2:AS258)&gt;1),1,"")))</f>
        <v/>
      </c>
      <c r="AW171" s="388">
        <f>SUMIF(C2:C258,C171,O2:O258)</f>
        <v>2</v>
      </c>
      <c r="AX171" s="388">
        <f>IF(AND(M171="F",AS171&lt;&gt;0),SUMIF(C2:C258,C171,W2:W258),0)</f>
        <v>73132.800000000003</v>
      </c>
      <c r="AY171" s="388">
        <f t="shared" si="117"/>
        <v>73132.800000000003</v>
      </c>
      <c r="AZ171" s="388" t="str">
        <f t="shared" si="118"/>
        <v/>
      </c>
      <c r="BA171" s="388">
        <f t="shared" si="119"/>
        <v>0</v>
      </c>
      <c r="BB171" s="388">
        <f t="shared" si="88"/>
        <v>12500</v>
      </c>
      <c r="BC171" s="388">
        <f t="shared" si="89"/>
        <v>0</v>
      </c>
      <c r="BD171" s="388">
        <f t="shared" si="90"/>
        <v>4534.2336000000005</v>
      </c>
      <c r="BE171" s="388">
        <f t="shared" si="91"/>
        <v>1060.4256</v>
      </c>
      <c r="BF171" s="388">
        <f t="shared" si="92"/>
        <v>8732.0563200000015</v>
      </c>
      <c r="BG171" s="388">
        <f t="shared" si="93"/>
        <v>527.28748800000005</v>
      </c>
      <c r="BH171" s="388">
        <f t="shared" si="94"/>
        <v>0</v>
      </c>
      <c r="BI171" s="388">
        <f t="shared" si="95"/>
        <v>0</v>
      </c>
      <c r="BJ171" s="388">
        <f t="shared" si="96"/>
        <v>255.96480000000003</v>
      </c>
      <c r="BK171" s="388">
        <f t="shared" si="97"/>
        <v>0</v>
      </c>
      <c r="BL171" s="388">
        <f t="shared" si="120"/>
        <v>15109.967808000001</v>
      </c>
      <c r="BM171" s="388">
        <f t="shared" si="121"/>
        <v>0</v>
      </c>
      <c r="BN171" s="388">
        <f t="shared" si="98"/>
        <v>13750</v>
      </c>
      <c r="BO171" s="388">
        <f t="shared" si="99"/>
        <v>0</v>
      </c>
      <c r="BP171" s="388">
        <f t="shared" si="100"/>
        <v>4534.2336000000005</v>
      </c>
      <c r="BQ171" s="388">
        <f t="shared" si="101"/>
        <v>1060.4256</v>
      </c>
      <c r="BR171" s="388">
        <f t="shared" si="102"/>
        <v>8176.2470400000002</v>
      </c>
      <c r="BS171" s="388">
        <f t="shared" si="103"/>
        <v>527.28748800000005</v>
      </c>
      <c r="BT171" s="388">
        <f t="shared" si="104"/>
        <v>0</v>
      </c>
      <c r="BU171" s="388">
        <f t="shared" si="105"/>
        <v>0</v>
      </c>
      <c r="BV171" s="388">
        <f t="shared" si="106"/>
        <v>285.21791999999999</v>
      </c>
      <c r="BW171" s="388">
        <f t="shared" si="107"/>
        <v>0</v>
      </c>
      <c r="BX171" s="388">
        <f t="shared" si="122"/>
        <v>14583.411647999999</v>
      </c>
      <c r="BY171" s="388">
        <f t="shared" si="123"/>
        <v>0</v>
      </c>
      <c r="BZ171" s="388">
        <f t="shared" si="124"/>
        <v>1250</v>
      </c>
      <c r="CA171" s="388">
        <f t="shared" si="125"/>
        <v>0</v>
      </c>
      <c r="CB171" s="388">
        <f t="shared" si="126"/>
        <v>0</v>
      </c>
      <c r="CC171" s="388">
        <f t="shared" si="108"/>
        <v>0</v>
      </c>
      <c r="CD171" s="388">
        <f t="shared" si="109"/>
        <v>-555.80928000000074</v>
      </c>
      <c r="CE171" s="388">
        <f t="shared" si="110"/>
        <v>0</v>
      </c>
      <c r="CF171" s="388">
        <f t="shared" si="111"/>
        <v>0</v>
      </c>
      <c r="CG171" s="388">
        <f t="shared" si="112"/>
        <v>0</v>
      </c>
      <c r="CH171" s="388">
        <f t="shared" si="113"/>
        <v>29.253119999999981</v>
      </c>
      <c r="CI171" s="388">
        <f t="shared" si="114"/>
        <v>0</v>
      </c>
      <c r="CJ171" s="388">
        <f t="shared" si="127"/>
        <v>-526.55616000000077</v>
      </c>
      <c r="CK171" s="388" t="str">
        <f t="shared" si="128"/>
        <v/>
      </c>
      <c r="CL171" s="388" t="str">
        <f t="shared" si="129"/>
        <v/>
      </c>
      <c r="CM171" s="388" t="str">
        <f t="shared" si="130"/>
        <v/>
      </c>
      <c r="CN171" s="388" t="str">
        <f t="shared" si="131"/>
        <v>0348-03</v>
      </c>
    </row>
    <row r="172" spans="1:92" ht="15.75" thickBot="1" x14ac:dyDescent="0.3">
      <c r="A172" s="377" t="s">
        <v>162</v>
      </c>
      <c r="B172" s="377" t="s">
        <v>163</v>
      </c>
      <c r="C172" s="377" t="s">
        <v>541</v>
      </c>
      <c r="D172" s="377" t="s">
        <v>276</v>
      </c>
      <c r="E172" s="377" t="s">
        <v>637</v>
      </c>
      <c r="F172" s="383" t="s">
        <v>720</v>
      </c>
      <c r="G172" s="377" t="s">
        <v>439</v>
      </c>
      <c r="H172" s="379"/>
      <c r="I172" s="379"/>
      <c r="J172" s="377" t="s">
        <v>283</v>
      </c>
      <c r="K172" s="377" t="s">
        <v>277</v>
      </c>
      <c r="L172" s="377" t="s">
        <v>215</v>
      </c>
      <c r="M172" s="377" t="s">
        <v>395</v>
      </c>
      <c r="N172" s="377" t="s">
        <v>173</v>
      </c>
      <c r="O172" s="380">
        <v>0</v>
      </c>
      <c r="P172" s="386">
        <v>0</v>
      </c>
      <c r="Q172" s="386">
        <v>0</v>
      </c>
      <c r="R172" s="381">
        <v>80</v>
      </c>
      <c r="S172" s="386">
        <v>0</v>
      </c>
      <c r="T172" s="381">
        <v>102.63</v>
      </c>
      <c r="U172" s="381">
        <v>0</v>
      </c>
      <c r="V172" s="381">
        <v>15.6</v>
      </c>
      <c r="W172" s="381">
        <v>0</v>
      </c>
      <c r="X172" s="381">
        <v>0</v>
      </c>
      <c r="Y172" s="381">
        <v>0</v>
      </c>
      <c r="Z172" s="381">
        <v>0</v>
      </c>
      <c r="AA172" s="379"/>
      <c r="AB172" s="377" t="s">
        <v>45</v>
      </c>
      <c r="AC172" s="377" t="s">
        <v>45</v>
      </c>
      <c r="AD172" s="379"/>
      <c r="AE172" s="379"/>
      <c r="AF172" s="379"/>
      <c r="AG172" s="379"/>
      <c r="AH172" s="380">
        <v>0</v>
      </c>
      <c r="AI172" s="380">
        <v>0</v>
      </c>
      <c r="AJ172" s="379"/>
      <c r="AK172" s="379"/>
      <c r="AL172" s="377" t="s">
        <v>182</v>
      </c>
      <c r="AM172" s="379"/>
      <c r="AN172" s="379"/>
      <c r="AO172" s="380">
        <v>0</v>
      </c>
      <c r="AP172" s="386">
        <v>0</v>
      </c>
      <c r="AQ172" s="386">
        <v>0</v>
      </c>
      <c r="AR172" s="385"/>
      <c r="AS172" s="388">
        <f t="shared" si="115"/>
        <v>0</v>
      </c>
      <c r="AT172">
        <f t="shared" si="116"/>
        <v>0</v>
      </c>
      <c r="AU172" s="388" t="str">
        <f>IF(AT172=0,"",IF(AND(AT172=1,M172="F",SUMIF(C2:C258,C172,AS2:AS258)&lt;=1),SUMIF(C2:C258,C172,AS2:AS258),IF(AND(AT172=1,M172="F",SUMIF(C2:C258,C172,AS2:AS258)&gt;1),1,"")))</f>
        <v/>
      </c>
      <c r="AV172" s="388" t="str">
        <f>IF(AT172=0,"",IF(AND(AT172=3,M172="F",SUMIF(C2:C258,C172,AS2:AS258)&lt;=1),SUMIF(C2:C258,C172,AS2:AS258),IF(AND(AT172=3,M172="F",SUMIF(C2:C258,C172,AS2:AS258)&gt;1),1,"")))</f>
        <v/>
      </c>
      <c r="AW172" s="388">
        <f>SUMIF(C2:C258,C172,O2:O258)</f>
        <v>0</v>
      </c>
      <c r="AX172" s="388">
        <f>IF(AND(M172="F",AS172&lt;&gt;0),SUMIF(C2:C258,C172,W2:W258),0)</f>
        <v>0</v>
      </c>
      <c r="AY172" s="388" t="str">
        <f t="shared" si="117"/>
        <v/>
      </c>
      <c r="AZ172" s="388" t="str">
        <f t="shared" si="118"/>
        <v/>
      </c>
      <c r="BA172" s="388">
        <f t="shared" si="119"/>
        <v>0</v>
      </c>
      <c r="BB172" s="388">
        <f t="shared" si="88"/>
        <v>0</v>
      </c>
      <c r="BC172" s="388">
        <f t="shared" si="89"/>
        <v>0</v>
      </c>
      <c r="BD172" s="388">
        <f t="shared" si="90"/>
        <v>0</v>
      </c>
      <c r="BE172" s="388">
        <f t="shared" si="91"/>
        <v>0</v>
      </c>
      <c r="BF172" s="388">
        <f t="shared" si="92"/>
        <v>0</v>
      </c>
      <c r="BG172" s="388">
        <f t="shared" si="93"/>
        <v>0</v>
      </c>
      <c r="BH172" s="388">
        <f t="shared" si="94"/>
        <v>0</v>
      </c>
      <c r="BI172" s="388">
        <f t="shared" si="95"/>
        <v>0</v>
      </c>
      <c r="BJ172" s="388">
        <f t="shared" si="96"/>
        <v>0</v>
      </c>
      <c r="BK172" s="388">
        <f t="shared" si="97"/>
        <v>0</v>
      </c>
      <c r="BL172" s="388">
        <f t="shared" si="120"/>
        <v>0</v>
      </c>
      <c r="BM172" s="388">
        <f t="shared" si="121"/>
        <v>0</v>
      </c>
      <c r="BN172" s="388">
        <f t="shared" si="98"/>
        <v>0</v>
      </c>
      <c r="BO172" s="388">
        <f t="shared" si="99"/>
        <v>0</v>
      </c>
      <c r="BP172" s="388">
        <f t="shared" si="100"/>
        <v>0</v>
      </c>
      <c r="BQ172" s="388">
        <f t="shared" si="101"/>
        <v>0</v>
      </c>
      <c r="BR172" s="388">
        <f t="shared" si="102"/>
        <v>0</v>
      </c>
      <c r="BS172" s="388">
        <f t="shared" si="103"/>
        <v>0</v>
      </c>
      <c r="BT172" s="388">
        <f t="shared" si="104"/>
        <v>0</v>
      </c>
      <c r="BU172" s="388">
        <f t="shared" si="105"/>
        <v>0</v>
      </c>
      <c r="BV172" s="388">
        <f t="shared" si="106"/>
        <v>0</v>
      </c>
      <c r="BW172" s="388">
        <f t="shared" si="107"/>
        <v>0</v>
      </c>
      <c r="BX172" s="388">
        <f t="shared" si="122"/>
        <v>0</v>
      </c>
      <c r="BY172" s="388">
        <f t="shared" si="123"/>
        <v>0</v>
      </c>
      <c r="BZ172" s="388">
        <f t="shared" si="124"/>
        <v>0</v>
      </c>
      <c r="CA172" s="388">
        <f t="shared" si="125"/>
        <v>0</v>
      </c>
      <c r="CB172" s="388">
        <f t="shared" si="126"/>
        <v>0</v>
      </c>
      <c r="CC172" s="388">
        <f t="shared" si="108"/>
        <v>0</v>
      </c>
      <c r="CD172" s="388">
        <f t="shared" si="109"/>
        <v>0</v>
      </c>
      <c r="CE172" s="388">
        <f t="shared" si="110"/>
        <v>0</v>
      </c>
      <c r="CF172" s="388">
        <f t="shared" si="111"/>
        <v>0</v>
      </c>
      <c r="CG172" s="388">
        <f t="shared" si="112"/>
        <v>0</v>
      </c>
      <c r="CH172" s="388">
        <f t="shared" si="113"/>
        <v>0</v>
      </c>
      <c r="CI172" s="388">
        <f t="shared" si="114"/>
        <v>0</v>
      </c>
      <c r="CJ172" s="388">
        <f t="shared" si="127"/>
        <v>0</v>
      </c>
      <c r="CK172" s="388" t="str">
        <f t="shared" si="128"/>
        <v/>
      </c>
      <c r="CL172" s="388" t="str">
        <f t="shared" si="129"/>
        <v/>
      </c>
      <c r="CM172" s="388" t="str">
        <f t="shared" si="130"/>
        <v/>
      </c>
      <c r="CN172" s="388" t="str">
        <f t="shared" si="131"/>
        <v>0348-07</v>
      </c>
    </row>
    <row r="173" spans="1:92" ht="15.75" thickBot="1" x14ac:dyDescent="0.3">
      <c r="A173" s="377" t="s">
        <v>162</v>
      </c>
      <c r="B173" s="377" t="s">
        <v>163</v>
      </c>
      <c r="C173" s="377" t="s">
        <v>237</v>
      </c>
      <c r="D173" s="377" t="s">
        <v>238</v>
      </c>
      <c r="E173" s="377" t="s">
        <v>637</v>
      </c>
      <c r="F173" s="383" t="s">
        <v>721</v>
      </c>
      <c r="G173" s="377" t="s">
        <v>439</v>
      </c>
      <c r="H173" s="379"/>
      <c r="I173" s="379"/>
      <c r="J173" s="377" t="s">
        <v>219</v>
      </c>
      <c r="K173" s="377" t="s">
        <v>239</v>
      </c>
      <c r="L173" s="377" t="s">
        <v>240</v>
      </c>
      <c r="M173" s="377" t="s">
        <v>172</v>
      </c>
      <c r="N173" s="377" t="s">
        <v>173</v>
      </c>
      <c r="O173" s="380">
        <v>1</v>
      </c>
      <c r="P173" s="386">
        <v>0</v>
      </c>
      <c r="Q173" s="386">
        <v>0</v>
      </c>
      <c r="R173" s="381">
        <v>80</v>
      </c>
      <c r="S173" s="386">
        <v>0</v>
      </c>
      <c r="T173" s="381">
        <v>2989.61</v>
      </c>
      <c r="U173" s="381">
        <v>0</v>
      </c>
      <c r="V173" s="381">
        <v>917.02</v>
      </c>
      <c r="W173" s="381">
        <v>0</v>
      </c>
      <c r="X173" s="381">
        <v>0</v>
      </c>
      <c r="Y173" s="381">
        <v>0</v>
      </c>
      <c r="Z173" s="381">
        <v>0</v>
      </c>
      <c r="AA173" s="377" t="s">
        <v>241</v>
      </c>
      <c r="AB173" s="377" t="s">
        <v>242</v>
      </c>
      <c r="AC173" s="377" t="s">
        <v>243</v>
      </c>
      <c r="AD173" s="377" t="s">
        <v>211</v>
      </c>
      <c r="AE173" s="377" t="s">
        <v>244</v>
      </c>
      <c r="AF173" s="377" t="s">
        <v>207</v>
      </c>
      <c r="AG173" s="377" t="s">
        <v>179</v>
      </c>
      <c r="AH173" s="382">
        <v>47.19</v>
      </c>
      <c r="AI173" s="382">
        <v>6916.8</v>
      </c>
      <c r="AJ173" s="377" t="s">
        <v>180</v>
      </c>
      <c r="AK173" s="377" t="s">
        <v>181</v>
      </c>
      <c r="AL173" s="377" t="s">
        <v>182</v>
      </c>
      <c r="AM173" s="377" t="s">
        <v>183</v>
      </c>
      <c r="AN173" s="377" t="s">
        <v>66</v>
      </c>
      <c r="AO173" s="380">
        <v>80</v>
      </c>
      <c r="AP173" s="386">
        <v>1</v>
      </c>
      <c r="AQ173" s="386">
        <v>0</v>
      </c>
      <c r="AR173" s="384" t="s">
        <v>184</v>
      </c>
      <c r="AS173" s="388">
        <f t="shared" si="115"/>
        <v>0</v>
      </c>
      <c r="AT173">
        <f t="shared" si="116"/>
        <v>0</v>
      </c>
      <c r="AU173" s="388" t="str">
        <f>IF(AT173=0,"",IF(AND(AT173=1,M173="F",SUMIF(C2:C258,C173,AS2:AS258)&lt;=1),SUMIF(C2:C258,C173,AS2:AS258),IF(AND(AT173=1,M173="F",SUMIF(C2:C258,C173,AS2:AS258)&gt;1),1,"")))</f>
        <v/>
      </c>
      <c r="AV173" s="388" t="str">
        <f>IF(AT173=0,"",IF(AND(AT173=3,M173="F",SUMIF(C2:C258,C173,AS2:AS258)&lt;=1),SUMIF(C2:C258,C173,AS2:AS258),IF(AND(AT173=3,M173="F",SUMIF(C2:C258,C173,AS2:AS258)&gt;1),1,"")))</f>
        <v/>
      </c>
      <c r="AW173" s="388">
        <f>SUMIF(C2:C258,C173,O2:O258)</f>
        <v>7</v>
      </c>
      <c r="AX173" s="388">
        <f>IF(AND(M173="F",AS173&lt;&gt;0),SUMIF(C2:C258,C173,W2:W258),0)</f>
        <v>0</v>
      </c>
      <c r="AY173" s="388" t="str">
        <f t="shared" si="117"/>
        <v/>
      </c>
      <c r="AZ173" s="388" t="str">
        <f t="shared" si="118"/>
        <v/>
      </c>
      <c r="BA173" s="388">
        <f t="shared" si="119"/>
        <v>0</v>
      </c>
      <c r="BB173" s="388">
        <f t="shared" si="88"/>
        <v>0</v>
      </c>
      <c r="BC173" s="388">
        <f t="shared" si="89"/>
        <v>0</v>
      </c>
      <c r="BD173" s="388">
        <f t="shared" si="90"/>
        <v>0</v>
      </c>
      <c r="BE173" s="388">
        <f t="shared" si="91"/>
        <v>0</v>
      </c>
      <c r="BF173" s="388">
        <f t="shared" si="92"/>
        <v>0</v>
      </c>
      <c r="BG173" s="388">
        <f t="shared" si="93"/>
        <v>0</v>
      </c>
      <c r="BH173" s="388">
        <f t="shared" si="94"/>
        <v>0</v>
      </c>
      <c r="BI173" s="388">
        <f t="shared" si="95"/>
        <v>0</v>
      </c>
      <c r="BJ173" s="388">
        <f t="shared" si="96"/>
        <v>0</v>
      </c>
      <c r="BK173" s="388">
        <f t="shared" si="97"/>
        <v>0</v>
      </c>
      <c r="BL173" s="388">
        <f t="shared" si="120"/>
        <v>0</v>
      </c>
      <c r="BM173" s="388">
        <f t="shared" si="121"/>
        <v>0</v>
      </c>
      <c r="BN173" s="388">
        <f t="shared" si="98"/>
        <v>0</v>
      </c>
      <c r="BO173" s="388">
        <f t="shared" si="99"/>
        <v>0</v>
      </c>
      <c r="BP173" s="388">
        <f t="shared" si="100"/>
        <v>0</v>
      </c>
      <c r="BQ173" s="388">
        <f t="shared" si="101"/>
        <v>0</v>
      </c>
      <c r="BR173" s="388">
        <f t="shared" si="102"/>
        <v>0</v>
      </c>
      <c r="BS173" s="388">
        <f t="shared" si="103"/>
        <v>0</v>
      </c>
      <c r="BT173" s="388">
        <f t="shared" si="104"/>
        <v>0</v>
      </c>
      <c r="BU173" s="388">
        <f t="shared" si="105"/>
        <v>0</v>
      </c>
      <c r="BV173" s="388">
        <f t="shared" si="106"/>
        <v>0</v>
      </c>
      <c r="BW173" s="388">
        <f t="shared" si="107"/>
        <v>0</v>
      </c>
      <c r="BX173" s="388">
        <f t="shared" si="122"/>
        <v>0</v>
      </c>
      <c r="BY173" s="388">
        <f t="shared" si="123"/>
        <v>0</v>
      </c>
      <c r="BZ173" s="388">
        <f t="shared" si="124"/>
        <v>0</v>
      </c>
      <c r="CA173" s="388">
        <f t="shared" si="125"/>
        <v>0</v>
      </c>
      <c r="CB173" s="388">
        <f t="shared" si="126"/>
        <v>0</v>
      </c>
      <c r="CC173" s="388">
        <f t="shared" si="108"/>
        <v>0</v>
      </c>
      <c r="CD173" s="388">
        <f t="shared" si="109"/>
        <v>0</v>
      </c>
      <c r="CE173" s="388">
        <f t="shared" si="110"/>
        <v>0</v>
      </c>
      <c r="CF173" s="388">
        <f t="shared" si="111"/>
        <v>0</v>
      </c>
      <c r="CG173" s="388">
        <f t="shared" si="112"/>
        <v>0</v>
      </c>
      <c r="CH173" s="388">
        <f t="shared" si="113"/>
        <v>0</v>
      </c>
      <c r="CI173" s="388">
        <f t="shared" si="114"/>
        <v>0</v>
      </c>
      <c r="CJ173" s="388">
        <f t="shared" si="127"/>
        <v>0</v>
      </c>
      <c r="CK173" s="388" t="str">
        <f t="shared" si="128"/>
        <v/>
      </c>
      <c r="CL173" s="388" t="str">
        <f t="shared" si="129"/>
        <v/>
      </c>
      <c r="CM173" s="388" t="str">
        <f t="shared" si="130"/>
        <v/>
      </c>
      <c r="CN173" s="388" t="str">
        <f t="shared" si="131"/>
        <v>0348-13</v>
      </c>
    </row>
    <row r="174" spans="1:92" ht="15.75" thickBot="1" x14ac:dyDescent="0.3">
      <c r="A174" s="377" t="s">
        <v>162</v>
      </c>
      <c r="B174" s="377" t="s">
        <v>163</v>
      </c>
      <c r="C174" s="377" t="s">
        <v>516</v>
      </c>
      <c r="D174" s="377" t="s">
        <v>251</v>
      </c>
      <c r="E174" s="377" t="s">
        <v>637</v>
      </c>
      <c r="F174" s="383" t="s">
        <v>721</v>
      </c>
      <c r="G174" s="377" t="s">
        <v>439</v>
      </c>
      <c r="H174" s="379"/>
      <c r="I174" s="379"/>
      <c r="J174" s="377" t="s">
        <v>517</v>
      </c>
      <c r="K174" s="377" t="s">
        <v>252</v>
      </c>
      <c r="L174" s="377" t="s">
        <v>179</v>
      </c>
      <c r="M174" s="377" t="s">
        <v>172</v>
      </c>
      <c r="N174" s="377" t="s">
        <v>173</v>
      </c>
      <c r="O174" s="380">
        <v>1</v>
      </c>
      <c r="P174" s="386">
        <v>0.4</v>
      </c>
      <c r="Q174" s="386">
        <v>0.4</v>
      </c>
      <c r="R174" s="381">
        <v>80</v>
      </c>
      <c r="S174" s="386">
        <v>0.4</v>
      </c>
      <c r="T174" s="381">
        <v>13344.14</v>
      </c>
      <c r="U174" s="381">
        <v>0</v>
      </c>
      <c r="V174" s="381">
        <v>6768.61</v>
      </c>
      <c r="W174" s="381">
        <v>15408.64</v>
      </c>
      <c r="X174" s="381">
        <v>8183.56</v>
      </c>
      <c r="Y174" s="381">
        <v>15408.64</v>
      </c>
      <c r="Z174" s="381">
        <v>8572.6200000000008</v>
      </c>
      <c r="AA174" s="377" t="s">
        <v>518</v>
      </c>
      <c r="AB174" s="377" t="s">
        <v>519</v>
      </c>
      <c r="AC174" s="377" t="s">
        <v>520</v>
      </c>
      <c r="AD174" s="377" t="s">
        <v>211</v>
      </c>
      <c r="AE174" s="377" t="s">
        <v>252</v>
      </c>
      <c r="AF174" s="377" t="s">
        <v>257</v>
      </c>
      <c r="AG174" s="377" t="s">
        <v>179</v>
      </c>
      <c r="AH174" s="382">
        <v>18.52</v>
      </c>
      <c r="AI174" s="382">
        <v>2463.6</v>
      </c>
      <c r="AJ174" s="377" t="s">
        <v>180</v>
      </c>
      <c r="AK174" s="377" t="s">
        <v>181</v>
      </c>
      <c r="AL174" s="377" t="s">
        <v>182</v>
      </c>
      <c r="AM174" s="377" t="s">
        <v>183</v>
      </c>
      <c r="AN174" s="377" t="s">
        <v>66</v>
      </c>
      <c r="AO174" s="380">
        <v>80</v>
      </c>
      <c r="AP174" s="386">
        <v>1</v>
      </c>
      <c r="AQ174" s="386">
        <v>0.4</v>
      </c>
      <c r="AR174" s="384" t="s">
        <v>184</v>
      </c>
      <c r="AS174" s="388">
        <f t="shared" si="115"/>
        <v>0.4</v>
      </c>
      <c r="AT174">
        <f t="shared" si="116"/>
        <v>1</v>
      </c>
      <c r="AU174" s="388">
        <f>IF(AT174=0,"",IF(AND(AT174=1,M174="F",SUMIF(C2:C258,C174,AS2:AS258)&lt;=1),SUMIF(C2:C258,C174,AS2:AS258),IF(AND(AT174=1,M174="F",SUMIF(C2:C258,C174,AS2:AS258)&gt;1),1,"")))</f>
        <v>1</v>
      </c>
      <c r="AV174" s="388" t="str">
        <f>IF(AT174=0,"",IF(AND(AT174=3,M174="F",SUMIF(C2:C258,C174,AS2:AS258)&lt;=1),SUMIF(C2:C258,C174,AS2:AS258),IF(AND(AT174=3,M174="F",SUMIF(C2:C258,C174,AS2:AS258)&gt;1),1,"")))</f>
        <v/>
      </c>
      <c r="AW174" s="388">
        <f>SUMIF(C2:C258,C174,O2:O258)</f>
        <v>6</v>
      </c>
      <c r="AX174" s="388">
        <f>IF(AND(M174="F",AS174&lt;&gt;0),SUMIF(C2:C258,C174,W2:W258),0)</f>
        <v>38521.58</v>
      </c>
      <c r="AY174" s="388">
        <f t="shared" si="117"/>
        <v>15408.64</v>
      </c>
      <c r="AZ174" s="388" t="str">
        <f t="shared" si="118"/>
        <v/>
      </c>
      <c r="BA174" s="388">
        <f t="shared" si="119"/>
        <v>0</v>
      </c>
      <c r="BB174" s="388">
        <f t="shared" si="88"/>
        <v>5000</v>
      </c>
      <c r="BC174" s="388">
        <f t="shared" si="89"/>
        <v>0</v>
      </c>
      <c r="BD174" s="388">
        <f t="shared" si="90"/>
        <v>955.33567999999991</v>
      </c>
      <c r="BE174" s="388">
        <f t="shared" si="91"/>
        <v>223.42528000000001</v>
      </c>
      <c r="BF174" s="388">
        <f t="shared" si="92"/>
        <v>1839.791616</v>
      </c>
      <c r="BG174" s="388">
        <f t="shared" si="93"/>
        <v>111.0962944</v>
      </c>
      <c r="BH174" s="388">
        <f t="shared" si="94"/>
        <v>0</v>
      </c>
      <c r="BI174" s="388">
        <f t="shared" si="95"/>
        <v>0</v>
      </c>
      <c r="BJ174" s="388">
        <f t="shared" si="96"/>
        <v>53.930239999999998</v>
      </c>
      <c r="BK174" s="388">
        <f t="shared" si="97"/>
        <v>0</v>
      </c>
      <c r="BL174" s="388">
        <f t="shared" si="120"/>
        <v>3183.5791104</v>
      </c>
      <c r="BM174" s="388">
        <f t="shared" si="121"/>
        <v>0</v>
      </c>
      <c r="BN174" s="388">
        <f t="shared" si="98"/>
        <v>5500</v>
      </c>
      <c r="BO174" s="388">
        <f t="shared" si="99"/>
        <v>0</v>
      </c>
      <c r="BP174" s="388">
        <f t="shared" si="100"/>
        <v>955.33567999999991</v>
      </c>
      <c r="BQ174" s="388">
        <f t="shared" si="101"/>
        <v>223.42528000000001</v>
      </c>
      <c r="BR174" s="388">
        <f t="shared" si="102"/>
        <v>1722.6859519999998</v>
      </c>
      <c r="BS174" s="388">
        <f t="shared" si="103"/>
        <v>111.0962944</v>
      </c>
      <c r="BT174" s="388">
        <f t="shared" si="104"/>
        <v>0</v>
      </c>
      <c r="BU174" s="388">
        <f t="shared" si="105"/>
        <v>0</v>
      </c>
      <c r="BV174" s="388">
        <f t="shared" si="106"/>
        <v>60.093695999999994</v>
      </c>
      <c r="BW174" s="388">
        <f t="shared" si="107"/>
        <v>0</v>
      </c>
      <c r="BX174" s="388">
        <f t="shared" si="122"/>
        <v>3072.6369023999991</v>
      </c>
      <c r="BY174" s="388">
        <f t="shared" si="123"/>
        <v>0</v>
      </c>
      <c r="BZ174" s="388">
        <f t="shared" si="124"/>
        <v>500</v>
      </c>
      <c r="CA174" s="388">
        <f t="shared" si="125"/>
        <v>0</v>
      </c>
      <c r="CB174" s="388">
        <f t="shared" si="126"/>
        <v>0</v>
      </c>
      <c r="CC174" s="388">
        <f t="shared" si="108"/>
        <v>0</v>
      </c>
      <c r="CD174" s="388">
        <f t="shared" si="109"/>
        <v>-117.10566400000015</v>
      </c>
      <c r="CE174" s="388">
        <f t="shared" si="110"/>
        <v>0</v>
      </c>
      <c r="CF174" s="388">
        <f t="shared" si="111"/>
        <v>0</v>
      </c>
      <c r="CG174" s="388">
        <f t="shared" si="112"/>
        <v>0</v>
      </c>
      <c r="CH174" s="388">
        <f t="shared" si="113"/>
        <v>6.1634559999999956</v>
      </c>
      <c r="CI174" s="388">
        <f t="shared" si="114"/>
        <v>0</v>
      </c>
      <c r="CJ174" s="388">
        <f t="shared" si="127"/>
        <v>-110.94220800000015</v>
      </c>
      <c r="CK174" s="388" t="str">
        <f t="shared" si="128"/>
        <v/>
      </c>
      <c r="CL174" s="388" t="str">
        <f t="shared" si="129"/>
        <v/>
      </c>
      <c r="CM174" s="388" t="str">
        <f t="shared" si="130"/>
        <v/>
      </c>
      <c r="CN174" s="388" t="str">
        <f t="shared" si="131"/>
        <v>0348-13</v>
      </c>
    </row>
    <row r="175" spans="1:92" ht="15.75" thickBot="1" x14ac:dyDescent="0.3">
      <c r="A175" s="377" t="s">
        <v>162</v>
      </c>
      <c r="B175" s="377" t="s">
        <v>163</v>
      </c>
      <c r="C175" s="377" t="s">
        <v>521</v>
      </c>
      <c r="D175" s="377" t="s">
        <v>282</v>
      </c>
      <c r="E175" s="377" t="s">
        <v>637</v>
      </c>
      <c r="F175" s="383" t="s">
        <v>721</v>
      </c>
      <c r="G175" s="377" t="s">
        <v>439</v>
      </c>
      <c r="H175" s="379"/>
      <c r="I175" s="379"/>
      <c r="J175" s="377" t="s">
        <v>517</v>
      </c>
      <c r="K175" s="377" t="s">
        <v>244</v>
      </c>
      <c r="L175" s="377" t="s">
        <v>167</v>
      </c>
      <c r="M175" s="377" t="s">
        <v>395</v>
      </c>
      <c r="N175" s="377" t="s">
        <v>173</v>
      </c>
      <c r="O175" s="380">
        <v>0</v>
      </c>
      <c r="P175" s="386">
        <v>0.16</v>
      </c>
      <c r="Q175" s="386">
        <v>0.16</v>
      </c>
      <c r="R175" s="381">
        <v>80</v>
      </c>
      <c r="S175" s="386">
        <v>0.16</v>
      </c>
      <c r="T175" s="381">
        <v>8414.3799999999992</v>
      </c>
      <c r="U175" s="381">
        <v>0</v>
      </c>
      <c r="V175" s="381">
        <v>2844.91</v>
      </c>
      <c r="W175" s="381">
        <v>13844.48</v>
      </c>
      <c r="X175" s="381">
        <v>6230</v>
      </c>
      <c r="Y175" s="381">
        <v>13844.48</v>
      </c>
      <c r="Z175" s="381">
        <v>6451.52</v>
      </c>
      <c r="AA175" s="379"/>
      <c r="AB175" s="377" t="s">
        <v>45</v>
      </c>
      <c r="AC175" s="377" t="s">
        <v>45</v>
      </c>
      <c r="AD175" s="379"/>
      <c r="AE175" s="379"/>
      <c r="AF175" s="379"/>
      <c r="AG175" s="379"/>
      <c r="AH175" s="380">
        <v>0</v>
      </c>
      <c r="AI175" s="380">
        <v>0</v>
      </c>
      <c r="AJ175" s="379"/>
      <c r="AK175" s="379"/>
      <c r="AL175" s="377" t="s">
        <v>182</v>
      </c>
      <c r="AM175" s="379"/>
      <c r="AN175" s="379"/>
      <c r="AO175" s="380">
        <v>0</v>
      </c>
      <c r="AP175" s="386">
        <v>0</v>
      </c>
      <c r="AQ175" s="386">
        <v>0</v>
      </c>
      <c r="AR175" s="385"/>
      <c r="AS175" s="388">
        <f t="shared" si="115"/>
        <v>0</v>
      </c>
      <c r="AT175">
        <f t="shared" si="116"/>
        <v>0</v>
      </c>
      <c r="AU175" s="388" t="str">
        <f>IF(AT175=0,"",IF(AND(AT175=1,M175="F",SUMIF(C2:C258,C175,AS2:AS258)&lt;=1),SUMIF(C2:C258,C175,AS2:AS258),IF(AND(AT175=1,M175="F",SUMIF(C2:C258,C175,AS2:AS258)&gt;1),1,"")))</f>
        <v/>
      </c>
      <c r="AV175" s="388" t="str">
        <f>IF(AT175=0,"",IF(AND(AT175=3,M175="F",SUMIF(C2:C258,C175,AS2:AS258)&lt;=1),SUMIF(C2:C258,C175,AS2:AS258),IF(AND(AT175=3,M175="F",SUMIF(C2:C258,C175,AS2:AS258)&gt;1),1,"")))</f>
        <v/>
      </c>
      <c r="AW175" s="388">
        <f>SUMIF(C2:C258,C175,O2:O258)</f>
        <v>0</v>
      </c>
      <c r="AX175" s="388">
        <f>IF(AND(M175="F",AS175&lt;&gt;0),SUMIF(C2:C258,C175,W2:W258),0)</f>
        <v>0</v>
      </c>
      <c r="AY175" s="388" t="str">
        <f t="shared" si="117"/>
        <v/>
      </c>
      <c r="AZ175" s="388" t="str">
        <f t="shared" si="118"/>
        <v/>
      </c>
      <c r="BA175" s="388">
        <f t="shared" si="119"/>
        <v>0</v>
      </c>
      <c r="BB175" s="388">
        <f t="shared" si="88"/>
        <v>0</v>
      </c>
      <c r="BC175" s="388">
        <f t="shared" si="89"/>
        <v>0</v>
      </c>
      <c r="BD175" s="388">
        <f t="shared" si="90"/>
        <v>0</v>
      </c>
      <c r="BE175" s="388">
        <f t="shared" si="91"/>
        <v>0</v>
      </c>
      <c r="BF175" s="388">
        <f t="shared" si="92"/>
        <v>0</v>
      </c>
      <c r="BG175" s="388">
        <f t="shared" si="93"/>
        <v>0</v>
      </c>
      <c r="BH175" s="388">
        <f t="shared" si="94"/>
        <v>0</v>
      </c>
      <c r="BI175" s="388">
        <f t="shared" si="95"/>
        <v>0</v>
      </c>
      <c r="BJ175" s="388">
        <f t="shared" si="96"/>
        <v>0</v>
      </c>
      <c r="BK175" s="388">
        <f t="shared" si="97"/>
        <v>0</v>
      </c>
      <c r="BL175" s="388">
        <f t="shared" si="120"/>
        <v>0</v>
      </c>
      <c r="BM175" s="388">
        <f t="shared" si="121"/>
        <v>0</v>
      </c>
      <c r="BN175" s="388">
        <f t="shared" si="98"/>
        <v>0</v>
      </c>
      <c r="BO175" s="388">
        <f t="shared" si="99"/>
        <v>0</v>
      </c>
      <c r="BP175" s="388">
        <f t="shared" si="100"/>
        <v>0</v>
      </c>
      <c r="BQ175" s="388">
        <f t="shared" si="101"/>
        <v>0</v>
      </c>
      <c r="BR175" s="388">
        <f t="shared" si="102"/>
        <v>0</v>
      </c>
      <c r="BS175" s="388">
        <f t="shared" si="103"/>
        <v>0</v>
      </c>
      <c r="BT175" s="388">
        <f t="shared" si="104"/>
        <v>0</v>
      </c>
      <c r="BU175" s="388">
        <f t="shared" si="105"/>
        <v>0</v>
      </c>
      <c r="BV175" s="388">
        <f t="shared" si="106"/>
        <v>0</v>
      </c>
      <c r="BW175" s="388">
        <f t="shared" si="107"/>
        <v>0</v>
      </c>
      <c r="BX175" s="388">
        <f t="shared" si="122"/>
        <v>0</v>
      </c>
      <c r="BY175" s="388">
        <f t="shared" si="123"/>
        <v>0</v>
      </c>
      <c r="BZ175" s="388">
        <f t="shared" si="124"/>
        <v>0</v>
      </c>
      <c r="CA175" s="388">
        <f t="shared" si="125"/>
        <v>0</v>
      </c>
      <c r="CB175" s="388">
        <f t="shared" si="126"/>
        <v>0</v>
      </c>
      <c r="CC175" s="388">
        <f t="shared" si="108"/>
        <v>0</v>
      </c>
      <c r="CD175" s="388">
        <f t="shared" si="109"/>
        <v>0</v>
      </c>
      <c r="CE175" s="388">
        <f t="shared" si="110"/>
        <v>0</v>
      </c>
      <c r="CF175" s="388">
        <f t="shared" si="111"/>
        <v>0</v>
      </c>
      <c r="CG175" s="388">
        <f t="shared" si="112"/>
        <v>0</v>
      </c>
      <c r="CH175" s="388">
        <f t="shared" si="113"/>
        <v>0</v>
      </c>
      <c r="CI175" s="388">
        <f t="shared" si="114"/>
        <v>0</v>
      </c>
      <c r="CJ175" s="388">
        <f t="shared" si="127"/>
        <v>0</v>
      </c>
      <c r="CK175" s="388" t="str">
        <f t="shared" si="128"/>
        <v/>
      </c>
      <c r="CL175" s="388" t="str">
        <f t="shared" si="129"/>
        <v/>
      </c>
      <c r="CM175" s="388" t="str">
        <f t="shared" si="130"/>
        <v/>
      </c>
      <c r="CN175" s="388" t="str">
        <f t="shared" si="131"/>
        <v>0348-13</v>
      </c>
    </row>
    <row r="176" spans="1:92" ht="15.75" thickBot="1" x14ac:dyDescent="0.3">
      <c r="A176" s="377" t="s">
        <v>162</v>
      </c>
      <c r="B176" s="377" t="s">
        <v>163</v>
      </c>
      <c r="C176" s="377" t="s">
        <v>541</v>
      </c>
      <c r="D176" s="377" t="s">
        <v>276</v>
      </c>
      <c r="E176" s="377" t="s">
        <v>637</v>
      </c>
      <c r="F176" s="383" t="s">
        <v>721</v>
      </c>
      <c r="G176" s="377" t="s">
        <v>439</v>
      </c>
      <c r="H176" s="379"/>
      <c r="I176" s="379"/>
      <c r="J176" s="377" t="s">
        <v>283</v>
      </c>
      <c r="K176" s="377" t="s">
        <v>277</v>
      </c>
      <c r="L176" s="377" t="s">
        <v>215</v>
      </c>
      <c r="M176" s="377" t="s">
        <v>395</v>
      </c>
      <c r="N176" s="377" t="s">
        <v>173</v>
      </c>
      <c r="O176" s="380">
        <v>0</v>
      </c>
      <c r="P176" s="386">
        <v>0.6</v>
      </c>
      <c r="Q176" s="386">
        <v>0.6</v>
      </c>
      <c r="R176" s="381">
        <v>80</v>
      </c>
      <c r="S176" s="386">
        <v>0.6</v>
      </c>
      <c r="T176" s="381">
        <v>27993.58</v>
      </c>
      <c r="U176" s="381">
        <v>0</v>
      </c>
      <c r="V176" s="381">
        <v>11222.9</v>
      </c>
      <c r="W176" s="381">
        <v>42694.080000000002</v>
      </c>
      <c r="X176" s="381">
        <v>19212.330000000002</v>
      </c>
      <c r="Y176" s="381">
        <v>42694.080000000002</v>
      </c>
      <c r="Z176" s="381">
        <v>19895.43</v>
      </c>
      <c r="AA176" s="379"/>
      <c r="AB176" s="377" t="s">
        <v>45</v>
      </c>
      <c r="AC176" s="377" t="s">
        <v>45</v>
      </c>
      <c r="AD176" s="379"/>
      <c r="AE176" s="379"/>
      <c r="AF176" s="379"/>
      <c r="AG176" s="379"/>
      <c r="AH176" s="380">
        <v>0</v>
      </c>
      <c r="AI176" s="380">
        <v>0</v>
      </c>
      <c r="AJ176" s="379"/>
      <c r="AK176" s="379"/>
      <c r="AL176" s="377" t="s">
        <v>182</v>
      </c>
      <c r="AM176" s="379"/>
      <c r="AN176" s="379"/>
      <c r="AO176" s="380">
        <v>0</v>
      </c>
      <c r="AP176" s="386">
        <v>0</v>
      </c>
      <c r="AQ176" s="386">
        <v>0</v>
      </c>
      <c r="AR176" s="385"/>
      <c r="AS176" s="388">
        <f t="shared" si="115"/>
        <v>0</v>
      </c>
      <c r="AT176">
        <f t="shared" si="116"/>
        <v>0</v>
      </c>
      <c r="AU176" s="388" t="str">
        <f>IF(AT176=0,"",IF(AND(AT176=1,M176="F",SUMIF(C2:C258,C176,AS2:AS258)&lt;=1),SUMIF(C2:C258,C176,AS2:AS258),IF(AND(AT176=1,M176="F",SUMIF(C2:C258,C176,AS2:AS258)&gt;1),1,"")))</f>
        <v/>
      </c>
      <c r="AV176" s="388" t="str">
        <f>IF(AT176=0,"",IF(AND(AT176=3,M176="F",SUMIF(C2:C258,C176,AS2:AS258)&lt;=1),SUMIF(C2:C258,C176,AS2:AS258),IF(AND(AT176=3,M176="F",SUMIF(C2:C258,C176,AS2:AS258)&gt;1),1,"")))</f>
        <v/>
      </c>
      <c r="AW176" s="388">
        <f>SUMIF(C2:C258,C176,O2:O258)</f>
        <v>0</v>
      </c>
      <c r="AX176" s="388">
        <f>IF(AND(M176="F",AS176&lt;&gt;0),SUMIF(C2:C258,C176,W2:W258),0)</f>
        <v>0</v>
      </c>
      <c r="AY176" s="388" t="str">
        <f t="shared" si="117"/>
        <v/>
      </c>
      <c r="AZ176" s="388" t="str">
        <f t="shared" si="118"/>
        <v/>
      </c>
      <c r="BA176" s="388">
        <f t="shared" si="119"/>
        <v>0</v>
      </c>
      <c r="BB176" s="388">
        <f t="shared" si="88"/>
        <v>0</v>
      </c>
      <c r="BC176" s="388">
        <f t="shared" si="89"/>
        <v>0</v>
      </c>
      <c r="BD176" s="388">
        <f t="shared" si="90"/>
        <v>0</v>
      </c>
      <c r="BE176" s="388">
        <f t="shared" si="91"/>
        <v>0</v>
      </c>
      <c r="BF176" s="388">
        <f t="shared" si="92"/>
        <v>0</v>
      </c>
      <c r="BG176" s="388">
        <f t="shared" si="93"/>
        <v>0</v>
      </c>
      <c r="BH176" s="388">
        <f t="shared" si="94"/>
        <v>0</v>
      </c>
      <c r="BI176" s="388">
        <f t="shared" si="95"/>
        <v>0</v>
      </c>
      <c r="BJ176" s="388">
        <f t="shared" si="96"/>
        <v>0</v>
      </c>
      <c r="BK176" s="388">
        <f t="shared" si="97"/>
        <v>0</v>
      </c>
      <c r="BL176" s="388">
        <f t="shared" si="120"/>
        <v>0</v>
      </c>
      <c r="BM176" s="388">
        <f t="shared" si="121"/>
        <v>0</v>
      </c>
      <c r="BN176" s="388">
        <f t="shared" si="98"/>
        <v>0</v>
      </c>
      <c r="BO176" s="388">
        <f t="shared" si="99"/>
        <v>0</v>
      </c>
      <c r="BP176" s="388">
        <f t="shared" si="100"/>
        <v>0</v>
      </c>
      <c r="BQ176" s="388">
        <f t="shared" si="101"/>
        <v>0</v>
      </c>
      <c r="BR176" s="388">
        <f t="shared" si="102"/>
        <v>0</v>
      </c>
      <c r="BS176" s="388">
        <f t="shared" si="103"/>
        <v>0</v>
      </c>
      <c r="BT176" s="388">
        <f t="shared" si="104"/>
        <v>0</v>
      </c>
      <c r="BU176" s="388">
        <f t="shared" si="105"/>
        <v>0</v>
      </c>
      <c r="BV176" s="388">
        <f t="shared" si="106"/>
        <v>0</v>
      </c>
      <c r="BW176" s="388">
        <f t="shared" si="107"/>
        <v>0</v>
      </c>
      <c r="BX176" s="388">
        <f t="shared" si="122"/>
        <v>0</v>
      </c>
      <c r="BY176" s="388">
        <f t="shared" si="123"/>
        <v>0</v>
      </c>
      <c r="BZ176" s="388">
        <f t="shared" si="124"/>
        <v>0</v>
      </c>
      <c r="CA176" s="388">
        <f t="shared" si="125"/>
        <v>0</v>
      </c>
      <c r="CB176" s="388">
        <f t="shared" si="126"/>
        <v>0</v>
      </c>
      <c r="CC176" s="388">
        <f t="shared" si="108"/>
        <v>0</v>
      </c>
      <c r="CD176" s="388">
        <f t="shared" si="109"/>
        <v>0</v>
      </c>
      <c r="CE176" s="388">
        <f t="shared" si="110"/>
        <v>0</v>
      </c>
      <c r="CF176" s="388">
        <f t="shared" si="111"/>
        <v>0</v>
      </c>
      <c r="CG176" s="388">
        <f t="shared" si="112"/>
        <v>0</v>
      </c>
      <c r="CH176" s="388">
        <f t="shared" si="113"/>
        <v>0</v>
      </c>
      <c r="CI176" s="388">
        <f t="shared" si="114"/>
        <v>0</v>
      </c>
      <c r="CJ176" s="388">
        <f t="shared" si="127"/>
        <v>0</v>
      </c>
      <c r="CK176" s="388" t="str">
        <f t="shared" si="128"/>
        <v/>
      </c>
      <c r="CL176" s="388" t="str">
        <f t="shared" si="129"/>
        <v/>
      </c>
      <c r="CM176" s="388" t="str">
        <f t="shared" si="130"/>
        <v/>
      </c>
      <c r="CN176" s="388" t="str">
        <f t="shared" si="131"/>
        <v>0348-13</v>
      </c>
    </row>
    <row r="177" spans="1:92" ht="15.75" thickBot="1" x14ac:dyDescent="0.3">
      <c r="A177" s="377" t="s">
        <v>162</v>
      </c>
      <c r="B177" s="377" t="s">
        <v>163</v>
      </c>
      <c r="C177" s="377" t="s">
        <v>722</v>
      </c>
      <c r="D177" s="377" t="s">
        <v>300</v>
      </c>
      <c r="E177" s="377" t="s">
        <v>637</v>
      </c>
      <c r="F177" s="383" t="s">
        <v>723</v>
      </c>
      <c r="G177" s="377" t="s">
        <v>439</v>
      </c>
      <c r="H177" s="379"/>
      <c r="I177" s="379"/>
      <c r="J177" s="377" t="s">
        <v>219</v>
      </c>
      <c r="K177" s="377" t="s">
        <v>301</v>
      </c>
      <c r="L177" s="377" t="s">
        <v>167</v>
      </c>
      <c r="M177" s="377" t="s">
        <v>172</v>
      </c>
      <c r="N177" s="377" t="s">
        <v>173</v>
      </c>
      <c r="O177" s="380">
        <v>1</v>
      </c>
      <c r="P177" s="386">
        <v>1</v>
      </c>
      <c r="Q177" s="386">
        <v>1</v>
      </c>
      <c r="R177" s="381">
        <v>80</v>
      </c>
      <c r="S177" s="386">
        <v>1</v>
      </c>
      <c r="T177" s="381">
        <v>74574.2</v>
      </c>
      <c r="U177" s="381">
        <v>0</v>
      </c>
      <c r="V177" s="381">
        <v>27205.93</v>
      </c>
      <c r="W177" s="381">
        <v>73756.800000000003</v>
      </c>
      <c r="X177" s="381">
        <v>27738.87</v>
      </c>
      <c r="Y177" s="381">
        <v>73756.800000000003</v>
      </c>
      <c r="Z177" s="381">
        <v>28457.83</v>
      </c>
      <c r="AA177" s="377" t="s">
        <v>724</v>
      </c>
      <c r="AB177" s="377" t="s">
        <v>725</v>
      </c>
      <c r="AC177" s="377" t="s">
        <v>469</v>
      </c>
      <c r="AD177" s="377" t="s">
        <v>206</v>
      </c>
      <c r="AE177" s="377" t="s">
        <v>301</v>
      </c>
      <c r="AF177" s="377" t="s">
        <v>207</v>
      </c>
      <c r="AG177" s="377" t="s">
        <v>179</v>
      </c>
      <c r="AH177" s="382">
        <v>35.46</v>
      </c>
      <c r="AI177" s="382">
        <v>10766.7</v>
      </c>
      <c r="AJ177" s="377" t="s">
        <v>180</v>
      </c>
      <c r="AK177" s="377" t="s">
        <v>181</v>
      </c>
      <c r="AL177" s="377" t="s">
        <v>182</v>
      </c>
      <c r="AM177" s="377" t="s">
        <v>183</v>
      </c>
      <c r="AN177" s="377" t="s">
        <v>66</v>
      </c>
      <c r="AO177" s="380">
        <v>80</v>
      </c>
      <c r="AP177" s="386">
        <v>1</v>
      </c>
      <c r="AQ177" s="386">
        <v>1</v>
      </c>
      <c r="AR177" s="384" t="s">
        <v>184</v>
      </c>
      <c r="AS177" s="388">
        <f t="shared" si="115"/>
        <v>1</v>
      </c>
      <c r="AT177">
        <f t="shared" si="116"/>
        <v>1</v>
      </c>
      <c r="AU177" s="388">
        <f>IF(AT177=0,"",IF(AND(AT177=1,M177="F",SUMIF(C2:C258,C177,AS2:AS258)&lt;=1),SUMIF(C2:C258,C177,AS2:AS258),IF(AND(AT177=1,M177="F",SUMIF(C2:C258,C177,AS2:AS258)&gt;1),1,"")))</f>
        <v>1</v>
      </c>
      <c r="AV177" s="388" t="str">
        <f>IF(AT177=0,"",IF(AND(AT177=3,M177="F",SUMIF(C2:C258,C177,AS2:AS258)&lt;=1),SUMIF(C2:C258,C177,AS2:AS258),IF(AND(AT177=3,M177="F",SUMIF(C2:C258,C177,AS2:AS258)&gt;1),1,"")))</f>
        <v/>
      </c>
      <c r="AW177" s="388">
        <f>SUMIF(C2:C258,C177,O2:O258)</f>
        <v>1</v>
      </c>
      <c r="AX177" s="388">
        <f>IF(AND(M177="F",AS177&lt;&gt;0),SUMIF(C2:C258,C177,W2:W258),0)</f>
        <v>73756.800000000003</v>
      </c>
      <c r="AY177" s="388">
        <f t="shared" si="117"/>
        <v>73756.800000000003</v>
      </c>
      <c r="AZ177" s="388" t="str">
        <f t="shared" si="118"/>
        <v/>
      </c>
      <c r="BA177" s="388">
        <f t="shared" si="119"/>
        <v>0</v>
      </c>
      <c r="BB177" s="388">
        <f t="shared" si="88"/>
        <v>12500</v>
      </c>
      <c r="BC177" s="388">
        <f t="shared" si="89"/>
        <v>0</v>
      </c>
      <c r="BD177" s="388">
        <f t="shared" si="90"/>
        <v>4572.9216000000006</v>
      </c>
      <c r="BE177" s="388">
        <f t="shared" si="91"/>
        <v>1069.4736</v>
      </c>
      <c r="BF177" s="388">
        <f t="shared" si="92"/>
        <v>8806.5619200000001</v>
      </c>
      <c r="BG177" s="388">
        <f t="shared" si="93"/>
        <v>531.78652800000009</v>
      </c>
      <c r="BH177" s="388">
        <f t="shared" si="94"/>
        <v>0</v>
      </c>
      <c r="BI177" s="388">
        <f t="shared" si="95"/>
        <v>0</v>
      </c>
      <c r="BJ177" s="388">
        <f t="shared" si="96"/>
        <v>258.14879999999999</v>
      </c>
      <c r="BK177" s="388">
        <f t="shared" si="97"/>
        <v>0</v>
      </c>
      <c r="BL177" s="388">
        <f t="shared" si="120"/>
        <v>15238.892448000002</v>
      </c>
      <c r="BM177" s="388">
        <f t="shared" si="121"/>
        <v>0</v>
      </c>
      <c r="BN177" s="388">
        <f t="shared" si="98"/>
        <v>13750</v>
      </c>
      <c r="BO177" s="388">
        <f t="shared" si="99"/>
        <v>0</v>
      </c>
      <c r="BP177" s="388">
        <f t="shared" si="100"/>
        <v>4572.9216000000006</v>
      </c>
      <c r="BQ177" s="388">
        <f t="shared" si="101"/>
        <v>1069.4736</v>
      </c>
      <c r="BR177" s="388">
        <f t="shared" si="102"/>
        <v>8246.0102399999996</v>
      </c>
      <c r="BS177" s="388">
        <f t="shared" si="103"/>
        <v>531.78652800000009</v>
      </c>
      <c r="BT177" s="388">
        <f t="shared" si="104"/>
        <v>0</v>
      </c>
      <c r="BU177" s="388">
        <f t="shared" si="105"/>
        <v>0</v>
      </c>
      <c r="BV177" s="388">
        <f t="shared" si="106"/>
        <v>287.65152</v>
      </c>
      <c r="BW177" s="388">
        <f t="shared" si="107"/>
        <v>0</v>
      </c>
      <c r="BX177" s="388">
        <f t="shared" si="122"/>
        <v>14707.843488</v>
      </c>
      <c r="BY177" s="388">
        <f t="shared" si="123"/>
        <v>0</v>
      </c>
      <c r="BZ177" s="388">
        <f t="shared" si="124"/>
        <v>1250</v>
      </c>
      <c r="CA177" s="388">
        <f t="shared" si="125"/>
        <v>0</v>
      </c>
      <c r="CB177" s="388">
        <f t="shared" si="126"/>
        <v>0</v>
      </c>
      <c r="CC177" s="388">
        <f t="shared" si="108"/>
        <v>0</v>
      </c>
      <c r="CD177" s="388">
        <f t="shared" si="109"/>
        <v>-560.55168000000072</v>
      </c>
      <c r="CE177" s="388">
        <f t="shared" si="110"/>
        <v>0</v>
      </c>
      <c r="CF177" s="388">
        <f t="shared" si="111"/>
        <v>0</v>
      </c>
      <c r="CG177" s="388">
        <f t="shared" si="112"/>
        <v>0</v>
      </c>
      <c r="CH177" s="388">
        <f t="shared" si="113"/>
        <v>29.502719999999982</v>
      </c>
      <c r="CI177" s="388">
        <f t="shared" si="114"/>
        <v>0</v>
      </c>
      <c r="CJ177" s="388">
        <f t="shared" si="127"/>
        <v>-531.04896000000076</v>
      </c>
      <c r="CK177" s="388" t="str">
        <f t="shared" si="128"/>
        <v/>
      </c>
      <c r="CL177" s="388" t="str">
        <f t="shared" si="129"/>
        <v/>
      </c>
      <c r="CM177" s="388" t="str">
        <f t="shared" si="130"/>
        <v/>
      </c>
      <c r="CN177" s="388" t="str">
        <f t="shared" si="131"/>
        <v>0348-14</v>
      </c>
    </row>
    <row r="178" spans="1:92" ht="15.75" thickBot="1" x14ac:dyDescent="0.3">
      <c r="A178" s="377" t="s">
        <v>162</v>
      </c>
      <c r="B178" s="377" t="s">
        <v>163</v>
      </c>
      <c r="C178" s="377" t="s">
        <v>726</v>
      </c>
      <c r="D178" s="377" t="s">
        <v>300</v>
      </c>
      <c r="E178" s="377" t="s">
        <v>637</v>
      </c>
      <c r="F178" s="383" t="s">
        <v>727</v>
      </c>
      <c r="G178" s="377" t="s">
        <v>439</v>
      </c>
      <c r="H178" s="379"/>
      <c r="I178" s="379"/>
      <c r="J178" s="377" t="s">
        <v>219</v>
      </c>
      <c r="K178" s="377" t="s">
        <v>301</v>
      </c>
      <c r="L178" s="377" t="s">
        <v>167</v>
      </c>
      <c r="M178" s="377" t="s">
        <v>172</v>
      </c>
      <c r="N178" s="377" t="s">
        <v>173</v>
      </c>
      <c r="O178" s="380">
        <v>1</v>
      </c>
      <c r="P178" s="386">
        <v>1</v>
      </c>
      <c r="Q178" s="386">
        <v>1</v>
      </c>
      <c r="R178" s="381">
        <v>80</v>
      </c>
      <c r="S178" s="386">
        <v>1</v>
      </c>
      <c r="T178" s="381">
        <v>74682.03</v>
      </c>
      <c r="U178" s="381">
        <v>0</v>
      </c>
      <c r="V178" s="381">
        <v>27008.3</v>
      </c>
      <c r="W178" s="381">
        <v>73756.800000000003</v>
      </c>
      <c r="X178" s="381">
        <v>27738.87</v>
      </c>
      <c r="Y178" s="381">
        <v>73756.800000000003</v>
      </c>
      <c r="Z178" s="381">
        <v>28457.83</v>
      </c>
      <c r="AA178" s="377" t="s">
        <v>728</v>
      </c>
      <c r="AB178" s="377" t="s">
        <v>729</v>
      </c>
      <c r="AC178" s="377" t="s">
        <v>730</v>
      </c>
      <c r="AD178" s="377" t="s">
        <v>731</v>
      </c>
      <c r="AE178" s="377" t="s">
        <v>301</v>
      </c>
      <c r="AF178" s="377" t="s">
        <v>207</v>
      </c>
      <c r="AG178" s="377" t="s">
        <v>179</v>
      </c>
      <c r="AH178" s="382">
        <v>35.46</v>
      </c>
      <c r="AI178" s="382">
        <v>29703.9</v>
      </c>
      <c r="AJ178" s="377" t="s">
        <v>180</v>
      </c>
      <c r="AK178" s="377" t="s">
        <v>181</v>
      </c>
      <c r="AL178" s="377" t="s">
        <v>182</v>
      </c>
      <c r="AM178" s="377" t="s">
        <v>183</v>
      </c>
      <c r="AN178" s="377" t="s">
        <v>66</v>
      </c>
      <c r="AO178" s="380">
        <v>80</v>
      </c>
      <c r="AP178" s="386">
        <v>1</v>
      </c>
      <c r="AQ178" s="386">
        <v>1</v>
      </c>
      <c r="AR178" s="384" t="s">
        <v>184</v>
      </c>
      <c r="AS178" s="388">
        <f t="shared" si="115"/>
        <v>1</v>
      </c>
      <c r="AT178">
        <f t="shared" si="116"/>
        <v>1</v>
      </c>
      <c r="AU178" s="388">
        <f>IF(AT178=0,"",IF(AND(AT178=1,M178="F",SUMIF(C2:C258,C178,AS2:AS258)&lt;=1),SUMIF(C2:C258,C178,AS2:AS258),IF(AND(AT178=1,M178="F",SUMIF(C2:C258,C178,AS2:AS258)&gt;1),1,"")))</f>
        <v>1</v>
      </c>
      <c r="AV178" s="388" t="str">
        <f>IF(AT178=0,"",IF(AND(AT178=3,M178="F",SUMIF(C2:C258,C178,AS2:AS258)&lt;=1),SUMIF(C2:C258,C178,AS2:AS258),IF(AND(AT178=3,M178="F",SUMIF(C2:C258,C178,AS2:AS258)&gt;1),1,"")))</f>
        <v/>
      </c>
      <c r="AW178" s="388">
        <f>SUMIF(C2:C258,C178,O2:O258)</f>
        <v>1</v>
      </c>
      <c r="AX178" s="388">
        <f>IF(AND(M178="F",AS178&lt;&gt;0),SUMIF(C2:C258,C178,W2:W258),0)</f>
        <v>73756.800000000003</v>
      </c>
      <c r="AY178" s="388">
        <f t="shared" si="117"/>
        <v>73756.800000000003</v>
      </c>
      <c r="AZ178" s="388" t="str">
        <f t="shared" si="118"/>
        <v/>
      </c>
      <c r="BA178" s="388">
        <f t="shared" si="119"/>
        <v>0</v>
      </c>
      <c r="BB178" s="388">
        <f t="shared" si="88"/>
        <v>12500</v>
      </c>
      <c r="BC178" s="388">
        <f t="shared" si="89"/>
        <v>0</v>
      </c>
      <c r="BD178" s="388">
        <f t="shared" si="90"/>
        <v>4572.9216000000006</v>
      </c>
      <c r="BE178" s="388">
        <f t="shared" si="91"/>
        <v>1069.4736</v>
      </c>
      <c r="BF178" s="388">
        <f t="shared" si="92"/>
        <v>8806.5619200000001</v>
      </c>
      <c r="BG178" s="388">
        <f t="shared" si="93"/>
        <v>531.78652800000009</v>
      </c>
      <c r="BH178" s="388">
        <f t="shared" si="94"/>
        <v>0</v>
      </c>
      <c r="BI178" s="388">
        <f t="shared" si="95"/>
        <v>0</v>
      </c>
      <c r="BJ178" s="388">
        <f t="shared" si="96"/>
        <v>258.14879999999999</v>
      </c>
      <c r="BK178" s="388">
        <f t="shared" si="97"/>
        <v>0</v>
      </c>
      <c r="BL178" s="388">
        <f t="shared" si="120"/>
        <v>15238.892448000002</v>
      </c>
      <c r="BM178" s="388">
        <f t="shared" si="121"/>
        <v>0</v>
      </c>
      <c r="BN178" s="388">
        <f t="shared" si="98"/>
        <v>13750</v>
      </c>
      <c r="BO178" s="388">
        <f t="shared" si="99"/>
        <v>0</v>
      </c>
      <c r="BP178" s="388">
        <f t="shared" si="100"/>
        <v>4572.9216000000006</v>
      </c>
      <c r="BQ178" s="388">
        <f t="shared" si="101"/>
        <v>1069.4736</v>
      </c>
      <c r="BR178" s="388">
        <f t="shared" si="102"/>
        <v>8246.0102399999996</v>
      </c>
      <c r="BS178" s="388">
        <f t="shared" si="103"/>
        <v>531.78652800000009</v>
      </c>
      <c r="BT178" s="388">
        <f t="shared" si="104"/>
        <v>0</v>
      </c>
      <c r="BU178" s="388">
        <f t="shared" si="105"/>
        <v>0</v>
      </c>
      <c r="BV178" s="388">
        <f t="shared" si="106"/>
        <v>287.65152</v>
      </c>
      <c r="BW178" s="388">
        <f t="shared" si="107"/>
        <v>0</v>
      </c>
      <c r="BX178" s="388">
        <f t="shared" si="122"/>
        <v>14707.843488</v>
      </c>
      <c r="BY178" s="388">
        <f t="shared" si="123"/>
        <v>0</v>
      </c>
      <c r="BZ178" s="388">
        <f t="shared" si="124"/>
        <v>1250</v>
      </c>
      <c r="CA178" s="388">
        <f t="shared" si="125"/>
        <v>0</v>
      </c>
      <c r="CB178" s="388">
        <f t="shared" si="126"/>
        <v>0</v>
      </c>
      <c r="CC178" s="388">
        <f t="shared" si="108"/>
        <v>0</v>
      </c>
      <c r="CD178" s="388">
        <f t="shared" si="109"/>
        <v>-560.55168000000072</v>
      </c>
      <c r="CE178" s="388">
        <f t="shared" si="110"/>
        <v>0</v>
      </c>
      <c r="CF178" s="388">
        <f t="shared" si="111"/>
        <v>0</v>
      </c>
      <c r="CG178" s="388">
        <f t="shared" si="112"/>
        <v>0</v>
      </c>
      <c r="CH178" s="388">
        <f t="shared" si="113"/>
        <v>29.502719999999982</v>
      </c>
      <c r="CI178" s="388">
        <f t="shared" si="114"/>
        <v>0</v>
      </c>
      <c r="CJ178" s="388">
        <f t="shared" si="127"/>
        <v>-531.04896000000076</v>
      </c>
      <c r="CK178" s="388" t="str">
        <f t="shared" si="128"/>
        <v/>
      </c>
      <c r="CL178" s="388" t="str">
        <f t="shared" si="129"/>
        <v/>
      </c>
      <c r="CM178" s="388" t="str">
        <f t="shared" si="130"/>
        <v/>
      </c>
      <c r="CN178" s="388" t="str">
        <f t="shared" si="131"/>
        <v>0348-95</v>
      </c>
    </row>
    <row r="179" spans="1:92" ht="15.75" thickBot="1" x14ac:dyDescent="0.3">
      <c r="A179" s="377" t="s">
        <v>162</v>
      </c>
      <c r="B179" s="377" t="s">
        <v>163</v>
      </c>
      <c r="C179" s="377" t="s">
        <v>732</v>
      </c>
      <c r="D179" s="377" t="s">
        <v>300</v>
      </c>
      <c r="E179" s="377" t="s">
        <v>637</v>
      </c>
      <c r="F179" s="383" t="s">
        <v>727</v>
      </c>
      <c r="G179" s="377" t="s">
        <v>439</v>
      </c>
      <c r="H179" s="379"/>
      <c r="I179" s="379"/>
      <c r="J179" s="377" t="s">
        <v>219</v>
      </c>
      <c r="K179" s="377" t="s">
        <v>301</v>
      </c>
      <c r="L179" s="377" t="s">
        <v>167</v>
      </c>
      <c r="M179" s="377" t="s">
        <v>172</v>
      </c>
      <c r="N179" s="377" t="s">
        <v>173</v>
      </c>
      <c r="O179" s="380">
        <v>1</v>
      </c>
      <c r="P179" s="386">
        <v>1</v>
      </c>
      <c r="Q179" s="386">
        <v>1</v>
      </c>
      <c r="R179" s="381">
        <v>80</v>
      </c>
      <c r="S179" s="386">
        <v>1</v>
      </c>
      <c r="T179" s="381">
        <v>88662.02</v>
      </c>
      <c r="U179" s="381">
        <v>0</v>
      </c>
      <c r="V179" s="381">
        <v>30309.5</v>
      </c>
      <c r="W179" s="381">
        <v>87672</v>
      </c>
      <c r="X179" s="381">
        <v>30613.89</v>
      </c>
      <c r="Y179" s="381">
        <v>87672</v>
      </c>
      <c r="Z179" s="381">
        <v>31232.65</v>
      </c>
      <c r="AA179" s="377" t="s">
        <v>733</v>
      </c>
      <c r="AB179" s="377" t="s">
        <v>734</v>
      </c>
      <c r="AC179" s="377" t="s">
        <v>735</v>
      </c>
      <c r="AD179" s="377" t="s">
        <v>206</v>
      </c>
      <c r="AE179" s="377" t="s">
        <v>301</v>
      </c>
      <c r="AF179" s="377" t="s">
        <v>207</v>
      </c>
      <c r="AG179" s="377" t="s">
        <v>179</v>
      </c>
      <c r="AH179" s="382">
        <v>42.15</v>
      </c>
      <c r="AI179" s="382">
        <v>21050.7</v>
      </c>
      <c r="AJ179" s="377" t="s">
        <v>180</v>
      </c>
      <c r="AK179" s="377" t="s">
        <v>181</v>
      </c>
      <c r="AL179" s="377" t="s">
        <v>182</v>
      </c>
      <c r="AM179" s="377" t="s">
        <v>183</v>
      </c>
      <c r="AN179" s="377" t="s">
        <v>66</v>
      </c>
      <c r="AO179" s="380">
        <v>80</v>
      </c>
      <c r="AP179" s="386">
        <v>1</v>
      </c>
      <c r="AQ179" s="386">
        <v>1</v>
      </c>
      <c r="AR179" s="384" t="s">
        <v>184</v>
      </c>
      <c r="AS179" s="388">
        <f t="shared" si="115"/>
        <v>1</v>
      </c>
      <c r="AT179">
        <f t="shared" si="116"/>
        <v>1</v>
      </c>
      <c r="AU179" s="388">
        <f>IF(AT179=0,"",IF(AND(AT179=1,M179="F",SUMIF(C2:C258,C179,AS2:AS258)&lt;=1),SUMIF(C2:C258,C179,AS2:AS258),IF(AND(AT179=1,M179="F",SUMIF(C2:C258,C179,AS2:AS258)&gt;1),1,"")))</f>
        <v>1</v>
      </c>
      <c r="AV179" s="388" t="str">
        <f>IF(AT179=0,"",IF(AND(AT179=3,M179="F",SUMIF(C2:C258,C179,AS2:AS258)&lt;=1),SUMIF(C2:C258,C179,AS2:AS258),IF(AND(AT179=3,M179="F",SUMIF(C2:C258,C179,AS2:AS258)&gt;1),1,"")))</f>
        <v/>
      </c>
      <c r="AW179" s="388">
        <f>SUMIF(C2:C258,C179,O2:O258)</f>
        <v>1</v>
      </c>
      <c r="AX179" s="388">
        <f>IF(AND(M179="F",AS179&lt;&gt;0),SUMIF(C2:C258,C179,W2:W258),0)</f>
        <v>87672</v>
      </c>
      <c r="AY179" s="388">
        <f t="shared" si="117"/>
        <v>87672</v>
      </c>
      <c r="AZ179" s="388" t="str">
        <f t="shared" si="118"/>
        <v/>
      </c>
      <c r="BA179" s="388">
        <f t="shared" si="119"/>
        <v>0</v>
      </c>
      <c r="BB179" s="388">
        <f t="shared" si="88"/>
        <v>12500</v>
      </c>
      <c r="BC179" s="388">
        <f t="shared" si="89"/>
        <v>0</v>
      </c>
      <c r="BD179" s="388">
        <f t="shared" si="90"/>
        <v>5435.6639999999998</v>
      </c>
      <c r="BE179" s="388">
        <f t="shared" si="91"/>
        <v>1271.2440000000001</v>
      </c>
      <c r="BF179" s="388">
        <f t="shared" si="92"/>
        <v>10468.0368</v>
      </c>
      <c r="BG179" s="388">
        <f t="shared" si="93"/>
        <v>632.11512000000005</v>
      </c>
      <c r="BH179" s="388">
        <f t="shared" si="94"/>
        <v>0</v>
      </c>
      <c r="BI179" s="388">
        <f t="shared" si="95"/>
        <v>0</v>
      </c>
      <c r="BJ179" s="388">
        <f t="shared" si="96"/>
        <v>306.85200000000003</v>
      </c>
      <c r="BK179" s="388">
        <f t="shared" si="97"/>
        <v>0</v>
      </c>
      <c r="BL179" s="388">
        <f t="shared" si="120"/>
        <v>18113.911919999995</v>
      </c>
      <c r="BM179" s="388">
        <f t="shared" si="121"/>
        <v>0</v>
      </c>
      <c r="BN179" s="388">
        <f t="shared" si="98"/>
        <v>13750</v>
      </c>
      <c r="BO179" s="388">
        <f t="shared" si="99"/>
        <v>0</v>
      </c>
      <c r="BP179" s="388">
        <f t="shared" si="100"/>
        <v>5435.6639999999998</v>
      </c>
      <c r="BQ179" s="388">
        <f t="shared" si="101"/>
        <v>1271.2440000000001</v>
      </c>
      <c r="BR179" s="388">
        <f t="shared" si="102"/>
        <v>9801.7296000000006</v>
      </c>
      <c r="BS179" s="388">
        <f t="shared" si="103"/>
        <v>632.11512000000005</v>
      </c>
      <c r="BT179" s="388">
        <f t="shared" si="104"/>
        <v>0</v>
      </c>
      <c r="BU179" s="388">
        <f t="shared" si="105"/>
        <v>0</v>
      </c>
      <c r="BV179" s="388">
        <f t="shared" si="106"/>
        <v>341.92079999999999</v>
      </c>
      <c r="BW179" s="388">
        <f t="shared" si="107"/>
        <v>0</v>
      </c>
      <c r="BX179" s="388">
        <f t="shared" si="122"/>
        <v>17482.67352</v>
      </c>
      <c r="BY179" s="388">
        <f t="shared" si="123"/>
        <v>0</v>
      </c>
      <c r="BZ179" s="388">
        <f t="shared" si="124"/>
        <v>1250</v>
      </c>
      <c r="CA179" s="388">
        <f t="shared" si="125"/>
        <v>0</v>
      </c>
      <c r="CB179" s="388">
        <f t="shared" si="126"/>
        <v>0</v>
      </c>
      <c r="CC179" s="388">
        <f t="shared" si="108"/>
        <v>0</v>
      </c>
      <c r="CD179" s="388">
        <f t="shared" si="109"/>
        <v>-666.30720000000088</v>
      </c>
      <c r="CE179" s="388">
        <f t="shared" si="110"/>
        <v>0</v>
      </c>
      <c r="CF179" s="388">
        <f t="shared" si="111"/>
        <v>0</v>
      </c>
      <c r="CG179" s="388">
        <f t="shared" si="112"/>
        <v>0</v>
      </c>
      <c r="CH179" s="388">
        <f t="shared" si="113"/>
        <v>35.068799999999975</v>
      </c>
      <c r="CI179" s="388">
        <f t="shared" si="114"/>
        <v>0</v>
      </c>
      <c r="CJ179" s="388">
        <f t="shared" si="127"/>
        <v>-631.23840000000087</v>
      </c>
      <c r="CK179" s="388" t="str">
        <f t="shared" si="128"/>
        <v/>
      </c>
      <c r="CL179" s="388" t="str">
        <f t="shared" si="129"/>
        <v/>
      </c>
      <c r="CM179" s="388" t="str">
        <f t="shared" si="130"/>
        <v/>
      </c>
      <c r="CN179" s="388" t="str">
        <f t="shared" si="131"/>
        <v>0348-95</v>
      </c>
    </row>
    <row r="180" spans="1:92" ht="15.75" thickBot="1" x14ac:dyDescent="0.3">
      <c r="A180" s="377" t="s">
        <v>162</v>
      </c>
      <c r="B180" s="377" t="s">
        <v>163</v>
      </c>
      <c r="C180" s="377" t="s">
        <v>667</v>
      </c>
      <c r="D180" s="377" t="s">
        <v>300</v>
      </c>
      <c r="E180" s="377" t="s">
        <v>637</v>
      </c>
      <c r="F180" s="383" t="s">
        <v>727</v>
      </c>
      <c r="G180" s="377" t="s">
        <v>439</v>
      </c>
      <c r="H180" s="379"/>
      <c r="I180" s="379"/>
      <c r="J180" s="377" t="s">
        <v>169</v>
      </c>
      <c r="K180" s="377" t="s">
        <v>301</v>
      </c>
      <c r="L180" s="377" t="s">
        <v>167</v>
      </c>
      <c r="M180" s="377" t="s">
        <v>172</v>
      </c>
      <c r="N180" s="377" t="s">
        <v>173</v>
      </c>
      <c r="O180" s="380">
        <v>1</v>
      </c>
      <c r="P180" s="386">
        <v>0.2</v>
      </c>
      <c r="Q180" s="386">
        <v>0.2</v>
      </c>
      <c r="R180" s="381">
        <v>80</v>
      </c>
      <c r="S180" s="386">
        <v>0.2</v>
      </c>
      <c r="T180" s="381">
        <v>18435.259999999998</v>
      </c>
      <c r="U180" s="381">
        <v>0</v>
      </c>
      <c r="V180" s="381">
        <v>6498.07</v>
      </c>
      <c r="W180" s="381">
        <v>15333.76</v>
      </c>
      <c r="X180" s="381">
        <v>5668.1</v>
      </c>
      <c r="Y180" s="381">
        <v>15333.76</v>
      </c>
      <c r="Z180" s="381">
        <v>5807.7</v>
      </c>
      <c r="AA180" s="377" t="s">
        <v>668</v>
      </c>
      <c r="AB180" s="377" t="s">
        <v>669</v>
      </c>
      <c r="AC180" s="377" t="s">
        <v>670</v>
      </c>
      <c r="AD180" s="377" t="s">
        <v>211</v>
      </c>
      <c r="AE180" s="377" t="s">
        <v>301</v>
      </c>
      <c r="AF180" s="377" t="s">
        <v>207</v>
      </c>
      <c r="AG180" s="377" t="s">
        <v>179</v>
      </c>
      <c r="AH180" s="382">
        <v>36.86</v>
      </c>
      <c r="AI180" s="380">
        <v>9866</v>
      </c>
      <c r="AJ180" s="377" t="s">
        <v>180</v>
      </c>
      <c r="AK180" s="377" t="s">
        <v>181</v>
      </c>
      <c r="AL180" s="377" t="s">
        <v>182</v>
      </c>
      <c r="AM180" s="377" t="s">
        <v>183</v>
      </c>
      <c r="AN180" s="377" t="s">
        <v>66</v>
      </c>
      <c r="AO180" s="380">
        <v>80</v>
      </c>
      <c r="AP180" s="386">
        <v>1</v>
      </c>
      <c r="AQ180" s="386">
        <v>0.2</v>
      </c>
      <c r="AR180" s="384" t="s">
        <v>184</v>
      </c>
      <c r="AS180" s="388">
        <f t="shared" si="115"/>
        <v>0.2</v>
      </c>
      <c r="AT180">
        <f t="shared" si="116"/>
        <v>1</v>
      </c>
      <c r="AU180" s="388">
        <f>IF(AT180=0,"",IF(AND(AT180=1,M180="F",SUMIF(C2:C258,C180,AS2:AS258)&lt;=1),SUMIF(C2:C258,C180,AS2:AS258),IF(AND(AT180=1,M180="F",SUMIF(C2:C258,C180,AS2:AS258)&gt;1),1,"")))</f>
        <v>1</v>
      </c>
      <c r="AV180" s="388" t="str">
        <f>IF(AT180=0,"",IF(AND(AT180=3,M180="F",SUMIF(C2:C258,C180,AS2:AS258)&lt;=1),SUMIF(C2:C258,C180,AS2:AS258),IF(AND(AT180=3,M180="F",SUMIF(C2:C258,C180,AS2:AS258)&gt;1),1,"")))</f>
        <v/>
      </c>
      <c r="AW180" s="388">
        <f>SUMIF(C2:C258,C180,O2:O258)</f>
        <v>3</v>
      </c>
      <c r="AX180" s="388">
        <f>IF(AND(M180="F",AS180&lt;&gt;0),SUMIF(C2:C258,C180,W2:W258),0)</f>
        <v>76668.800000000003</v>
      </c>
      <c r="AY180" s="388">
        <f t="shared" si="117"/>
        <v>15333.76</v>
      </c>
      <c r="AZ180" s="388" t="str">
        <f t="shared" si="118"/>
        <v/>
      </c>
      <c r="BA180" s="388">
        <f t="shared" si="119"/>
        <v>0</v>
      </c>
      <c r="BB180" s="388">
        <f t="shared" si="88"/>
        <v>2500</v>
      </c>
      <c r="BC180" s="388">
        <f t="shared" si="89"/>
        <v>0</v>
      </c>
      <c r="BD180" s="388">
        <f t="shared" si="90"/>
        <v>950.69312000000002</v>
      </c>
      <c r="BE180" s="388">
        <f t="shared" si="91"/>
        <v>222.33952000000002</v>
      </c>
      <c r="BF180" s="388">
        <f t="shared" si="92"/>
        <v>1830.850944</v>
      </c>
      <c r="BG180" s="388">
        <f t="shared" si="93"/>
        <v>110.55640960000001</v>
      </c>
      <c r="BH180" s="388">
        <f t="shared" si="94"/>
        <v>0</v>
      </c>
      <c r="BI180" s="388">
        <f t="shared" si="95"/>
        <v>0</v>
      </c>
      <c r="BJ180" s="388">
        <f t="shared" si="96"/>
        <v>53.66816</v>
      </c>
      <c r="BK180" s="388">
        <f t="shared" si="97"/>
        <v>0</v>
      </c>
      <c r="BL180" s="388">
        <f t="shared" si="120"/>
        <v>3168.1081536000002</v>
      </c>
      <c r="BM180" s="388">
        <f t="shared" si="121"/>
        <v>0</v>
      </c>
      <c r="BN180" s="388">
        <f t="shared" si="98"/>
        <v>2750</v>
      </c>
      <c r="BO180" s="388">
        <f t="shared" si="99"/>
        <v>0</v>
      </c>
      <c r="BP180" s="388">
        <f t="shared" si="100"/>
        <v>950.69312000000002</v>
      </c>
      <c r="BQ180" s="388">
        <f t="shared" si="101"/>
        <v>222.33952000000002</v>
      </c>
      <c r="BR180" s="388">
        <f t="shared" si="102"/>
        <v>1714.3143680000001</v>
      </c>
      <c r="BS180" s="388">
        <f t="shared" si="103"/>
        <v>110.55640960000001</v>
      </c>
      <c r="BT180" s="388">
        <f t="shared" si="104"/>
        <v>0</v>
      </c>
      <c r="BU180" s="388">
        <f t="shared" si="105"/>
        <v>0</v>
      </c>
      <c r="BV180" s="388">
        <f t="shared" si="106"/>
        <v>59.801663999999995</v>
      </c>
      <c r="BW180" s="388">
        <f t="shared" si="107"/>
        <v>0</v>
      </c>
      <c r="BX180" s="388">
        <f t="shared" si="122"/>
        <v>3057.7050816000001</v>
      </c>
      <c r="BY180" s="388">
        <f t="shared" si="123"/>
        <v>0</v>
      </c>
      <c r="BZ180" s="388">
        <f t="shared" si="124"/>
        <v>250</v>
      </c>
      <c r="CA180" s="388">
        <f t="shared" si="125"/>
        <v>0</v>
      </c>
      <c r="CB180" s="388">
        <f t="shared" si="126"/>
        <v>0</v>
      </c>
      <c r="CC180" s="388">
        <f t="shared" si="108"/>
        <v>0</v>
      </c>
      <c r="CD180" s="388">
        <f t="shared" si="109"/>
        <v>-116.53657600000015</v>
      </c>
      <c r="CE180" s="388">
        <f t="shared" si="110"/>
        <v>0</v>
      </c>
      <c r="CF180" s="388">
        <f t="shared" si="111"/>
        <v>0</v>
      </c>
      <c r="CG180" s="388">
        <f t="shared" si="112"/>
        <v>0</v>
      </c>
      <c r="CH180" s="388">
        <f t="shared" si="113"/>
        <v>6.1335039999999958</v>
      </c>
      <c r="CI180" s="388">
        <f t="shared" si="114"/>
        <v>0</v>
      </c>
      <c r="CJ180" s="388">
        <f t="shared" si="127"/>
        <v>-110.40307200000015</v>
      </c>
      <c r="CK180" s="388" t="str">
        <f t="shared" si="128"/>
        <v/>
      </c>
      <c r="CL180" s="388" t="str">
        <f t="shared" si="129"/>
        <v/>
      </c>
      <c r="CM180" s="388" t="str">
        <f t="shared" si="130"/>
        <v/>
      </c>
      <c r="CN180" s="388" t="str">
        <f t="shared" si="131"/>
        <v>0348-95</v>
      </c>
    </row>
    <row r="181" spans="1:92" ht="15.75" thickBot="1" x14ac:dyDescent="0.3">
      <c r="A181" s="377" t="s">
        <v>162</v>
      </c>
      <c r="B181" s="377" t="s">
        <v>163</v>
      </c>
      <c r="C181" s="377" t="s">
        <v>671</v>
      </c>
      <c r="D181" s="377" t="s">
        <v>300</v>
      </c>
      <c r="E181" s="377" t="s">
        <v>637</v>
      </c>
      <c r="F181" s="383" t="s">
        <v>727</v>
      </c>
      <c r="G181" s="377" t="s">
        <v>439</v>
      </c>
      <c r="H181" s="379"/>
      <c r="I181" s="379"/>
      <c r="J181" s="377" t="s">
        <v>169</v>
      </c>
      <c r="K181" s="377" t="s">
        <v>301</v>
      </c>
      <c r="L181" s="377" t="s">
        <v>167</v>
      </c>
      <c r="M181" s="377" t="s">
        <v>172</v>
      </c>
      <c r="N181" s="377" t="s">
        <v>173</v>
      </c>
      <c r="O181" s="380">
        <v>1</v>
      </c>
      <c r="P181" s="386">
        <v>0.85</v>
      </c>
      <c r="Q181" s="386">
        <v>0.85</v>
      </c>
      <c r="R181" s="381">
        <v>80</v>
      </c>
      <c r="S181" s="386">
        <v>0.85</v>
      </c>
      <c r="T181" s="381">
        <v>60841.17</v>
      </c>
      <c r="U181" s="381">
        <v>0</v>
      </c>
      <c r="V181" s="381">
        <v>22268.75</v>
      </c>
      <c r="W181" s="381">
        <v>60483.28</v>
      </c>
      <c r="X181" s="381">
        <v>23121.43</v>
      </c>
      <c r="Y181" s="381">
        <v>60483.28</v>
      </c>
      <c r="Z181" s="381">
        <v>23748.46</v>
      </c>
      <c r="AA181" s="377" t="s">
        <v>672</v>
      </c>
      <c r="AB181" s="377" t="s">
        <v>673</v>
      </c>
      <c r="AC181" s="377" t="s">
        <v>674</v>
      </c>
      <c r="AD181" s="377" t="s">
        <v>531</v>
      </c>
      <c r="AE181" s="377" t="s">
        <v>301</v>
      </c>
      <c r="AF181" s="377" t="s">
        <v>207</v>
      </c>
      <c r="AG181" s="377" t="s">
        <v>179</v>
      </c>
      <c r="AH181" s="382">
        <v>34.21</v>
      </c>
      <c r="AI181" s="382">
        <v>2419.5</v>
      </c>
      <c r="AJ181" s="377" t="s">
        <v>180</v>
      </c>
      <c r="AK181" s="377" t="s">
        <v>181</v>
      </c>
      <c r="AL181" s="377" t="s">
        <v>182</v>
      </c>
      <c r="AM181" s="377" t="s">
        <v>183</v>
      </c>
      <c r="AN181" s="377" t="s">
        <v>66</v>
      </c>
      <c r="AO181" s="380">
        <v>80</v>
      </c>
      <c r="AP181" s="386">
        <v>1</v>
      </c>
      <c r="AQ181" s="386">
        <v>0.85</v>
      </c>
      <c r="AR181" s="384" t="s">
        <v>184</v>
      </c>
      <c r="AS181" s="388">
        <f t="shared" si="115"/>
        <v>0.85</v>
      </c>
      <c r="AT181">
        <f t="shared" si="116"/>
        <v>1</v>
      </c>
      <c r="AU181" s="388">
        <f>IF(AT181=0,"",IF(AND(AT181=1,M181="F",SUMIF(C2:C258,C181,AS2:AS258)&lt;=1),SUMIF(C2:C258,C181,AS2:AS258),IF(AND(AT181=1,M181="F",SUMIF(C2:C258,C181,AS2:AS258)&gt;1),1,"")))</f>
        <v>1</v>
      </c>
      <c r="AV181" s="388" t="str">
        <f>IF(AT181=0,"",IF(AND(AT181=3,M181="F",SUMIF(C2:C258,C181,AS2:AS258)&lt;=1),SUMIF(C2:C258,C181,AS2:AS258),IF(AND(AT181=3,M181="F",SUMIF(C2:C258,C181,AS2:AS258)&gt;1),1,"")))</f>
        <v/>
      </c>
      <c r="AW181" s="388">
        <f>SUMIF(C2:C258,C181,O2:O258)</f>
        <v>2</v>
      </c>
      <c r="AX181" s="388">
        <f>IF(AND(M181="F",AS181&lt;&gt;0),SUMIF(C2:C258,C181,W2:W258),0)</f>
        <v>71156.800000000003</v>
      </c>
      <c r="AY181" s="388">
        <f t="shared" si="117"/>
        <v>60483.28</v>
      </c>
      <c r="AZ181" s="388" t="str">
        <f t="shared" si="118"/>
        <v/>
      </c>
      <c r="BA181" s="388">
        <f t="shared" si="119"/>
        <v>0</v>
      </c>
      <c r="BB181" s="388">
        <f t="shared" si="88"/>
        <v>10625</v>
      </c>
      <c r="BC181" s="388">
        <f t="shared" si="89"/>
        <v>0</v>
      </c>
      <c r="BD181" s="388">
        <f t="shared" si="90"/>
        <v>3749.9633599999997</v>
      </c>
      <c r="BE181" s="388">
        <f t="shared" si="91"/>
        <v>877.00756000000001</v>
      </c>
      <c r="BF181" s="388">
        <f t="shared" si="92"/>
        <v>7221.7036320000007</v>
      </c>
      <c r="BG181" s="388">
        <f t="shared" si="93"/>
        <v>436.08444880000002</v>
      </c>
      <c r="BH181" s="388">
        <f t="shared" si="94"/>
        <v>0</v>
      </c>
      <c r="BI181" s="388">
        <f t="shared" si="95"/>
        <v>0</v>
      </c>
      <c r="BJ181" s="388">
        <f t="shared" si="96"/>
        <v>211.69148000000001</v>
      </c>
      <c r="BK181" s="388">
        <f t="shared" si="97"/>
        <v>0</v>
      </c>
      <c r="BL181" s="388">
        <f t="shared" si="120"/>
        <v>12496.4504808</v>
      </c>
      <c r="BM181" s="388">
        <f t="shared" si="121"/>
        <v>0</v>
      </c>
      <c r="BN181" s="388">
        <f t="shared" si="98"/>
        <v>11687.5</v>
      </c>
      <c r="BO181" s="388">
        <f t="shared" si="99"/>
        <v>0</v>
      </c>
      <c r="BP181" s="388">
        <f t="shared" si="100"/>
        <v>3749.9633599999997</v>
      </c>
      <c r="BQ181" s="388">
        <f t="shared" si="101"/>
        <v>877.00756000000001</v>
      </c>
      <c r="BR181" s="388">
        <f t="shared" si="102"/>
        <v>6762.0307039999998</v>
      </c>
      <c r="BS181" s="388">
        <f t="shared" si="103"/>
        <v>436.08444880000002</v>
      </c>
      <c r="BT181" s="388">
        <f t="shared" si="104"/>
        <v>0</v>
      </c>
      <c r="BU181" s="388">
        <f t="shared" si="105"/>
        <v>0</v>
      </c>
      <c r="BV181" s="388">
        <f t="shared" si="106"/>
        <v>235.88479199999998</v>
      </c>
      <c r="BW181" s="388">
        <f t="shared" si="107"/>
        <v>0</v>
      </c>
      <c r="BX181" s="388">
        <f t="shared" si="122"/>
        <v>12060.970864800001</v>
      </c>
      <c r="BY181" s="388">
        <f t="shared" si="123"/>
        <v>0</v>
      </c>
      <c r="BZ181" s="388">
        <f t="shared" si="124"/>
        <v>1062.5</v>
      </c>
      <c r="CA181" s="388">
        <f t="shared" si="125"/>
        <v>0</v>
      </c>
      <c r="CB181" s="388">
        <f t="shared" si="126"/>
        <v>0</v>
      </c>
      <c r="CC181" s="388">
        <f t="shared" si="108"/>
        <v>0</v>
      </c>
      <c r="CD181" s="388">
        <f t="shared" si="109"/>
        <v>-459.67292800000058</v>
      </c>
      <c r="CE181" s="388">
        <f t="shared" si="110"/>
        <v>0</v>
      </c>
      <c r="CF181" s="388">
        <f t="shared" si="111"/>
        <v>0</v>
      </c>
      <c r="CG181" s="388">
        <f t="shared" si="112"/>
        <v>0</v>
      </c>
      <c r="CH181" s="388">
        <f t="shared" si="113"/>
        <v>24.193311999999985</v>
      </c>
      <c r="CI181" s="388">
        <f t="shared" si="114"/>
        <v>0</v>
      </c>
      <c r="CJ181" s="388">
        <f t="shared" si="127"/>
        <v>-435.47961600000059</v>
      </c>
      <c r="CK181" s="388" t="str">
        <f t="shared" si="128"/>
        <v/>
      </c>
      <c r="CL181" s="388" t="str">
        <f t="shared" si="129"/>
        <v/>
      </c>
      <c r="CM181" s="388" t="str">
        <f t="shared" si="130"/>
        <v/>
      </c>
      <c r="CN181" s="388" t="str">
        <f t="shared" si="131"/>
        <v>0348-95</v>
      </c>
    </row>
    <row r="182" spans="1:92" ht="15.75" thickBot="1" x14ac:dyDescent="0.3">
      <c r="A182" s="377" t="s">
        <v>162</v>
      </c>
      <c r="B182" s="377" t="s">
        <v>163</v>
      </c>
      <c r="C182" s="377" t="s">
        <v>599</v>
      </c>
      <c r="D182" s="377" t="s">
        <v>300</v>
      </c>
      <c r="E182" s="377" t="s">
        <v>637</v>
      </c>
      <c r="F182" s="383" t="s">
        <v>727</v>
      </c>
      <c r="G182" s="377" t="s">
        <v>439</v>
      </c>
      <c r="H182" s="379"/>
      <c r="I182" s="379"/>
      <c r="J182" s="377" t="s">
        <v>269</v>
      </c>
      <c r="K182" s="377" t="s">
        <v>301</v>
      </c>
      <c r="L182" s="377" t="s">
        <v>167</v>
      </c>
      <c r="M182" s="377" t="s">
        <v>172</v>
      </c>
      <c r="N182" s="377" t="s">
        <v>173</v>
      </c>
      <c r="O182" s="380">
        <v>1</v>
      </c>
      <c r="P182" s="386">
        <v>0.05</v>
      </c>
      <c r="Q182" s="386">
        <v>0.05</v>
      </c>
      <c r="R182" s="381">
        <v>80</v>
      </c>
      <c r="S182" s="386">
        <v>0.05</v>
      </c>
      <c r="T182" s="381">
        <v>9991.44</v>
      </c>
      <c r="U182" s="381">
        <v>0</v>
      </c>
      <c r="V182" s="381">
        <v>3310.04</v>
      </c>
      <c r="W182" s="381">
        <v>4451.2</v>
      </c>
      <c r="X182" s="381">
        <v>1544.66</v>
      </c>
      <c r="Y182" s="381">
        <v>4451.2</v>
      </c>
      <c r="Z182" s="381">
        <v>1575.11</v>
      </c>
      <c r="AA182" s="377" t="s">
        <v>600</v>
      </c>
      <c r="AB182" s="377" t="s">
        <v>601</v>
      </c>
      <c r="AC182" s="377" t="s">
        <v>602</v>
      </c>
      <c r="AD182" s="377" t="s">
        <v>215</v>
      </c>
      <c r="AE182" s="377" t="s">
        <v>301</v>
      </c>
      <c r="AF182" s="377" t="s">
        <v>207</v>
      </c>
      <c r="AG182" s="377" t="s">
        <v>179</v>
      </c>
      <c r="AH182" s="382">
        <v>42.8</v>
      </c>
      <c r="AI182" s="382">
        <v>27350.2</v>
      </c>
      <c r="AJ182" s="377" t="s">
        <v>180</v>
      </c>
      <c r="AK182" s="377" t="s">
        <v>181</v>
      </c>
      <c r="AL182" s="377" t="s">
        <v>182</v>
      </c>
      <c r="AM182" s="377" t="s">
        <v>183</v>
      </c>
      <c r="AN182" s="377" t="s">
        <v>66</v>
      </c>
      <c r="AO182" s="380">
        <v>80</v>
      </c>
      <c r="AP182" s="386">
        <v>1</v>
      </c>
      <c r="AQ182" s="386">
        <v>0.05</v>
      </c>
      <c r="AR182" s="384" t="s">
        <v>184</v>
      </c>
      <c r="AS182" s="388">
        <f t="shared" si="115"/>
        <v>0.05</v>
      </c>
      <c r="AT182">
        <f t="shared" si="116"/>
        <v>1</v>
      </c>
      <c r="AU182" s="388">
        <f>IF(AT182=0,"",IF(AND(AT182=1,M182="F",SUMIF(C2:C258,C182,AS2:AS258)&lt;=1),SUMIF(C2:C258,C182,AS2:AS258),IF(AND(AT182=1,M182="F",SUMIF(C2:C258,C182,AS2:AS258)&gt;1),1,"")))</f>
        <v>1</v>
      </c>
      <c r="AV182" s="388" t="str">
        <f>IF(AT182=0,"",IF(AND(AT182=3,M182="F",SUMIF(C2:C258,C182,AS2:AS258)&lt;=1),SUMIF(C2:C258,C182,AS2:AS258),IF(AND(AT182=3,M182="F",SUMIF(C2:C258,C182,AS2:AS258)&gt;1),1,"")))</f>
        <v/>
      </c>
      <c r="AW182" s="388">
        <f>SUMIF(C2:C258,C182,O2:O258)</f>
        <v>3</v>
      </c>
      <c r="AX182" s="388">
        <f>IF(AND(M182="F",AS182&lt;&gt;0),SUMIF(C2:C258,C182,W2:W258),0)</f>
        <v>89024</v>
      </c>
      <c r="AY182" s="388">
        <f t="shared" si="117"/>
        <v>4451.2</v>
      </c>
      <c r="AZ182" s="388" t="str">
        <f t="shared" si="118"/>
        <v/>
      </c>
      <c r="BA182" s="388">
        <f t="shared" si="119"/>
        <v>0</v>
      </c>
      <c r="BB182" s="388">
        <f t="shared" si="88"/>
        <v>625</v>
      </c>
      <c r="BC182" s="388">
        <f t="shared" si="89"/>
        <v>0</v>
      </c>
      <c r="BD182" s="388">
        <f t="shared" si="90"/>
        <v>275.9744</v>
      </c>
      <c r="BE182" s="388">
        <f t="shared" si="91"/>
        <v>64.542400000000001</v>
      </c>
      <c r="BF182" s="388">
        <f t="shared" si="92"/>
        <v>531.47328000000005</v>
      </c>
      <c r="BG182" s="388">
        <f t="shared" si="93"/>
        <v>32.093151999999996</v>
      </c>
      <c r="BH182" s="388">
        <f t="shared" si="94"/>
        <v>0</v>
      </c>
      <c r="BI182" s="388">
        <f t="shared" si="95"/>
        <v>0</v>
      </c>
      <c r="BJ182" s="388">
        <f t="shared" si="96"/>
        <v>15.5792</v>
      </c>
      <c r="BK182" s="388">
        <f t="shared" si="97"/>
        <v>0</v>
      </c>
      <c r="BL182" s="388">
        <f t="shared" si="120"/>
        <v>919.66243200000008</v>
      </c>
      <c r="BM182" s="388">
        <f t="shared" si="121"/>
        <v>0</v>
      </c>
      <c r="BN182" s="388">
        <f t="shared" si="98"/>
        <v>687.5</v>
      </c>
      <c r="BO182" s="388">
        <f t="shared" si="99"/>
        <v>0</v>
      </c>
      <c r="BP182" s="388">
        <f t="shared" si="100"/>
        <v>275.9744</v>
      </c>
      <c r="BQ182" s="388">
        <f t="shared" si="101"/>
        <v>64.542400000000001</v>
      </c>
      <c r="BR182" s="388">
        <f t="shared" si="102"/>
        <v>497.64415999999994</v>
      </c>
      <c r="BS182" s="388">
        <f t="shared" si="103"/>
        <v>32.093151999999996</v>
      </c>
      <c r="BT182" s="388">
        <f t="shared" si="104"/>
        <v>0</v>
      </c>
      <c r="BU182" s="388">
        <f t="shared" si="105"/>
        <v>0</v>
      </c>
      <c r="BV182" s="388">
        <f t="shared" si="106"/>
        <v>17.359679999999997</v>
      </c>
      <c r="BW182" s="388">
        <f t="shared" si="107"/>
        <v>0</v>
      </c>
      <c r="BX182" s="388">
        <f t="shared" si="122"/>
        <v>887.61379199999999</v>
      </c>
      <c r="BY182" s="388">
        <f t="shared" si="123"/>
        <v>0</v>
      </c>
      <c r="BZ182" s="388">
        <f t="shared" si="124"/>
        <v>62.5</v>
      </c>
      <c r="CA182" s="388">
        <f t="shared" si="125"/>
        <v>0</v>
      </c>
      <c r="CB182" s="388">
        <f t="shared" si="126"/>
        <v>0</v>
      </c>
      <c r="CC182" s="388">
        <f t="shared" si="108"/>
        <v>0</v>
      </c>
      <c r="CD182" s="388">
        <f t="shared" si="109"/>
        <v>-33.829120000000039</v>
      </c>
      <c r="CE182" s="388">
        <f t="shared" si="110"/>
        <v>0</v>
      </c>
      <c r="CF182" s="388">
        <f t="shared" si="111"/>
        <v>0</v>
      </c>
      <c r="CG182" s="388">
        <f t="shared" si="112"/>
        <v>0</v>
      </c>
      <c r="CH182" s="388">
        <f t="shared" si="113"/>
        <v>1.7804799999999987</v>
      </c>
      <c r="CI182" s="388">
        <f t="shared" si="114"/>
        <v>0</v>
      </c>
      <c r="CJ182" s="388">
        <f t="shared" si="127"/>
        <v>-32.048640000000042</v>
      </c>
      <c r="CK182" s="388" t="str">
        <f t="shared" si="128"/>
        <v/>
      </c>
      <c r="CL182" s="388" t="str">
        <f t="shared" si="129"/>
        <v/>
      </c>
      <c r="CM182" s="388" t="str">
        <f t="shared" si="130"/>
        <v/>
      </c>
      <c r="CN182" s="388" t="str">
        <f t="shared" si="131"/>
        <v>0348-95</v>
      </c>
    </row>
    <row r="183" spans="1:92" ht="15.75" thickBot="1" x14ac:dyDescent="0.3">
      <c r="A183" s="377" t="s">
        <v>162</v>
      </c>
      <c r="B183" s="377" t="s">
        <v>163</v>
      </c>
      <c r="C183" s="377" t="s">
        <v>736</v>
      </c>
      <c r="D183" s="377" t="s">
        <v>300</v>
      </c>
      <c r="E183" s="377" t="s">
        <v>637</v>
      </c>
      <c r="F183" s="383" t="s">
        <v>727</v>
      </c>
      <c r="G183" s="377" t="s">
        <v>439</v>
      </c>
      <c r="H183" s="379"/>
      <c r="I183" s="379"/>
      <c r="J183" s="377" t="s">
        <v>219</v>
      </c>
      <c r="K183" s="377" t="s">
        <v>301</v>
      </c>
      <c r="L183" s="377" t="s">
        <v>167</v>
      </c>
      <c r="M183" s="377" t="s">
        <v>172</v>
      </c>
      <c r="N183" s="377" t="s">
        <v>173</v>
      </c>
      <c r="O183" s="380">
        <v>1</v>
      </c>
      <c r="P183" s="386">
        <v>1</v>
      </c>
      <c r="Q183" s="386">
        <v>1</v>
      </c>
      <c r="R183" s="381">
        <v>80</v>
      </c>
      <c r="S183" s="386">
        <v>1</v>
      </c>
      <c r="T183" s="381">
        <v>85920.7</v>
      </c>
      <c r="U183" s="381">
        <v>0</v>
      </c>
      <c r="V183" s="381">
        <v>29725.32</v>
      </c>
      <c r="W183" s="381">
        <v>84968</v>
      </c>
      <c r="X183" s="381">
        <v>30055.200000000001</v>
      </c>
      <c r="Y183" s="381">
        <v>84968</v>
      </c>
      <c r="Z183" s="381">
        <v>30693.439999999999</v>
      </c>
      <c r="AA183" s="377" t="s">
        <v>737</v>
      </c>
      <c r="AB183" s="377" t="s">
        <v>738</v>
      </c>
      <c r="AC183" s="377" t="s">
        <v>739</v>
      </c>
      <c r="AD183" s="377" t="s">
        <v>740</v>
      </c>
      <c r="AE183" s="377" t="s">
        <v>301</v>
      </c>
      <c r="AF183" s="377" t="s">
        <v>207</v>
      </c>
      <c r="AG183" s="377" t="s">
        <v>179</v>
      </c>
      <c r="AH183" s="382">
        <v>40.85</v>
      </c>
      <c r="AI183" s="380">
        <v>14522</v>
      </c>
      <c r="AJ183" s="377" t="s">
        <v>180</v>
      </c>
      <c r="AK183" s="377" t="s">
        <v>181</v>
      </c>
      <c r="AL183" s="377" t="s">
        <v>182</v>
      </c>
      <c r="AM183" s="377" t="s">
        <v>183</v>
      </c>
      <c r="AN183" s="377" t="s">
        <v>66</v>
      </c>
      <c r="AO183" s="380">
        <v>80</v>
      </c>
      <c r="AP183" s="386">
        <v>1</v>
      </c>
      <c r="AQ183" s="386">
        <v>1</v>
      </c>
      <c r="AR183" s="384" t="s">
        <v>184</v>
      </c>
      <c r="AS183" s="388">
        <f t="shared" si="115"/>
        <v>1</v>
      </c>
      <c r="AT183">
        <f t="shared" si="116"/>
        <v>1</v>
      </c>
      <c r="AU183" s="388">
        <f>IF(AT183=0,"",IF(AND(AT183=1,M183="F",SUMIF(C2:C258,C183,AS2:AS258)&lt;=1),SUMIF(C2:C258,C183,AS2:AS258),IF(AND(AT183=1,M183="F",SUMIF(C2:C258,C183,AS2:AS258)&gt;1),1,"")))</f>
        <v>1</v>
      </c>
      <c r="AV183" s="388" t="str">
        <f>IF(AT183=0,"",IF(AND(AT183=3,M183="F",SUMIF(C2:C258,C183,AS2:AS258)&lt;=1),SUMIF(C2:C258,C183,AS2:AS258),IF(AND(AT183=3,M183="F",SUMIF(C2:C258,C183,AS2:AS258)&gt;1),1,"")))</f>
        <v/>
      </c>
      <c r="AW183" s="388">
        <f>SUMIF(C2:C258,C183,O2:O258)</f>
        <v>1</v>
      </c>
      <c r="AX183" s="388">
        <f>IF(AND(M183="F",AS183&lt;&gt;0),SUMIF(C2:C258,C183,W2:W258),0)</f>
        <v>84968</v>
      </c>
      <c r="AY183" s="388">
        <f t="shared" si="117"/>
        <v>84968</v>
      </c>
      <c r="AZ183" s="388" t="str">
        <f t="shared" si="118"/>
        <v/>
      </c>
      <c r="BA183" s="388">
        <f t="shared" si="119"/>
        <v>0</v>
      </c>
      <c r="BB183" s="388">
        <f t="shared" si="88"/>
        <v>12500</v>
      </c>
      <c r="BC183" s="388">
        <f t="shared" si="89"/>
        <v>0</v>
      </c>
      <c r="BD183" s="388">
        <f t="shared" si="90"/>
        <v>5268.0159999999996</v>
      </c>
      <c r="BE183" s="388">
        <f t="shared" si="91"/>
        <v>1232.0360000000001</v>
      </c>
      <c r="BF183" s="388">
        <f t="shared" si="92"/>
        <v>10145.1792</v>
      </c>
      <c r="BG183" s="388">
        <f t="shared" si="93"/>
        <v>612.61928</v>
      </c>
      <c r="BH183" s="388">
        <f t="shared" si="94"/>
        <v>0</v>
      </c>
      <c r="BI183" s="388">
        <f t="shared" si="95"/>
        <v>0</v>
      </c>
      <c r="BJ183" s="388">
        <f t="shared" si="96"/>
        <v>297.38800000000003</v>
      </c>
      <c r="BK183" s="388">
        <f t="shared" si="97"/>
        <v>0</v>
      </c>
      <c r="BL183" s="388">
        <f t="shared" si="120"/>
        <v>17555.23848</v>
      </c>
      <c r="BM183" s="388">
        <f t="shared" si="121"/>
        <v>0</v>
      </c>
      <c r="BN183" s="388">
        <f t="shared" si="98"/>
        <v>13750</v>
      </c>
      <c r="BO183" s="388">
        <f t="shared" si="99"/>
        <v>0</v>
      </c>
      <c r="BP183" s="388">
        <f t="shared" si="100"/>
        <v>5268.0159999999996</v>
      </c>
      <c r="BQ183" s="388">
        <f t="shared" si="101"/>
        <v>1232.0360000000001</v>
      </c>
      <c r="BR183" s="388">
        <f t="shared" si="102"/>
        <v>9499.4223999999995</v>
      </c>
      <c r="BS183" s="388">
        <f t="shared" si="103"/>
        <v>612.61928</v>
      </c>
      <c r="BT183" s="388">
        <f t="shared" si="104"/>
        <v>0</v>
      </c>
      <c r="BU183" s="388">
        <f t="shared" si="105"/>
        <v>0</v>
      </c>
      <c r="BV183" s="388">
        <f t="shared" si="106"/>
        <v>331.37520000000001</v>
      </c>
      <c r="BW183" s="388">
        <f t="shared" si="107"/>
        <v>0</v>
      </c>
      <c r="BX183" s="388">
        <f t="shared" si="122"/>
        <v>16943.468879999997</v>
      </c>
      <c r="BY183" s="388">
        <f t="shared" si="123"/>
        <v>0</v>
      </c>
      <c r="BZ183" s="388">
        <f t="shared" si="124"/>
        <v>1250</v>
      </c>
      <c r="CA183" s="388">
        <f t="shared" si="125"/>
        <v>0</v>
      </c>
      <c r="CB183" s="388">
        <f t="shared" si="126"/>
        <v>0</v>
      </c>
      <c r="CC183" s="388">
        <f t="shared" si="108"/>
        <v>0</v>
      </c>
      <c r="CD183" s="388">
        <f t="shared" si="109"/>
        <v>-645.75680000000079</v>
      </c>
      <c r="CE183" s="388">
        <f t="shared" si="110"/>
        <v>0</v>
      </c>
      <c r="CF183" s="388">
        <f t="shared" si="111"/>
        <v>0</v>
      </c>
      <c r="CG183" s="388">
        <f t="shared" si="112"/>
        <v>0</v>
      </c>
      <c r="CH183" s="388">
        <f t="shared" si="113"/>
        <v>33.98719999999998</v>
      </c>
      <c r="CI183" s="388">
        <f t="shared" si="114"/>
        <v>0</v>
      </c>
      <c r="CJ183" s="388">
        <f t="shared" si="127"/>
        <v>-611.76960000000076</v>
      </c>
      <c r="CK183" s="388" t="str">
        <f t="shared" si="128"/>
        <v/>
      </c>
      <c r="CL183" s="388" t="str">
        <f t="shared" si="129"/>
        <v/>
      </c>
      <c r="CM183" s="388" t="str">
        <f t="shared" si="130"/>
        <v/>
      </c>
      <c r="CN183" s="388" t="str">
        <f t="shared" si="131"/>
        <v>0348-95</v>
      </c>
    </row>
    <row r="184" spans="1:92" ht="15.75" thickBot="1" x14ac:dyDescent="0.3">
      <c r="A184" s="377" t="s">
        <v>162</v>
      </c>
      <c r="B184" s="377" t="s">
        <v>163</v>
      </c>
      <c r="C184" s="377" t="s">
        <v>675</v>
      </c>
      <c r="D184" s="377" t="s">
        <v>282</v>
      </c>
      <c r="E184" s="377" t="s">
        <v>637</v>
      </c>
      <c r="F184" s="383" t="s">
        <v>727</v>
      </c>
      <c r="G184" s="377" t="s">
        <v>439</v>
      </c>
      <c r="H184" s="379"/>
      <c r="I184" s="379"/>
      <c r="J184" s="377" t="s">
        <v>169</v>
      </c>
      <c r="K184" s="377" t="s">
        <v>244</v>
      </c>
      <c r="L184" s="377" t="s">
        <v>167</v>
      </c>
      <c r="M184" s="377" t="s">
        <v>172</v>
      </c>
      <c r="N184" s="377" t="s">
        <v>173</v>
      </c>
      <c r="O184" s="380">
        <v>1</v>
      </c>
      <c r="P184" s="386">
        <v>0.95</v>
      </c>
      <c r="Q184" s="386">
        <v>0.95</v>
      </c>
      <c r="R184" s="381">
        <v>80</v>
      </c>
      <c r="S184" s="386">
        <v>0.95</v>
      </c>
      <c r="T184" s="381">
        <v>116697.36</v>
      </c>
      <c r="U184" s="381">
        <v>0</v>
      </c>
      <c r="V184" s="381">
        <v>35260.239999999998</v>
      </c>
      <c r="W184" s="381">
        <v>116939.68</v>
      </c>
      <c r="X184" s="381">
        <v>36035.89</v>
      </c>
      <c r="Y184" s="381">
        <v>116939.68</v>
      </c>
      <c r="Z184" s="381">
        <v>36381.410000000003</v>
      </c>
      <c r="AA184" s="377" t="s">
        <v>676</v>
      </c>
      <c r="AB184" s="377" t="s">
        <v>357</v>
      </c>
      <c r="AC184" s="377" t="s">
        <v>677</v>
      </c>
      <c r="AD184" s="377" t="s">
        <v>211</v>
      </c>
      <c r="AE184" s="377" t="s">
        <v>244</v>
      </c>
      <c r="AF184" s="377" t="s">
        <v>207</v>
      </c>
      <c r="AG184" s="377" t="s">
        <v>179</v>
      </c>
      <c r="AH184" s="382">
        <v>59.18</v>
      </c>
      <c r="AI184" s="382">
        <v>22066.5</v>
      </c>
      <c r="AJ184" s="377" t="s">
        <v>180</v>
      </c>
      <c r="AK184" s="377" t="s">
        <v>181</v>
      </c>
      <c r="AL184" s="377" t="s">
        <v>182</v>
      </c>
      <c r="AM184" s="377" t="s">
        <v>183</v>
      </c>
      <c r="AN184" s="377" t="s">
        <v>66</v>
      </c>
      <c r="AO184" s="380">
        <v>80</v>
      </c>
      <c r="AP184" s="386">
        <v>1</v>
      </c>
      <c r="AQ184" s="386">
        <v>0.95</v>
      </c>
      <c r="AR184" s="384" t="s">
        <v>184</v>
      </c>
      <c r="AS184" s="388">
        <f t="shared" si="115"/>
        <v>0.95</v>
      </c>
      <c r="AT184">
        <f t="shared" si="116"/>
        <v>1</v>
      </c>
      <c r="AU184" s="388">
        <f>IF(AT184=0,"",IF(AND(AT184=1,M184="F",SUMIF(C2:C258,C184,AS2:AS258)&lt;=1),SUMIF(C2:C258,C184,AS2:AS258),IF(AND(AT184=1,M184="F",SUMIF(C2:C258,C184,AS2:AS258)&gt;1),1,"")))</f>
        <v>1</v>
      </c>
      <c r="AV184" s="388" t="str">
        <f>IF(AT184=0,"",IF(AND(AT184=3,M184="F",SUMIF(C2:C258,C184,AS2:AS258)&lt;=1),SUMIF(C2:C258,C184,AS2:AS258),IF(AND(AT184=3,M184="F",SUMIF(C2:C258,C184,AS2:AS258)&gt;1),1,"")))</f>
        <v/>
      </c>
      <c r="AW184" s="388">
        <f>SUMIF(C2:C258,C184,O2:O258)</f>
        <v>2</v>
      </c>
      <c r="AX184" s="388">
        <f>IF(AND(M184="F",AS184&lt;&gt;0),SUMIF(C2:C258,C184,W2:W258),0)</f>
        <v>123094.39999999999</v>
      </c>
      <c r="AY184" s="388">
        <f t="shared" si="117"/>
        <v>116939.68</v>
      </c>
      <c r="AZ184" s="388" t="str">
        <f t="shared" si="118"/>
        <v/>
      </c>
      <c r="BA184" s="388">
        <f t="shared" si="119"/>
        <v>0</v>
      </c>
      <c r="BB184" s="388">
        <f t="shared" si="88"/>
        <v>11875</v>
      </c>
      <c r="BC184" s="388">
        <f t="shared" si="89"/>
        <v>0</v>
      </c>
      <c r="BD184" s="388">
        <f t="shared" si="90"/>
        <v>7250.2601599999998</v>
      </c>
      <c r="BE184" s="388">
        <f t="shared" si="91"/>
        <v>1695.62536</v>
      </c>
      <c r="BF184" s="388">
        <f t="shared" si="92"/>
        <v>13962.597792</v>
      </c>
      <c r="BG184" s="388">
        <f t="shared" si="93"/>
        <v>843.13509279999994</v>
      </c>
      <c r="BH184" s="388">
        <f t="shared" si="94"/>
        <v>0</v>
      </c>
      <c r="BI184" s="388">
        <f t="shared" si="95"/>
        <v>0</v>
      </c>
      <c r="BJ184" s="388">
        <f t="shared" si="96"/>
        <v>409.28888000000001</v>
      </c>
      <c r="BK184" s="388">
        <f t="shared" si="97"/>
        <v>0</v>
      </c>
      <c r="BL184" s="388">
        <f t="shared" si="120"/>
        <v>24160.9072848</v>
      </c>
      <c r="BM184" s="388">
        <f t="shared" si="121"/>
        <v>0</v>
      </c>
      <c r="BN184" s="388">
        <f t="shared" si="98"/>
        <v>13062.5</v>
      </c>
      <c r="BO184" s="388">
        <f t="shared" si="99"/>
        <v>0</v>
      </c>
      <c r="BP184" s="388">
        <f t="shared" si="100"/>
        <v>7250.2601599999998</v>
      </c>
      <c r="BQ184" s="388">
        <f t="shared" si="101"/>
        <v>1695.62536</v>
      </c>
      <c r="BR184" s="388">
        <f t="shared" si="102"/>
        <v>13073.856223999999</v>
      </c>
      <c r="BS184" s="388">
        <f t="shared" si="103"/>
        <v>843.13509279999994</v>
      </c>
      <c r="BT184" s="388">
        <f t="shared" si="104"/>
        <v>0</v>
      </c>
      <c r="BU184" s="388">
        <f t="shared" si="105"/>
        <v>0</v>
      </c>
      <c r="BV184" s="388">
        <f t="shared" si="106"/>
        <v>456.06475199999994</v>
      </c>
      <c r="BW184" s="388">
        <f t="shared" si="107"/>
        <v>0</v>
      </c>
      <c r="BX184" s="388">
        <f t="shared" si="122"/>
        <v>23318.941588799997</v>
      </c>
      <c r="BY184" s="388">
        <f t="shared" si="123"/>
        <v>0</v>
      </c>
      <c r="BZ184" s="388">
        <f t="shared" si="124"/>
        <v>1187.5</v>
      </c>
      <c r="CA184" s="388">
        <f t="shared" si="125"/>
        <v>0</v>
      </c>
      <c r="CB184" s="388">
        <f t="shared" si="126"/>
        <v>0</v>
      </c>
      <c r="CC184" s="388">
        <f t="shared" si="108"/>
        <v>0</v>
      </c>
      <c r="CD184" s="388">
        <f t="shared" si="109"/>
        <v>-888.74156800000105</v>
      </c>
      <c r="CE184" s="388">
        <f t="shared" si="110"/>
        <v>0</v>
      </c>
      <c r="CF184" s="388">
        <f t="shared" si="111"/>
        <v>0</v>
      </c>
      <c r="CG184" s="388">
        <f t="shared" si="112"/>
        <v>0</v>
      </c>
      <c r="CH184" s="388">
        <f t="shared" si="113"/>
        <v>46.775871999999971</v>
      </c>
      <c r="CI184" s="388">
        <f t="shared" si="114"/>
        <v>0</v>
      </c>
      <c r="CJ184" s="388">
        <f t="shared" si="127"/>
        <v>-841.96569600000112</v>
      </c>
      <c r="CK184" s="388" t="str">
        <f t="shared" si="128"/>
        <v/>
      </c>
      <c r="CL184" s="388" t="str">
        <f t="shared" si="129"/>
        <v/>
      </c>
      <c r="CM184" s="388" t="str">
        <f t="shared" si="130"/>
        <v/>
      </c>
      <c r="CN184" s="388" t="str">
        <f t="shared" si="131"/>
        <v>0348-95</v>
      </c>
    </row>
    <row r="185" spans="1:92" ht="15.75" thickBot="1" x14ac:dyDescent="0.3">
      <c r="A185" s="377" t="s">
        <v>162</v>
      </c>
      <c r="B185" s="377" t="s">
        <v>163</v>
      </c>
      <c r="C185" s="377" t="s">
        <v>166</v>
      </c>
      <c r="D185" s="377" t="s">
        <v>300</v>
      </c>
      <c r="E185" s="377" t="s">
        <v>637</v>
      </c>
      <c r="F185" s="383" t="s">
        <v>727</v>
      </c>
      <c r="G185" s="377" t="s">
        <v>439</v>
      </c>
      <c r="H185" s="379"/>
      <c r="I185" s="379"/>
      <c r="J185" s="377" t="s">
        <v>169</v>
      </c>
      <c r="K185" s="377" t="s">
        <v>301</v>
      </c>
      <c r="L185" s="377" t="s">
        <v>167</v>
      </c>
      <c r="M185" s="377" t="s">
        <v>172</v>
      </c>
      <c r="N185" s="377" t="s">
        <v>173</v>
      </c>
      <c r="O185" s="380">
        <v>1</v>
      </c>
      <c r="P185" s="386">
        <v>0.1</v>
      </c>
      <c r="Q185" s="386">
        <v>0.1</v>
      </c>
      <c r="R185" s="381">
        <v>80</v>
      </c>
      <c r="S185" s="386">
        <v>0.1</v>
      </c>
      <c r="T185" s="381">
        <v>9227.74</v>
      </c>
      <c r="U185" s="381">
        <v>0</v>
      </c>
      <c r="V185" s="381">
        <v>3150.61</v>
      </c>
      <c r="W185" s="381">
        <v>8835.84</v>
      </c>
      <c r="X185" s="381">
        <v>3075.57</v>
      </c>
      <c r="Y185" s="381">
        <v>8835.84</v>
      </c>
      <c r="Z185" s="381">
        <v>3136.95</v>
      </c>
      <c r="AA185" s="377" t="s">
        <v>434</v>
      </c>
      <c r="AB185" s="377" t="s">
        <v>435</v>
      </c>
      <c r="AC185" s="377" t="s">
        <v>436</v>
      </c>
      <c r="AD185" s="377" t="s">
        <v>171</v>
      </c>
      <c r="AE185" s="377" t="s">
        <v>301</v>
      </c>
      <c r="AF185" s="377" t="s">
        <v>207</v>
      </c>
      <c r="AG185" s="377" t="s">
        <v>179</v>
      </c>
      <c r="AH185" s="382">
        <v>42.48</v>
      </c>
      <c r="AI185" s="382">
        <v>42277.9</v>
      </c>
      <c r="AJ185" s="377" t="s">
        <v>180</v>
      </c>
      <c r="AK185" s="377" t="s">
        <v>181</v>
      </c>
      <c r="AL185" s="377" t="s">
        <v>182</v>
      </c>
      <c r="AM185" s="377" t="s">
        <v>183</v>
      </c>
      <c r="AN185" s="377" t="s">
        <v>66</v>
      </c>
      <c r="AO185" s="380">
        <v>80</v>
      </c>
      <c r="AP185" s="386">
        <v>1</v>
      </c>
      <c r="AQ185" s="386">
        <v>0.1</v>
      </c>
      <c r="AR185" s="384" t="s">
        <v>184</v>
      </c>
      <c r="AS185" s="388">
        <f t="shared" si="115"/>
        <v>0.1</v>
      </c>
      <c r="AT185">
        <f t="shared" si="116"/>
        <v>1</v>
      </c>
      <c r="AU185" s="388">
        <f>IF(AT185=0,"",IF(AND(AT185=1,M185="F",SUMIF(C2:C258,C185,AS2:AS258)&lt;=1),SUMIF(C2:C258,C185,AS2:AS258),IF(AND(AT185=1,M185="F",SUMIF(C2:C258,C185,AS2:AS258)&gt;1),1,"")))</f>
        <v>1</v>
      </c>
      <c r="AV185" s="388" t="str">
        <f>IF(AT185=0,"",IF(AND(AT185=3,M185="F",SUMIF(C2:C258,C185,AS2:AS258)&lt;=1),SUMIF(C2:C258,C185,AS2:AS258),IF(AND(AT185=3,M185="F",SUMIF(C2:C258,C185,AS2:AS258)&gt;1),1,"")))</f>
        <v/>
      </c>
      <c r="AW185" s="388">
        <f>SUMIF(C2:C258,C185,O2:O258)</f>
        <v>2</v>
      </c>
      <c r="AX185" s="388">
        <f>IF(AND(M185="F",AS185&lt;&gt;0),SUMIF(C2:C258,C185,W2:W258),0)</f>
        <v>88358.399999999994</v>
      </c>
      <c r="AY185" s="388">
        <f t="shared" si="117"/>
        <v>8835.84</v>
      </c>
      <c r="AZ185" s="388" t="str">
        <f t="shared" si="118"/>
        <v/>
      </c>
      <c r="BA185" s="388">
        <f t="shared" si="119"/>
        <v>0</v>
      </c>
      <c r="BB185" s="388">
        <f t="shared" si="88"/>
        <v>1250</v>
      </c>
      <c r="BC185" s="388">
        <f t="shared" si="89"/>
        <v>0</v>
      </c>
      <c r="BD185" s="388">
        <f t="shared" si="90"/>
        <v>547.82208000000003</v>
      </c>
      <c r="BE185" s="388">
        <f t="shared" si="91"/>
        <v>128.11968000000002</v>
      </c>
      <c r="BF185" s="388">
        <f t="shared" si="92"/>
        <v>1054.999296</v>
      </c>
      <c r="BG185" s="388">
        <f t="shared" si="93"/>
        <v>63.706406400000006</v>
      </c>
      <c r="BH185" s="388">
        <f t="shared" si="94"/>
        <v>0</v>
      </c>
      <c r="BI185" s="388">
        <f t="shared" si="95"/>
        <v>0</v>
      </c>
      <c r="BJ185" s="388">
        <f t="shared" si="96"/>
        <v>30.925440000000002</v>
      </c>
      <c r="BK185" s="388">
        <f t="shared" si="97"/>
        <v>0</v>
      </c>
      <c r="BL185" s="388">
        <f t="shared" si="120"/>
        <v>1825.5729024000002</v>
      </c>
      <c r="BM185" s="388">
        <f t="shared" si="121"/>
        <v>0</v>
      </c>
      <c r="BN185" s="388">
        <f t="shared" si="98"/>
        <v>1375</v>
      </c>
      <c r="BO185" s="388">
        <f t="shared" si="99"/>
        <v>0</v>
      </c>
      <c r="BP185" s="388">
        <f t="shared" si="100"/>
        <v>547.82208000000003</v>
      </c>
      <c r="BQ185" s="388">
        <f t="shared" si="101"/>
        <v>128.11968000000002</v>
      </c>
      <c r="BR185" s="388">
        <f t="shared" si="102"/>
        <v>987.84691199999997</v>
      </c>
      <c r="BS185" s="388">
        <f t="shared" si="103"/>
        <v>63.706406400000006</v>
      </c>
      <c r="BT185" s="388">
        <f t="shared" si="104"/>
        <v>0</v>
      </c>
      <c r="BU185" s="388">
        <f t="shared" si="105"/>
        <v>0</v>
      </c>
      <c r="BV185" s="388">
        <f t="shared" si="106"/>
        <v>34.459775999999998</v>
      </c>
      <c r="BW185" s="388">
        <f t="shared" si="107"/>
        <v>0</v>
      </c>
      <c r="BX185" s="388">
        <f t="shared" si="122"/>
        <v>1761.9548544000002</v>
      </c>
      <c r="BY185" s="388">
        <f t="shared" si="123"/>
        <v>0</v>
      </c>
      <c r="BZ185" s="388">
        <f t="shared" si="124"/>
        <v>125</v>
      </c>
      <c r="CA185" s="388">
        <f t="shared" si="125"/>
        <v>0</v>
      </c>
      <c r="CB185" s="388">
        <f t="shared" si="126"/>
        <v>0</v>
      </c>
      <c r="CC185" s="388">
        <f t="shared" si="108"/>
        <v>0</v>
      </c>
      <c r="CD185" s="388">
        <f t="shared" si="109"/>
        <v>-67.152384000000083</v>
      </c>
      <c r="CE185" s="388">
        <f t="shared" si="110"/>
        <v>0</v>
      </c>
      <c r="CF185" s="388">
        <f t="shared" si="111"/>
        <v>0</v>
      </c>
      <c r="CG185" s="388">
        <f t="shared" si="112"/>
        <v>0</v>
      </c>
      <c r="CH185" s="388">
        <f t="shared" si="113"/>
        <v>3.5343359999999979</v>
      </c>
      <c r="CI185" s="388">
        <f t="shared" si="114"/>
        <v>0</v>
      </c>
      <c r="CJ185" s="388">
        <f t="shared" si="127"/>
        <v>-63.618048000000087</v>
      </c>
      <c r="CK185" s="388" t="str">
        <f t="shared" si="128"/>
        <v/>
      </c>
      <c r="CL185" s="388" t="str">
        <f t="shared" si="129"/>
        <v/>
      </c>
      <c r="CM185" s="388" t="str">
        <f t="shared" si="130"/>
        <v/>
      </c>
      <c r="CN185" s="388" t="str">
        <f t="shared" si="131"/>
        <v>0348-95</v>
      </c>
    </row>
    <row r="186" spans="1:92" ht="15.75" thickBot="1" x14ac:dyDescent="0.3">
      <c r="A186" s="377" t="s">
        <v>162</v>
      </c>
      <c r="B186" s="377" t="s">
        <v>163</v>
      </c>
      <c r="C186" s="377" t="s">
        <v>741</v>
      </c>
      <c r="D186" s="377" t="s">
        <v>300</v>
      </c>
      <c r="E186" s="377" t="s">
        <v>637</v>
      </c>
      <c r="F186" s="383" t="s">
        <v>727</v>
      </c>
      <c r="G186" s="377" t="s">
        <v>439</v>
      </c>
      <c r="H186" s="379"/>
      <c r="I186" s="379"/>
      <c r="J186" s="377" t="s">
        <v>219</v>
      </c>
      <c r="K186" s="377" t="s">
        <v>301</v>
      </c>
      <c r="L186" s="377" t="s">
        <v>167</v>
      </c>
      <c r="M186" s="377" t="s">
        <v>172</v>
      </c>
      <c r="N186" s="377" t="s">
        <v>173</v>
      </c>
      <c r="O186" s="380">
        <v>1</v>
      </c>
      <c r="P186" s="386">
        <v>0</v>
      </c>
      <c r="Q186" s="386">
        <v>0</v>
      </c>
      <c r="R186" s="381">
        <v>80</v>
      </c>
      <c r="S186" s="386">
        <v>0</v>
      </c>
      <c r="T186" s="381">
        <v>3515.04</v>
      </c>
      <c r="U186" s="381">
        <v>0</v>
      </c>
      <c r="V186" s="381">
        <v>1506.51</v>
      </c>
      <c r="W186" s="381">
        <v>0</v>
      </c>
      <c r="X186" s="381">
        <v>0</v>
      </c>
      <c r="Y186" s="381">
        <v>0</v>
      </c>
      <c r="Z186" s="381">
        <v>0</v>
      </c>
      <c r="AA186" s="377" t="s">
        <v>742</v>
      </c>
      <c r="AB186" s="377" t="s">
        <v>743</v>
      </c>
      <c r="AC186" s="377" t="s">
        <v>642</v>
      </c>
      <c r="AD186" s="377" t="s">
        <v>199</v>
      </c>
      <c r="AE186" s="377" t="s">
        <v>301</v>
      </c>
      <c r="AF186" s="377" t="s">
        <v>207</v>
      </c>
      <c r="AG186" s="377" t="s">
        <v>179</v>
      </c>
      <c r="AH186" s="382">
        <v>30.08</v>
      </c>
      <c r="AI186" s="382">
        <v>19520.8</v>
      </c>
      <c r="AJ186" s="377" t="s">
        <v>180</v>
      </c>
      <c r="AK186" s="377" t="s">
        <v>181</v>
      </c>
      <c r="AL186" s="377" t="s">
        <v>182</v>
      </c>
      <c r="AM186" s="377" t="s">
        <v>183</v>
      </c>
      <c r="AN186" s="377" t="s">
        <v>66</v>
      </c>
      <c r="AO186" s="380">
        <v>80</v>
      </c>
      <c r="AP186" s="386">
        <v>1</v>
      </c>
      <c r="AQ186" s="386">
        <v>0</v>
      </c>
      <c r="AR186" s="384" t="s">
        <v>184</v>
      </c>
      <c r="AS186" s="388">
        <f t="shared" si="115"/>
        <v>0</v>
      </c>
      <c r="AT186">
        <f t="shared" si="116"/>
        <v>0</v>
      </c>
      <c r="AU186" s="388" t="str">
        <f>IF(AT186=0,"",IF(AND(AT186=1,M186="F",SUMIF(C2:C258,C186,AS2:AS258)&lt;=1),SUMIF(C2:C258,C186,AS2:AS258),IF(AND(AT186=1,M186="F",SUMIF(C2:C258,C186,AS2:AS258)&gt;1),1,"")))</f>
        <v/>
      </c>
      <c r="AV186" s="388" t="str">
        <f>IF(AT186=0,"",IF(AND(AT186=3,M186="F",SUMIF(C2:C258,C186,AS2:AS258)&lt;=1),SUMIF(C2:C258,C186,AS2:AS258),IF(AND(AT186=3,M186="F",SUMIF(C2:C258,C186,AS2:AS258)&gt;1),1,"")))</f>
        <v/>
      </c>
      <c r="AW186" s="388">
        <f>SUMIF(C2:C258,C186,O2:O258)</f>
        <v>2</v>
      </c>
      <c r="AX186" s="388">
        <f>IF(AND(M186="F",AS186&lt;&gt;0),SUMIF(C2:C258,C186,W2:W258),0)</f>
        <v>0</v>
      </c>
      <c r="AY186" s="388" t="str">
        <f t="shared" si="117"/>
        <v/>
      </c>
      <c r="AZ186" s="388" t="str">
        <f t="shared" si="118"/>
        <v/>
      </c>
      <c r="BA186" s="388">
        <f t="shared" si="119"/>
        <v>0</v>
      </c>
      <c r="BB186" s="388">
        <f t="shared" si="88"/>
        <v>0</v>
      </c>
      <c r="BC186" s="388">
        <f t="shared" si="89"/>
        <v>0</v>
      </c>
      <c r="BD186" s="388">
        <f t="shared" si="90"/>
        <v>0</v>
      </c>
      <c r="BE186" s="388">
        <f t="shared" si="91"/>
        <v>0</v>
      </c>
      <c r="BF186" s="388">
        <f t="shared" si="92"/>
        <v>0</v>
      </c>
      <c r="BG186" s="388">
        <f t="shared" si="93"/>
        <v>0</v>
      </c>
      <c r="BH186" s="388">
        <f t="shared" si="94"/>
        <v>0</v>
      </c>
      <c r="BI186" s="388">
        <f t="shared" si="95"/>
        <v>0</v>
      </c>
      <c r="BJ186" s="388">
        <f t="shared" si="96"/>
        <v>0</v>
      </c>
      <c r="BK186" s="388">
        <f t="shared" si="97"/>
        <v>0</v>
      </c>
      <c r="BL186" s="388">
        <f t="shared" si="120"/>
        <v>0</v>
      </c>
      <c r="BM186" s="388">
        <f t="shared" si="121"/>
        <v>0</v>
      </c>
      <c r="BN186" s="388">
        <f t="shared" si="98"/>
        <v>0</v>
      </c>
      <c r="BO186" s="388">
        <f t="shared" si="99"/>
        <v>0</v>
      </c>
      <c r="BP186" s="388">
        <f t="shared" si="100"/>
        <v>0</v>
      </c>
      <c r="BQ186" s="388">
        <f t="shared" si="101"/>
        <v>0</v>
      </c>
      <c r="BR186" s="388">
        <f t="shared" si="102"/>
        <v>0</v>
      </c>
      <c r="BS186" s="388">
        <f t="shared" si="103"/>
        <v>0</v>
      </c>
      <c r="BT186" s="388">
        <f t="shared" si="104"/>
        <v>0</v>
      </c>
      <c r="BU186" s="388">
        <f t="shared" si="105"/>
        <v>0</v>
      </c>
      <c r="BV186" s="388">
        <f t="shared" si="106"/>
        <v>0</v>
      </c>
      <c r="BW186" s="388">
        <f t="shared" si="107"/>
        <v>0</v>
      </c>
      <c r="BX186" s="388">
        <f t="shared" si="122"/>
        <v>0</v>
      </c>
      <c r="BY186" s="388">
        <f t="shared" si="123"/>
        <v>0</v>
      </c>
      <c r="BZ186" s="388">
        <f t="shared" si="124"/>
        <v>0</v>
      </c>
      <c r="CA186" s="388">
        <f t="shared" si="125"/>
        <v>0</v>
      </c>
      <c r="CB186" s="388">
        <f t="shared" si="126"/>
        <v>0</v>
      </c>
      <c r="CC186" s="388">
        <f t="shared" si="108"/>
        <v>0</v>
      </c>
      <c r="CD186" s="388">
        <f t="shared" si="109"/>
        <v>0</v>
      </c>
      <c r="CE186" s="388">
        <f t="shared" si="110"/>
        <v>0</v>
      </c>
      <c r="CF186" s="388">
        <f t="shared" si="111"/>
        <v>0</v>
      </c>
      <c r="CG186" s="388">
        <f t="shared" si="112"/>
        <v>0</v>
      </c>
      <c r="CH186" s="388">
        <f t="shared" si="113"/>
        <v>0</v>
      </c>
      <c r="CI186" s="388">
        <f t="shared" si="114"/>
        <v>0</v>
      </c>
      <c r="CJ186" s="388">
        <f t="shared" si="127"/>
        <v>0</v>
      </c>
      <c r="CK186" s="388" t="str">
        <f t="shared" si="128"/>
        <v/>
      </c>
      <c r="CL186" s="388" t="str">
        <f t="shared" si="129"/>
        <v/>
      </c>
      <c r="CM186" s="388" t="str">
        <f t="shared" si="130"/>
        <v/>
      </c>
      <c r="CN186" s="388" t="str">
        <f t="shared" si="131"/>
        <v>0348-95</v>
      </c>
    </row>
    <row r="187" spans="1:92" ht="15.75" thickBot="1" x14ac:dyDescent="0.3">
      <c r="A187" s="377" t="s">
        <v>162</v>
      </c>
      <c r="B187" s="377" t="s">
        <v>163</v>
      </c>
      <c r="C187" s="377" t="s">
        <v>658</v>
      </c>
      <c r="D187" s="377" t="s">
        <v>300</v>
      </c>
      <c r="E187" s="377" t="s">
        <v>637</v>
      </c>
      <c r="F187" s="383" t="s">
        <v>727</v>
      </c>
      <c r="G187" s="377" t="s">
        <v>439</v>
      </c>
      <c r="H187" s="379"/>
      <c r="I187" s="379"/>
      <c r="J187" s="377" t="s">
        <v>169</v>
      </c>
      <c r="K187" s="377" t="s">
        <v>301</v>
      </c>
      <c r="L187" s="377" t="s">
        <v>167</v>
      </c>
      <c r="M187" s="377" t="s">
        <v>395</v>
      </c>
      <c r="N187" s="377" t="s">
        <v>173</v>
      </c>
      <c r="O187" s="380">
        <v>0</v>
      </c>
      <c r="P187" s="386">
        <v>0.35</v>
      </c>
      <c r="Q187" s="386">
        <v>0.35</v>
      </c>
      <c r="R187" s="381">
        <v>80</v>
      </c>
      <c r="S187" s="386">
        <v>0.35</v>
      </c>
      <c r="T187" s="381">
        <v>20716.71</v>
      </c>
      <c r="U187" s="381">
        <v>0</v>
      </c>
      <c r="V187" s="381">
        <v>7722.28</v>
      </c>
      <c r="W187" s="381">
        <v>22495.200000000001</v>
      </c>
      <c r="X187" s="381">
        <v>10122.84</v>
      </c>
      <c r="Y187" s="381">
        <v>22495.200000000001</v>
      </c>
      <c r="Z187" s="381">
        <v>10482.76</v>
      </c>
      <c r="AA187" s="379"/>
      <c r="AB187" s="377" t="s">
        <v>45</v>
      </c>
      <c r="AC187" s="377" t="s">
        <v>45</v>
      </c>
      <c r="AD187" s="379"/>
      <c r="AE187" s="379"/>
      <c r="AF187" s="379"/>
      <c r="AG187" s="379"/>
      <c r="AH187" s="380">
        <v>0</v>
      </c>
      <c r="AI187" s="380">
        <v>0</v>
      </c>
      <c r="AJ187" s="379"/>
      <c r="AK187" s="379"/>
      <c r="AL187" s="377" t="s">
        <v>182</v>
      </c>
      <c r="AM187" s="379"/>
      <c r="AN187" s="379"/>
      <c r="AO187" s="380">
        <v>0</v>
      </c>
      <c r="AP187" s="386">
        <v>0</v>
      </c>
      <c r="AQ187" s="386">
        <v>0</v>
      </c>
      <c r="AR187" s="385"/>
      <c r="AS187" s="388">
        <f t="shared" si="115"/>
        <v>0</v>
      </c>
      <c r="AT187">
        <f t="shared" si="116"/>
        <v>0</v>
      </c>
      <c r="AU187" s="388" t="str">
        <f>IF(AT187=0,"",IF(AND(AT187=1,M187="F",SUMIF(C2:C258,C187,AS2:AS258)&lt;=1),SUMIF(C2:C258,C187,AS2:AS258),IF(AND(AT187=1,M187="F",SUMIF(C2:C258,C187,AS2:AS258)&gt;1),1,"")))</f>
        <v/>
      </c>
      <c r="AV187" s="388" t="str">
        <f>IF(AT187=0,"",IF(AND(AT187=3,M187="F",SUMIF(C2:C258,C187,AS2:AS258)&lt;=1),SUMIF(C2:C258,C187,AS2:AS258),IF(AND(AT187=3,M187="F",SUMIF(C2:C258,C187,AS2:AS258)&gt;1),1,"")))</f>
        <v/>
      </c>
      <c r="AW187" s="388">
        <f>SUMIF(C2:C258,C187,O2:O258)</f>
        <v>0</v>
      </c>
      <c r="AX187" s="388">
        <f>IF(AND(M187="F",AS187&lt;&gt;0),SUMIF(C2:C258,C187,W2:W258),0)</f>
        <v>0</v>
      </c>
      <c r="AY187" s="388" t="str">
        <f t="shared" si="117"/>
        <v/>
      </c>
      <c r="AZ187" s="388" t="str">
        <f t="shared" si="118"/>
        <v/>
      </c>
      <c r="BA187" s="388">
        <f t="shared" si="119"/>
        <v>0</v>
      </c>
      <c r="BB187" s="388">
        <f t="shared" si="88"/>
        <v>0</v>
      </c>
      <c r="BC187" s="388">
        <f t="shared" si="89"/>
        <v>0</v>
      </c>
      <c r="BD187" s="388">
        <f t="shared" si="90"/>
        <v>0</v>
      </c>
      <c r="BE187" s="388">
        <f t="shared" si="91"/>
        <v>0</v>
      </c>
      <c r="BF187" s="388">
        <f t="shared" si="92"/>
        <v>0</v>
      </c>
      <c r="BG187" s="388">
        <f t="shared" si="93"/>
        <v>0</v>
      </c>
      <c r="BH187" s="388">
        <f t="shared" si="94"/>
        <v>0</v>
      </c>
      <c r="BI187" s="388">
        <f t="shared" si="95"/>
        <v>0</v>
      </c>
      <c r="BJ187" s="388">
        <f t="shared" si="96"/>
        <v>0</v>
      </c>
      <c r="BK187" s="388">
        <f t="shared" si="97"/>
        <v>0</v>
      </c>
      <c r="BL187" s="388">
        <f t="shared" si="120"/>
        <v>0</v>
      </c>
      <c r="BM187" s="388">
        <f t="shared" si="121"/>
        <v>0</v>
      </c>
      <c r="BN187" s="388">
        <f t="shared" si="98"/>
        <v>0</v>
      </c>
      <c r="BO187" s="388">
        <f t="shared" si="99"/>
        <v>0</v>
      </c>
      <c r="BP187" s="388">
        <f t="shared" si="100"/>
        <v>0</v>
      </c>
      <c r="BQ187" s="388">
        <f t="shared" si="101"/>
        <v>0</v>
      </c>
      <c r="BR187" s="388">
        <f t="shared" si="102"/>
        <v>0</v>
      </c>
      <c r="BS187" s="388">
        <f t="shared" si="103"/>
        <v>0</v>
      </c>
      <c r="BT187" s="388">
        <f t="shared" si="104"/>
        <v>0</v>
      </c>
      <c r="BU187" s="388">
        <f t="shared" si="105"/>
        <v>0</v>
      </c>
      <c r="BV187" s="388">
        <f t="shared" si="106"/>
        <v>0</v>
      </c>
      <c r="BW187" s="388">
        <f t="shared" si="107"/>
        <v>0</v>
      </c>
      <c r="BX187" s="388">
        <f t="shared" si="122"/>
        <v>0</v>
      </c>
      <c r="BY187" s="388">
        <f t="shared" si="123"/>
        <v>0</v>
      </c>
      <c r="BZ187" s="388">
        <f t="shared" si="124"/>
        <v>0</v>
      </c>
      <c r="CA187" s="388">
        <f t="shared" si="125"/>
        <v>0</v>
      </c>
      <c r="CB187" s="388">
        <f t="shared" si="126"/>
        <v>0</v>
      </c>
      <c r="CC187" s="388">
        <f t="shared" si="108"/>
        <v>0</v>
      </c>
      <c r="CD187" s="388">
        <f t="shared" si="109"/>
        <v>0</v>
      </c>
      <c r="CE187" s="388">
        <f t="shared" si="110"/>
        <v>0</v>
      </c>
      <c r="CF187" s="388">
        <f t="shared" si="111"/>
        <v>0</v>
      </c>
      <c r="CG187" s="388">
        <f t="shared" si="112"/>
        <v>0</v>
      </c>
      <c r="CH187" s="388">
        <f t="shared" si="113"/>
        <v>0</v>
      </c>
      <c r="CI187" s="388">
        <f t="shared" si="114"/>
        <v>0</v>
      </c>
      <c r="CJ187" s="388">
        <f t="shared" si="127"/>
        <v>0</v>
      </c>
      <c r="CK187" s="388" t="str">
        <f t="shared" si="128"/>
        <v/>
      </c>
      <c r="CL187" s="388" t="str">
        <f t="shared" si="129"/>
        <v/>
      </c>
      <c r="CM187" s="388" t="str">
        <f t="shared" si="130"/>
        <v/>
      </c>
      <c r="CN187" s="388" t="str">
        <f t="shared" si="131"/>
        <v>0348-95</v>
      </c>
    </row>
    <row r="188" spans="1:92" ht="15.75" thickBot="1" x14ac:dyDescent="0.3">
      <c r="A188" s="377" t="s">
        <v>162</v>
      </c>
      <c r="B188" s="377" t="s">
        <v>163</v>
      </c>
      <c r="C188" s="377" t="s">
        <v>608</v>
      </c>
      <c r="D188" s="377" t="s">
        <v>276</v>
      </c>
      <c r="E188" s="377" t="s">
        <v>637</v>
      </c>
      <c r="F188" s="383" t="s">
        <v>727</v>
      </c>
      <c r="G188" s="377" t="s">
        <v>439</v>
      </c>
      <c r="H188" s="379"/>
      <c r="I188" s="379"/>
      <c r="J188" s="377" t="s">
        <v>169</v>
      </c>
      <c r="K188" s="377" t="s">
        <v>277</v>
      </c>
      <c r="L188" s="377" t="s">
        <v>215</v>
      </c>
      <c r="M188" s="377" t="s">
        <v>172</v>
      </c>
      <c r="N188" s="377" t="s">
        <v>173</v>
      </c>
      <c r="O188" s="380">
        <v>1</v>
      </c>
      <c r="P188" s="386">
        <v>0</v>
      </c>
      <c r="Q188" s="386">
        <v>0</v>
      </c>
      <c r="R188" s="381">
        <v>80</v>
      </c>
      <c r="S188" s="386">
        <v>0</v>
      </c>
      <c r="T188" s="381">
        <v>2398</v>
      </c>
      <c r="U188" s="381">
        <v>0</v>
      </c>
      <c r="V188" s="381">
        <v>1782.54</v>
      </c>
      <c r="W188" s="381">
        <v>0</v>
      </c>
      <c r="X188" s="381">
        <v>0</v>
      </c>
      <c r="Y188" s="381">
        <v>0</v>
      </c>
      <c r="Z188" s="381">
        <v>0</v>
      </c>
      <c r="AA188" s="377" t="s">
        <v>610</v>
      </c>
      <c r="AB188" s="377" t="s">
        <v>611</v>
      </c>
      <c r="AC188" s="377" t="s">
        <v>331</v>
      </c>
      <c r="AD188" s="377" t="s">
        <v>316</v>
      </c>
      <c r="AE188" s="377" t="s">
        <v>277</v>
      </c>
      <c r="AF188" s="377" t="s">
        <v>231</v>
      </c>
      <c r="AG188" s="377" t="s">
        <v>179</v>
      </c>
      <c r="AH188" s="382">
        <v>22.66</v>
      </c>
      <c r="AI188" s="382">
        <v>16999.2</v>
      </c>
      <c r="AJ188" s="377" t="s">
        <v>180</v>
      </c>
      <c r="AK188" s="377" t="s">
        <v>181</v>
      </c>
      <c r="AL188" s="377" t="s">
        <v>182</v>
      </c>
      <c r="AM188" s="377" t="s">
        <v>183</v>
      </c>
      <c r="AN188" s="377" t="s">
        <v>66</v>
      </c>
      <c r="AO188" s="380">
        <v>80</v>
      </c>
      <c r="AP188" s="386">
        <v>1</v>
      </c>
      <c r="AQ188" s="386">
        <v>0</v>
      </c>
      <c r="AR188" s="384" t="s">
        <v>184</v>
      </c>
      <c r="AS188" s="388">
        <f t="shared" si="115"/>
        <v>0</v>
      </c>
      <c r="AT188">
        <f t="shared" si="116"/>
        <v>0</v>
      </c>
      <c r="AU188" s="388" t="str">
        <f>IF(AT188=0,"",IF(AND(AT188=1,M188="F",SUMIF(C2:C258,C188,AS2:AS258)&lt;=1),SUMIF(C2:C258,C188,AS2:AS258),IF(AND(AT188=1,M188="F",SUMIF(C2:C258,C188,AS2:AS258)&gt;1),1,"")))</f>
        <v/>
      </c>
      <c r="AV188" s="388" t="str">
        <f>IF(AT188=0,"",IF(AND(AT188=3,M188="F",SUMIF(C2:C258,C188,AS2:AS258)&lt;=1),SUMIF(C2:C258,C188,AS2:AS258),IF(AND(AT188=3,M188="F",SUMIF(C2:C258,C188,AS2:AS258)&gt;1),1,"")))</f>
        <v/>
      </c>
      <c r="AW188" s="388">
        <f>SUMIF(C2:C258,C188,O2:O258)</f>
        <v>3</v>
      </c>
      <c r="AX188" s="388">
        <f>IF(AND(M188="F",AS188&lt;&gt;0),SUMIF(C2:C258,C188,W2:W258),0)</f>
        <v>0</v>
      </c>
      <c r="AY188" s="388" t="str">
        <f t="shared" si="117"/>
        <v/>
      </c>
      <c r="AZ188" s="388" t="str">
        <f t="shared" si="118"/>
        <v/>
      </c>
      <c r="BA188" s="388">
        <f t="shared" si="119"/>
        <v>0</v>
      </c>
      <c r="BB188" s="388">
        <f t="shared" si="88"/>
        <v>0</v>
      </c>
      <c r="BC188" s="388">
        <f t="shared" si="89"/>
        <v>0</v>
      </c>
      <c r="BD188" s="388">
        <f t="shared" si="90"/>
        <v>0</v>
      </c>
      <c r="BE188" s="388">
        <f t="shared" si="91"/>
        <v>0</v>
      </c>
      <c r="BF188" s="388">
        <f t="shared" si="92"/>
        <v>0</v>
      </c>
      <c r="BG188" s="388">
        <f t="shared" si="93"/>
        <v>0</v>
      </c>
      <c r="BH188" s="388">
        <f t="shared" si="94"/>
        <v>0</v>
      </c>
      <c r="BI188" s="388">
        <f t="shared" si="95"/>
        <v>0</v>
      </c>
      <c r="BJ188" s="388">
        <f t="shared" si="96"/>
        <v>0</v>
      </c>
      <c r="BK188" s="388">
        <f t="shared" si="97"/>
        <v>0</v>
      </c>
      <c r="BL188" s="388">
        <f t="shared" si="120"/>
        <v>0</v>
      </c>
      <c r="BM188" s="388">
        <f t="shared" si="121"/>
        <v>0</v>
      </c>
      <c r="BN188" s="388">
        <f t="shared" si="98"/>
        <v>0</v>
      </c>
      <c r="BO188" s="388">
        <f t="shared" si="99"/>
        <v>0</v>
      </c>
      <c r="BP188" s="388">
        <f t="shared" si="100"/>
        <v>0</v>
      </c>
      <c r="BQ188" s="388">
        <f t="shared" si="101"/>
        <v>0</v>
      </c>
      <c r="BR188" s="388">
        <f t="shared" si="102"/>
        <v>0</v>
      </c>
      <c r="BS188" s="388">
        <f t="shared" si="103"/>
        <v>0</v>
      </c>
      <c r="BT188" s="388">
        <f t="shared" si="104"/>
        <v>0</v>
      </c>
      <c r="BU188" s="388">
        <f t="shared" si="105"/>
        <v>0</v>
      </c>
      <c r="BV188" s="388">
        <f t="shared" si="106"/>
        <v>0</v>
      </c>
      <c r="BW188" s="388">
        <f t="shared" si="107"/>
        <v>0</v>
      </c>
      <c r="BX188" s="388">
        <f t="shared" si="122"/>
        <v>0</v>
      </c>
      <c r="BY188" s="388">
        <f t="shared" si="123"/>
        <v>0</v>
      </c>
      <c r="BZ188" s="388">
        <f t="shared" si="124"/>
        <v>0</v>
      </c>
      <c r="CA188" s="388">
        <f t="shared" si="125"/>
        <v>0</v>
      </c>
      <c r="CB188" s="388">
        <f t="shared" si="126"/>
        <v>0</v>
      </c>
      <c r="CC188" s="388">
        <f t="shared" si="108"/>
        <v>0</v>
      </c>
      <c r="CD188" s="388">
        <f t="shared" si="109"/>
        <v>0</v>
      </c>
      <c r="CE188" s="388">
        <f t="shared" si="110"/>
        <v>0</v>
      </c>
      <c r="CF188" s="388">
        <f t="shared" si="111"/>
        <v>0</v>
      </c>
      <c r="CG188" s="388">
        <f t="shared" si="112"/>
        <v>0</v>
      </c>
      <c r="CH188" s="388">
        <f t="shared" si="113"/>
        <v>0</v>
      </c>
      <c r="CI188" s="388">
        <f t="shared" si="114"/>
        <v>0</v>
      </c>
      <c r="CJ188" s="388">
        <f t="shared" si="127"/>
        <v>0</v>
      </c>
      <c r="CK188" s="388" t="str">
        <f t="shared" si="128"/>
        <v/>
      </c>
      <c r="CL188" s="388" t="str">
        <f t="shared" si="129"/>
        <v/>
      </c>
      <c r="CM188" s="388" t="str">
        <f t="shared" si="130"/>
        <v/>
      </c>
      <c r="CN188" s="388" t="str">
        <f t="shared" si="131"/>
        <v>0348-95</v>
      </c>
    </row>
    <row r="189" spans="1:92" ht="15.75" thickBot="1" x14ac:dyDescent="0.3">
      <c r="A189" s="377" t="s">
        <v>162</v>
      </c>
      <c r="B189" s="377" t="s">
        <v>163</v>
      </c>
      <c r="C189" s="377" t="s">
        <v>744</v>
      </c>
      <c r="D189" s="377" t="s">
        <v>300</v>
      </c>
      <c r="E189" s="377" t="s">
        <v>637</v>
      </c>
      <c r="F189" s="383" t="s">
        <v>727</v>
      </c>
      <c r="G189" s="377" t="s">
        <v>439</v>
      </c>
      <c r="H189" s="379"/>
      <c r="I189" s="379"/>
      <c r="J189" s="377" t="s">
        <v>169</v>
      </c>
      <c r="K189" s="377" t="s">
        <v>301</v>
      </c>
      <c r="L189" s="377" t="s">
        <v>167</v>
      </c>
      <c r="M189" s="377" t="s">
        <v>172</v>
      </c>
      <c r="N189" s="377" t="s">
        <v>173</v>
      </c>
      <c r="O189" s="380">
        <v>1</v>
      </c>
      <c r="P189" s="386">
        <v>1</v>
      </c>
      <c r="Q189" s="386">
        <v>1</v>
      </c>
      <c r="R189" s="381">
        <v>80</v>
      </c>
      <c r="S189" s="386">
        <v>1</v>
      </c>
      <c r="T189" s="381">
        <v>83792.009999999995</v>
      </c>
      <c r="U189" s="381">
        <v>0</v>
      </c>
      <c r="V189" s="381">
        <v>29131.52</v>
      </c>
      <c r="W189" s="381">
        <v>82596.800000000003</v>
      </c>
      <c r="X189" s="381">
        <v>29565.29</v>
      </c>
      <c r="Y189" s="381">
        <v>82596.800000000003</v>
      </c>
      <c r="Z189" s="381">
        <v>30220.6</v>
      </c>
      <c r="AA189" s="377" t="s">
        <v>745</v>
      </c>
      <c r="AB189" s="377" t="s">
        <v>746</v>
      </c>
      <c r="AC189" s="377" t="s">
        <v>747</v>
      </c>
      <c r="AD189" s="377" t="s">
        <v>748</v>
      </c>
      <c r="AE189" s="377" t="s">
        <v>301</v>
      </c>
      <c r="AF189" s="377" t="s">
        <v>207</v>
      </c>
      <c r="AG189" s="377" t="s">
        <v>179</v>
      </c>
      <c r="AH189" s="382">
        <v>39.71</v>
      </c>
      <c r="AI189" s="380">
        <v>5605</v>
      </c>
      <c r="AJ189" s="377" t="s">
        <v>180</v>
      </c>
      <c r="AK189" s="377" t="s">
        <v>181</v>
      </c>
      <c r="AL189" s="377" t="s">
        <v>182</v>
      </c>
      <c r="AM189" s="377" t="s">
        <v>183</v>
      </c>
      <c r="AN189" s="377" t="s">
        <v>66</v>
      </c>
      <c r="AO189" s="380">
        <v>80</v>
      </c>
      <c r="AP189" s="386">
        <v>1</v>
      </c>
      <c r="AQ189" s="386">
        <v>1</v>
      </c>
      <c r="AR189" s="384" t="s">
        <v>184</v>
      </c>
      <c r="AS189" s="388">
        <f t="shared" si="115"/>
        <v>1</v>
      </c>
      <c r="AT189">
        <f t="shared" si="116"/>
        <v>1</v>
      </c>
      <c r="AU189" s="388">
        <f>IF(AT189=0,"",IF(AND(AT189=1,M189="F",SUMIF(C2:C258,C189,AS2:AS258)&lt;=1),SUMIF(C2:C258,C189,AS2:AS258),IF(AND(AT189=1,M189="F",SUMIF(C2:C258,C189,AS2:AS258)&gt;1),1,"")))</f>
        <v>1</v>
      </c>
      <c r="AV189" s="388" t="str">
        <f>IF(AT189=0,"",IF(AND(AT189=3,M189="F",SUMIF(C2:C258,C189,AS2:AS258)&lt;=1),SUMIF(C2:C258,C189,AS2:AS258),IF(AND(AT189=3,M189="F",SUMIF(C2:C258,C189,AS2:AS258)&gt;1),1,"")))</f>
        <v/>
      </c>
      <c r="AW189" s="388">
        <f>SUMIF(C2:C258,C189,O2:O258)</f>
        <v>1</v>
      </c>
      <c r="AX189" s="388">
        <f>IF(AND(M189="F",AS189&lt;&gt;0),SUMIF(C2:C258,C189,W2:W258),0)</f>
        <v>82596.800000000003</v>
      </c>
      <c r="AY189" s="388">
        <f t="shared" si="117"/>
        <v>82596.800000000003</v>
      </c>
      <c r="AZ189" s="388" t="str">
        <f t="shared" si="118"/>
        <v/>
      </c>
      <c r="BA189" s="388">
        <f t="shared" si="119"/>
        <v>0</v>
      </c>
      <c r="BB189" s="388">
        <f t="shared" si="88"/>
        <v>12500</v>
      </c>
      <c r="BC189" s="388">
        <f t="shared" si="89"/>
        <v>0</v>
      </c>
      <c r="BD189" s="388">
        <f t="shared" si="90"/>
        <v>5121.0016000000005</v>
      </c>
      <c r="BE189" s="388">
        <f t="shared" si="91"/>
        <v>1197.6536000000001</v>
      </c>
      <c r="BF189" s="388">
        <f t="shared" si="92"/>
        <v>9862.0579200000011</v>
      </c>
      <c r="BG189" s="388">
        <f t="shared" si="93"/>
        <v>595.52292800000009</v>
      </c>
      <c r="BH189" s="388">
        <f t="shared" si="94"/>
        <v>0</v>
      </c>
      <c r="BI189" s="388">
        <f t="shared" si="95"/>
        <v>0</v>
      </c>
      <c r="BJ189" s="388">
        <f t="shared" si="96"/>
        <v>289.08879999999999</v>
      </c>
      <c r="BK189" s="388">
        <f t="shared" si="97"/>
        <v>0</v>
      </c>
      <c r="BL189" s="388">
        <f t="shared" si="120"/>
        <v>17065.324848000004</v>
      </c>
      <c r="BM189" s="388">
        <f t="shared" si="121"/>
        <v>0</v>
      </c>
      <c r="BN189" s="388">
        <f t="shared" si="98"/>
        <v>13750</v>
      </c>
      <c r="BO189" s="388">
        <f t="shared" si="99"/>
        <v>0</v>
      </c>
      <c r="BP189" s="388">
        <f t="shared" si="100"/>
        <v>5121.0016000000005</v>
      </c>
      <c r="BQ189" s="388">
        <f t="shared" si="101"/>
        <v>1197.6536000000001</v>
      </c>
      <c r="BR189" s="388">
        <f t="shared" si="102"/>
        <v>9234.3222399999995</v>
      </c>
      <c r="BS189" s="388">
        <f t="shared" si="103"/>
        <v>595.52292800000009</v>
      </c>
      <c r="BT189" s="388">
        <f t="shared" si="104"/>
        <v>0</v>
      </c>
      <c r="BU189" s="388">
        <f t="shared" si="105"/>
        <v>0</v>
      </c>
      <c r="BV189" s="388">
        <f t="shared" si="106"/>
        <v>322.12752</v>
      </c>
      <c r="BW189" s="388">
        <f t="shared" si="107"/>
        <v>0</v>
      </c>
      <c r="BX189" s="388">
        <f t="shared" si="122"/>
        <v>16470.627888000003</v>
      </c>
      <c r="BY189" s="388">
        <f t="shared" si="123"/>
        <v>0</v>
      </c>
      <c r="BZ189" s="388">
        <f t="shared" si="124"/>
        <v>1250</v>
      </c>
      <c r="CA189" s="388">
        <f t="shared" si="125"/>
        <v>0</v>
      </c>
      <c r="CB189" s="388">
        <f t="shared" si="126"/>
        <v>0</v>
      </c>
      <c r="CC189" s="388">
        <f t="shared" si="108"/>
        <v>0</v>
      </c>
      <c r="CD189" s="388">
        <f t="shared" si="109"/>
        <v>-627.7356800000008</v>
      </c>
      <c r="CE189" s="388">
        <f t="shared" si="110"/>
        <v>0</v>
      </c>
      <c r="CF189" s="388">
        <f t="shared" si="111"/>
        <v>0</v>
      </c>
      <c r="CG189" s="388">
        <f t="shared" si="112"/>
        <v>0</v>
      </c>
      <c r="CH189" s="388">
        <f t="shared" si="113"/>
        <v>33.038719999999984</v>
      </c>
      <c r="CI189" s="388">
        <f t="shared" si="114"/>
        <v>0</v>
      </c>
      <c r="CJ189" s="388">
        <f t="shared" si="127"/>
        <v>-594.69696000000079</v>
      </c>
      <c r="CK189" s="388" t="str">
        <f t="shared" si="128"/>
        <v/>
      </c>
      <c r="CL189" s="388" t="str">
        <f t="shared" si="129"/>
        <v/>
      </c>
      <c r="CM189" s="388" t="str">
        <f t="shared" si="130"/>
        <v/>
      </c>
      <c r="CN189" s="388" t="str">
        <f t="shared" si="131"/>
        <v>0348-95</v>
      </c>
    </row>
    <row r="190" spans="1:92" ht="15.75" thickBot="1" x14ac:dyDescent="0.3">
      <c r="A190" s="377" t="s">
        <v>162</v>
      </c>
      <c r="B190" s="377" t="s">
        <v>163</v>
      </c>
      <c r="C190" s="377" t="s">
        <v>749</v>
      </c>
      <c r="D190" s="377" t="s">
        <v>276</v>
      </c>
      <c r="E190" s="377" t="s">
        <v>637</v>
      </c>
      <c r="F190" s="383" t="s">
        <v>727</v>
      </c>
      <c r="G190" s="377" t="s">
        <v>439</v>
      </c>
      <c r="H190" s="379"/>
      <c r="I190" s="379"/>
      <c r="J190" s="377" t="s">
        <v>169</v>
      </c>
      <c r="K190" s="377" t="s">
        <v>277</v>
      </c>
      <c r="L190" s="377" t="s">
        <v>215</v>
      </c>
      <c r="M190" s="377" t="s">
        <v>172</v>
      </c>
      <c r="N190" s="377" t="s">
        <v>173</v>
      </c>
      <c r="O190" s="380">
        <v>1</v>
      </c>
      <c r="P190" s="386">
        <v>1</v>
      </c>
      <c r="Q190" s="386">
        <v>1</v>
      </c>
      <c r="R190" s="381">
        <v>80</v>
      </c>
      <c r="S190" s="386">
        <v>1</v>
      </c>
      <c r="T190" s="381">
        <v>49607.24</v>
      </c>
      <c r="U190" s="381">
        <v>0</v>
      </c>
      <c r="V190" s="381">
        <v>21912.58</v>
      </c>
      <c r="W190" s="381">
        <v>49067.19</v>
      </c>
      <c r="X190" s="381">
        <v>22637.74</v>
      </c>
      <c r="Y190" s="381">
        <v>49067.19</v>
      </c>
      <c r="Z190" s="381">
        <v>23534.46</v>
      </c>
      <c r="AA190" s="377" t="s">
        <v>750</v>
      </c>
      <c r="AB190" s="377" t="s">
        <v>751</v>
      </c>
      <c r="AC190" s="377" t="s">
        <v>752</v>
      </c>
      <c r="AD190" s="377" t="s">
        <v>753</v>
      </c>
      <c r="AE190" s="377" t="s">
        <v>277</v>
      </c>
      <c r="AF190" s="377" t="s">
        <v>231</v>
      </c>
      <c r="AG190" s="377" t="s">
        <v>179</v>
      </c>
      <c r="AH190" s="382">
        <v>23.59</v>
      </c>
      <c r="AI190" s="382">
        <v>16622.8</v>
      </c>
      <c r="AJ190" s="377" t="s">
        <v>180</v>
      </c>
      <c r="AK190" s="377" t="s">
        <v>181</v>
      </c>
      <c r="AL190" s="377" t="s">
        <v>182</v>
      </c>
      <c r="AM190" s="377" t="s">
        <v>183</v>
      </c>
      <c r="AN190" s="377" t="s">
        <v>66</v>
      </c>
      <c r="AO190" s="380">
        <v>80</v>
      </c>
      <c r="AP190" s="386">
        <v>1</v>
      </c>
      <c r="AQ190" s="386">
        <v>1</v>
      </c>
      <c r="AR190" s="384" t="s">
        <v>184</v>
      </c>
      <c r="AS190" s="388">
        <f t="shared" si="115"/>
        <v>1</v>
      </c>
      <c r="AT190">
        <f t="shared" si="116"/>
        <v>1</v>
      </c>
      <c r="AU190" s="388">
        <f>IF(AT190=0,"",IF(AND(AT190=1,M190="F",SUMIF(C2:C258,C190,AS2:AS258)&lt;=1),SUMIF(C2:C258,C190,AS2:AS258),IF(AND(AT190=1,M190="F",SUMIF(C2:C258,C190,AS2:AS258)&gt;1),1,"")))</f>
        <v>1</v>
      </c>
      <c r="AV190" s="388" t="str">
        <f>IF(AT190=0,"",IF(AND(AT190=3,M190="F",SUMIF(C2:C258,C190,AS2:AS258)&lt;=1),SUMIF(C2:C258,C190,AS2:AS258),IF(AND(AT190=3,M190="F",SUMIF(C2:C258,C190,AS2:AS258)&gt;1),1,"")))</f>
        <v/>
      </c>
      <c r="AW190" s="388">
        <f>SUMIF(C2:C258,C190,O2:O258)</f>
        <v>1</v>
      </c>
      <c r="AX190" s="388">
        <f>IF(AND(M190="F",AS190&lt;&gt;0),SUMIF(C2:C258,C190,W2:W258),0)</f>
        <v>49067.19</v>
      </c>
      <c r="AY190" s="388">
        <f t="shared" si="117"/>
        <v>49067.19</v>
      </c>
      <c r="AZ190" s="388" t="str">
        <f t="shared" si="118"/>
        <v/>
      </c>
      <c r="BA190" s="388">
        <f t="shared" si="119"/>
        <v>0</v>
      </c>
      <c r="BB190" s="388">
        <f t="shared" si="88"/>
        <v>12500</v>
      </c>
      <c r="BC190" s="388">
        <f t="shared" si="89"/>
        <v>0</v>
      </c>
      <c r="BD190" s="388">
        <f t="shared" si="90"/>
        <v>3042.1657800000003</v>
      </c>
      <c r="BE190" s="388">
        <f t="shared" si="91"/>
        <v>711.47425500000008</v>
      </c>
      <c r="BF190" s="388">
        <f t="shared" si="92"/>
        <v>5858.6224860000002</v>
      </c>
      <c r="BG190" s="388">
        <f t="shared" si="93"/>
        <v>353.7744399</v>
      </c>
      <c r="BH190" s="388">
        <f t="shared" si="94"/>
        <v>0</v>
      </c>
      <c r="BI190" s="388">
        <f t="shared" si="95"/>
        <v>0</v>
      </c>
      <c r="BJ190" s="388">
        <f t="shared" si="96"/>
        <v>171.73516500000002</v>
      </c>
      <c r="BK190" s="388">
        <f t="shared" si="97"/>
        <v>0</v>
      </c>
      <c r="BL190" s="388">
        <f t="shared" si="120"/>
        <v>10137.772125900001</v>
      </c>
      <c r="BM190" s="388">
        <f t="shared" si="121"/>
        <v>0</v>
      </c>
      <c r="BN190" s="388">
        <f t="shared" si="98"/>
        <v>13750</v>
      </c>
      <c r="BO190" s="388">
        <f t="shared" si="99"/>
        <v>0</v>
      </c>
      <c r="BP190" s="388">
        <f t="shared" si="100"/>
        <v>3042.1657800000003</v>
      </c>
      <c r="BQ190" s="388">
        <f t="shared" si="101"/>
        <v>711.47425500000008</v>
      </c>
      <c r="BR190" s="388">
        <f t="shared" si="102"/>
        <v>5485.7118419999997</v>
      </c>
      <c r="BS190" s="388">
        <f t="shared" si="103"/>
        <v>353.7744399</v>
      </c>
      <c r="BT190" s="388">
        <f t="shared" si="104"/>
        <v>0</v>
      </c>
      <c r="BU190" s="388">
        <f t="shared" si="105"/>
        <v>0</v>
      </c>
      <c r="BV190" s="388">
        <f t="shared" si="106"/>
        <v>191.362041</v>
      </c>
      <c r="BW190" s="388">
        <f t="shared" si="107"/>
        <v>0</v>
      </c>
      <c r="BX190" s="388">
        <f t="shared" si="122"/>
        <v>9784.4883579000016</v>
      </c>
      <c r="BY190" s="388">
        <f t="shared" si="123"/>
        <v>0</v>
      </c>
      <c r="BZ190" s="388">
        <f t="shared" si="124"/>
        <v>1250</v>
      </c>
      <c r="CA190" s="388">
        <f t="shared" si="125"/>
        <v>0</v>
      </c>
      <c r="CB190" s="388">
        <f t="shared" si="126"/>
        <v>0</v>
      </c>
      <c r="CC190" s="388">
        <f t="shared" si="108"/>
        <v>0</v>
      </c>
      <c r="CD190" s="388">
        <f t="shared" si="109"/>
        <v>-372.9106440000005</v>
      </c>
      <c r="CE190" s="388">
        <f t="shared" si="110"/>
        <v>0</v>
      </c>
      <c r="CF190" s="388">
        <f t="shared" si="111"/>
        <v>0</v>
      </c>
      <c r="CG190" s="388">
        <f t="shared" si="112"/>
        <v>0</v>
      </c>
      <c r="CH190" s="388">
        <f t="shared" si="113"/>
        <v>19.626875999999989</v>
      </c>
      <c r="CI190" s="388">
        <f t="shared" si="114"/>
        <v>0</v>
      </c>
      <c r="CJ190" s="388">
        <f t="shared" si="127"/>
        <v>-353.28376800000052</v>
      </c>
      <c r="CK190" s="388" t="str">
        <f t="shared" si="128"/>
        <v/>
      </c>
      <c r="CL190" s="388" t="str">
        <f t="shared" si="129"/>
        <v/>
      </c>
      <c r="CM190" s="388" t="str">
        <f t="shared" si="130"/>
        <v/>
      </c>
      <c r="CN190" s="388" t="str">
        <f t="shared" si="131"/>
        <v>0348-95</v>
      </c>
    </row>
    <row r="191" spans="1:92" ht="15.75" thickBot="1" x14ac:dyDescent="0.3">
      <c r="A191" s="377" t="s">
        <v>162</v>
      </c>
      <c r="B191" s="377" t="s">
        <v>163</v>
      </c>
      <c r="C191" s="377" t="s">
        <v>612</v>
      </c>
      <c r="D191" s="377" t="s">
        <v>194</v>
      </c>
      <c r="E191" s="377" t="s">
        <v>637</v>
      </c>
      <c r="F191" s="383" t="s">
        <v>727</v>
      </c>
      <c r="G191" s="377" t="s">
        <v>439</v>
      </c>
      <c r="H191" s="379"/>
      <c r="I191" s="379"/>
      <c r="J191" s="377" t="s">
        <v>613</v>
      </c>
      <c r="K191" s="377" t="s">
        <v>195</v>
      </c>
      <c r="L191" s="377" t="s">
        <v>171</v>
      </c>
      <c r="M191" s="377" t="s">
        <v>172</v>
      </c>
      <c r="N191" s="377" t="s">
        <v>173</v>
      </c>
      <c r="O191" s="380">
        <v>1</v>
      </c>
      <c r="P191" s="386">
        <v>0.1</v>
      </c>
      <c r="Q191" s="386">
        <v>0.1</v>
      </c>
      <c r="R191" s="381">
        <v>80</v>
      </c>
      <c r="S191" s="386">
        <v>0.1</v>
      </c>
      <c r="T191" s="381">
        <v>8873.11</v>
      </c>
      <c r="U191" s="381">
        <v>0</v>
      </c>
      <c r="V191" s="381">
        <v>3413.21</v>
      </c>
      <c r="W191" s="381">
        <v>6445.92</v>
      </c>
      <c r="X191" s="381">
        <v>2581.7800000000002</v>
      </c>
      <c r="Y191" s="381">
        <v>6445.92</v>
      </c>
      <c r="Z191" s="381">
        <v>2660.37</v>
      </c>
      <c r="AA191" s="377" t="s">
        <v>614</v>
      </c>
      <c r="AB191" s="377" t="s">
        <v>615</v>
      </c>
      <c r="AC191" s="377" t="s">
        <v>416</v>
      </c>
      <c r="AD191" s="377" t="s">
        <v>560</v>
      </c>
      <c r="AE191" s="377" t="s">
        <v>195</v>
      </c>
      <c r="AF191" s="377" t="s">
        <v>178</v>
      </c>
      <c r="AG191" s="377" t="s">
        <v>179</v>
      </c>
      <c r="AH191" s="382">
        <v>30.99</v>
      </c>
      <c r="AI191" s="382">
        <v>49155.5</v>
      </c>
      <c r="AJ191" s="377" t="s">
        <v>180</v>
      </c>
      <c r="AK191" s="377" t="s">
        <v>181</v>
      </c>
      <c r="AL191" s="377" t="s">
        <v>182</v>
      </c>
      <c r="AM191" s="377" t="s">
        <v>183</v>
      </c>
      <c r="AN191" s="377" t="s">
        <v>66</v>
      </c>
      <c r="AO191" s="380">
        <v>80</v>
      </c>
      <c r="AP191" s="386">
        <v>1</v>
      </c>
      <c r="AQ191" s="386">
        <v>0.1</v>
      </c>
      <c r="AR191" s="384" t="s">
        <v>184</v>
      </c>
      <c r="AS191" s="388">
        <f t="shared" si="115"/>
        <v>0.1</v>
      </c>
      <c r="AT191">
        <f t="shared" si="116"/>
        <v>1</v>
      </c>
      <c r="AU191" s="388">
        <f>IF(AT191=0,"",IF(AND(AT191=1,M191="F",SUMIF(C2:C258,C191,AS2:AS258)&lt;=1),SUMIF(C2:C258,C191,AS2:AS258),IF(AND(AT191=1,M191="F",SUMIF(C2:C258,C191,AS2:AS258)&gt;1),1,"")))</f>
        <v>1</v>
      </c>
      <c r="AV191" s="388" t="str">
        <f>IF(AT191=0,"",IF(AND(AT191=3,M191="F",SUMIF(C2:C258,C191,AS2:AS258)&lt;=1),SUMIF(C2:C258,C191,AS2:AS258),IF(AND(AT191=3,M191="F",SUMIF(C2:C258,C191,AS2:AS258)&gt;1),1,"")))</f>
        <v/>
      </c>
      <c r="AW191" s="388">
        <f>SUMIF(C2:C258,C191,O2:O258)</f>
        <v>4</v>
      </c>
      <c r="AX191" s="388">
        <f>IF(AND(M191="F",AS191&lt;&gt;0),SUMIF(C2:C258,C191,W2:W258),0)</f>
        <v>64459.199999999997</v>
      </c>
      <c r="AY191" s="388">
        <f t="shared" si="117"/>
        <v>6445.92</v>
      </c>
      <c r="AZ191" s="388" t="str">
        <f t="shared" si="118"/>
        <v/>
      </c>
      <c r="BA191" s="388">
        <f t="shared" si="119"/>
        <v>0</v>
      </c>
      <c r="BB191" s="388">
        <f t="shared" si="88"/>
        <v>1250</v>
      </c>
      <c r="BC191" s="388">
        <f t="shared" si="89"/>
        <v>0</v>
      </c>
      <c r="BD191" s="388">
        <f t="shared" si="90"/>
        <v>399.64704</v>
      </c>
      <c r="BE191" s="388">
        <f t="shared" si="91"/>
        <v>93.46584</v>
      </c>
      <c r="BF191" s="388">
        <f t="shared" si="92"/>
        <v>769.64284800000007</v>
      </c>
      <c r="BG191" s="388">
        <f t="shared" si="93"/>
        <v>46.4750832</v>
      </c>
      <c r="BH191" s="388">
        <f t="shared" si="94"/>
        <v>0</v>
      </c>
      <c r="BI191" s="388">
        <f t="shared" si="95"/>
        <v>0</v>
      </c>
      <c r="BJ191" s="388">
        <f t="shared" si="96"/>
        <v>22.56072</v>
      </c>
      <c r="BK191" s="388">
        <f t="shared" si="97"/>
        <v>0</v>
      </c>
      <c r="BL191" s="388">
        <f t="shared" si="120"/>
        <v>1331.7915312</v>
      </c>
      <c r="BM191" s="388">
        <f t="shared" si="121"/>
        <v>0</v>
      </c>
      <c r="BN191" s="388">
        <f t="shared" si="98"/>
        <v>1375</v>
      </c>
      <c r="BO191" s="388">
        <f t="shared" si="99"/>
        <v>0</v>
      </c>
      <c r="BP191" s="388">
        <f t="shared" si="100"/>
        <v>399.64704</v>
      </c>
      <c r="BQ191" s="388">
        <f t="shared" si="101"/>
        <v>93.46584</v>
      </c>
      <c r="BR191" s="388">
        <f t="shared" si="102"/>
        <v>720.65385600000002</v>
      </c>
      <c r="BS191" s="388">
        <f t="shared" si="103"/>
        <v>46.4750832</v>
      </c>
      <c r="BT191" s="388">
        <f t="shared" si="104"/>
        <v>0</v>
      </c>
      <c r="BU191" s="388">
        <f t="shared" si="105"/>
        <v>0</v>
      </c>
      <c r="BV191" s="388">
        <f t="shared" si="106"/>
        <v>25.139087999999997</v>
      </c>
      <c r="BW191" s="388">
        <f t="shared" si="107"/>
        <v>0</v>
      </c>
      <c r="BX191" s="388">
        <f t="shared" si="122"/>
        <v>1285.3809071999999</v>
      </c>
      <c r="BY191" s="388">
        <f t="shared" si="123"/>
        <v>0</v>
      </c>
      <c r="BZ191" s="388">
        <f t="shared" si="124"/>
        <v>125</v>
      </c>
      <c r="CA191" s="388">
        <f t="shared" si="125"/>
        <v>0</v>
      </c>
      <c r="CB191" s="388">
        <f t="shared" si="126"/>
        <v>0</v>
      </c>
      <c r="CC191" s="388">
        <f t="shared" si="108"/>
        <v>0</v>
      </c>
      <c r="CD191" s="388">
        <f t="shared" si="109"/>
        <v>-48.98899200000006</v>
      </c>
      <c r="CE191" s="388">
        <f t="shared" si="110"/>
        <v>0</v>
      </c>
      <c r="CF191" s="388">
        <f t="shared" si="111"/>
        <v>0</v>
      </c>
      <c r="CG191" s="388">
        <f t="shared" si="112"/>
        <v>0</v>
      </c>
      <c r="CH191" s="388">
        <f t="shared" si="113"/>
        <v>2.5783679999999984</v>
      </c>
      <c r="CI191" s="388">
        <f t="shared" si="114"/>
        <v>0</v>
      </c>
      <c r="CJ191" s="388">
        <f t="shared" si="127"/>
        <v>-46.410624000000062</v>
      </c>
      <c r="CK191" s="388" t="str">
        <f t="shared" si="128"/>
        <v/>
      </c>
      <c r="CL191" s="388" t="str">
        <f t="shared" si="129"/>
        <v/>
      </c>
      <c r="CM191" s="388" t="str">
        <f t="shared" si="130"/>
        <v/>
      </c>
      <c r="CN191" s="388" t="str">
        <f t="shared" si="131"/>
        <v>0348-95</v>
      </c>
    </row>
    <row r="192" spans="1:92" ht="15.75" thickBot="1" x14ac:dyDescent="0.3">
      <c r="A192" s="377" t="s">
        <v>162</v>
      </c>
      <c r="B192" s="377" t="s">
        <v>163</v>
      </c>
      <c r="C192" s="377" t="s">
        <v>687</v>
      </c>
      <c r="D192" s="377" t="s">
        <v>276</v>
      </c>
      <c r="E192" s="377" t="s">
        <v>637</v>
      </c>
      <c r="F192" s="383" t="s">
        <v>727</v>
      </c>
      <c r="G192" s="377" t="s">
        <v>439</v>
      </c>
      <c r="H192" s="379"/>
      <c r="I192" s="379"/>
      <c r="J192" s="377" t="s">
        <v>613</v>
      </c>
      <c r="K192" s="377" t="s">
        <v>277</v>
      </c>
      <c r="L192" s="377" t="s">
        <v>215</v>
      </c>
      <c r="M192" s="377" t="s">
        <v>172</v>
      </c>
      <c r="N192" s="377" t="s">
        <v>173</v>
      </c>
      <c r="O192" s="380">
        <v>1</v>
      </c>
      <c r="P192" s="386">
        <v>0</v>
      </c>
      <c r="Q192" s="386">
        <v>0</v>
      </c>
      <c r="R192" s="381">
        <v>80</v>
      </c>
      <c r="S192" s="386">
        <v>0</v>
      </c>
      <c r="T192" s="381">
        <v>510.35</v>
      </c>
      <c r="U192" s="381">
        <v>0</v>
      </c>
      <c r="V192" s="381">
        <v>211.19</v>
      </c>
      <c r="W192" s="381">
        <v>0</v>
      </c>
      <c r="X192" s="381">
        <v>0</v>
      </c>
      <c r="Y192" s="381">
        <v>0</v>
      </c>
      <c r="Z192" s="381">
        <v>0</v>
      </c>
      <c r="AA192" s="377" t="s">
        <v>688</v>
      </c>
      <c r="AB192" s="377" t="s">
        <v>689</v>
      </c>
      <c r="AC192" s="377" t="s">
        <v>690</v>
      </c>
      <c r="AD192" s="377" t="s">
        <v>181</v>
      </c>
      <c r="AE192" s="377" t="s">
        <v>277</v>
      </c>
      <c r="AF192" s="377" t="s">
        <v>231</v>
      </c>
      <c r="AG192" s="377" t="s">
        <v>179</v>
      </c>
      <c r="AH192" s="382">
        <v>27.15</v>
      </c>
      <c r="AI192" s="382">
        <v>20161.400000000001</v>
      </c>
      <c r="AJ192" s="377" t="s">
        <v>180</v>
      </c>
      <c r="AK192" s="377" t="s">
        <v>181</v>
      </c>
      <c r="AL192" s="377" t="s">
        <v>182</v>
      </c>
      <c r="AM192" s="377" t="s">
        <v>183</v>
      </c>
      <c r="AN192" s="377" t="s">
        <v>66</v>
      </c>
      <c r="AO192" s="380">
        <v>80</v>
      </c>
      <c r="AP192" s="386">
        <v>1</v>
      </c>
      <c r="AQ192" s="386">
        <v>0</v>
      </c>
      <c r="AR192" s="384" t="s">
        <v>184</v>
      </c>
      <c r="AS192" s="388">
        <f t="shared" si="115"/>
        <v>0</v>
      </c>
      <c r="AT192">
        <f t="shared" si="116"/>
        <v>0</v>
      </c>
      <c r="AU192" s="388" t="str">
        <f>IF(AT192=0,"",IF(AND(AT192=1,M192="F",SUMIF(C2:C258,C192,AS2:AS258)&lt;=1),SUMIF(C2:C258,C192,AS2:AS258),IF(AND(AT192=1,M192="F",SUMIF(C2:C258,C192,AS2:AS258)&gt;1),1,"")))</f>
        <v/>
      </c>
      <c r="AV192" s="388" t="str">
        <f>IF(AT192=0,"",IF(AND(AT192=3,M192="F",SUMIF(C2:C258,C192,AS2:AS258)&lt;=1),SUMIF(C2:C258,C192,AS2:AS258),IF(AND(AT192=3,M192="F",SUMIF(C2:C258,C192,AS2:AS258)&gt;1),1,"")))</f>
        <v/>
      </c>
      <c r="AW192" s="388">
        <f>SUMIF(C2:C258,C192,O2:O258)</f>
        <v>3</v>
      </c>
      <c r="AX192" s="388">
        <f>IF(AND(M192="F",AS192&lt;&gt;0),SUMIF(C2:C258,C192,W2:W258),0)</f>
        <v>0</v>
      </c>
      <c r="AY192" s="388" t="str">
        <f t="shared" si="117"/>
        <v/>
      </c>
      <c r="AZ192" s="388" t="str">
        <f t="shared" si="118"/>
        <v/>
      </c>
      <c r="BA192" s="388">
        <f t="shared" si="119"/>
        <v>0</v>
      </c>
      <c r="BB192" s="388">
        <f t="shared" si="88"/>
        <v>0</v>
      </c>
      <c r="BC192" s="388">
        <f t="shared" si="89"/>
        <v>0</v>
      </c>
      <c r="BD192" s="388">
        <f t="shared" si="90"/>
        <v>0</v>
      </c>
      <c r="BE192" s="388">
        <f t="shared" si="91"/>
        <v>0</v>
      </c>
      <c r="BF192" s="388">
        <f t="shared" si="92"/>
        <v>0</v>
      </c>
      <c r="BG192" s="388">
        <f t="shared" si="93"/>
        <v>0</v>
      </c>
      <c r="BH192" s="388">
        <f t="shared" si="94"/>
        <v>0</v>
      </c>
      <c r="BI192" s="388">
        <f t="shared" si="95"/>
        <v>0</v>
      </c>
      <c r="BJ192" s="388">
        <f t="shared" si="96"/>
        <v>0</v>
      </c>
      <c r="BK192" s="388">
        <f t="shared" si="97"/>
        <v>0</v>
      </c>
      <c r="BL192" s="388">
        <f t="shared" si="120"/>
        <v>0</v>
      </c>
      <c r="BM192" s="388">
        <f t="shared" si="121"/>
        <v>0</v>
      </c>
      <c r="BN192" s="388">
        <f t="shared" si="98"/>
        <v>0</v>
      </c>
      <c r="BO192" s="388">
        <f t="shared" si="99"/>
        <v>0</v>
      </c>
      <c r="BP192" s="388">
        <f t="shared" si="100"/>
        <v>0</v>
      </c>
      <c r="BQ192" s="388">
        <f t="shared" si="101"/>
        <v>0</v>
      </c>
      <c r="BR192" s="388">
        <f t="shared" si="102"/>
        <v>0</v>
      </c>
      <c r="BS192" s="388">
        <f t="shared" si="103"/>
        <v>0</v>
      </c>
      <c r="BT192" s="388">
        <f t="shared" si="104"/>
        <v>0</v>
      </c>
      <c r="BU192" s="388">
        <f t="shared" si="105"/>
        <v>0</v>
      </c>
      <c r="BV192" s="388">
        <f t="shared" si="106"/>
        <v>0</v>
      </c>
      <c r="BW192" s="388">
        <f t="shared" si="107"/>
        <v>0</v>
      </c>
      <c r="BX192" s="388">
        <f t="shared" si="122"/>
        <v>0</v>
      </c>
      <c r="BY192" s="388">
        <f t="shared" si="123"/>
        <v>0</v>
      </c>
      <c r="BZ192" s="388">
        <f t="shared" si="124"/>
        <v>0</v>
      </c>
      <c r="CA192" s="388">
        <f t="shared" si="125"/>
        <v>0</v>
      </c>
      <c r="CB192" s="388">
        <f t="shared" si="126"/>
        <v>0</v>
      </c>
      <c r="CC192" s="388">
        <f t="shared" si="108"/>
        <v>0</v>
      </c>
      <c r="CD192" s="388">
        <f t="shared" si="109"/>
        <v>0</v>
      </c>
      <c r="CE192" s="388">
        <f t="shared" si="110"/>
        <v>0</v>
      </c>
      <c r="CF192" s="388">
        <f t="shared" si="111"/>
        <v>0</v>
      </c>
      <c r="CG192" s="388">
        <f t="shared" si="112"/>
        <v>0</v>
      </c>
      <c r="CH192" s="388">
        <f t="shared" si="113"/>
        <v>0</v>
      </c>
      <c r="CI192" s="388">
        <f t="shared" si="114"/>
        <v>0</v>
      </c>
      <c r="CJ192" s="388">
        <f t="shared" si="127"/>
        <v>0</v>
      </c>
      <c r="CK192" s="388" t="str">
        <f t="shared" si="128"/>
        <v/>
      </c>
      <c r="CL192" s="388" t="str">
        <f t="shared" si="129"/>
        <v/>
      </c>
      <c r="CM192" s="388" t="str">
        <f t="shared" si="130"/>
        <v/>
      </c>
      <c r="CN192" s="388" t="str">
        <f t="shared" si="131"/>
        <v>0348-95</v>
      </c>
    </row>
    <row r="193" spans="1:92" ht="15.75" thickBot="1" x14ac:dyDescent="0.3">
      <c r="A193" s="377" t="s">
        <v>162</v>
      </c>
      <c r="B193" s="377" t="s">
        <v>163</v>
      </c>
      <c r="C193" s="377" t="s">
        <v>405</v>
      </c>
      <c r="D193" s="377" t="s">
        <v>251</v>
      </c>
      <c r="E193" s="377" t="s">
        <v>637</v>
      </c>
      <c r="F193" s="383" t="s">
        <v>727</v>
      </c>
      <c r="G193" s="377" t="s">
        <v>439</v>
      </c>
      <c r="H193" s="379"/>
      <c r="I193" s="379"/>
      <c r="J193" s="377" t="s">
        <v>283</v>
      </c>
      <c r="K193" s="377" t="s">
        <v>252</v>
      </c>
      <c r="L193" s="377" t="s">
        <v>179</v>
      </c>
      <c r="M193" s="377" t="s">
        <v>172</v>
      </c>
      <c r="N193" s="377" t="s">
        <v>173</v>
      </c>
      <c r="O193" s="380">
        <v>1</v>
      </c>
      <c r="P193" s="386">
        <v>0.15</v>
      </c>
      <c r="Q193" s="386">
        <v>0.15</v>
      </c>
      <c r="R193" s="381">
        <v>80</v>
      </c>
      <c r="S193" s="386">
        <v>0.15</v>
      </c>
      <c r="T193" s="381">
        <v>3872.53</v>
      </c>
      <c r="U193" s="381">
        <v>0</v>
      </c>
      <c r="V193" s="381">
        <v>2081.7600000000002</v>
      </c>
      <c r="W193" s="381">
        <v>5562.96</v>
      </c>
      <c r="X193" s="381">
        <v>3024.36</v>
      </c>
      <c r="Y193" s="381">
        <v>5562.96</v>
      </c>
      <c r="Z193" s="381">
        <v>3171.8</v>
      </c>
      <c r="AA193" s="377" t="s">
        <v>406</v>
      </c>
      <c r="AB193" s="377" t="s">
        <v>407</v>
      </c>
      <c r="AC193" s="377" t="s">
        <v>408</v>
      </c>
      <c r="AD193" s="377" t="s">
        <v>316</v>
      </c>
      <c r="AE193" s="377" t="s">
        <v>252</v>
      </c>
      <c r="AF193" s="377" t="s">
        <v>257</v>
      </c>
      <c r="AG193" s="377" t="s">
        <v>179</v>
      </c>
      <c r="AH193" s="382">
        <v>17.829999999999998</v>
      </c>
      <c r="AI193" s="380">
        <v>440</v>
      </c>
      <c r="AJ193" s="377" t="s">
        <v>180</v>
      </c>
      <c r="AK193" s="377" t="s">
        <v>181</v>
      </c>
      <c r="AL193" s="377" t="s">
        <v>182</v>
      </c>
      <c r="AM193" s="377" t="s">
        <v>183</v>
      </c>
      <c r="AN193" s="377" t="s">
        <v>66</v>
      </c>
      <c r="AO193" s="380">
        <v>80</v>
      </c>
      <c r="AP193" s="386">
        <v>1</v>
      </c>
      <c r="AQ193" s="386">
        <v>0.15</v>
      </c>
      <c r="AR193" s="384" t="s">
        <v>184</v>
      </c>
      <c r="AS193" s="388">
        <f t="shared" si="115"/>
        <v>0.15</v>
      </c>
      <c r="AT193">
        <f t="shared" si="116"/>
        <v>1</v>
      </c>
      <c r="AU193" s="388">
        <f>IF(AT193=0,"",IF(AND(AT193=1,M193="F",SUMIF(C2:C258,C193,AS2:AS258)&lt;=1),SUMIF(C2:C258,C193,AS2:AS258),IF(AND(AT193=1,M193="F",SUMIF(C2:C258,C193,AS2:AS258)&gt;1),1,"")))</f>
        <v>1</v>
      </c>
      <c r="AV193" s="388" t="str">
        <f>IF(AT193=0,"",IF(AND(AT193=3,M193="F",SUMIF(C2:C258,C193,AS2:AS258)&lt;=1),SUMIF(C2:C258,C193,AS2:AS258),IF(AND(AT193=3,M193="F",SUMIF(C2:C258,C193,AS2:AS258)&gt;1),1,"")))</f>
        <v/>
      </c>
      <c r="AW193" s="388">
        <f>SUMIF(C2:C258,C193,O2:O258)</f>
        <v>6</v>
      </c>
      <c r="AX193" s="388">
        <f>IF(AND(M193="F",AS193&lt;&gt;0),SUMIF(C2:C258,C193,W2:W258),0)</f>
        <v>37086.400000000001</v>
      </c>
      <c r="AY193" s="388">
        <f t="shared" si="117"/>
        <v>5562.96</v>
      </c>
      <c r="AZ193" s="388" t="str">
        <f t="shared" si="118"/>
        <v/>
      </c>
      <c r="BA193" s="388">
        <f t="shared" si="119"/>
        <v>0</v>
      </c>
      <c r="BB193" s="388">
        <f t="shared" si="88"/>
        <v>1875</v>
      </c>
      <c r="BC193" s="388">
        <f t="shared" si="89"/>
        <v>0</v>
      </c>
      <c r="BD193" s="388">
        <f t="shared" si="90"/>
        <v>344.90352000000001</v>
      </c>
      <c r="BE193" s="388">
        <f t="shared" si="91"/>
        <v>80.66292</v>
      </c>
      <c r="BF193" s="388">
        <f t="shared" si="92"/>
        <v>664.21742400000005</v>
      </c>
      <c r="BG193" s="388">
        <f t="shared" si="93"/>
        <v>40.108941600000001</v>
      </c>
      <c r="BH193" s="388">
        <f t="shared" si="94"/>
        <v>0</v>
      </c>
      <c r="BI193" s="388">
        <f t="shared" si="95"/>
        <v>0</v>
      </c>
      <c r="BJ193" s="388">
        <f t="shared" si="96"/>
        <v>19.470359999999999</v>
      </c>
      <c r="BK193" s="388">
        <f t="shared" si="97"/>
        <v>0</v>
      </c>
      <c r="BL193" s="388">
        <f t="shared" si="120"/>
        <v>1149.3631656</v>
      </c>
      <c r="BM193" s="388">
        <f t="shared" si="121"/>
        <v>0</v>
      </c>
      <c r="BN193" s="388">
        <f t="shared" si="98"/>
        <v>2062.5</v>
      </c>
      <c r="BO193" s="388">
        <f t="shared" si="99"/>
        <v>0</v>
      </c>
      <c r="BP193" s="388">
        <f t="shared" si="100"/>
        <v>344.90352000000001</v>
      </c>
      <c r="BQ193" s="388">
        <f t="shared" si="101"/>
        <v>80.66292</v>
      </c>
      <c r="BR193" s="388">
        <f t="shared" si="102"/>
        <v>621.93892800000003</v>
      </c>
      <c r="BS193" s="388">
        <f t="shared" si="103"/>
        <v>40.108941600000001</v>
      </c>
      <c r="BT193" s="388">
        <f t="shared" si="104"/>
        <v>0</v>
      </c>
      <c r="BU193" s="388">
        <f t="shared" si="105"/>
        <v>0</v>
      </c>
      <c r="BV193" s="388">
        <f t="shared" si="106"/>
        <v>21.695543999999998</v>
      </c>
      <c r="BW193" s="388">
        <f t="shared" si="107"/>
        <v>0</v>
      </c>
      <c r="BX193" s="388">
        <f t="shared" si="122"/>
        <v>1109.3098536</v>
      </c>
      <c r="BY193" s="388">
        <f t="shared" si="123"/>
        <v>0</v>
      </c>
      <c r="BZ193" s="388">
        <f t="shared" si="124"/>
        <v>187.5</v>
      </c>
      <c r="CA193" s="388">
        <f t="shared" si="125"/>
        <v>0</v>
      </c>
      <c r="CB193" s="388">
        <f t="shared" si="126"/>
        <v>0</v>
      </c>
      <c r="CC193" s="388">
        <f t="shared" si="108"/>
        <v>0</v>
      </c>
      <c r="CD193" s="388">
        <f t="shared" si="109"/>
        <v>-42.278496000000054</v>
      </c>
      <c r="CE193" s="388">
        <f t="shared" si="110"/>
        <v>0</v>
      </c>
      <c r="CF193" s="388">
        <f t="shared" si="111"/>
        <v>0</v>
      </c>
      <c r="CG193" s="388">
        <f t="shared" si="112"/>
        <v>0</v>
      </c>
      <c r="CH193" s="388">
        <f t="shared" si="113"/>
        <v>2.2251839999999987</v>
      </c>
      <c r="CI193" s="388">
        <f t="shared" si="114"/>
        <v>0</v>
      </c>
      <c r="CJ193" s="388">
        <f t="shared" si="127"/>
        <v>-40.053312000000055</v>
      </c>
      <c r="CK193" s="388" t="str">
        <f t="shared" si="128"/>
        <v/>
      </c>
      <c r="CL193" s="388" t="str">
        <f t="shared" si="129"/>
        <v/>
      </c>
      <c r="CM193" s="388" t="str">
        <f t="shared" si="130"/>
        <v/>
      </c>
      <c r="CN193" s="388" t="str">
        <f t="shared" si="131"/>
        <v>0348-95</v>
      </c>
    </row>
    <row r="194" spans="1:92" ht="15.75" thickBot="1" x14ac:dyDescent="0.3">
      <c r="A194" s="377" t="s">
        <v>162</v>
      </c>
      <c r="B194" s="377" t="s">
        <v>163</v>
      </c>
      <c r="C194" s="377" t="s">
        <v>636</v>
      </c>
      <c r="D194" s="377" t="s">
        <v>194</v>
      </c>
      <c r="E194" s="377" t="s">
        <v>637</v>
      </c>
      <c r="F194" s="383" t="s">
        <v>727</v>
      </c>
      <c r="G194" s="377" t="s">
        <v>439</v>
      </c>
      <c r="H194" s="379"/>
      <c r="I194" s="379"/>
      <c r="J194" s="377" t="s">
        <v>169</v>
      </c>
      <c r="K194" s="377" t="s">
        <v>639</v>
      </c>
      <c r="L194" s="377" t="s">
        <v>321</v>
      </c>
      <c r="M194" s="377" t="s">
        <v>172</v>
      </c>
      <c r="N194" s="377" t="s">
        <v>173</v>
      </c>
      <c r="O194" s="380">
        <v>1</v>
      </c>
      <c r="P194" s="386">
        <v>0.9</v>
      </c>
      <c r="Q194" s="386">
        <v>0.9</v>
      </c>
      <c r="R194" s="381">
        <v>80</v>
      </c>
      <c r="S194" s="386">
        <v>0.9</v>
      </c>
      <c r="T194" s="381">
        <v>79246.67</v>
      </c>
      <c r="U194" s="381">
        <v>0</v>
      </c>
      <c r="V194" s="381">
        <v>27270.59</v>
      </c>
      <c r="W194" s="381">
        <v>74337.119999999995</v>
      </c>
      <c r="X194" s="381">
        <v>26608.77</v>
      </c>
      <c r="Y194" s="381">
        <v>74337.119999999995</v>
      </c>
      <c r="Z194" s="381">
        <v>27198.54</v>
      </c>
      <c r="AA194" s="377" t="s">
        <v>640</v>
      </c>
      <c r="AB194" s="377" t="s">
        <v>641</v>
      </c>
      <c r="AC194" s="377" t="s">
        <v>642</v>
      </c>
      <c r="AD194" s="377" t="s">
        <v>316</v>
      </c>
      <c r="AE194" s="377" t="s">
        <v>639</v>
      </c>
      <c r="AF194" s="377" t="s">
        <v>207</v>
      </c>
      <c r="AG194" s="377" t="s">
        <v>179</v>
      </c>
      <c r="AH194" s="382">
        <v>39.71</v>
      </c>
      <c r="AI194" s="382">
        <v>3840.5</v>
      </c>
      <c r="AJ194" s="377" t="s">
        <v>180</v>
      </c>
      <c r="AK194" s="377" t="s">
        <v>181</v>
      </c>
      <c r="AL194" s="377" t="s">
        <v>182</v>
      </c>
      <c r="AM194" s="377" t="s">
        <v>183</v>
      </c>
      <c r="AN194" s="377" t="s">
        <v>66</v>
      </c>
      <c r="AO194" s="380">
        <v>80</v>
      </c>
      <c r="AP194" s="386">
        <v>1</v>
      </c>
      <c r="AQ194" s="386">
        <v>0.9</v>
      </c>
      <c r="AR194" s="384" t="s">
        <v>184</v>
      </c>
      <c r="AS194" s="388">
        <f t="shared" si="115"/>
        <v>0.9</v>
      </c>
      <c r="AT194">
        <f t="shared" si="116"/>
        <v>1</v>
      </c>
      <c r="AU194" s="388">
        <f>IF(AT194=0,"",IF(AND(AT194=1,M194="F",SUMIF(C2:C258,C194,AS2:AS258)&lt;=1),SUMIF(C2:C258,C194,AS2:AS258),IF(AND(AT194=1,M194="F",SUMIF(C2:C258,C194,AS2:AS258)&gt;1),1,"")))</f>
        <v>1</v>
      </c>
      <c r="AV194" s="388" t="str">
        <f>IF(AT194=0,"",IF(AND(AT194=3,M194="F",SUMIF(C2:C258,C194,AS2:AS258)&lt;=1),SUMIF(C2:C258,C194,AS2:AS258),IF(AND(AT194=3,M194="F",SUMIF(C2:C258,C194,AS2:AS258)&gt;1),1,"")))</f>
        <v/>
      </c>
      <c r="AW194" s="388">
        <f>SUMIF(C2:C258,C194,O2:O258)</f>
        <v>2</v>
      </c>
      <c r="AX194" s="388">
        <f>IF(AND(M194="F",AS194&lt;&gt;0),SUMIF(C2:C258,C194,W2:W258),0)</f>
        <v>82596.799999999988</v>
      </c>
      <c r="AY194" s="388">
        <f t="shared" si="117"/>
        <v>74337.119999999995</v>
      </c>
      <c r="AZ194" s="388" t="str">
        <f t="shared" si="118"/>
        <v/>
      </c>
      <c r="BA194" s="388">
        <f t="shared" si="119"/>
        <v>0</v>
      </c>
      <c r="BB194" s="388">
        <f t="shared" ref="BB194:BB258" si="132">IF(AND(AT194=1,AK194="E",AU194&gt;=0.75,AW194=1),Health,IF(AND(AT194=1,AK194="E",AU194&gt;=0.75),Health*P194,IF(AND(AT194=1,AK194="E",AU194&gt;=0.5,AW194=1),PTHealth,IF(AND(AT194=1,AK194="E",AU194&gt;=0.5),PTHealth*P194,0))))</f>
        <v>11250</v>
      </c>
      <c r="BC194" s="388">
        <f t="shared" ref="BC194:BC258" si="133">IF(AND(AT194=3,AK194="E",AV194&gt;=0.75,AW194=1),Health,IF(AND(AT194=3,AK194="E",AV194&gt;=0.75),Health*P194,IF(AND(AT194=3,AK194="E",AV194&gt;=0.5,AW194=1),PTHealth,IF(AND(AT194=3,AK194="E",AV194&gt;=0.5),PTHealth*P194,0))))</f>
        <v>0</v>
      </c>
      <c r="BD194" s="388">
        <f t="shared" ref="BD194:BD258" si="134">IF(AND(AT194&lt;&gt;0,AX194&gt;=MAXSSDI),SSDI*MAXSSDI*P194,IF(AT194&lt;&gt;0,SSDI*W194,0))</f>
        <v>4608.9014399999996</v>
      </c>
      <c r="BE194" s="388">
        <f t="shared" ref="BE194:BE258" si="135">IF(AT194&lt;&gt;0,SSHI*W194,0)</f>
        <v>1077.88824</v>
      </c>
      <c r="BF194" s="388">
        <f t="shared" ref="BF194:BF258" si="136">IF(AND(AT194&lt;&gt;0,AN194&lt;&gt;"NE"),VLOOKUP(AN194,Retirement_Rates,3,FALSE)*W194,0)</f>
        <v>8875.8521280000004</v>
      </c>
      <c r="BG194" s="388">
        <f t="shared" ref="BG194:BG258" si="137">IF(AND(AT194&lt;&gt;0,AJ194&lt;&gt;"PF"),Life*W194,0)</f>
        <v>535.97063519999995</v>
      </c>
      <c r="BH194" s="388">
        <f t="shared" ref="BH194:BH258" si="138">IF(AND(AT194&lt;&gt;0,AM194="Y"),UI*W194,0)</f>
        <v>0</v>
      </c>
      <c r="BI194" s="388">
        <f t="shared" ref="BI194:BI258" si="139">IF(AND(AT194&lt;&gt;0,N194&lt;&gt;"NR"),DHR*W194,0)</f>
        <v>0</v>
      </c>
      <c r="BJ194" s="388">
        <f t="shared" ref="BJ194:BJ258" si="140">IF(AT194&lt;&gt;0,WC*W194,0)</f>
        <v>260.17991999999998</v>
      </c>
      <c r="BK194" s="388">
        <f t="shared" ref="BK194:BK258" si="141">IF(OR(AND(AT194&lt;&gt;0,AJ194&lt;&gt;"PF",AN194&lt;&gt;"NE",AG194&lt;&gt;"A"),AND(AL194="E",OR(AT194=1,AT194=3))),Sick*W194,0)</f>
        <v>0</v>
      </c>
      <c r="BL194" s="388">
        <f t="shared" si="120"/>
        <v>15358.7923632</v>
      </c>
      <c r="BM194" s="388">
        <f t="shared" si="121"/>
        <v>0</v>
      </c>
      <c r="BN194" s="388">
        <f t="shared" ref="BN194:BN258" si="142">IF(AND(AT194=1,AK194="E",AU194&gt;=0.75,AW194=1),HealthBY,IF(AND(AT194=1,AK194="E",AU194&gt;=0.75),HealthBY*P194,IF(AND(AT194=1,AK194="E",AU194&gt;=0.5,AW194=1),PTHealthBY,IF(AND(AT194=1,AK194="E",AU194&gt;=0.5),PTHealthBY*P194,0))))</f>
        <v>12375</v>
      </c>
      <c r="BO194" s="388">
        <f t="shared" ref="BO194:BO258" si="143">IF(AND(AT194=3,AK194="E",AV194&gt;=0.75,AW194=1),HealthBY,IF(AND(AT194=3,AK194="E",AV194&gt;=0.75),HealthBY*P194,IF(AND(AT194=3,AK194="E",AV194&gt;=0.5,AW194=1),PTHealthBY,IF(AND(AT194=3,AK194="E",AV194&gt;=0.5),PTHealthBY*P194,0))))</f>
        <v>0</v>
      </c>
      <c r="BP194" s="388">
        <f t="shared" ref="BP194:BP258" si="144">IF(AND(AT194&lt;&gt;0,(AX194+BA194)&gt;=MAXSSDIBY),SSDIBY*MAXSSDIBY*P194,IF(AT194&lt;&gt;0,SSDIBY*W194,0))</f>
        <v>4608.9014399999996</v>
      </c>
      <c r="BQ194" s="388">
        <f t="shared" ref="BQ194:BQ258" si="145">IF(AT194&lt;&gt;0,SSHIBY*W194,0)</f>
        <v>1077.88824</v>
      </c>
      <c r="BR194" s="388">
        <f t="shared" ref="BR194:BR258" si="146">IF(AND(AT194&lt;&gt;0,AN194&lt;&gt;"NE"),VLOOKUP(AN194,Retirement_Rates,4,FALSE)*W194,0)</f>
        <v>8310.8900159999994</v>
      </c>
      <c r="BS194" s="388">
        <f t="shared" ref="BS194:BS258" si="147">IF(AND(AT194&lt;&gt;0,AJ194&lt;&gt;"PF"),LifeBY*W194,0)</f>
        <v>535.97063519999995</v>
      </c>
      <c r="BT194" s="388">
        <f t="shared" ref="BT194:BT258" si="148">IF(AND(AT194&lt;&gt;0,AM194="Y"),UIBY*W194,0)</f>
        <v>0</v>
      </c>
      <c r="BU194" s="388">
        <f t="shared" ref="BU194:BU258" si="149">IF(AND(AT194&lt;&gt;0,N194&lt;&gt;"NR"),DHRBY*W194,0)</f>
        <v>0</v>
      </c>
      <c r="BV194" s="388">
        <f t="shared" ref="BV194:BV258" si="150">IF(AT194&lt;&gt;0,WCBY*W194,0)</f>
        <v>289.91476799999998</v>
      </c>
      <c r="BW194" s="388">
        <f t="shared" ref="BW194:BW258" si="151">IF(OR(AND(AT194&lt;&gt;0,AJ194&lt;&gt;"PF",AN194&lt;&gt;"NE",AG194&lt;&gt;"A"),AND(AL194="E",OR(AT194=1,AT194=3))),SickBY*W194,0)</f>
        <v>0</v>
      </c>
      <c r="BX194" s="388">
        <f t="shared" si="122"/>
        <v>14823.565099199999</v>
      </c>
      <c r="BY194" s="388">
        <f t="shared" si="123"/>
        <v>0</v>
      </c>
      <c r="BZ194" s="388">
        <f t="shared" si="124"/>
        <v>1125</v>
      </c>
      <c r="CA194" s="388">
        <f t="shared" si="125"/>
        <v>0</v>
      </c>
      <c r="CB194" s="388">
        <f t="shared" si="126"/>
        <v>0</v>
      </c>
      <c r="CC194" s="388">
        <f t="shared" ref="CC194:CC258" si="152">IF(AT194&lt;&gt;0,SSHICHG*Y194,0)</f>
        <v>0</v>
      </c>
      <c r="CD194" s="388">
        <f t="shared" ref="CD194:CD258" si="153">IF(AND(AT194&lt;&gt;0,AN194&lt;&gt;"NE"),VLOOKUP(AN194,Retirement_Rates,5,FALSE)*Y194,0)</f>
        <v>-564.96211200000073</v>
      </c>
      <c r="CE194" s="388">
        <f t="shared" ref="CE194:CE258" si="154">IF(AND(AT194&lt;&gt;0,AJ194&lt;&gt;"PF"),LifeCHG*Y194,0)</f>
        <v>0</v>
      </c>
      <c r="CF194" s="388">
        <f t="shared" ref="CF194:CF258" si="155">IF(AND(AT194&lt;&gt;0,AM194="Y"),UICHG*Y194,0)</f>
        <v>0</v>
      </c>
      <c r="CG194" s="388">
        <f t="shared" ref="CG194:CG258" si="156">IF(AND(AT194&lt;&gt;0,N194&lt;&gt;"NR"),DHRCHG*Y194,0)</f>
        <v>0</v>
      </c>
      <c r="CH194" s="388">
        <f t="shared" ref="CH194:CH258" si="157">IF(AT194&lt;&gt;0,WCCHG*Y194,0)</f>
        <v>29.734847999999978</v>
      </c>
      <c r="CI194" s="388">
        <f t="shared" ref="CI194:CI258" si="158">IF(OR(AND(AT194&lt;&gt;0,AJ194&lt;&gt;"PF",AN194&lt;&gt;"NE",AG194&lt;&gt;"A"),AND(AL194="E",OR(AT194=1,AT194=3))),SickCHG*Y194,0)</f>
        <v>0</v>
      </c>
      <c r="CJ194" s="388">
        <f t="shared" si="127"/>
        <v>-535.22726400000079</v>
      </c>
      <c r="CK194" s="388" t="str">
        <f t="shared" si="128"/>
        <v/>
      </c>
      <c r="CL194" s="388" t="str">
        <f t="shared" si="129"/>
        <v/>
      </c>
      <c r="CM194" s="388" t="str">
        <f t="shared" si="130"/>
        <v/>
      </c>
      <c r="CN194" s="388" t="str">
        <f t="shared" si="131"/>
        <v>0348-95</v>
      </c>
    </row>
    <row r="195" spans="1:92" ht="15.75" thickBot="1" x14ac:dyDescent="0.3">
      <c r="A195" s="377" t="s">
        <v>162</v>
      </c>
      <c r="B195" s="377" t="s">
        <v>163</v>
      </c>
      <c r="C195" s="377" t="s">
        <v>509</v>
      </c>
      <c r="D195" s="377" t="s">
        <v>300</v>
      </c>
      <c r="E195" s="377" t="s">
        <v>637</v>
      </c>
      <c r="F195" s="383" t="s">
        <v>727</v>
      </c>
      <c r="G195" s="377" t="s">
        <v>439</v>
      </c>
      <c r="H195" s="379"/>
      <c r="I195" s="379"/>
      <c r="J195" s="377" t="s">
        <v>169</v>
      </c>
      <c r="K195" s="377" t="s">
        <v>301</v>
      </c>
      <c r="L195" s="377" t="s">
        <v>167</v>
      </c>
      <c r="M195" s="377" t="s">
        <v>172</v>
      </c>
      <c r="N195" s="377" t="s">
        <v>173</v>
      </c>
      <c r="O195" s="380">
        <v>1</v>
      </c>
      <c r="P195" s="386">
        <v>0.8</v>
      </c>
      <c r="Q195" s="386">
        <v>0.8</v>
      </c>
      <c r="R195" s="381">
        <v>80</v>
      </c>
      <c r="S195" s="386">
        <v>0.8</v>
      </c>
      <c r="T195" s="381">
        <v>61765.32</v>
      </c>
      <c r="U195" s="381">
        <v>0</v>
      </c>
      <c r="V195" s="381">
        <v>21511.22</v>
      </c>
      <c r="W195" s="381">
        <v>66393.600000000006</v>
      </c>
      <c r="X195" s="381">
        <v>23717.56</v>
      </c>
      <c r="Y195" s="381">
        <v>66393.600000000006</v>
      </c>
      <c r="Z195" s="381">
        <v>24239.52</v>
      </c>
      <c r="AA195" s="377" t="s">
        <v>510</v>
      </c>
      <c r="AB195" s="377" t="s">
        <v>511</v>
      </c>
      <c r="AC195" s="377" t="s">
        <v>512</v>
      </c>
      <c r="AD195" s="377" t="s">
        <v>171</v>
      </c>
      <c r="AE195" s="377" t="s">
        <v>301</v>
      </c>
      <c r="AF195" s="377" t="s">
        <v>207</v>
      </c>
      <c r="AG195" s="377" t="s">
        <v>179</v>
      </c>
      <c r="AH195" s="382">
        <v>39.9</v>
      </c>
      <c r="AI195" s="382">
        <v>16942.5</v>
      </c>
      <c r="AJ195" s="377" t="s">
        <v>180</v>
      </c>
      <c r="AK195" s="377" t="s">
        <v>181</v>
      </c>
      <c r="AL195" s="377" t="s">
        <v>182</v>
      </c>
      <c r="AM195" s="377" t="s">
        <v>183</v>
      </c>
      <c r="AN195" s="377" t="s">
        <v>66</v>
      </c>
      <c r="AO195" s="380">
        <v>80</v>
      </c>
      <c r="AP195" s="386">
        <v>1</v>
      </c>
      <c r="AQ195" s="386">
        <v>0.8</v>
      </c>
      <c r="AR195" s="384" t="s">
        <v>184</v>
      </c>
      <c r="AS195" s="388">
        <f t="shared" ref="AS195:AS258" si="159">IF(((AO195/80)*AP195*P195)&gt;1,AQ195,((AO195/80)*AP195*P195))</f>
        <v>0.8</v>
      </c>
      <c r="AT195">
        <f t="shared" ref="AT195:AT258" si="160">IF(AND(M195="F",N195&lt;&gt;"NG",AS195&lt;&gt;0,AND(AR195&lt;&gt;6,AR195&lt;&gt;36,AR195&lt;&gt;56),AG195&lt;&gt;"A",OR(AG195="H",AJ195="FS")),1,IF(AND(M195="F",N195&lt;&gt;"NG",AS195&lt;&gt;0,AG195="A"),3,0))</f>
        <v>1</v>
      </c>
      <c r="AU195" s="388">
        <f>IF(AT195=0,"",IF(AND(AT195=1,M195="F",SUMIF(C2:C258,C195,AS2:AS258)&lt;=1),SUMIF(C2:C258,C195,AS2:AS258),IF(AND(AT195=1,M195="F",SUMIF(C2:C258,C195,AS2:AS258)&gt;1),1,"")))</f>
        <v>1</v>
      </c>
      <c r="AV195" s="388" t="str">
        <f>IF(AT195=0,"",IF(AND(AT195=3,M195="F",SUMIF(C2:C258,C195,AS2:AS258)&lt;=1),SUMIF(C2:C258,C195,AS2:AS258),IF(AND(AT195=3,M195="F",SUMIF(C2:C258,C195,AS2:AS258)&gt;1),1,"")))</f>
        <v/>
      </c>
      <c r="AW195" s="388">
        <f>SUMIF(C2:C258,C195,O2:O258)</f>
        <v>3</v>
      </c>
      <c r="AX195" s="388">
        <f>IF(AND(M195="F",AS195&lt;&gt;0),SUMIF(C2:C258,C195,W2:W258),0)</f>
        <v>82992</v>
      </c>
      <c r="AY195" s="388">
        <f t="shared" ref="AY195:AY258" si="161">IF(AT195=1,W195,"")</f>
        <v>66393.600000000006</v>
      </c>
      <c r="AZ195" s="388" t="str">
        <f t="shared" ref="AZ195:AZ258" si="162">IF(AT195=3,W195,"")</f>
        <v/>
      </c>
      <c r="BA195" s="388">
        <f t="shared" ref="BA195:BA258" si="163">IF(AT195=1,Y195-W195,0)</f>
        <v>0</v>
      </c>
      <c r="BB195" s="388">
        <f t="shared" si="132"/>
        <v>10000</v>
      </c>
      <c r="BC195" s="388">
        <f t="shared" si="133"/>
        <v>0</v>
      </c>
      <c r="BD195" s="388">
        <f t="shared" si="134"/>
        <v>4116.4032000000007</v>
      </c>
      <c r="BE195" s="388">
        <f t="shared" si="135"/>
        <v>962.70720000000017</v>
      </c>
      <c r="BF195" s="388">
        <f t="shared" si="136"/>
        <v>7927.395840000001</v>
      </c>
      <c r="BG195" s="388">
        <f t="shared" si="137"/>
        <v>478.69785600000006</v>
      </c>
      <c r="BH195" s="388">
        <f t="shared" si="138"/>
        <v>0</v>
      </c>
      <c r="BI195" s="388">
        <f t="shared" si="139"/>
        <v>0</v>
      </c>
      <c r="BJ195" s="388">
        <f t="shared" si="140"/>
        <v>232.37760000000003</v>
      </c>
      <c r="BK195" s="388">
        <f t="shared" si="141"/>
        <v>0</v>
      </c>
      <c r="BL195" s="388">
        <f t="shared" ref="BL195:BL258" si="164">IF(AT195=1,SUM(BD195:BK195),0)</f>
        <v>13717.581696000003</v>
      </c>
      <c r="BM195" s="388">
        <f t="shared" ref="BM195:BM258" si="165">IF(AT195=3,SUM(BD195:BK195),0)</f>
        <v>0</v>
      </c>
      <c r="BN195" s="388">
        <f t="shared" si="142"/>
        <v>11000</v>
      </c>
      <c r="BO195" s="388">
        <f t="shared" si="143"/>
        <v>0</v>
      </c>
      <c r="BP195" s="388">
        <f t="shared" si="144"/>
        <v>4116.4032000000007</v>
      </c>
      <c r="BQ195" s="388">
        <f t="shared" si="145"/>
        <v>962.70720000000017</v>
      </c>
      <c r="BR195" s="388">
        <f t="shared" si="146"/>
        <v>7422.8044800000007</v>
      </c>
      <c r="BS195" s="388">
        <f t="shared" si="147"/>
        <v>478.69785600000006</v>
      </c>
      <c r="BT195" s="388">
        <f t="shared" si="148"/>
        <v>0</v>
      </c>
      <c r="BU195" s="388">
        <f t="shared" si="149"/>
        <v>0</v>
      </c>
      <c r="BV195" s="388">
        <f t="shared" si="150"/>
        <v>258.93504000000001</v>
      </c>
      <c r="BW195" s="388">
        <f t="shared" si="151"/>
        <v>0</v>
      </c>
      <c r="BX195" s="388">
        <f t="shared" ref="BX195:BX258" si="166">IF(AT195=1,SUM(BP195:BW195),0)</f>
        <v>13239.547776000001</v>
      </c>
      <c r="BY195" s="388">
        <f t="shared" ref="BY195:BY258" si="167">IF(AT195=3,SUM(BP195:BW195),0)</f>
        <v>0</v>
      </c>
      <c r="BZ195" s="388">
        <f t="shared" ref="BZ195:BZ258" si="168">IF(AT195=1,BN195-BB195,0)</f>
        <v>1000</v>
      </c>
      <c r="CA195" s="388">
        <f t="shared" ref="CA195:CA258" si="169">IF(AT195=3,BO195-BC195,0)</f>
        <v>0</v>
      </c>
      <c r="CB195" s="388">
        <f t="shared" ref="CB195:CB258" si="170">BP195-BD195</f>
        <v>0</v>
      </c>
      <c r="CC195" s="388">
        <f t="shared" si="152"/>
        <v>0</v>
      </c>
      <c r="CD195" s="388">
        <f t="shared" si="153"/>
        <v>-504.59136000000069</v>
      </c>
      <c r="CE195" s="388">
        <f t="shared" si="154"/>
        <v>0</v>
      </c>
      <c r="CF195" s="388">
        <f t="shared" si="155"/>
        <v>0</v>
      </c>
      <c r="CG195" s="388">
        <f t="shared" si="156"/>
        <v>0</v>
      </c>
      <c r="CH195" s="388">
        <f t="shared" si="157"/>
        <v>26.557439999999986</v>
      </c>
      <c r="CI195" s="388">
        <f t="shared" si="158"/>
        <v>0</v>
      </c>
      <c r="CJ195" s="388">
        <f t="shared" ref="CJ195:CJ258" si="171">IF(AT195=1,SUM(CB195:CI195),0)</f>
        <v>-478.03392000000071</v>
      </c>
      <c r="CK195" s="388" t="str">
        <f t="shared" ref="CK195:CK258" si="172">IF(AT195=3,SUM(CB195:CI195),"")</f>
        <v/>
      </c>
      <c r="CL195" s="388" t="str">
        <f t="shared" ref="CL195:CL258" si="173">IF(OR(N195="NG",AG195="D"),(T195+U195),"")</f>
        <v/>
      </c>
      <c r="CM195" s="388" t="str">
        <f t="shared" ref="CM195:CM258" si="174">IF(OR(N195="NG",AG195="D"),V195,"")</f>
        <v/>
      </c>
      <c r="CN195" s="388" t="str">
        <f t="shared" ref="CN195:CN258" si="175">E195 &amp; "-" &amp; F195</f>
        <v>0348-95</v>
      </c>
    </row>
    <row r="196" spans="1:92" ht="15.75" thickBot="1" x14ac:dyDescent="0.3">
      <c r="A196" s="377" t="s">
        <v>162</v>
      </c>
      <c r="B196" s="377" t="s">
        <v>163</v>
      </c>
      <c r="C196" s="377" t="s">
        <v>644</v>
      </c>
      <c r="D196" s="377" t="s">
        <v>276</v>
      </c>
      <c r="E196" s="377" t="s">
        <v>637</v>
      </c>
      <c r="F196" s="383" t="s">
        <v>727</v>
      </c>
      <c r="G196" s="377" t="s">
        <v>439</v>
      </c>
      <c r="H196" s="379"/>
      <c r="I196" s="379"/>
      <c r="J196" s="377" t="s">
        <v>283</v>
      </c>
      <c r="K196" s="377" t="s">
        <v>277</v>
      </c>
      <c r="L196" s="377" t="s">
        <v>215</v>
      </c>
      <c r="M196" s="377" t="s">
        <v>172</v>
      </c>
      <c r="N196" s="377" t="s">
        <v>173</v>
      </c>
      <c r="O196" s="380">
        <v>1</v>
      </c>
      <c r="P196" s="386">
        <v>0.75</v>
      </c>
      <c r="Q196" s="386">
        <v>0.75</v>
      </c>
      <c r="R196" s="381">
        <v>80</v>
      </c>
      <c r="S196" s="386">
        <v>0.75</v>
      </c>
      <c r="T196" s="381">
        <v>34556.97</v>
      </c>
      <c r="U196" s="381">
        <v>0</v>
      </c>
      <c r="V196" s="381">
        <v>15551.52</v>
      </c>
      <c r="W196" s="381">
        <v>35755.199999999997</v>
      </c>
      <c r="X196" s="381">
        <v>16762.349999999999</v>
      </c>
      <c r="Y196" s="381">
        <v>35755.199999999997</v>
      </c>
      <c r="Z196" s="381">
        <v>17442.41</v>
      </c>
      <c r="AA196" s="377" t="s">
        <v>645</v>
      </c>
      <c r="AB196" s="377" t="s">
        <v>646</v>
      </c>
      <c r="AC196" s="377" t="s">
        <v>602</v>
      </c>
      <c r="AD196" s="377" t="s">
        <v>647</v>
      </c>
      <c r="AE196" s="377" t="s">
        <v>277</v>
      </c>
      <c r="AF196" s="377" t="s">
        <v>231</v>
      </c>
      <c r="AG196" s="377" t="s">
        <v>179</v>
      </c>
      <c r="AH196" s="382">
        <v>22.92</v>
      </c>
      <c r="AI196" s="382">
        <v>20672.2</v>
      </c>
      <c r="AJ196" s="377" t="s">
        <v>180</v>
      </c>
      <c r="AK196" s="377" t="s">
        <v>181</v>
      </c>
      <c r="AL196" s="377" t="s">
        <v>182</v>
      </c>
      <c r="AM196" s="377" t="s">
        <v>183</v>
      </c>
      <c r="AN196" s="377" t="s">
        <v>66</v>
      </c>
      <c r="AO196" s="380">
        <v>80</v>
      </c>
      <c r="AP196" s="386">
        <v>1</v>
      </c>
      <c r="AQ196" s="386">
        <v>0.75</v>
      </c>
      <c r="AR196" s="384" t="s">
        <v>184</v>
      </c>
      <c r="AS196" s="388">
        <f t="shared" si="159"/>
        <v>0.75</v>
      </c>
      <c r="AT196">
        <f t="shared" si="160"/>
        <v>1</v>
      </c>
      <c r="AU196" s="388">
        <f>IF(AT196=0,"",IF(AND(AT196=1,M196="F",SUMIF(C2:C258,C196,AS2:AS258)&lt;=1),SUMIF(C2:C258,C196,AS2:AS258),IF(AND(AT196=1,M196="F",SUMIF(C2:C258,C196,AS2:AS258)&gt;1),1,"")))</f>
        <v>1</v>
      </c>
      <c r="AV196" s="388" t="str">
        <f>IF(AT196=0,"",IF(AND(AT196=3,M196="F",SUMIF(C2:C258,C196,AS2:AS258)&lt;=1),SUMIF(C2:C258,C196,AS2:AS258),IF(AND(AT196=3,M196="F",SUMIF(C2:C258,C196,AS2:AS258)&gt;1),1,"")))</f>
        <v/>
      </c>
      <c r="AW196" s="388">
        <f>SUMIF(C2:C258,C196,O2:O258)</f>
        <v>3</v>
      </c>
      <c r="AX196" s="388">
        <f>IF(AND(M196="F",AS196&lt;&gt;0),SUMIF(C2:C258,C196,W2:W258),0)</f>
        <v>47673.599999999999</v>
      </c>
      <c r="AY196" s="388">
        <f t="shared" si="161"/>
        <v>35755.199999999997</v>
      </c>
      <c r="AZ196" s="388" t="str">
        <f t="shared" si="162"/>
        <v/>
      </c>
      <c r="BA196" s="388">
        <f t="shared" si="163"/>
        <v>0</v>
      </c>
      <c r="BB196" s="388">
        <f t="shared" si="132"/>
        <v>9375</v>
      </c>
      <c r="BC196" s="388">
        <f t="shared" si="133"/>
        <v>0</v>
      </c>
      <c r="BD196" s="388">
        <f t="shared" si="134"/>
        <v>2216.8224</v>
      </c>
      <c r="BE196" s="388">
        <f t="shared" si="135"/>
        <v>518.45039999999995</v>
      </c>
      <c r="BF196" s="388">
        <f t="shared" si="136"/>
        <v>4269.1708799999997</v>
      </c>
      <c r="BG196" s="388">
        <f t="shared" si="137"/>
        <v>257.79499199999998</v>
      </c>
      <c r="BH196" s="388">
        <f t="shared" si="138"/>
        <v>0</v>
      </c>
      <c r="BI196" s="388">
        <f t="shared" si="139"/>
        <v>0</v>
      </c>
      <c r="BJ196" s="388">
        <f t="shared" si="140"/>
        <v>125.14319999999999</v>
      </c>
      <c r="BK196" s="388">
        <f t="shared" si="141"/>
        <v>0</v>
      </c>
      <c r="BL196" s="388">
        <f t="shared" si="164"/>
        <v>7387.3818719999999</v>
      </c>
      <c r="BM196" s="388">
        <f t="shared" si="165"/>
        <v>0</v>
      </c>
      <c r="BN196" s="388">
        <f t="shared" si="142"/>
        <v>10312.5</v>
      </c>
      <c r="BO196" s="388">
        <f t="shared" si="143"/>
        <v>0</v>
      </c>
      <c r="BP196" s="388">
        <f t="shared" si="144"/>
        <v>2216.8224</v>
      </c>
      <c r="BQ196" s="388">
        <f t="shared" si="145"/>
        <v>518.45039999999995</v>
      </c>
      <c r="BR196" s="388">
        <f t="shared" si="146"/>
        <v>3997.4313599999996</v>
      </c>
      <c r="BS196" s="388">
        <f t="shared" si="147"/>
        <v>257.79499199999998</v>
      </c>
      <c r="BT196" s="388">
        <f t="shared" si="148"/>
        <v>0</v>
      </c>
      <c r="BU196" s="388">
        <f t="shared" si="149"/>
        <v>0</v>
      </c>
      <c r="BV196" s="388">
        <f t="shared" si="150"/>
        <v>139.44527999999997</v>
      </c>
      <c r="BW196" s="388">
        <f t="shared" si="151"/>
        <v>0</v>
      </c>
      <c r="BX196" s="388">
        <f t="shared" si="166"/>
        <v>7129.9444319999993</v>
      </c>
      <c r="BY196" s="388">
        <f t="shared" si="167"/>
        <v>0</v>
      </c>
      <c r="BZ196" s="388">
        <f t="shared" si="168"/>
        <v>937.5</v>
      </c>
      <c r="CA196" s="388">
        <f t="shared" si="169"/>
        <v>0</v>
      </c>
      <c r="CB196" s="388">
        <f t="shared" si="170"/>
        <v>0</v>
      </c>
      <c r="CC196" s="388">
        <f t="shared" si="152"/>
        <v>0</v>
      </c>
      <c r="CD196" s="388">
        <f t="shared" si="153"/>
        <v>-271.73952000000031</v>
      </c>
      <c r="CE196" s="388">
        <f t="shared" si="154"/>
        <v>0</v>
      </c>
      <c r="CF196" s="388">
        <f t="shared" si="155"/>
        <v>0</v>
      </c>
      <c r="CG196" s="388">
        <f t="shared" si="156"/>
        <v>0</v>
      </c>
      <c r="CH196" s="388">
        <f t="shared" si="157"/>
        <v>14.302079999999989</v>
      </c>
      <c r="CI196" s="388">
        <f t="shared" si="158"/>
        <v>0</v>
      </c>
      <c r="CJ196" s="388">
        <f t="shared" si="171"/>
        <v>-257.43744000000032</v>
      </c>
      <c r="CK196" s="388" t="str">
        <f t="shared" si="172"/>
        <v/>
      </c>
      <c r="CL196" s="388" t="str">
        <f t="shared" si="173"/>
        <v/>
      </c>
      <c r="CM196" s="388" t="str">
        <f t="shared" si="174"/>
        <v/>
      </c>
      <c r="CN196" s="388" t="str">
        <f t="shared" si="175"/>
        <v>0348-95</v>
      </c>
    </row>
    <row r="197" spans="1:92" ht="15.75" thickBot="1" x14ac:dyDescent="0.3">
      <c r="A197" s="377" t="s">
        <v>162</v>
      </c>
      <c r="B197" s="377" t="s">
        <v>163</v>
      </c>
      <c r="C197" s="377" t="s">
        <v>648</v>
      </c>
      <c r="D197" s="377" t="s">
        <v>194</v>
      </c>
      <c r="E197" s="377" t="s">
        <v>637</v>
      </c>
      <c r="F197" s="383" t="s">
        <v>727</v>
      </c>
      <c r="G197" s="377" t="s">
        <v>439</v>
      </c>
      <c r="H197" s="379"/>
      <c r="I197" s="379"/>
      <c r="J197" s="377" t="s">
        <v>649</v>
      </c>
      <c r="K197" s="377" t="s">
        <v>639</v>
      </c>
      <c r="L197" s="377" t="s">
        <v>321</v>
      </c>
      <c r="M197" s="377" t="s">
        <v>172</v>
      </c>
      <c r="N197" s="377" t="s">
        <v>173</v>
      </c>
      <c r="O197" s="380">
        <v>1</v>
      </c>
      <c r="P197" s="386">
        <v>0.45</v>
      </c>
      <c r="Q197" s="386">
        <v>0.45</v>
      </c>
      <c r="R197" s="381">
        <v>80</v>
      </c>
      <c r="S197" s="386">
        <v>0.45</v>
      </c>
      <c r="T197" s="381">
        <v>37766.92</v>
      </c>
      <c r="U197" s="381">
        <v>0</v>
      </c>
      <c r="V197" s="381">
        <v>13640.37</v>
      </c>
      <c r="W197" s="381">
        <v>34500.959999999999</v>
      </c>
      <c r="X197" s="381">
        <v>12753.23</v>
      </c>
      <c r="Y197" s="381">
        <v>34500.959999999999</v>
      </c>
      <c r="Z197" s="381">
        <v>13067.32</v>
      </c>
      <c r="AA197" s="377" t="s">
        <v>650</v>
      </c>
      <c r="AB197" s="377" t="s">
        <v>651</v>
      </c>
      <c r="AC197" s="377" t="s">
        <v>652</v>
      </c>
      <c r="AD197" s="377" t="s">
        <v>321</v>
      </c>
      <c r="AE197" s="377" t="s">
        <v>639</v>
      </c>
      <c r="AF197" s="377" t="s">
        <v>207</v>
      </c>
      <c r="AG197" s="377" t="s">
        <v>179</v>
      </c>
      <c r="AH197" s="382">
        <v>36.86</v>
      </c>
      <c r="AI197" s="380">
        <v>26242</v>
      </c>
      <c r="AJ197" s="377" t="s">
        <v>180</v>
      </c>
      <c r="AK197" s="377" t="s">
        <v>181</v>
      </c>
      <c r="AL197" s="377" t="s">
        <v>182</v>
      </c>
      <c r="AM197" s="377" t="s">
        <v>183</v>
      </c>
      <c r="AN197" s="377" t="s">
        <v>66</v>
      </c>
      <c r="AO197" s="380">
        <v>80</v>
      </c>
      <c r="AP197" s="386">
        <v>1</v>
      </c>
      <c r="AQ197" s="386">
        <v>0.45</v>
      </c>
      <c r="AR197" s="384" t="s">
        <v>184</v>
      </c>
      <c r="AS197" s="388">
        <f t="shared" si="159"/>
        <v>0.45</v>
      </c>
      <c r="AT197">
        <f t="shared" si="160"/>
        <v>1</v>
      </c>
      <c r="AU197" s="388">
        <f>IF(AT197=0,"",IF(AND(AT197=1,M197="F",SUMIF(C2:C258,C197,AS2:AS258)&lt;=1),SUMIF(C2:C258,C197,AS2:AS258),IF(AND(AT197=1,M197="F",SUMIF(C2:C258,C197,AS2:AS258)&gt;1),1,"")))</f>
        <v>1</v>
      </c>
      <c r="AV197" s="388" t="str">
        <f>IF(AT197=0,"",IF(AND(AT197=3,M197="F",SUMIF(C2:C258,C197,AS2:AS258)&lt;=1),SUMIF(C2:C258,C197,AS2:AS258),IF(AND(AT197=3,M197="F",SUMIF(C2:C258,C197,AS2:AS258)&gt;1),1,"")))</f>
        <v/>
      </c>
      <c r="AW197" s="388">
        <f>SUMIF(C2:C258,C197,O2:O258)</f>
        <v>4</v>
      </c>
      <c r="AX197" s="388">
        <f>IF(AND(M197="F",AS197&lt;&gt;0),SUMIF(C2:C258,C197,W2:W258),0)</f>
        <v>76668.800000000003</v>
      </c>
      <c r="AY197" s="388">
        <f t="shared" si="161"/>
        <v>34500.959999999999</v>
      </c>
      <c r="AZ197" s="388" t="str">
        <f t="shared" si="162"/>
        <v/>
      </c>
      <c r="BA197" s="388">
        <f t="shared" si="163"/>
        <v>0</v>
      </c>
      <c r="BB197" s="388">
        <f t="shared" si="132"/>
        <v>5625</v>
      </c>
      <c r="BC197" s="388">
        <f t="shared" si="133"/>
        <v>0</v>
      </c>
      <c r="BD197" s="388">
        <f t="shared" si="134"/>
        <v>2139.0595199999998</v>
      </c>
      <c r="BE197" s="388">
        <f t="shared" si="135"/>
        <v>500.26391999999998</v>
      </c>
      <c r="BF197" s="388">
        <f t="shared" si="136"/>
        <v>4119.414624</v>
      </c>
      <c r="BG197" s="388">
        <f t="shared" si="137"/>
        <v>248.7519216</v>
      </c>
      <c r="BH197" s="388">
        <f t="shared" si="138"/>
        <v>0</v>
      </c>
      <c r="BI197" s="388">
        <f t="shared" si="139"/>
        <v>0</v>
      </c>
      <c r="BJ197" s="388">
        <f t="shared" si="140"/>
        <v>120.75336</v>
      </c>
      <c r="BK197" s="388">
        <f t="shared" si="141"/>
        <v>0</v>
      </c>
      <c r="BL197" s="388">
        <f t="shared" si="164"/>
        <v>7128.243345599999</v>
      </c>
      <c r="BM197" s="388">
        <f t="shared" si="165"/>
        <v>0</v>
      </c>
      <c r="BN197" s="388">
        <f t="shared" si="142"/>
        <v>6187.5</v>
      </c>
      <c r="BO197" s="388">
        <f t="shared" si="143"/>
        <v>0</v>
      </c>
      <c r="BP197" s="388">
        <f t="shared" si="144"/>
        <v>2139.0595199999998</v>
      </c>
      <c r="BQ197" s="388">
        <f t="shared" si="145"/>
        <v>500.26391999999998</v>
      </c>
      <c r="BR197" s="388">
        <f t="shared" si="146"/>
        <v>3857.207328</v>
      </c>
      <c r="BS197" s="388">
        <f t="shared" si="147"/>
        <v>248.7519216</v>
      </c>
      <c r="BT197" s="388">
        <f t="shared" si="148"/>
        <v>0</v>
      </c>
      <c r="BU197" s="388">
        <f t="shared" si="149"/>
        <v>0</v>
      </c>
      <c r="BV197" s="388">
        <f t="shared" si="150"/>
        <v>134.55374399999999</v>
      </c>
      <c r="BW197" s="388">
        <f t="shared" si="151"/>
        <v>0</v>
      </c>
      <c r="BX197" s="388">
        <f t="shared" si="166"/>
        <v>6879.8364335999995</v>
      </c>
      <c r="BY197" s="388">
        <f t="shared" si="167"/>
        <v>0</v>
      </c>
      <c r="BZ197" s="388">
        <f t="shared" si="168"/>
        <v>562.5</v>
      </c>
      <c r="CA197" s="388">
        <f t="shared" si="169"/>
        <v>0</v>
      </c>
      <c r="CB197" s="388">
        <f t="shared" si="170"/>
        <v>0</v>
      </c>
      <c r="CC197" s="388">
        <f t="shared" si="152"/>
        <v>0</v>
      </c>
      <c r="CD197" s="388">
        <f t="shared" si="153"/>
        <v>-262.20729600000033</v>
      </c>
      <c r="CE197" s="388">
        <f t="shared" si="154"/>
        <v>0</v>
      </c>
      <c r="CF197" s="388">
        <f t="shared" si="155"/>
        <v>0</v>
      </c>
      <c r="CG197" s="388">
        <f t="shared" si="156"/>
        <v>0</v>
      </c>
      <c r="CH197" s="388">
        <f t="shared" si="157"/>
        <v>13.80038399999999</v>
      </c>
      <c r="CI197" s="388">
        <f t="shared" si="158"/>
        <v>0</v>
      </c>
      <c r="CJ197" s="388">
        <f t="shared" si="171"/>
        <v>-248.40691200000035</v>
      </c>
      <c r="CK197" s="388" t="str">
        <f t="shared" si="172"/>
        <v/>
      </c>
      <c r="CL197" s="388" t="str">
        <f t="shared" si="173"/>
        <v/>
      </c>
      <c r="CM197" s="388" t="str">
        <f t="shared" si="174"/>
        <v/>
      </c>
      <c r="CN197" s="388" t="str">
        <f t="shared" si="175"/>
        <v>0348-95</v>
      </c>
    </row>
    <row r="198" spans="1:92" ht="15.75" thickBot="1" x14ac:dyDescent="0.3">
      <c r="A198" s="377" t="s">
        <v>162</v>
      </c>
      <c r="B198" s="377" t="s">
        <v>163</v>
      </c>
      <c r="C198" s="377" t="s">
        <v>267</v>
      </c>
      <c r="D198" s="377" t="s">
        <v>268</v>
      </c>
      <c r="E198" s="377" t="s">
        <v>637</v>
      </c>
      <c r="F198" s="383" t="s">
        <v>727</v>
      </c>
      <c r="G198" s="377" t="s">
        <v>439</v>
      </c>
      <c r="H198" s="379"/>
      <c r="I198" s="379"/>
      <c r="J198" s="377" t="s">
        <v>269</v>
      </c>
      <c r="K198" s="377" t="s">
        <v>270</v>
      </c>
      <c r="L198" s="377" t="s">
        <v>167</v>
      </c>
      <c r="M198" s="377" t="s">
        <v>172</v>
      </c>
      <c r="N198" s="377" t="s">
        <v>173</v>
      </c>
      <c r="O198" s="380">
        <v>1</v>
      </c>
      <c r="P198" s="386">
        <v>0.1</v>
      </c>
      <c r="Q198" s="386">
        <v>0.1</v>
      </c>
      <c r="R198" s="381">
        <v>80</v>
      </c>
      <c r="S198" s="386">
        <v>0.1</v>
      </c>
      <c r="T198" s="381">
        <v>3459.57</v>
      </c>
      <c r="U198" s="381">
        <v>0</v>
      </c>
      <c r="V198" s="381">
        <v>1045.17</v>
      </c>
      <c r="W198" s="381">
        <v>13682.24</v>
      </c>
      <c r="X198" s="381">
        <v>4076.88</v>
      </c>
      <c r="Y198" s="381">
        <v>13682.24</v>
      </c>
      <c r="Z198" s="381">
        <v>4103.3599999999997</v>
      </c>
      <c r="AA198" s="377" t="s">
        <v>271</v>
      </c>
      <c r="AB198" s="377" t="s">
        <v>272</v>
      </c>
      <c r="AC198" s="377" t="s">
        <v>273</v>
      </c>
      <c r="AD198" s="377" t="s">
        <v>274</v>
      </c>
      <c r="AE198" s="377" t="s">
        <v>270</v>
      </c>
      <c r="AF198" s="377" t="s">
        <v>207</v>
      </c>
      <c r="AG198" s="377" t="s">
        <v>179</v>
      </c>
      <c r="AH198" s="382">
        <v>65.78</v>
      </c>
      <c r="AI198" s="380">
        <v>2255</v>
      </c>
      <c r="AJ198" s="377" t="s">
        <v>180</v>
      </c>
      <c r="AK198" s="377" t="s">
        <v>181</v>
      </c>
      <c r="AL198" s="377" t="s">
        <v>182</v>
      </c>
      <c r="AM198" s="377" t="s">
        <v>183</v>
      </c>
      <c r="AN198" s="377" t="s">
        <v>66</v>
      </c>
      <c r="AO198" s="380">
        <v>80</v>
      </c>
      <c r="AP198" s="386">
        <v>1</v>
      </c>
      <c r="AQ198" s="386">
        <v>0.1</v>
      </c>
      <c r="AR198" s="384" t="s">
        <v>184</v>
      </c>
      <c r="AS198" s="388">
        <f t="shared" si="159"/>
        <v>0.1</v>
      </c>
      <c r="AT198">
        <f t="shared" si="160"/>
        <v>1</v>
      </c>
      <c r="AU198" s="388">
        <f>IF(AT198=0,"",IF(AND(AT198=1,M198="F",SUMIF(C2:C258,C198,AS2:AS258)&lt;=1),SUMIF(C2:C258,C198,AS2:AS258),IF(AND(AT198=1,M198="F",SUMIF(C2:C258,C198,AS2:AS258)&gt;1),1,"")))</f>
        <v>1</v>
      </c>
      <c r="AV198" s="388" t="str">
        <f>IF(AT198=0,"",IF(AND(AT198=3,M198="F",SUMIF(C2:C258,C198,AS2:AS258)&lt;=1),SUMIF(C2:C258,C198,AS2:AS258),IF(AND(AT198=3,M198="F",SUMIF(C2:C258,C198,AS2:AS258)&gt;1),1,"")))</f>
        <v/>
      </c>
      <c r="AW198" s="388">
        <f>SUMIF(C2:C258,C198,O2:O258)</f>
        <v>3</v>
      </c>
      <c r="AX198" s="388">
        <f>IF(AND(M198="F",AS198&lt;&gt;0),SUMIF(C2:C258,C198,W2:W258),0)</f>
        <v>136822.39999999999</v>
      </c>
      <c r="AY198" s="388">
        <f t="shared" si="161"/>
        <v>13682.24</v>
      </c>
      <c r="AZ198" s="388" t="str">
        <f t="shared" si="162"/>
        <v/>
      </c>
      <c r="BA198" s="388">
        <f t="shared" si="163"/>
        <v>0</v>
      </c>
      <c r="BB198" s="388">
        <f t="shared" si="132"/>
        <v>1250</v>
      </c>
      <c r="BC198" s="388">
        <f t="shared" si="133"/>
        <v>0</v>
      </c>
      <c r="BD198" s="388">
        <f t="shared" si="134"/>
        <v>848.29887999999994</v>
      </c>
      <c r="BE198" s="388">
        <f t="shared" si="135"/>
        <v>198.39248000000001</v>
      </c>
      <c r="BF198" s="388">
        <f t="shared" si="136"/>
        <v>1633.6594560000001</v>
      </c>
      <c r="BG198" s="388">
        <f t="shared" si="137"/>
        <v>98.648950400000004</v>
      </c>
      <c r="BH198" s="388">
        <f t="shared" si="138"/>
        <v>0</v>
      </c>
      <c r="BI198" s="388">
        <f t="shared" si="139"/>
        <v>0</v>
      </c>
      <c r="BJ198" s="388">
        <f t="shared" si="140"/>
        <v>47.887839999999997</v>
      </c>
      <c r="BK198" s="388">
        <f t="shared" si="141"/>
        <v>0</v>
      </c>
      <c r="BL198" s="388">
        <f t="shared" si="164"/>
        <v>2826.8876064000001</v>
      </c>
      <c r="BM198" s="388">
        <f t="shared" si="165"/>
        <v>0</v>
      </c>
      <c r="BN198" s="388">
        <f t="shared" si="142"/>
        <v>1375</v>
      </c>
      <c r="BO198" s="388">
        <f t="shared" si="143"/>
        <v>0</v>
      </c>
      <c r="BP198" s="388">
        <f t="shared" si="144"/>
        <v>848.29887999999994</v>
      </c>
      <c r="BQ198" s="388">
        <f t="shared" si="145"/>
        <v>198.39248000000001</v>
      </c>
      <c r="BR198" s="388">
        <f t="shared" si="146"/>
        <v>1529.674432</v>
      </c>
      <c r="BS198" s="388">
        <f t="shared" si="147"/>
        <v>98.648950400000004</v>
      </c>
      <c r="BT198" s="388">
        <f t="shared" si="148"/>
        <v>0</v>
      </c>
      <c r="BU198" s="388">
        <f t="shared" si="149"/>
        <v>0</v>
      </c>
      <c r="BV198" s="388">
        <f t="shared" si="150"/>
        <v>53.360735999999996</v>
      </c>
      <c r="BW198" s="388">
        <f t="shared" si="151"/>
        <v>0</v>
      </c>
      <c r="BX198" s="388">
        <f t="shared" si="166"/>
        <v>2728.3754784000002</v>
      </c>
      <c r="BY198" s="388">
        <f t="shared" si="167"/>
        <v>0</v>
      </c>
      <c r="BZ198" s="388">
        <f t="shared" si="168"/>
        <v>125</v>
      </c>
      <c r="CA198" s="388">
        <f t="shared" si="169"/>
        <v>0</v>
      </c>
      <c r="CB198" s="388">
        <f t="shared" si="170"/>
        <v>0</v>
      </c>
      <c r="CC198" s="388">
        <f t="shared" si="152"/>
        <v>0</v>
      </c>
      <c r="CD198" s="388">
        <f t="shared" si="153"/>
        <v>-103.98502400000012</v>
      </c>
      <c r="CE198" s="388">
        <f t="shared" si="154"/>
        <v>0</v>
      </c>
      <c r="CF198" s="388">
        <f t="shared" si="155"/>
        <v>0</v>
      </c>
      <c r="CG198" s="388">
        <f t="shared" si="156"/>
        <v>0</v>
      </c>
      <c r="CH198" s="388">
        <f t="shared" si="157"/>
        <v>5.4728959999999969</v>
      </c>
      <c r="CI198" s="388">
        <f t="shared" si="158"/>
        <v>0</v>
      </c>
      <c r="CJ198" s="388">
        <f t="shared" si="171"/>
        <v>-98.512128000000132</v>
      </c>
      <c r="CK198" s="388" t="str">
        <f t="shared" si="172"/>
        <v/>
      </c>
      <c r="CL198" s="388" t="str">
        <f t="shared" si="173"/>
        <v/>
      </c>
      <c r="CM198" s="388" t="str">
        <f t="shared" si="174"/>
        <v/>
      </c>
      <c r="CN198" s="388" t="str">
        <f t="shared" si="175"/>
        <v>0348-95</v>
      </c>
    </row>
    <row r="199" spans="1:92" ht="15.75" thickBot="1" x14ac:dyDescent="0.3">
      <c r="A199" s="377" t="s">
        <v>162</v>
      </c>
      <c r="B199" s="377" t="s">
        <v>163</v>
      </c>
      <c r="C199" s="377" t="s">
        <v>754</v>
      </c>
      <c r="D199" s="377" t="s">
        <v>251</v>
      </c>
      <c r="E199" s="377" t="s">
        <v>637</v>
      </c>
      <c r="F199" s="383" t="s">
        <v>727</v>
      </c>
      <c r="G199" s="377" t="s">
        <v>439</v>
      </c>
      <c r="H199" s="379"/>
      <c r="I199" s="379"/>
      <c r="J199" s="377" t="s">
        <v>219</v>
      </c>
      <c r="K199" s="377" t="s">
        <v>252</v>
      </c>
      <c r="L199" s="377" t="s">
        <v>179</v>
      </c>
      <c r="M199" s="377" t="s">
        <v>172</v>
      </c>
      <c r="N199" s="377" t="s">
        <v>173</v>
      </c>
      <c r="O199" s="380">
        <v>1</v>
      </c>
      <c r="P199" s="386">
        <v>1</v>
      </c>
      <c r="Q199" s="386">
        <v>1</v>
      </c>
      <c r="R199" s="381">
        <v>80</v>
      </c>
      <c r="S199" s="386">
        <v>1</v>
      </c>
      <c r="T199" s="381">
        <v>43340.18</v>
      </c>
      <c r="U199" s="381">
        <v>0</v>
      </c>
      <c r="V199" s="381">
        <v>20828.990000000002</v>
      </c>
      <c r="W199" s="381">
        <v>42827.199999999997</v>
      </c>
      <c r="X199" s="381">
        <v>21348.5</v>
      </c>
      <c r="Y199" s="381">
        <v>42827.199999999997</v>
      </c>
      <c r="Z199" s="381">
        <v>22290.15</v>
      </c>
      <c r="AA199" s="377" t="s">
        <v>755</v>
      </c>
      <c r="AB199" s="377" t="s">
        <v>756</v>
      </c>
      <c r="AC199" s="377" t="s">
        <v>757</v>
      </c>
      <c r="AD199" s="377" t="s">
        <v>211</v>
      </c>
      <c r="AE199" s="377" t="s">
        <v>252</v>
      </c>
      <c r="AF199" s="377" t="s">
        <v>257</v>
      </c>
      <c r="AG199" s="377" t="s">
        <v>179</v>
      </c>
      <c r="AH199" s="382">
        <v>20.59</v>
      </c>
      <c r="AI199" s="382">
        <v>16980.2</v>
      </c>
      <c r="AJ199" s="377" t="s">
        <v>180</v>
      </c>
      <c r="AK199" s="377" t="s">
        <v>181</v>
      </c>
      <c r="AL199" s="377" t="s">
        <v>182</v>
      </c>
      <c r="AM199" s="377" t="s">
        <v>183</v>
      </c>
      <c r="AN199" s="377" t="s">
        <v>66</v>
      </c>
      <c r="AO199" s="380">
        <v>80</v>
      </c>
      <c r="AP199" s="386">
        <v>1</v>
      </c>
      <c r="AQ199" s="386">
        <v>1</v>
      </c>
      <c r="AR199" s="384" t="s">
        <v>184</v>
      </c>
      <c r="AS199" s="388">
        <f t="shared" si="159"/>
        <v>1</v>
      </c>
      <c r="AT199">
        <f t="shared" si="160"/>
        <v>1</v>
      </c>
      <c r="AU199" s="388">
        <f>IF(AT199=0,"",IF(AND(AT199=1,M199="F",SUMIF(C2:C258,C199,AS2:AS258)&lt;=1),SUMIF(C2:C258,C199,AS2:AS258),IF(AND(AT199=1,M199="F",SUMIF(C2:C258,C199,AS2:AS258)&gt;1),1,"")))</f>
        <v>1</v>
      </c>
      <c r="AV199" s="388" t="str">
        <f>IF(AT199=0,"",IF(AND(AT199=3,M199="F",SUMIF(C2:C258,C199,AS2:AS258)&lt;=1),SUMIF(C2:C258,C199,AS2:AS258),IF(AND(AT199=3,M199="F",SUMIF(C2:C258,C199,AS2:AS258)&gt;1),1,"")))</f>
        <v/>
      </c>
      <c r="AW199" s="388">
        <f>SUMIF(C2:C258,C199,O2:O258)</f>
        <v>1</v>
      </c>
      <c r="AX199" s="388">
        <f>IF(AND(M199="F",AS199&lt;&gt;0),SUMIF(C2:C258,C199,W2:W258),0)</f>
        <v>42827.199999999997</v>
      </c>
      <c r="AY199" s="388">
        <f t="shared" si="161"/>
        <v>42827.199999999997</v>
      </c>
      <c r="AZ199" s="388" t="str">
        <f t="shared" si="162"/>
        <v/>
      </c>
      <c r="BA199" s="388">
        <f t="shared" si="163"/>
        <v>0</v>
      </c>
      <c r="BB199" s="388">
        <f t="shared" si="132"/>
        <v>12500</v>
      </c>
      <c r="BC199" s="388">
        <f t="shared" si="133"/>
        <v>0</v>
      </c>
      <c r="BD199" s="388">
        <f t="shared" si="134"/>
        <v>2655.2864</v>
      </c>
      <c r="BE199" s="388">
        <f t="shared" si="135"/>
        <v>620.99440000000004</v>
      </c>
      <c r="BF199" s="388">
        <f t="shared" si="136"/>
        <v>5113.5676800000001</v>
      </c>
      <c r="BG199" s="388">
        <f t="shared" si="137"/>
        <v>308.78411199999999</v>
      </c>
      <c r="BH199" s="388">
        <f t="shared" si="138"/>
        <v>0</v>
      </c>
      <c r="BI199" s="388">
        <f t="shared" si="139"/>
        <v>0</v>
      </c>
      <c r="BJ199" s="388">
        <f t="shared" si="140"/>
        <v>149.89519999999999</v>
      </c>
      <c r="BK199" s="388">
        <f t="shared" si="141"/>
        <v>0</v>
      </c>
      <c r="BL199" s="388">
        <f t="shared" si="164"/>
        <v>8848.5277920000008</v>
      </c>
      <c r="BM199" s="388">
        <f t="shared" si="165"/>
        <v>0</v>
      </c>
      <c r="BN199" s="388">
        <f t="shared" si="142"/>
        <v>13750</v>
      </c>
      <c r="BO199" s="388">
        <f t="shared" si="143"/>
        <v>0</v>
      </c>
      <c r="BP199" s="388">
        <f t="shared" si="144"/>
        <v>2655.2864</v>
      </c>
      <c r="BQ199" s="388">
        <f t="shared" si="145"/>
        <v>620.99440000000004</v>
      </c>
      <c r="BR199" s="388">
        <f t="shared" si="146"/>
        <v>4788.0809599999993</v>
      </c>
      <c r="BS199" s="388">
        <f t="shared" si="147"/>
        <v>308.78411199999999</v>
      </c>
      <c r="BT199" s="388">
        <f t="shared" si="148"/>
        <v>0</v>
      </c>
      <c r="BU199" s="388">
        <f t="shared" si="149"/>
        <v>0</v>
      </c>
      <c r="BV199" s="388">
        <f t="shared" si="150"/>
        <v>167.02607999999998</v>
      </c>
      <c r="BW199" s="388">
        <f t="shared" si="151"/>
        <v>0</v>
      </c>
      <c r="BX199" s="388">
        <f t="shared" si="166"/>
        <v>8540.1719519999988</v>
      </c>
      <c r="BY199" s="388">
        <f t="shared" si="167"/>
        <v>0</v>
      </c>
      <c r="BZ199" s="388">
        <f t="shared" si="168"/>
        <v>1250</v>
      </c>
      <c r="CA199" s="388">
        <f t="shared" si="169"/>
        <v>0</v>
      </c>
      <c r="CB199" s="388">
        <f t="shared" si="170"/>
        <v>0</v>
      </c>
      <c r="CC199" s="388">
        <f t="shared" si="152"/>
        <v>0</v>
      </c>
      <c r="CD199" s="388">
        <f t="shared" si="153"/>
        <v>-325.48672000000039</v>
      </c>
      <c r="CE199" s="388">
        <f t="shared" si="154"/>
        <v>0</v>
      </c>
      <c r="CF199" s="388">
        <f t="shared" si="155"/>
        <v>0</v>
      </c>
      <c r="CG199" s="388">
        <f t="shared" si="156"/>
        <v>0</v>
      </c>
      <c r="CH199" s="388">
        <f t="shared" si="157"/>
        <v>17.130879999999987</v>
      </c>
      <c r="CI199" s="388">
        <f t="shared" si="158"/>
        <v>0</v>
      </c>
      <c r="CJ199" s="388">
        <f t="shared" si="171"/>
        <v>-308.3558400000004</v>
      </c>
      <c r="CK199" s="388" t="str">
        <f t="shared" si="172"/>
        <v/>
      </c>
      <c r="CL199" s="388" t="str">
        <f t="shared" si="173"/>
        <v/>
      </c>
      <c r="CM199" s="388" t="str">
        <f t="shared" si="174"/>
        <v/>
      </c>
      <c r="CN199" s="388" t="str">
        <f t="shared" si="175"/>
        <v>0348-95</v>
      </c>
    </row>
    <row r="200" spans="1:92" ht="15.75" thickBot="1" x14ac:dyDescent="0.3">
      <c r="A200" s="377" t="s">
        <v>162</v>
      </c>
      <c r="B200" s="377" t="s">
        <v>163</v>
      </c>
      <c r="C200" s="377" t="s">
        <v>653</v>
      </c>
      <c r="D200" s="377" t="s">
        <v>276</v>
      </c>
      <c r="E200" s="377" t="s">
        <v>637</v>
      </c>
      <c r="F200" s="383" t="s">
        <v>727</v>
      </c>
      <c r="G200" s="377" t="s">
        <v>439</v>
      </c>
      <c r="H200" s="379"/>
      <c r="I200" s="379"/>
      <c r="J200" s="377" t="s">
        <v>169</v>
      </c>
      <c r="K200" s="377" t="s">
        <v>277</v>
      </c>
      <c r="L200" s="377" t="s">
        <v>215</v>
      </c>
      <c r="M200" s="377" t="s">
        <v>172</v>
      </c>
      <c r="N200" s="377" t="s">
        <v>173</v>
      </c>
      <c r="O200" s="380">
        <v>1</v>
      </c>
      <c r="P200" s="386">
        <v>0.8</v>
      </c>
      <c r="Q200" s="386">
        <v>0.8</v>
      </c>
      <c r="R200" s="381">
        <v>80</v>
      </c>
      <c r="S200" s="386">
        <v>0.8</v>
      </c>
      <c r="T200" s="381">
        <v>32880.11</v>
      </c>
      <c r="U200" s="381">
        <v>0</v>
      </c>
      <c r="V200" s="381">
        <v>14980.75</v>
      </c>
      <c r="W200" s="381">
        <v>38138.879999999997</v>
      </c>
      <c r="X200" s="381">
        <v>17879.84</v>
      </c>
      <c r="Y200" s="381">
        <v>38138.879999999997</v>
      </c>
      <c r="Z200" s="381">
        <v>18605.240000000002</v>
      </c>
      <c r="AA200" s="377" t="s">
        <v>654</v>
      </c>
      <c r="AB200" s="377" t="s">
        <v>655</v>
      </c>
      <c r="AC200" s="377" t="s">
        <v>656</v>
      </c>
      <c r="AD200" s="377" t="s">
        <v>657</v>
      </c>
      <c r="AE200" s="377" t="s">
        <v>277</v>
      </c>
      <c r="AF200" s="377" t="s">
        <v>231</v>
      </c>
      <c r="AG200" s="377" t="s">
        <v>179</v>
      </c>
      <c r="AH200" s="382">
        <v>22.92</v>
      </c>
      <c r="AI200" s="382">
        <v>5964.9</v>
      </c>
      <c r="AJ200" s="377" t="s">
        <v>180</v>
      </c>
      <c r="AK200" s="377" t="s">
        <v>181</v>
      </c>
      <c r="AL200" s="377" t="s">
        <v>182</v>
      </c>
      <c r="AM200" s="377" t="s">
        <v>183</v>
      </c>
      <c r="AN200" s="377" t="s">
        <v>66</v>
      </c>
      <c r="AO200" s="380">
        <v>80</v>
      </c>
      <c r="AP200" s="386">
        <v>1</v>
      </c>
      <c r="AQ200" s="386">
        <v>0.8</v>
      </c>
      <c r="AR200" s="384" t="s">
        <v>184</v>
      </c>
      <c r="AS200" s="388">
        <f t="shared" si="159"/>
        <v>0.8</v>
      </c>
      <c r="AT200">
        <f t="shared" si="160"/>
        <v>1</v>
      </c>
      <c r="AU200" s="388">
        <f>IF(AT200=0,"",IF(AND(AT200=1,M200="F",SUMIF(C2:C258,C200,AS2:AS258)&lt;=1),SUMIF(C2:C258,C200,AS2:AS258),IF(AND(AT200=1,M200="F",SUMIF(C2:C258,C200,AS2:AS258)&gt;1),1,"")))</f>
        <v>1</v>
      </c>
      <c r="AV200" s="388" t="str">
        <f>IF(AT200=0,"",IF(AND(AT200=3,M200="F",SUMIF(C2:C258,C200,AS2:AS258)&lt;=1),SUMIF(C2:C258,C200,AS2:AS258),IF(AND(AT200=3,M200="F",SUMIF(C2:C258,C200,AS2:AS258)&gt;1),1,"")))</f>
        <v/>
      </c>
      <c r="AW200" s="388">
        <f>SUMIF(C2:C258,C200,O2:O258)</f>
        <v>2</v>
      </c>
      <c r="AX200" s="388">
        <f>IF(AND(M200="F",AS200&lt;&gt;0),SUMIF(C2:C258,C200,W2:W258),0)</f>
        <v>47673.599999999999</v>
      </c>
      <c r="AY200" s="388">
        <f t="shared" si="161"/>
        <v>38138.879999999997</v>
      </c>
      <c r="AZ200" s="388" t="str">
        <f t="shared" si="162"/>
        <v/>
      </c>
      <c r="BA200" s="388">
        <f t="shared" si="163"/>
        <v>0</v>
      </c>
      <c r="BB200" s="388">
        <f t="shared" si="132"/>
        <v>10000</v>
      </c>
      <c r="BC200" s="388">
        <f t="shared" si="133"/>
        <v>0</v>
      </c>
      <c r="BD200" s="388">
        <f t="shared" si="134"/>
        <v>2364.6105599999996</v>
      </c>
      <c r="BE200" s="388">
        <f t="shared" si="135"/>
        <v>553.01375999999993</v>
      </c>
      <c r="BF200" s="388">
        <f t="shared" si="136"/>
        <v>4553.7822720000004</v>
      </c>
      <c r="BG200" s="388">
        <f t="shared" si="137"/>
        <v>274.98132479999998</v>
      </c>
      <c r="BH200" s="388">
        <f t="shared" si="138"/>
        <v>0</v>
      </c>
      <c r="BI200" s="388">
        <f t="shared" si="139"/>
        <v>0</v>
      </c>
      <c r="BJ200" s="388">
        <f t="shared" si="140"/>
        <v>133.48607999999999</v>
      </c>
      <c r="BK200" s="388">
        <f t="shared" si="141"/>
        <v>0</v>
      </c>
      <c r="BL200" s="388">
        <f t="shared" si="164"/>
        <v>7879.8739967999991</v>
      </c>
      <c r="BM200" s="388">
        <f t="shared" si="165"/>
        <v>0</v>
      </c>
      <c r="BN200" s="388">
        <f t="shared" si="142"/>
        <v>11000</v>
      </c>
      <c r="BO200" s="388">
        <f t="shared" si="143"/>
        <v>0</v>
      </c>
      <c r="BP200" s="388">
        <f t="shared" si="144"/>
        <v>2364.6105599999996</v>
      </c>
      <c r="BQ200" s="388">
        <f t="shared" si="145"/>
        <v>553.01375999999993</v>
      </c>
      <c r="BR200" s="388">
        <f t="shared" si="146"/>
        <v>4263.9267839999993</v>
      </c>
      <c r="BS200" s="388">
        <f t="shared" si="147"/>
        <v>274.98132479999998</v>
      </c>
      <c r="BT200" s="388">
        <f t="shared" si="148"/>
        <v>0</v>
      </c>
      <c r="BU200" s="388">
        <f t="shared" si="149"/>
        <v>0</v>
      </c>
      <c r="BV200" s="388">
        <f t="shared" si="150"/>
        <v>148.74163199999998</v>
      </c>
      <c r="BW200" s="388">
        <f t="shared" si="151"/>
        <v>0</v>
      </c>
      <c r="BX200" s="388">
        <f t="shared" si="166"/>
        <v>7605.2740607999986</v>
      </c>
      <c r="BY200" s="388">
        <f t="shared" si="167"/>
        <v>0</v>
      </c>
      <c r="BZ200" s="388">
        <f t="shared" si="168"/>
        <v>1000</v>
      </c>
      <c r="CA200" s="388">
        <f t="shared" si="169"/>
        <v>0</v>
      </c>
      <c r="CB200" s="388">
        <f t="shared" si="170"/>
        <v>0</v>
      </c>
      <c r="CC200" s="388">
        <f t="shared" si="152"/>
        <v>0</v>
      </c>
      <c r="CD200" s="388">
        <f t="shared" si="153"/>
        <v>-289.85548800000032</v>
      </c>
      <c r="CE200" s="388">
        <f t="shared" si="154"/>
        <v>0</v>
      </c>
      <c r="CF200" s="388">
        <f t="shared" si="155"/>
        <v>0</v>
      </c>
      <c r="CG200" s="388">
        <f t="shared" si="156"/>
        <v>0</v>
      </c>
      <c r="CH200" s="388">
        <f t="shared" si="157"/>
        <v>15.255551999999989</v>
      </c>
      <c r="CI200" s="388">
        <f t="shared" si="158"/>
        <v>0</v>
      </c>
      <c r="CJ200" s="388">
        <f t="shared" si="171"/>
        <v>-274.59993600000035</v>
      </c>
      <c r="CK200" s="388" t="str">
        <f t="shared" si="172"/>
        <v/>
      </c>
      <c r="CL200" s="388" t="str">
        <f t="shared" si="173"/>
        <v/>
      </c>
      <c r="CM200" s="388" t="str">
        <f t="shared" si="174"/>
        <v/>
      </c>
      <c r="CN200" s="388" t="str">
        <f t="shared" si="175"/>
        <v>0348-95</v>
      </c>
    </row>
    <row r="201" spans="1:92" ht="15.75" thickBot="1" x14ac:dyDescent="0.3">
      <c r="A201" s="377" t="s">
        <v>162</v>
      </c>
      <c r="B201" s="377" t="s">
        <v>163</v>
      </c>
      <c r="C201" s="377" t="s">
        <v>537</v>
      </c>
      <c r="D201" s="377" t="s">
        <v>194</v>
      </c>
      <c r="E201" s="377" t="s">
        <v>637</v>
      </c>
      <c r="F201" s="383" t="s">
        <v>727</v>
      </c>
      <c r="G201" s="377" t="s">
        <v>439</v>
      </c>
      <c r="H201" s="379"/>
      <c r="I201" s="379"/>
      <c r="J201" s="377" t="s">
        <v>169</v>
      </c>
      <c r="K201" s="377" t="s">
        <v>226</v>
      </c>
      <c r="L201" s="377" t="s">
        <v>215</v>
      </c>
      <c r="M201" s="377" t="s">
        <v>172</v>
      </c>
      <c r="N201" s="377" t="s">
        <v>173</v>
      </c>
      <c r="O201" s="380">
        <v>1</v>
      </c>
      <c r="P201" s="386">
        <v>0.9</v>
      </c>
      <c r="Q201" s="386">
        <v>0.9</v>
      </c>
      <c r="R201" s="381">
        <v>80</v>
      </c>
      <c r="S201" s="386">
        <v>0.9</v>
      </c>
      <c r="T201" s="381">
        <v>37478.58</v>
      </c>
      <c r="U201" s="381">
        <v>0</v>
      </c>
      <c r="V201" s="381">
        <v>18273.91</v>
      </c>
      <c r="W201" s="381">
        <v>42531.839999999997</v>
      </c>
      <c r="X201" s="381">
        <v>20037.48</v>
      </c>
      <c r="Y201" s="381">
        <v>42531.839999999997</v>
      </c>
      <c r="Z201" s="381">
        <v>20856.240000000002</v>
      </c>
      <c r="AA201" s="377" t="s">
        <v>538</v>
      </c>
      <c r="AB201" s="377" t="s">
        <v>539</v>
      </c>
      <c r="AC201" s="377" t="s">
        <v>540</v>
      </c>
      <c r="AD201" s="377" t="s">
        <v>395</v>
      </c>
      <c r="AE201" s="377" t="s">
        <v>226</v>
      </c>
      <c r="AF201" s="377" t="s">
        <v>231</v>
      </c>
      <c r="AG201" s="377" t="s">
        <v>179</v>
      </c>
      <c r="AH201" s="382">
        <v>22.72</v>
      </c>
      <c r="AI201" s="382">
        <v>483.3</v>
      </c>
      <c r="AJ201" s="377" t="s">
        <v>180</v>
      </c>
      <c r="AK201" s="377" t="s">
        <v>181</v>
      </c>
      <c r="AL201" s="377" t="s">
        <v>182</v>
      </c>
      <c r="AM201" s="377" t="s">
        <v>183</v>
      </c>
      <c r="AN201" s="377" t="s">
        <v>66</v>
      </c>
      <c r="AO201" s="380">
        <v>80</v>
      </c>
      <c r="AP201" s="386">
        <v>1</v>
      </c>
      <c r="AQ201" s="386">
        <v>0.9</v>
      </c>
      <c r="AR201" s="384" t="s">
        <v>184</v>
      </c>
      <c r="AS201" s="388">
        <f t="shared" si="159"/>
        <v>0.9</v>
      </c>
      <c r="AT201">
        <f t="shared" si="160"/>
        <v>1</v>
      </c>
      <c r="AU201" s="388">
        <f>IF(AT201=0,"",IF(AND(AT201=1,M201="F",SUMIF(C2:C258,C201,AS2:AS258)&lt;=1),SUMIF(C2:C258,C201,AS2:AS258),IF(AND(AT201=1,M201="F",SUMIF(C2:C258,C201,AS2:AS258)&gt;1),1,"")))</f>
        <v>1</v>
      </c>
      <c r="AV201" s="388" t="str">
        <f>IF(AT201=0,"",IF(AND(AT201=3,M201="F",SUMIF(C2:C258,C201,AS2:AS258)&lt;=1),SUMIF(C2:C258,C201,AS2:AS258),IF(AND(AT201=3,M201="F",SUMIF(C2:C258,C201,AS2:AS258)&gt;1),1,"")))</f>
        <v/>
      </c>
      <c r="AW201" s="388">
        <f>SUMIF(C2:C258,C201,O2:O258)</f>
        <v>3</v>
      </c>
      <c r="AX201" s="388">
        <f>IF(AND(M201="F",AS201&lt;&gt;0),SUMIF(C2:C258,C201,W2:W258),0)</f>
        <v>47257.599999999999</v>
      </c>
      <c r="AY201" s="388">
        <f t="shared" si="161"/>
        <v>42531.839999999997</v>
      </c>
      <c r="AZ201" s="388" t="str">
        <f t="shared" si="162"/>
        <v/>
      </c>
      <c r="BA201" s="388">
        <f t="shared" si="163"/>
        <v>0</v>
      </c>
      <c r="BB201" s="388">
        <f t="shared" si="132"/>
        <v>11250</v>
      </c>
      <c r="BC201" s="388">
        <f t="shared" si="133"/>
        <v>0</v>
      </c>
      <c r="BD201" s="388">
        <f t="shared" si="134"/>
        <v>2636.97408</v>
      </c>
      <c r="BE201" s="388">
        <f t="shared" si="135"/>
        <v>616.71168</v>
      </c>
      <c r="BF201" s="388">
        <f t="shared" si="136"/>
        <v>5078.3016959999995</v>
      </c>
      <c r="BG201" s="388">
        <f t="shared" si="137"/>
        <v>306.65456639999996</v>
      </c>
      <c r="BH201" s="388">
        <f t="shared" si="138"/>
        <v>0</v>
      </c>
      <c r="BI201" s="388">
        <f t="shared" si="139"/>
        <v>0</v>
      </c>
      <c r="BJ201" s="388">
        <f t="shared" si="140"/>
        <v>148.86143999999999</v>
      </c>
      <c r="BK201" s="388">
        <f t="shared" si="141"/>
        <v>0</v>
      </c>
      <c r="BL201" s="388">
        <f t="shared" si="164"/>
        <v>8787.5034624</v>
      </c>
      <c r="BM201" s="388">
        <f t="shared" si="165"/>
        <v>0</v>
      </c>
      <c r="BN201" s="388">
        <f t="shared" si="142"/>
        <v>12375</v>
      </c>
      <c r="BO201" s="388">
        <f t="shared" si="143"/>
        <v>0</v>
      </c>
      <c r="BP201" s="388">
        <f t="shared" si="144"/>
        <v>2636.97408</v>
      </c>
      <c r="BQ201" s="388">
        <f t="shared" si="145"/>
        <v>616.71168</v>
      </c>
      <c r="BR201" s="388">
        <f t="shared" si="146"/>
        <v>4755.0597119999993</v>
      </c>
      <c r="BS201" s="388">
        <f t="shared" si="147"/>
        <v>306.65456639999996</v>
      </c>
      <c r="BT201" s="388">
        <f t="shared" si="148"/>
        <v>0</v>
      </c>
      <c r="BU201" s="388">
        <f t="shared" si="149"/>
        <v>0</v>
      </c>
      <c r="BV201" s="388">
        <f t="shared" si="150"/>
        <v>165.87417599999998</v>
      </c>
      <c r="BW201" s="388">
        <f t="shared" si="151"/>
        <v>0</v>
      </c>
      <c r="BX201" s="388">
        <f t="shared" si="166"/>
        <v>8481.2742143999985</v>
      </c>
      <c r="BY201" s="388">
        <f t="shared" si="167"/>
        <v>0</v>
      </c>
      <c r="BZ201" s="388">
        <f t="shared" si="168"/>
        <v>1125</v>
      </c>
      <c r="CA201" s="388">
        <f t="shared" si="169"/>
        <v>0</v>
      </c>
      <c r="CB201" s="388">
        <f t="shared" si="170"/>
        <v>0</v>
      </c>
      <c r="CC201" s="388">
        <f t="shared" si="152"/>
        <v>0</v>
      </c>
      <c r="CD201" s="388">
        <f t="shared" si="153"/>
        <v>-323.2419840000004</v>
      </c>
      <c r="CE201" s="388">
        <f t="shared" si="154"/>
        <v>0</v>
      </c>
      <c r="CF201" s="388">
        <f t="shared" si="155"/>
        <v>0</v>
      </c>
      <c r="CG201" s="388">
        <f t="shared" si="156"/>
        <v>0</v>
      </c>
      <c r="CH201" s="388">
        <f t="shared" si="157"/>
        <v>17.01273599999999</v>
      </c>
      <c r="CI201" s="388">
        <f t="shared" si="158"/>
        <v>0</v>
      </c>
      <c r="CJ201" s="388">
        <f t="shared" si="171"/>
        <v>-306.22924800000044</v>
      </c>
      <c r="CK201" s="388" t="str">
        <f t="shared" si="172"/>
        <v/>
      </c>
      <c r="CL201" s="388" t="str">
        <f t="shared" si="173"/>
        <v/>
      </c>
      <c r="CM201" s="388" t="str">
        <f t="shared" si="174"/>
        <v/>
      </c>
      <c r="CN201" s="388" t="str">
        <f t="shared" si="175"/>
        <v>0348-95</v>
      </c>
    </row>
    <row r="202" spans="1:92" ht="15.75" thickBot="1" x14ac:dyDescent="0.3">
      <c r="A202" s="377" t="s">
        <v>162</v>
      </c>
      <c r="B202" s="377" t="s">
        <v>163</v>
      </c>
      <c r="C202" s="377" t="s">
        <v>678</v>
      </c>
      <c r="D202" s="377" t="s">
        <v>282</v>
      </c>
      <c r="E202" s="377" t="s">
        <v>637</v>
      </c>
      <c r="F202" s="383" t="s">
        <v>727</v>
      </c>
      <c r="G202" s="377" t="s">
        <v>439</v>
      </c>
      <c r="H202" s="379"/>
      <c r="I202" s="379"/>
      <c r="J202" s="377" t="s">
        <v>547</v>
      </c>
      <c r="K202" s="377" t="s">
        <v>244</v>
      </c>
      <c r="L202" s="377" t="s">
        <v>167</v>
      </c>
      <c r="M202" s="377" t="s">
        <v>395</v>
      </c>
      <c r="N202" s="377" t="s">
        <v>173</v>
      </c>
      <c r="O202" s="380">
        <v>0</v>
      </c>
      <c r="P202" s="386">
        <v>0.35</v>
      </c>
      <c r="Q202" s="386">
        <v>0.35</v>
      </c>
      <c r="R202" s="381">
        <v>80</v>
      </c>
      <c r="S202" s="386">
        <v>0.35</v>
      </c>
      <c r="T202" s="381">
        <v>35169.29</v>
      </c>
      <c r="U202" s="381">
        <v>0</v>
      </c>
      <c r="V202" s="381">
        <v>11553.84</v>
      </c>
      <c r="W202" s="381">
        <v>29534.959999999999</v>
      </c>
      <c r="X202" s="381">
        <v>13290.72</v>
      </c>
      <c r="Y202" s="381">
        <v>29534.959999999999</v>
      </c>
      <c r="Z202" s="381">
        <v>13763.28</v>
      </c>
      <c r="AA202" s="379"/>
      <c r="AB202" s="377" t="s">
        <v>45</v>
      </c>
      <c r="AC202" s="377" t="s">
        <v>45</v>
      </c>
      <c r="AD202" s="379"/>
      <c r="AE202" s="379"/>
      <c r="AF202" s="379"/>
      <c r="AG202" s="379"/>
      <c r="AH202" s="380">
        <v>0</v>
      </c>
      <c r="AI202" s="380">
        <v>0</v>
      </c>
      <c r="AJ202" s="379"/>
      <c r="AK202" s="379"/>
      <c r="AL202" s="377" t="s">
        <v>182</v>
      </c>
      <c r="AM202" s="379"/>
      <c r="AN202" s="379"/>
      <c r="AO202" s="380">
        <v>0</v>
      </c>
      <c r="AP202" s="386">
        <v>0</v>
      </c>
      <c r="AQ202" s="386">
        <v>0</v>
      </c>
      <c r="AR202" s="385"/>
      <c r="AS202" s="388">
        <f t="shared" si="159"/>
        <v>0</v>
      </c>
      <c r="AT202">
        <f t="shared" si="160"/>
        <v>0</v>
      </c>
      <c r="AU202" s="388" t="str">
        <f>IF(AT202=0,"",IF(AND(AT202=1,M202="F",SUMIF(C2:C258,C202,AS2:AS258)&lt;=1),SUMIF(C2:C258,C202,AS2:AS258),IF(AND(AT202=1,M202="F",SUMIF(C2:C258,C202,AS2:AS258)&gt;1),1,"")))</f>
        <v/>
      </c>
      <c r="AV202" s="388" t="str">
        <f>IF(AT202=0,"",IF(AND(AT202=3,M202="F",SUMIF(C2:C258,C202,AS2:AS258)&lt;=1),SUMIF(C2:C258,C202,AS2:AS258),IF(AND(AT202=3,M202="F",SUMIF(C2:C258,C202,AS2:AS258)&gt;1),1,"")))</f>
        <v/>
      </c>
      <c r="AW202" s="388">
        <f>SUMIF(C2:C258,C202,O2:O258)</f>
        <v>0</v>
      </c>
      <c r="AX202" s="388">
        <f>IF(AND(M202="F",AS202&lt;&gt;0),SUMIF(C2:C258,C202,W2:W258),0)</f>
        <v>0</v>
      </c>
      <c r="AY202" s="388" t="str">
        <f t="shared" si="161"/>
        <v/>
      </c>
      <c r="AZ202" s="388" t="str">
        <f t="shared" si="162"/>
        <v/>
      </c>
      <c r="BA202" s="388">
        <f t="shared" si="163"/>
        <v>0</v>
      </c>
      <c r="BB202" s="388">
        <f t="shared" si="132"/>
        <v>0</v>
      </c>
      <c r="BC202" s="388">
        <f t="shared" si="133"/>
        <v>0</v>
      </c>
      <c r="BD202" s="388">
        <f t="shared" si="134"/>
        <v>0</v>
      </c>
      <c r="BE202" s="388">
        <f t="shared" si="135"/>
        <v>0</v>
      </c>
      <c r="BF202" s="388">
        <f t="shared" si="136"/>
        <v>0</v>
      </c>
      <c r="BG202" s="388">
        <f t="shared" si="137"/>
        <v>0</v>
      </c>
      <c r="BH202" s="388">
        <f t="shared" si="138"/>
        <v>0</v>
      </c>
      <c r="BI202" s="388">
        <f t="shared" si="139"/>
        <v>0</v>
      </c>
      <c r="BJ202" s="388">
        <f t="shared" si="140"/>
        <v>0</v>
      </c>
      <c r="BK202" s="388">
        <f t="shared" si="141"/>
        <v>0</v>
      </c>
      <c r="BL202" s="388">
        <f t="shared" si="164"/>
        <v>0</v>
      </c>
      <c r="BM202" s="388">
        <f t="shared" si="165"/>
        <v>0</v>
      </c>
      <c r="BN202" s="388">
        <f t="shared" si="142"/>
        <v>0</v>
      </c>
      <c r="BO202" s="388">
        <f t="shared" si="143"/>
        <v>0</v>
      </c>
      <c r="BP202" s="388">
        <f t="shared" si="144"/>
        <v>0</v>
      </c>
      <c r="BQ202" s="388">
        <f t="shared" si="145"/>
        <v>0</v>
      </c>
      <c r="BR202" s="388">
        <f t="shared" si="146"/>
        <v>0</v>
      </c>
      <c r="BS202" s="388">
        <f t="shared" si="147"/>
        <v>0</v>
      </c>
      <c r="BT202" s="388">
        <f t="shared" si="148"/>
        <v>0</v>
      </c>
      <c r="BU202" s="388">
        <f t="shared" si="149"/>
        <v>0</v>
      </c>
      <c r="BV202" s="388">
        <f t="shared" si="150"/>
        <v>0</v>
      </c>
      <c r="BW202" s="388">
        <f t="shared" si="151"/>
        <v>0</v>
      </c>
      <c r="BX202" s="388">
        <f t="shared" si="166"/>
        <v>0</v>
      </c>
      <c r="BY202" s="388">
        <f t="shared" si="167"/>
        <v>0</v>
      </c>
      <c r="BZ202" s="388">
        <f t="shared" si="168"/>
        <v>0</v>
      </c>
      <c r="CA202" s="388">
        <f t="shared" si="169"/>
        <v>0</v>
      </c>
      <c r="CB202" s="388">
        <f t="shared" si="170"/>
        <v>0</v>
      </c>
      <c r="CC202" s="388">
        <f t="shared" si="152"/>
        <v>0</v>
      </c>
      <c r="CD202" s="388">
        <f t="shared" si="153"/>
        <v>0</v>
      </c>
      <c r="CE202" s="388">
        <f t="shared" si="154"/>
        <v>0</v>
      </c>
      <c r="CF202" s="388">
        <f t="shared" si="155"/>
        <v>0</v>
      </c>
      <c r="CG202" s="388">
        <f t="shared" si="156"/>
        <v>0</v>
      </c>
      <c r="CH202" s="388">
        <f t="shared" si="157"/>
        <v>0</v>
      </c>
      <c r="CI202" s="388">
        <f t="shared" si="158"/>
        <v>0</v>
      </c>
      <c r="CJ202" s="388">
        <f t="shared" si="171"/>
        <v>0</v>
      </c>
      <c r="CK202" s="388" t="str">
        <f t="shared" si="172"/>
        <v/>
      </c>
      <c r="CL202" s="388" t="str">
        <f t="shared" si="173"/>
        <v/>
      </c>
      <c r="CM202" s="388" t="str">
        <f t="shared" si="174"/>
        <v/>
      </c>
      <c r="CN202" s="388" t="str">
        <f t="shared" si="175"/>
        <v>0348-95</v>
      </c>
    </row>
    <row r="203" spans="1:92" ht="15.75" thickBot="1" x14ac:dyDescent="0.3">
      <c r="A203" s="377" t="s">
        <v>162</v>
      </c>
      <c r="B203" s="377" t="s">
        <v>163</v>
      </c>
      <c r="C203" s="377" t="s">
        <v>424</v>
      </c>
      <c r="D203" s="377" t="s">
        <v>276</v>
      </c>
      <c r="E203" s="377" t="s">
        <v>637</v>
      </c>
      <c r="F203" s="383" t="s">
        <v>727</v>
      </c>
      <c r="G203" s="377" t="s">
        <v>439</v>
      </c>
      <c r="H203" s="379"/>
      <c r="I203" s="379"/>
      <c r="J203" s="377" t="s">
        <v>219</v>
      </c>
      <c r="K203" s="377" t="s">
        <v>277</v>
      </c>
      <c r="L203" s="377" t="s">
        <v>215</v>
      </c>
      <c r="M203" s="377" t="s">
        <v>172</v>
      </c>
      <c r="N203" s="377" t="s">
        <v>173</v>
      </c>
      <c r="O203" s="380">
        <v>1</v>
      </c>
      <c r="P203" s="386">
        <v>0</v>
      </c>
      <c r="Q203" s="386">
        <v>0</v>
      </c>
      <c r="R203" s="381">
        <v>80</v>
      </c>
      <c r="S203" s="386">
        <v>0</v>
      </c>
      <c r="T203" s="381">
        <v>0</v>
      </c>
      <c r="U203" s="381">
        <v>0</v>
      </c>
      <c r="V203" s="381">
        <v>18.47</v>
      </c>
      <c r="W203" s="381">
        <v>0</v>
      </c>
      <c r="X203" s="381">
        <v>0</v>
      </c>
      <c r="Y203" s="381">
        <v>0</v>
      </c>
      <c r="Z203" s="381">
        <v>0</v>
      </c>
      <c r="AA203" s="377" t="s">
        <v>425</v>
      </c>
      <c r="AB203" s="377" t="s">
        <v>426</v>
      </c>
      <c r="AC203" s="377" t="s">
        <v>427</v>
      </c>
      <c r="AD203" s="377" t="s">
        <v>428</v>
      </c>
      <c r="AE203" s="377" t="s">
        <v>277</v>
      </c>
      <c r="AF203" s="377" t="s">
        <v>231</v>
      </c>
      <c r="AG203" s="377" t="s">
        <v>179</v>
      </c>
      <c r="AH203" s="382">
        <v>24.43</v>
      </c>
      <c r="AI203" s="382">
        <v>12251.5</v>
      </c>
      <c r="AJ203" s="377" t="s">
        <v>180</v>
      </c>
      <c r="AK203" s="377" t="s">
        <v>181</v>
      </c>
      <c r="AL203" s="377" t="s">
        <v>182</v>
      </c>
      <c r="AM203" s="377" t="s">
        <v>183</v>
      </c>
      <c r="AN203" s="377" t="s">
        <v>66</v>
      </c>
      <c r="AO203" s="380">
        <v>80</v>
      </c>
      <c r="AP203" s="386">
        <v>1</v>
      </c>
      <c r="AQ203" s="386">
        <v>0</v>
      </c>
      <c r="AR203" s="384" t="s">
        <v>184</v>
      </c>
      <c r="AS203" s="388">
        <f t="shared" si="159"/>
        <v>0</v>
      </c>
      <c r="AT203">
        <f t="shared" si="160"/>
        <v>0</v>
      </c>
      <c r="AU203" s="388" t="str">
        <f>IF(AT203=0,"",IF(AND(AT203=1,M203="F",SUMIF(C2:C258,C203,AS2:AS258)&lt;=1),SUMIF(C2:C258,C203,AS2:AS258),IF(AND(AT203=1,M203="F",SUMIF(C2:C258,C203,AS2:AS258)&gt;1),1,"")))</f>
        <v/>
      </c>
      <c r="AV203" s="388" t="str">
        <f>IF(AT203=0,"",IF(AND(AT203=3,M203="F",SUMIF(C2:C258,C203,AS2:AS258)&lt;=1),SUMIF(C2:C258,C203,AS2:AS258),IF(AND(AT203=3,M203="F",SUMIF(C2:C258,C203,AS2:AS258)&gt;1),1,"")))</f>
        <v/>
      </c>
      <c r="AW203" s="388">
        <f>SUMIF(C2:C258,C203,O2:O258)</f>
        <v>2</v>
      </c>
      <c r="AX203" s="388">
        <f>IF(AND(M203="F",AS203&lt;&gt;0),SUMIF(C2:C258,C203,W2:W258),0)</f>
        <v>0</v>
      </c>
      <c r="AY203" s="388" t="str">
        <f t="shared" si="161"/>
        <v/>
      </c>
      <c r="AZ203" s="388" t="str">
        <f t="shared" si="162"/>
        <v/>
      </c>
      <c r="BA203" s="388">
        <f t="shared" si="163"/>
        <v>0</v>
      </c>
      <c r="BB203" s="388">
        <f t="shared" si="132"/>
        <v>0</v>
      </c>
      <c r="BC203" s="388">
        <f t="shared" si="133"/>
        <v>0</v>
      </c>
      <c r="BD203" s="388">
        <f t="shared" si="134"/>
        <v>0</v>
      </c>
      <c r="BE203" s="388">
        <f t="shared" si="135"/>
        <v>0</v>
      </c>
      <c r="BF203" s="388">
        <f t="shared" si="136"/>
        <v>0</v>
      </c>
      <c r="BG203" s="388">
        <f t="shared" si="137"/>
        <v>0</v>
      </c>
      <c r="BH203" s="388">
        <f t="shared" si="138"/>
        <v>0</v>
      </c>
      <c r="BI203" s="388">
        <f t="shared" si="139"/>
        <v>0</v>
      </c>
      <c r="BJ203" s="388">
        <f t="shared" si="140"/>
        <v>0</v>
      </c>
      <c r="BK203" s="388">
        <f t="shared" si="141"/>
        <v>0</v>
      </c>
      <c r="BL203" s="388">
        <f t="shared" si="164"/>
        <v>0</v>
      </c>
      <c r="BM203" s="388">
        <f t="shared" si="165"/>
        <v>0</v>
      </c>
      <c r="BN203" s="388">
        <f t="shared" si="142"/>
        <v>0</v>
      </c>
      <c r="BO203" s="388">
        <f t="shared" si="143"/>
        <v>0</v>
      </c>
      <c r="BP203" s="388">
        <f t="shared" si="144"/>
        <v>0</v>
      </c>
      <c r="BQ203" s="388">
        <f t="shared" si="145"/>
        <v>0</v>
      </c>
      <c r="BR203" s="388">
        <f t="shared" si="146"/>
        <v>0</v>
      </c>
      <c r="BS203" s="388">
        <f t="shared" si="147"/>
        <v>0</v>
      </c>
      <c r="BT203" s="388">
        <f t="shared" si="148"/>
        <v>0</v>
      </c>
      <c r="BU203" s="388">
        <f t="shared" si="149"/>
        <v>0</v>
      </c>
      <c r="BV203" s="388">
        <f t="shared" si="150"/>
        <v>0</v>
      </c>
      <c r="BW203" s="388">
        <f t="shared" si="151"/>
        <v>0</v>
      </c>
      <c r="BX203" s="388">
        <f t="shared" si="166"/>
        <v>0</v>
      </c>
      <c r="BY203" s="388">
        <f t="shared" si="167"/>
        <v>0</v>
      </c>
      <c r="BZ203" s="388">
        <f t="shared" si="168"/>
        <v>0</v>
      </c>
      <c r="CA203" s="388">
        <f t="shared" si="169"/>
        <v>0</v>
      </c>
      <c r="CB203" s="388">
        <f t="shared" si="170"/>
        <v>0</v>
      </c>
      <c r="CC203" s="388">
        <f t="shared" si="152"/>
        <v>0</v>
      </c>
      <c r="CD203" s="388">
        <f t="shared" si="153"/>
        <v>0</v>
      </c>
      <c r="CE203" s="388">
        <f t="shared" si="154"/>
        <v>0</v>
      </c>
      <c r="CF203" s="388">
        <f t="shared" si="155"/>
        <v>0</v>
      </c>
      <c r="CG203" s="388">
        <f t="shared" si="156"/>
        <v>0</v>
      </c>
      <c r="CH203" s="388">
        <f t="shared" si="157"/>
        <v>0</v>
      </c>
      <c r="CI203" s="388">
        <f t="shared" si="158"/>
        <v>0</v>
      </c>
      <c r="CJ203" s="388">
        <f t="shared" si="171"/>
        <v>0</v>
      </c>
      <c r="CK203" s="388" t="str">
        <f t="shared" si="172"/>
        <v/>
      </c>
      <c r="CL203" s="388" t="str">
        <f t="shared" si="173"/>
        <v/>
      </c>
      <c r="CM203" s="388" t="str">
        <f t="shared" si="174"/>
        <v/>
      </c>
      <c r="CN203" s="388" t="str">
        <f t="shared" si="175"/>
        <v>0348-95</v>
      </c>
    </row>
    <row r="204" spans="1:92" ht="15.75" thickBot="1" x14ac:dyDescent="0.3">
      <c r="A204" s="377" t="s">
        <v>162</v>
      </c>
      <c r="B204" s="377" t="s">
        <v>163</v>
      </c>
      <c r="C204" s="377" t="s">
        <v>281</v>
      </c>
      <c r="D204" s="377" t="s">
        <v>282</v>
      </c>
      <c r="E204" s="377" t="s">
        <v>637</v>
      </c>
      <c r="F204" s="383" t="s">
        <v>727</v>
      </c>
      <c r="G204" s="377" t="s">
        <v>439</v>
      </c>
      <c r="H204" s="379"/>
      <c r="I204" s="379"/>
      <c r="J204" s="377" t="s">
        <v>283</v>
      </c>
      <c r="K204" s="377" t="s">
        <v>244</v>
      </c>
      <c r="L204" s="377" t="s">
        <v>167</v>
      </c>
      <c r="M204" s="377" t="s">
        <v>172</v>
      </c>
      <c r="N204" s="377" t="s">
        <v>173</v>
      </c>
      <c r="O204" s="380">
        <v>1</v>
      </c>
      <c r="P204" s="386">
        <v>0.15</v>
      </c>
      <c r="Q204" s="386">
        <v>0.15</v>
      </c>
      <c r="R204" s="381">
        <v>80</v>
      </c>
      <c r="S204" s="386">
        <v>0.15</v>
      </c>
      <c r="T204" s="381">
        <v>13157.42</v>
      </c>
      <c r="U204" s="381">
        <v>0</v>
      </c>
      <c r="V204" s="381">
        <v>4422.1899999999996</v>
      </c>
      <c r="W204" s="381">
        <v>13612.56</v>
      </c>
      <c r="X204" s="381">
        <v>4687.4799999999996</v>
      </c>
      <c r="Y204" s="381">
        <v>13612.56</v>
      </c>
      <c r="Z204" s="381">
        <v>4776.97</v>
      </c>
      <c r="AA204" s="377" t="s">
        <v>284</v>
      </c>
      <c r="AB204" s="377" t="s">
        <v>242</v>
      </c>
      <c r="AC204" s="377" t="s">
        <v>285</v>
      </c>
      <c r="AD204" s="377" t="s">
        <v>286</v>
      </c>
      <c r="AE204" s="377" t="s">
        <v>244</v>
      </c>
      <c r="AF204" s="377" t="s">
        <v>207</v>
      </c>
      <c r="AG204" s="377" t="s">
        <v>179</v>
      </c>
      <c r="AH204" s="382">
        <v>43.63</v>
      </c>
      <c r="AI204" s="382">
        <v>10567.1</v>
      </c>
      <c r="AJ204" s="377" t="s">
        <v>180</v>
      </c>
      <c r="AK204" s="377" t="s">
        <v>181</v>
      </c>
      <c r="AL204" s="377" t="s">
        <v>182</v>
      </c>
      <c r="AM204" s="377" t="s">
        <v>183</v>
      </c>
      <c r="AN204" s="377" t="s">
        <v>66</v>
      </c>
      <c r="AO204" s="380">
        <v>80</v>
      </c>
      <c r="AP204" s="386">
        <v>1</v>
      </c>
      <c r="AQ204" s="386">
        <v>0.15</v>
      </c>
      <c r="AR204" s="384" t="s">
        <v>184</v>
      </c>
      <c r="AS204" s="388">
        <f t="shared" si="159"/>
        <v>0.15</v>
      </c>
      <c r="AT204">
        <f t="shared" si="160"/>
        <v>1</v>
      </c>
      <c r="AU204" s="388">
        <f>IF(AT204=0,"",IF(AND(AT204=1,M204="F",SUMIF(C2:C258,C204,AS2:AS258)&lt;=1),SUMIF(C2:C258,C204,AS2:AS258),IF(AND(AT204=1,M204="F",SUMIF(C2:C258,C204,AS2:AS258)&gt;1),1,"")))</f>
        <v>1</v>
      </c>
      <c r="AV204" s="388" t="str">
        <f>IF(AT204=0,"",IF(AND(AT204=3,M204="F",SUMIF(C2:C258,C204,AS2:AS258)&lt;=1),SUMIF(C2:C258,C204,AS2:AS258),IF(AND(AT204=3,M204="F",SUMIF(C2:C258,C204,AS2:AS258)&gt;1),1,"")))</f>
        <v/>
      </c>
      <c r="AW204" s="388">
        <f>SUMIF(C2:C258,C204,O2:O258)</f>
        <v>4</v>
      </c>
      <c r="AX204" s="388">
        <f>IF(AND(M204="F",AS204&lt;&gt;0),SUMIF(C2:C258,C204,W2:W258),0)</f>
        <v>90750.400000000009</v>
      </c>
      <c r="AY204" s="388">
        <f t="shared" si="161"/>
        <v>13612.56</v>
      </c>
      <c r="AZ204" s="388" t="str">
        <f t="shared" si="162"/>
        <v/>
      </c>
      <c r="BA204" s="388">
        <f t="shared" si="163"/>
        <v>0</v>
      </c>
      <c r="BB204" s="388">
        <f t="shared" si="132"/>
        <v>1875</v>
      </c>
      <c r="BC204" s="388">
        <f t="shared" si="133"/>
        <v>0</v>
      </c>
      <c r="BD204" s="388">
        <f t="shared" si="134"/>
        <v>843.97871999999995</v>
      </c>
      <c r="BE204" s="388">
        <f t="shared" si="135"/>
        <v>197.38212000000001</v>
      </c>
      <c r="BF204" s="388">
        <f t="shared" si="136"/>
        <v>1625.3396640000001</v>
      </c>
      <c r="BG204" s="388">
        <f t="shared" si="137"/>
        <v>98.146557599999994</v>
      </c>
      <c r="BH204" s="388">
        <f t="shared" si="138"/>
        <v>0</v>
      </c>
      <c r="BI204" s="388">
        <f t="shared" si="139"/>
        <v>0</v>
      </c>
      <c r="BJ204" s="388">
        <f t="shared" si="140"/>
        <v>47.64396</v>
      </c>
      <c r="BK204" s="388">
        <f t="shared" si="141"/>
        <v>0</v>
      </c>
      <c r="BL204" s="388">
        <f t="shared" si="164"/>
        <v>2812.4910216000003</v>
      </c>
      <c r="BM204" s="388">
        <f t="shared" si="165"/>
        <v>0</v>
      </c>
      <c r="BN204" s="388">
        <f t="shared" si="142"/>
        <v>2062.5</v>
      </c>
      <c r="BO204" s="388">
        <f t="shared" si="143"/>
        <v>0</v>
      </c>
      <c r="BP204" s="388">
        <f t="shared" si="144"/>
        <v>843.97871999999995</v>
      </c>
      <c r="BQ204" s="388">
        <f t="shared" si="145"/>
        <v>197.38212000000001</v>
      </c>
      <c r="BR204" s="388">
        <f t="shared" si="146"/>
        <v>1521.8842079999999</v>
      </c>
      <c r="BS204" s="388">
        <f t="shared" si="147"/>
        <v>98.146557599999994</v>
      </c>
      <c r="BT204" s="388">
        <f t="shared" si="148"/>
        <v>0</v>
      </c>
      <c r="BU204" s="388">
        <f t="shared" si="149"/>
        <v>0</v>
      </c>
      <c r="BV204" s="388">
        <f t="shared" si="150"/>
        <v>53.088983999999996</v>
      </c>
      <c r="BW204" s="388">
        <f t="shared" si="151"/>
        <v>0</v>
      </c>
      <c r="BX204" s="388">
        <f t="shared" si="166"/>
        <v>2714.4805895999998</v>
      </c>
      <c r="BY204" s="388">
        <f t="shared" si="167"/>
        <v>0</v>
      </c>
      <c r="BZ204" s="388">
        <f t="shared" si="168"/>
        <v>187.5</v>
      </c>
      <c r="CA204" s="388">
        <f t="shared" si="169"/>
        <v>0</v>
      </c>
      <c r="CB204" s="388">
        <f t="shared" si="170"/>
        <v>0</v>
      </c>
      <c r="CC204" s="388">
        <f t="shared" si="152"/>
        <v>0</v>
      </c>
      <c r="CD204" s="388">
        <f t="shared" si="153"/>
        <v>-103.45545600000013</v>
      </c>
      <c r="CE204" s="388">
        <f t="shared" si="154"/>
        <v>0</v>
      </c>
      <c r="CF204" s="388">
        <f t="shared" si="155"/>
        <v>0</v>
      </c>
      <c r="CG204" s="388">
        <f t="shared" si="156"/>
        <v>0</v>
      </c>
      <c r="CH204" s="388">
        <f t="shared" si="157"/>
        <v>5.4450239999999965</v>
      </c>
      <c r="CI204" s="388">
        <f t="shared" si="158"/>
        <v>0</v>
      </c>
      <c r="CJ204" s="388">
        <f t="shared" si="171"/>
        <v>-98.010432000000122</v>
      </c>
      <c r="CK204" s="388" t="str">
        <f t="shared" si="172"/>
        <v/>
      </c>
      <c r="CL204" s="388" t="str">
        <f t="shared" si="173"/>
        <v/>
      </c>
      <c r="CM204" s="388" t="str">
        <f t="shared" si="174"/>
        <v/>
      </c>
      <c r="CN204" s="388" t="str">
        <f t="shared" si="175"/>
        <v>0348-95</v>
      </c>
    </row>
    <row r="205" spans="1:92" ht="15.75" thickBot="1" x14ac:dyDescent="0.3">
      <c r="A205" s="377" t="s">
        <v>162</v>
      </c>
      <c r="B205" s="377" t="s">
        <v>163</v>
      </c>
      <c r="C205" s="377" t="s">
        <v>546</v>
      </c>
      <c r="D205" s="377" t="s">
        <v>282</v>
      </c>
      <c r="E205" s="377" t="s">
        <v>637</v>
      </c>
      <c r="F205" s="383" t="s">
        <v>727</v>
      </c>
      <c r="G205" s="377" t="s">
        <v>439</v>
      </c>
      <c r="H205" s="379"/>
      <c r="I205" s="379"/>
      <c r="J205" s="377" t="s">
        <v>547</v>
      </c>
      <c r="K205" s="377" t="s">
        <v>244</v>
      </c>
      <c r="L205" s="377" t="s">
        <v>167</v>
      </c>
      <c r="M205" s="377" t="s">
        <v>172</v>
      </c>
      <c r="N205" s="377" t="s">
        <v>173</v>
      </c>
      <c r="O205" s="380">
        <v>1</v>
      </c>
      <c r="P205" s="386">
        <v>0</v>
      </c>
      <c r="Q205" s="386">
        <v>0</v>
      </c>
      <c r="R205" s="381">
        <v>80</v>
      </c>
      <c r="S205" s="386">
        <v>0</v>
      </c>
      <c r="T205" s="381">
        <v>34.4</v>
      </c>
      <c r="U205" s="381">
        <v>0</v>
      </c>
      <c r="V205" s="381">
        <v>11.64</v>
      </c>
      <c r="W205" s="381">
        <v>0</v>
      </c>
      <c r="X205" s="381">
        <v>0</v>
      </c>
      <c r="Y205" s="381">
        <v>0</v>
      </c>
      <c r="Z205" s="381">
        <v>0</v>
      </c>
      <c r="AA205" s="377" t="s">
        <v>548</v>
      </c>
      <c r="AB205" s="377" t="s">
        <v>549</v>
      </c>
      <c r="AC205" s="377" t="s">
        <v>550</v>
      </c>
      <c r="AD205" s="377" t="s">
        <v>211</v>
      </c>
      <c r="AE205" s="377" t="s">
        <v>244</v>
      </c>
      <c r="AF205" s="377" t="s">
        <v>207</v>
      </c>
      <c r="AG205" s="377" t="s">
        <v>179</v>
      </c>
      <c r="AH205" s="382">
        <v>46.01</v>
      </c>
      <c r="AI205" s="382">
        <v>45530.2</v>
      </c>
      <c r="AJ205" s="377" t="s">
        <v>180</v>
      </c>
      <c r="AK205" s="377" t="s">
        <v>181</v>
      </c>
      <c r="AL205" s="377" t="s">
        <v>182</v>
      </c>
      <c r="AM205" s="377" t="s">
        <v>183</v>
      </c>
      <c r="AN205" s="377" t="s">
        <v>66</v>
      </c>
      <c r="AO205" s="380">
        <v>80</v>
      </c>
      <c r="AP205" s="386">
        <v>1</v>
      </c>
      <c r="AQ205" s="386">
        <v>0</v>
      </c>
      <c r="AR205" s="384" t="s">
        <v>184</v>
      </c>
      <c r="AS205" s="388">
        <f t="shared" si="159"/>
        <v>0</v>
      </c>
      <c r="AT205">
        <f t="shared" si="160"/>
        <v>0</v>
      </c>
      <c r="AU205" s="388" t="str">
        <f>IF(AT205=0,"",IF(AND(AT205=1,M205="F",SUMIF(C2:C258,C205,AS2:AS258)&lt;=1),SUMIF(C2:C258,C205,AS2:AS258),IF(AND(AT205=1,M205="F",SUMIF(C2:C258,C205,AS2:AS258)&gt;1),1,"")))</f>
        <v/>
      </c>
      <c r="AV205" s="388" t="str">
        <f>IF(AT205=0,"",IF(AND(AT205=3,M205="F",SUMIF(C2:C258,C205,AS2:AS258)&lt;=1),SUMIF(C2:C258,C205,AS2:AS258),IF(AND(AT205=3,M205="F",SUMIF(C2:C258,C205,AS2:AS258)&gt;1),1,"")))</f>
        <v/>
      </c>
      <c r="AW205" s="388">
        <f>SUMIF(C2:C258,C205,O2:O258)</f>
        <v>5</v>
      </c>
      <c r="AX205" s="388">
        <f>IF(AND(M205="F",AS205&lt;&gt;0),SUMIF(C2:C258,C205,W2:W258),0)</f>
        <v>0</v>
      </c>
      <c r="AY205" s="388" t="str">
        <f t="shared" si="161"/>
        <v/>
      </c>
      <c r="AZ205" s="388" t="str">
        <f t="shared" si="162"/>
        <v/>
      </c>
      <c r="BA205" s="388">
        <f t="shared" si="163"/>
        <v>0</v>
      </c>
      <c r="BB205" s="388">
        <f t="shared" si="132"/>
        <v>0</v>
      </c>
      <c r="BC205" s="388">
        <f t="shared" si="133"/>
        <v>0</v>
      </c>
      <c r="BD205" s="388">
        <f t="shared" si="134"/>
        <v>0</v>
      </c>
      <c r="BE205" s="388">
        <f t="shared" si="135"/>
        <v>0</v>
      </c>
      <c r="BF205" s="388">
        <f t="shared" si="136"/>
        <v>0</v>
      </c>
      <c r="BG205" s="388">
        <f t="shared" si="137"/>
        <v>0</v>
      </c>
      <c r="BH205" s="388">
        <f t="shared" si="138"/>
        <v>0</v>
      </c>
      <c r="BI205" s="388">
        <f t="shared" si="139"/>
        <v>0</v>
      </c>
      <c r="BJ205" s="388">
        <f t="shared" si="140"/>
        <v>0</v>
      </c>
      <c r="BK205" s="388">
        <f t="shared" si="141"/>
        <v>0</v>
      </c>
      <c r="BL205" s="388">
        <f t="shared" si="164"/>
        <v>0</v>
      </c>
      <c r="BM205" s="388">
        <f t="shared" si="165"/>
        <v>0</v>
      </c>
      <c r="BN205" s="388">
        <f t="shared" si="142"/>
        <v>0</v>
      </c>
      <c r="BO205" s="388">
        <f t="shared" si="143"/>
        <v>0</v>
      </c>
      <c r="BP205" s="388">
        <f t="shared" si="144"/>
        <v>0</v>
      </c>
      <c r="BQ205" s="388">
        <f t="shared" si="145"/>
        <v>0</v>
      </c>
      <c r="BR205" s="388">
        <f t="shared" si="146"/>
        <v>0</v>
      </c>
      <c r="BS205" s="388">
        <f t="shared" si="147"/>
        <v>0</v>
      </c>
      <c r="BT205" s="388">
        <f t="shared" si="148"/>
        <v>0</v>
      </c>
      <c r="BU205" s="388">
        <f t="shared" si="149"/>
        <v>0</v>
      </c>
      <c r="BV205" s="388">
        <f t="shared" si="150"/>
        <v>0</v>
      </c>
      <c r="BW205" s="388">
        <f t="shared" si="151"/>
        <v>0</v>
      </c>
      <c r="BX205" s="388">
        <f t="shared" si="166"/>
        <v>0</v>
      </c>
      <c r="BY205" s="388">
        <f t="shared" si="167"/>
        <v>0</v>
      </c>
      <c r="BZ205" s="388">
        <f t="shared" si="168"/>
        <v>0</v>
      </c>
      <c r="CA205" s="388">
        <f t="shared" si="169"/>
        <v>0</v>
      </c>
      <c r="CB205" s="388">
        <f t="shared" si="170"/>
        <v>0</v>
      </c>
      <c r="CC205" s="388">
        <f t="shared" si="152"/>
        <v>0</v>
      </c>
      <c r="CD205" s="388">
        <f t="shared" si="153"/>
        <v>0</v>
      </c>
      <c r="CE205" s="388">
        <f t="shared" si="154"/>
        <v>0</v>
      </c>
      <c r="CF205" s="388">
        <f t="shared" si="155"/>
        <v>0</v>
      </c>
      <c r="CG205" s="388">
        <f t="shared" si="156"/>
        <v>0</v>
      </c>
      <c r="CH205" s="388">
        <f t="shared" si="157"/>
        <v>0</v>
      </c>
      <c r="CI205" s="388">
        <f t="shared" si="158"/>
        <v>0</v>
      </c>
      <c r="CJ205" s="388">
        <f t="shared" si="171"/>
        <v>0</v>
      </c>
      <c r="CK205" s="388" t="str">
        <f t="shared" si="172"/>
        <v/>
      </c>
      <c r="CL205" s="388" t="str">
        <f t="shared" si="173"/>
        <v/>
      </c>
      <c r="CM205" s="388" t="str">
        <f t="shared" si="174"/>
        <v/>
      </c>
      <c r="CN205" s="388" t="str">
        <f t="shared" si="175"/>
        <v>0348-95</v>
      </c>
    </row>
    <row r="206" spans="1:92" ht="15.75" thickBot="1" x14ac:dyDescent="0.3">
      <c r="A206" s="377" t="s">
        <v>162</v>
      </c>
      <c r="B206" s="377" t="s">
        <v>163</v>
      </c>
      <c r="C206" s="377" t="s">
        <v>693</v>
      </c>
      <c r="D206" s="377" t="s">
        <v>300</v>
      </c>
      <c r="E206" s="377" t="s">
        <v>637</v>
      </c>
      <c r="F206" s="383" t="s">
        <v>727</v>
      </c>
      <c r="G206" s="377" t="s">
        <v>439</v>
      </c>
      <c r="H206" s="379"/>
      <c r="I206" s="379"/>
      <c r="J206" s="377" t="s">
        <v>269</v>
      </c>
      <c r="K206" s="377" t="s">
        <v>301</v>
      </c>
      <c r="L206" s="377" t="s">
        <v>167</v>
      </c>
      <c r="M206" s="377" t="s">
        <v>172</v>
      </c>
      <c r="N206" s="377" t="s">
        <v>173</v>
      </c>
      <c r="O206" s="380">
        <v>1</v>
      </c>
      <c r="P206" s="386">
        <v>0.75</v>
      </c>
      <c r="Q206" s="386">
        <v>0.75</v>
      </c>
      <c r="R206" s="381">
        <v>80</v>
      </c>
      <c r="S206" s="386">
        <v>0.75</v>
      </c>
      <c r="T206" s="381">
        <v>67137.2</v>
      </c>
      <c r="U206" s="381">
        <v>0</v>
      </c>
      <c r="V206" s="381">
        <v>24615.39</v>
      </c>
      <c r="W206" s="381">
        <v>54849.599999999999</v>
      </c>
      <c r="X206" s="381">
        <v>20707.45</v>
      </c>
      <c r="Y206" s="381">
        <v>54849.599999999999</v>
      </c>
      <c r="Z206" s="381">
        <v>21250.03</v>
      </c>
      <c r="AA206" s="377" t="s">
        <v>694</v>
      </c>
      <c r="AB206" s="377" t="s">
        <v>695</v>
      </c>
      <c r="AC206" s="377" t="s">
        <v>696</v>
      </c>
      <c r="AD206" s="377" t="s">
        <v>697</v>
      </c>
      <c r="AE206" s="377" t="s">
        <v>301</v>
      </c>
      <c r="AF206" s="377" t="s">
        <v>207</v>
      </c>
      <c r="AG206" s="377" t="s">
        <v>179</v>
      </c>
      <c r="AH206" s="382">
        <v>35.159999999999997</v>
      </c>
      <c r="AI206" s="382">
        <v>5016.5</v>
      </c>
      <c r="AJ206" s="377" t="s">
        <v>180</v>
      </c>
      <c r="AK206" s="377" t="s">
        <v>181</v>
      </c>
      <c r="AL206" s="377" t="s">
        <v>182</v>
      </c>
      <c r="AM206" s="377" t="s">
        <v>183</v>
      </c>
      <c r="AN206" s="377" t="s">
        <v>66</v>
      </c>
      <c r="AO206" s="380">
        <v>80</v>
      </c>
      <c r="AP206" s="386">
        <v>1</v>
      </c>
      <c r="AQ206" s="386">
        <v>0.75</v>
      </c>
      <c r="AR206" s="384" t="s">
        <v>184</v>
      </c>
      <c r="AS206" s="388">
        <f t="shared" si="159"/>
        <v>0.75</v>
      </c>
      <c r="AT206">
        <f t="shared" si="160"/>
        <v>1</v>
      </c>
      <c r="AU206" s="388">
        <f>IF(AT206=0,"",IF(AND(AT206=1,M206="F",SUMIF(C2:C258,C206,AS2:AS258)&lt;=1),SUMIF(C2:C258,C206,AS2:AS258),IF(AND(AT206=1,M206="F",SUMIF(C2:C258,C206,AS2:AS258)&gt;1),1,"")))</f>
        <v>1</v>
      </c>
      <c r="AV206" s="388" t="str">
        <f>IF(AT206=0,"",IF(AND(AT206=3,M206="F",SUMIF(C2:C258,C206,AS2:AS258)&lt;=1),SUMIF(C2:C258,C206,AS2:AS258),IF(AND(AT206=3,M206="F",SUMIF(C2:C258,C206,AS2:AS258)&gt;1),1,"")))</f>
        <v/>
      </c>
      <c r="AW206" s="388">
        <f>SUMIF(C2:C258,C206,O2:O258)</f>
        <v>3</v>
      </c>
      <c r="AX206" s="388">
        <f>IF(AND(M206="F",AS206&lt;&gt;0),SUMIF(C2:C258,C206,W2:W258),0)</f>
        <v>73132.800000000003</v>
      </c>
      <c r="AY206" s="388">
        <f t="shared" si="161"/>
        <v>54849.599999999999</v>
      </c>
      <c r="AZ206" s="388" t="str">
        <f t="shared" si="162"/>
        <v/>
      </c>
      <c r="BA206" s="388">
        <f t="shared" si="163"/>
        <v>0</v>
      </c>
      <c r="BB206" s="388">
        <f t="shared" si="132"/>
        <v>9375</v>
      </c>
      <c r="BC206" s="388">
        <f t="shared" si="133"/>
        <v>0</v>
      </c>
      <c r="BD206" s="388">
        <f t="shared" si="134"/>
        <v>3400.6751999999997</v>
      </c>
      <c r="BE206" s="388">
        <f t="shared" si="135"/>
        <v>795.31920000000002</v>
      </c>
      <c r="BF206" s="388">
        <f t="shared" si="136"/>
        <v>6549.0422399999998</v>
      </c>
      <c r="BG206" s="388">
        <f t="shared" si="137"/>
        <v>395.46561600000001</v>
      </c>
      <c r="BH206" s="388">
        <f t="shared" si="138"/>
        <v>0</v>
      </c>
      <c r="BI206" s="388">
        <f t="shared" si="139"/>
        <v>0</v>
      </c>
      <c r="BJ206" s="388">
        <f t="shared" si="140"/>
        <v>191.9736</v>
      </c>
      <c r="BK206" s="388">
        <f t="shared" si="141"/>
        <v>0</v>
      </c>
      <c r="BL206" s="388">
        <f t="shared" si="164"/>
        <v>11332.475855999997</v>
      </c>
      <c r="BM206" s="388">
        <f t="shared" si="165"/>
        <v>0</v>
      </c>
      <c r="BN206" s="388">
        <f t="shared" si="142"/>
        <v>10312.5</v>
      </c>
      <c r="BO206" s="388">
        <f t="shared" si="143"/>
        <v>0</v>
      </c>
      <c r="BP206" s="388">
        <f t="shared" si="144"/>
        <v>3400.6751999999997</v>
      </c>
      <c r="BQ206" s="388">
        <f t="shared" si="145"/>
        <v>795.31920000000002</v>
      </c>
      <c r="BR206" s="388">
        <f t="shared" si="146"/>
        <v>6132.1852799999997</v>
      </c>
      <c r="BS206" s="388">
        <f t="shared" si="147"/>
        <v>395.46561600000001</v>
      </c>
      <c r="BT206" s="388">
        <f t="shared" si="148"/>
        <v>0</v>
      </c>
      <c r="BU206" s="388">
        <f t="shared" si="149"/>
        <v>0</v>
      </c>
      <c r="BV206" s="388">
        <f t="shared" si="150"/>
        <v>213.91343999999998</v>
      </c>
      <c r="BW206" s="388">
        <f t="shared" si="151"/>
        <v>0</v>
      </c>
      <c r="BX206" s="388">
        <f t="shared" si="166"/>
        <v>10937.558735999999</v>
      </c>
      <c r="BY206" s="388">
        <f t="shared" si="167"/>
        <v>0</v>
      </c>
      <c r="BZ206" s="388">
        <f t="shared" si="168"/>
        <v>937.5</v>
      </c>
      <c r="CA206" s="388">
        <f t="shared" si="169"/>
        <v>0</v>
      </c>
      <c r="CB206" s="388">
        <f t="shared" si="170"/>
        <v>0</v>
      </c>
      <c r="CC206" s="388">
        <f t="shared" si="152"/>
        <v>0</v>
      </c>
      <c r="CD206" s="388">
        <f t="shared" si="153"/>
        <v>-416.85696000000053</v>
      </c>
      <c r="CE206" s="388">
        <f t="shared" si="154"/>
        <v>0</v>
      </c>
      <c r="CF206" s="388">
        <f t="shared" si="155"/>
        <v>0</v>
      </c>
      <c r="CG206" s="388">
        <f t="shared" si="156"/>
        <v>0</v>
      </c>
      <c r="CH206" s="388">
        <f t="shared" si="157"/>
        <v>21.939839999999986</v>
      </c>
      <c r="CI206" s="388">
        <f t="shared" si="158"/>
        <v>0</v>
      </c>
      <c r="CJ206" s="388">
        <f t="shared" si="171"/>
        <v>-394.91712000000052</v>
      </c>
      <c r="CK206" s="388" t="str">
        <f t="shared" si="172"/>
        <v/>
      </c>
      <c r="CL206" s="388" t="str">
        <f t="shared" si="173"/>
        <v/>
      </c>
      <c r="CM206" s="388" t="str">
        <f t="shared" si="174"/>
        <v/>
      </c>
      <c r="CN206" s="388" t="str">
        <f t="shared" si="175"/>
        <v>0348-95</v>
      </c>
    </row>
    <row r="207" spans="1:92" ht="15.75" thickBot="1" x14ac:dyDescent="0.3">
      <c r="A207" s="377" t="s">
        <v>162</v>
      </c>
      <c r="B207" s="377" t="s">
        <v>163</v>
      </c>
      <c r="C207" s="377" t="s">
        <v>703</v>
      </c>
      <c r="D207" s="377" t="s">
        <v>300</v>
      </c>
      <c r="E207" s="377" t="s">
        <v>637</v>
      </c>
      <c r="F207" s="383" t="s">
        <v>727</v>
      </c>
      <c r="G207" s="377" t="s">
        <v>439</v>
      </c>
      <c r="H207" s="379"/>
      <c r="I207" s="379"/>
      <c r="J207" s="377" t="s">
        <v>169</v>
      </c>
      <c r="K207" s="377" t="s">
        <v>301</v>
      </c>
      <c r="L207" s="377" t="s">
        <v>167</v>
      </c>
      <c r="M207" s="377" t="s">
        <v>172</v>
      </c>
      <c r="N207" s="377" t="s">
        <v>173</v>
      </c>
      <c r="O207" s="380">
        <v>1</v>
      </c>
      <c r="P207" s="386">
        <v>0</v>
      </c>
      <c r="Q207" s="386">
        <v>0</v>
      </c>
      <c r="R207" s="381">
        <v>80</v>
      </c>
      <c r="S207" s="386">
        <v>0</v>
      </c>
      <c r="T207" s="381">
        <v>31354.720000000001</v>
      </c>
      <c r="U207" s="381">
        <v>0</v>
      </c>
      <c r="V207" s="381">
        <v>10660.02</v>
      </c>
      <c r="W207" s="381">
        <v>0</v>
      </c>
      <c r="X207" s="381">
        <v>0</v>
      </c>
      <c r="Y207" s="381">
        <v>0</v>
      </c>
      <c r="Z207" s="381">
        <v>0</v>
      </c>
      <c r="AA207" s="377" t="s">
        <v>704</v>
      </c>
      <c r="AB207" s="377" t="s">
        <v>705</v>
      </c>
      <c r="AC207" s="377" t="s">
        <v>706</v>
      </c>
      <c r="AD207" s="377" t="s">
        <v>199</v>
      </c>
      <c r="AE207" s="377" t="s">
        <v>301</v>
      </c>
      <c r="AF207" s="377" t="s">
        <v>207</v>
      </c>
      <c r="AG207" s="377" t="s">
        <v>179</v>
      </c>
      <c r="AH207" s="382">
        <v>39.619999999999997</v>
      </c>
      <c r="AI207" s="380">
        <v>24854</v>
      </c>
      <c r="AJ207" s="377" t="s">
        <v>180</v>
      </c>
      <c r="AK207" s="377" t="s">
        <v>181</v>
      </c>
      <c r="AL207" s="377" t="s">
        <v>182</v>
      </c>
      <c r="AM207" s="377" t="s">
        <v>183</v>
      </c>
      <c r="AN207" s="377" t="s">
        <v>66</v>
      </c>
      <c r="AO207" s="380">
        <v>80</v>
      </c>
      <c r="AP207" s="386">
        <v>1</v>
      </c>
      <c r="AQ207" s="386">
        <v>0</v>
      </c>
      <c r="AR207" s="384" t="s">
        <v>184</v>
      </c>
      <c r="AS207" s="388">
        <f t="shared" si="159"/>
        <v>0</v>
      </c>
      <c r="AT207">
        <f t="shared" si="160"/>
        <v>0</v>
      </c>
      <c r="AU207" s="388" t="str">
        <f>IF(AT207=0,"",IF(AND(AT207=1,M207="F",SUMIF(C2:C258,C207,AS2:AS258)&lt;=1),SUMIF(C2:C258,C207,AS2:AS258),IF(AND(AT207=1,M207="F",SUMIF(C2:C258,C207,AS2:AS258)&gt;1),1,"")))</f>
        <v/>
      </c>
      <c r="AV207" s="388" t="str">
        <f>IF(AT207=0,"",IF(AND(AT207=3,M207="F",SUMIF(C2:C258,C207,AS2:AS258)&lt;=1),SUMIF(C2:C258,C207,AS2:AS258),IF(AND(AT207=3,M207="F",SUMIF(C2:C258,C207,AS2:AS258)&gt;1),1,"")))</f>
        <v/>
      </c>
      <c r="AW207" s="388">
        <f>SUMIF(C2:C258,C207,O2:O258)</f>
        <v>2</v>
      </c>
      <c r="AX207" s="388">
        <f>IF(AND(M207="F",AS207&lt;&gt;0),SUMIF(C2:C258,C207,W2:W258),0)</f>
        <v>0</v>
      </c>
      <c r="AY207" s="388" t="str">
        <f t="shared" si="161"/>
        <v/>
      </c>
      <c r="AZ207" s="388" t="str">
        <f t="shared" si="162"/>
        <v/>
      </c>
      <c r="BA207" s="388">
        <f t="shared" si="163"/>
        <v>0</v>
      </c>
      <c r="BB207" s="388">
        <f t="shared" si="132"/>
        <v>0</v>
      </c>
      <c r="BC207" s="388">
        <f t="shared" si="133"/>
        <v>0</v>
      </c>
      <c r="BD207" s="388">
        <f t="shared" si="134"/>
        <v>0</v>
      </c>
      <c r="BE207" s="388">
        <f t="shared" si="135"/>
        <v>0</v>
      </c>
      <c r="BF207" s="388">
        <f t="shared" si="136"/>
        <v>0</v>
      </c>
      <c r="BG207" s="388">
        <f t="shared" si="137"/>
        <v>0</v>
      </c>
      <c r="BH207" s="388">
        <f t="shared" si="138"/>
        <v>0</v>
      </c>
      <c r="BI207" s="388">
        <f t="shared" si="139"/>
        <v>0</v>
      </c>
      <c r="BJ207" s="388">
        <f t="shared" si="140"/>
        <v>0</v>
      </c>
      <c r="BK207" s="388">
        <f t="shared" si="141"/>
        <v>0</v>
      </c>
      <c r="BL207" s="388">
        <f t="shared" si="164"/>
        <v>0</v>
      </c>
      <c r="BM207" s="388">
        <f t="shared" si="165"/>
        <v>0</v>
      </c>
      <c r="BN207" s="388">
        <f t="shared" si="142"/>
        <v>0</v>
      </c>
      <c r="BO207" s="388">
        <f t="shared" si="143"/>
        <v>0</v>
      </c>
      <c r="BP207" s="388">
        <f t="shared" si="144"/>
        <v>0</v>
      </c>
      <c r="BQ207" s="388">
        <f t="shared" si="145"/>
        <v>0</v>
      </c>
      <c r="BR207" s="388">
        <f t="shared" si="146"/>
        <v>0</v>
      </c>
      <c r="BS207" s="388">
        <f t="shared" si="147"/>
        <v>0</v>
      </c>
      <c r="BT207" s="388">
        <f t="shared" si="148"/>
        <v>0</v>
      </c>
      <c r="BU207" s="388">
        <f t="shared" si="149"/>
        <v>0</v>
      </c>
      <c r="BV207" s="388">
        <f t="shared" si="150"/>
        <v>0</v>
      </c>
      <c r="BW207" s="388">
        <f t="shared" si="151"/>
        <v>0</v>
      </c>
      <c r="BX207" s="388">
        <f t="shared" si="166"/>
        <v>0</v>
      </c>
      <c r="BY207" s="388">
        <f t="shared" si="167"/>
        <v>0</v>
      </c>
      <c r="BZ207" s="388">
        <f t="shared" si="168"/>
        <v>0</v>
      </c>
      <c r="CA207" s="388">
        <f t="shared" si="169"/>
        <v>0</v>
      </c>
      <c r="CB207" s="388">
        <f t="shared" si="170"/>
        <v>0</v>
      </c>
      <c r="CC207" s="388">
        <f t="shared" si="152"/>
        <v>0</v>
      </c>
      <c r="CD207" s="388">
        <f t="shared" si="153"/>
        <v>0</v>
      </c>
      <c r="CE207" s="388">
        <f t="shared" si="154"/>
        <v>0</v>
      </c>
      <c r="CF207" s="388">
        <f t="shared" si="155"/>
        <v>0</v>
      </c>
      <c r="CG207" s="388">
        <f t="shared" si="156"/>
        <v>0</v>
      </c>
      <c r="CH207" s="388">
        <f t="shared" si="157"/>
        <v>0</v>
      </c>
      <c r="CI207" s="388">
        <f t="shared" si="158"/>
        <v>0</v>
      </c>
      <c r="CJ207" s="388">
        <f t="shared" si="171"/>
        <v>0</v>
      </c>
      <c r="CK207" s="388" t="str">
        <f t="shared" si="172"/>
        <v/>
      </c>
      <c r="CL207" s="388" t="str">
        <f t="shared" si="173"/>
        <v/>
      </c>
      <c r="CM207" s="388" t="str">
        <f t="shared" si="174"/>
        <v/>
      </c>
      <c r="CN207" s="388" t="str">
        <f t="shared" si="175"/>
        <v>0348-95</v>
      </c>
    </row>
    <row r="208" spans="1:92" ht="15.75" thickBot="1" x14ac:dyDescent="0.3">
      <c r="A208" s="377" t="s">
        <v>162</v>
      </c>
      <c r="B208" s="377" t="s">
        <v>163</v>
      </c>
      <c r="C208" s="377" t="s">
        <v>707</v>
      </c>
      <c r="D208" s="377" t="s">
        <v>300</v>
      </c>
      <c r="E208" s="377" t="s">
        <v>637</v>
      </c>
      <c r="F208" s="383" t="s">
        <v>727</v>
      </c>
      <c r="G208" s="377" t="s">
        <v>439</v>
      </c>
      <c r="H208" s="379"/>
      <c r="I208" s="379"/>
      <c r="J208" s="377" t="s">
        <v>169</v>
      </c>
      <c r="K208" s="377" t="s">
        <v>301</v>
      </c>
      <c r="L208" s="377" t="s">
        <v>167</v>
      </c>
      <c r="M208" s="377" t="s">
        <v>172</v>
      </c>
      <c r="N208" s="377" t="s">
        <v>173</v>
      </c>
      <c r="O208" s="380">
        <v>1</v>
      </c>
      <c r="P208" s="386">
        <v>0.2</v>
      </c>
      <c r="Q208" s="386">
        <v>0.2</v>
      </c>
      <c r="R208" s="381">
        <v>80</v>
      </c>
      <c r="S208" s="386">
        <v>0.2</v>
      </c>
      <c r="T208" s="381">
        <v>39511.06</v>
      </c>
      <c r="U208" s="381">
        <v>0</v>
      </c>
      <c r="V208" s="381">
        <v>13991.82</v>
      </c>
      <c r="W208" s="381">
        <v>15067.52</v>
      </c>
      <c r="X208" s="381">
        <v>5613.09</v>
      </c>
      <c r="Y208" s="381">
        <v>15067.52</v>
      </c>
      <c r="Z208" s="381">
        <v>5754.61</v>
      </c>
      <c r="AA208" s="377" t="s">
        <v>708</v>
      </c>
      <c r="AB208" s="377" t="s">
        <v>709</v>
      </c>
      <c r="AC208" s="377" t="s">
        <v>710</v>
      </c>
      <c r="AD208" s="377" t="s">
        <v>508</v>
      </c>
      <c r="AE208" s="377" t="s">
        <v>301</v>
      </c>
      <c r="AF208" s="377" t="s">
        <v>207</v>
      </c>
      <c r="AG208" s="377" t="s">
        <v>179</v>
      </c>
      <c r="AH208" s="382">
        <v>36.22</v>
      </c>
      <c r="AI208" s="382">
        <v>9154.6</v>
      </c>
      <c r="AJ208" s="377" t="s">
        <v>180</v>
      </c>
      <c r="AK208" s="377" t="s">
        <v>181</v>
      </c>
      <c r="AL208" s="377" t="s">
        <v>182</v>
      </c>
      <c r="AM208" s="377" t="s">
        <v>183</v>
      </c>
      <c r="AN208" s="377" t="s">
        <v>66</v>
      </c>
      <c r="AO208" s="380">
        <v>80</v>
      </c>
      <c r="AP208" s="386">
        <v>1</v>
      </c>
      <c r="AQ208" s="386">
        <v>0.2</v>
      </c>
      <c r="AR208" s="384" t="s">
        <v>184</v>
      </c>
      <c r="AS208" s="388">
        <f t="shared" si="159"/>
        <v>0.2</v>
      </c>
      <c r="AT208">
        <f t="shared" si="160"/>
        <v>1</v>
      </c>
      <c r="AU208" s="388">
        <f>IF(AT208=0,"",IF(AND(AT208=1,M208="F",SUMIF(C2:C258,C208,AS2:AS258)&lt;=1),SUMIF(C2:C258,C208,AS2:AS258),IF(AND(AT208=1,M208="F",SUMIF(C2:C258,C208,AS2:AS258)&gt;1),1,"")))</f>
        <v>1</v>
      </c>
      <c r="AV208" s="388" t="str">
        <f>IF(AT208=0,"",IF(AND(AT208=3,M208="F",SUMIF(C2:C258,C208,AS2:AS258)&lt;=1),SUMIF(C2:C258,C208,AS2:AS258),IF(AND(AT208=3,M208="F",SUMIF(C2:C258,C208,AS2:AS258)&gt;1),1,"")))</f>
        <v/>
      </c>
      <c r="AW208" s="388">
        <f>SUMIF(C2:C258,C208,O2:O258)</f>
        <v>3</v>
      </c>
      <c r="AX208" s="388">
        <f>IF(AND(M208="F",AS208&lt;&gt;0),SUMIF(C2:C258,C208,W2:W258),0)</f>
        <v>75337.600000000006</v>
      </c>
      <c r="AY208" s="388">
        <f t="shared" si="161"/>
        <v>15067.52</v>
      </c>
      <c r="AZ208" s="388" t="str">
        <f t="shared" si="162"/>
        <v/>
      </c>
      <c r="BA208" s="388">
        <f t="shared" si="163"/>
        <v>0</v>
      </c>
      <c r="BB208" s="388">
        <f t="shared" si="132"/>
        <v>2500</v>
      </c>
      <c r="BC208" s="388">
        <f t="shared" si="133"/>
        <v>0</v>
      </c>
      <c r="BD208" s="388">
        <f t="shared" si="134"/>
        <v>934.18624</v>
      </c>
      <c r="BE208" s="388">
        <f t="shared" si="135"/>
        <v>218.47904000000003</v>
      </c>
      <c r="BF208" s="388">
        <f t="shared" si="136"/>
        <v>1799.0618880000002</v>
      </c>
      <c r="BG208" s="388">
        <f t="shared" si="137"/>
        <v>108.63681920000001</v>
      </c>
      <c r="BH208" s="388">
        <f t="shared" si="138"/>
        <v>0</v>
      </c>
      <c r="BI208" s="388">
        <f t="shared" si="139"/>
        <v>0</v>
      </c>
      <c r="BJ208" s="388">
        <f t="shared" si="140"/>
        <v>52.736319999999999</v>
      </c>
      <c r="BK208" s="388">
        <f t="shared" si="141"/>
        <v>0</v>
      </c>
      <c r="BL208" s="388">
        <f t="shared" si="164"/>
        <v>3113.1003072000003</v>
      </c>
      <c r="BM208" s="388">
        <f t="shared" si="165"/>
        <v>0</v>
      </c>
      <c r="BN208" s="388">
        <f t="shared" si="142"/>
        <v>2750</v>
      </c>
      <c r="BO208" s="388">
        <f t="shared" si="143"/>
        <v>0</v>
      </c>
      <c r="BP208" s="388">
        <f t="shared" si="144"/>
        <v>934.18624</v>
      </c>
      <c r="BQ208" s="388">
        <f t="shared" si="145"/>
        <v>218.47904000000003</v>
      </c>
      <c r="BR208" s="388">
        <f t="shared" si="146"/>
        <v>1684.548736</v>
      </c>
      <c r="BS208" s="388">
        <f t="shared" si="147"/>
        <v>108.63681920000001</v>
      </c>
      <c r="BT208" s="388">
        <f t="shared" si="148"/>
        <v>0</v>
      </c>
      <c r="BU208" s="388">
        <f t="shared" si="149"/>
        <v>0</v>
      </c>
      <c r="BV208" s="388">
        <f t="shared" si="150"/>
        <v>58.763328000000001</v>
      </c>
      <c r="BW208" s="388">
        <f t="shared" si="151"/>
        <v>0</v>
      </c>
      <c r="BX208" s="388">
        <f t="shared" si="166"/>
        <v>3004.6141631999999</v>
      </c>
      <c r="BY208" s="388">
        <f t="shared" si="167"/>
        <v>0</v>
      </c>
      <c r="BZ208" s="388">
        <f t="shared" si="168"/>
        <v>250</v>
      </c>
      <c r="CA208" s="388">
        <f t="shared" si="169"/>
        <v>0</v>
      </c>
      <c r="CB208" s="388">
        <f t="shared" si="170"/>
        <v>0</v>
      </c>
      <c r="CC208" s="388">
        <f t="shared" si="152"/>
        <v>0</v>
      </c>
      <c r="CD208" s="388">
        <f t="shared" si="153"/>
        <v>-114.51315200000015</v>
      </c>
      <c r="CE208" s="388">
        <f t="shared" si="154"/>
        <v>0</v>
      </c>
      <c r="CF208" s="388">
        <f t="shared" si="155"/>
        <v>0</v>
      </c>
      <c r="CG208" s="388">
        <f t="shared" si="156"/>
        <v>0</v>
      </c>
      <c r="CH208" s="388">
        <f t="shared" si="157"/>
        <v>6.0270079999999968</v>
      </c>
      <c r="CI208" s="388">
        <f t="shared" si="158"/>
        <v>0</v>
      </c>
      <c r="CJ208" s="388">
        <f t="shared" si="171"/>
        <v>-108.48614400000015</v>
      </c>
      <c r="CK208" s="388" t="str">
        <f t="shared" si="172"/>
        <v/>
      </c>
      <c r="CL208" s="388" t="str">
        <f t="shared" si="173"/>
        <v/>
      </c>
      <c r="CM208" s="388" t="str">
        <f t="shared" si="174"/>
        <v/>
      </c>
      <c r="CN208" s="388" t="str">
        <f t="shared" si="175"/>
        <v>0348-95</v>
      </c>
    </row>
    <row r="209" spans="1:92" ht="15.75" thickBot="1" x14ac:dyDescent="0.3">
      <c r="A209" s="377" t="s">
        <v>162</v>
      </c>
      <c r="B209" s="377" t="s">
        <v>163</v>
      </c>
      <c r="C209" s="377" t="s">
        <v>556</v>
      </c>
      <c r="D209" s="377" t="s">
        <v>300</v>
      </c>
      <c r="E209" s="377" t="s">
        <v>637</v>
      </c>
      <c r="F209" s="383" t="s">
        <v>727</v>
      </c>
      <c r="G209" s="377" t="s">
        <v>439</v>
      </c>
      <c r="H209" s="379"/>
      <c r="I209" s="379"/>
      <c r="J209" s="377" t="s">
        <v>169</v>
      </c>
      <c r="K209" s="377" t="s">
        <v>301</v>
      </c>
      <c r="L209" s="377" t="s">
        <v>167</v>
      </c>
      <c r="M209" s="377" t="s">
        <v>172</v>
      </c>
      <c r="N209" s="377" t="s">
        <v>173</v>
      </c>
      <c r="O209" s="380">
        <v>1</v>
      </c>
      <c r="P209" s="386">
        <v>1</v>
      </c>
      <c r="Q209" s="386">
        <v>1</v>
      </c>
      <c r="R209" s="381">
        <v>80</v>
      </c>
      <c r="S209" s="386">
        <v>1</v>
      </c>
      <c r="T209" s="381">
        <v>94881.73</v>
      </c>
      <c r="U209" s="381">
        <v>0</v>
      </c>
      <c r="V209" s="381">
        <v>31791.11</v>
      </c>
      <c r="W209" s="381">
        <v>90750.399999999994</v>
      </c>
      <c r="X209" s="381">
        <v>31249.91</v>
      </c>
      <c r="Y209" s="381">
        <v>90750.399999999994</v>
      </c>
      <c r="Z209" s="381">
        <v>31846.51</v>
      </c>
      <c r="AA209" s="377" t="s">
        <v>557</v>
      </c>
      <c r="AB209" s="377" t="s">
        <v>558</v>
      </c>
      <c r="AC209" s="377" t="s">
        <v>559</v>
      </c>
      <c r="AD209" s="377" t="s">
        <v>560</v>
      </c>
      <c r="AE209" s="377" t="s">
        <v>301</v>
      </c>
      <c r="AF209" s="377" t="s">
        <v>207</v>
      </c>
      <c r="AG209" s="377" t="s">
        <v>179</v>
      </c>
      <c r="AH209" s="382">
        <v>43.63</v>
      </c>
      <c r="AI209" s="380">
        <v>1965</v>
      </c>
      <c r="AJ209" s="377" t="s">
        <v>180</v>
      </c>
      <c r="AK209" s="377" t="s">
        <v>181</v>
      </c>
      <c r="AL209" s="377" t="s">
        <v>182</v>
      </c>
      <c r="AM209" s="377" t="s">
        <v>183</v>
      </c>
      <c r="AN209" s="377" t="s">
        <v>66</v>
      </c>
      <c r="AO209" s="380">
        <v>80</v>
      </c>
      <c r="AP209" s="386">
        <v>1</v>
      </c>
      <c r="AQ209" s="386">
        <v>1</v>
      </c>
      <c r="AR209" s="384" t="s">
        <v>184</v>
      </c>
      <c r="AS209" s="388">
        <f t="shared" si="159"/>
        <v>1</v>
      </c>
      <c r="AT209">
        <f t="shared" si="160"/>
        <v>1</v>
      </c>
      <c r="AU209" s="388">
        <f>IF(AT209=0,"",IF(AND(AT209=1,M209="F",SUMIF(C2:C258,C209,AS2:AS258)&lt;=1),SUMIF(C2:C258,C209,AS2:AS258),IF(AND(AT209=1,M209="F",SUMIF(C2:C258,C209,AS2:AS258)&gt;1),1,"")))</f>
        <v>1</v>
      </c>
      <c r="AV209" s="388" t="str">
        <f>IF(AT209=0,"",IF(AND(AT209=3,M209="F",SUMIF(C2:C258,C209,AS2:AS258)&lt;=1),SUMIF(C2:C258,C209,AS2:AS258),IF(AND(AT209=3,M209="F",SUMIF(C2:C258,C209,AS2:AS258)&gt;1),1,"")))</f>
        <v/>
      </c>
      <c r="AW209" s="388">
        <f>SUMIF(C2:C258,C209,O2:O258)</f>
        <v>2</v>
      </c>
      <c r="AX209" s="388">
        <f>IF(AND(M209="F",AS209&lt;&gt;0),SUMIF(C2:C258,C209,W2:W258),0)</f>
        <v>90750.399999999994</v>
      </c>
      <c r="AY209" s="388">
        <f t="shared" si="161"/>
        <v>90750.399999999994</v>
      </c>
      <c r="AZ209" s="388" t="str">
        <f t="shared" si="162"/>
        <v/>
      </c>
      <c r="BA209" s="388">
        <f t="shared" si="163"/>
        <v>0</v>
      </c>
      <c r="BB209" s="388">
        <f t="shared" si="132"/>
        <v>12500</v>
      </c>
      <c r="BC209" s="388">
        <f t="shared" si="133"/>
        <v>0</v>
      </c>
      <c r="BD209" s="388">
        <f t="shared" si="134"/>
        <v>5626.5247999999992</v>
      </c>
      <c r="BE209" s="388">
        <f t="shared" si="135"/>
        <v>1315.8807999999999</v>
      </c>
      <c r="BF209" s="388">
        <f t="shared" si="136"/>
        <v>10835.597760000001</v>
      </c>
      <c r="BG209" s="388">
        <f t="shared" si="137"/>
        <v>654.310384</v>
      </c>
      <c r="BH209" s="388">
        <f t="shared" si="138"/>
        <v>0</v>
      </c>
      <c r="BI209" s="388">
        <f t="shared" si="139"/>
        <v>0</v>
      </c>
      <c r="BJ209" s="388">
        <f t="shared" si="140"/>
        <v>317.62639999999999</v>
      </c>
      <c r="BK209" s="388">
        <f t="shared" si="141"/>
        <v>0</v>
      </c>
      <c r="BL209" s="388">
        <f t="shared" si="164"/>
        <v>18749.940144</v>
      </c>
      <c r="BM209" s="388">
        <f t="shared" si="165"/>
        <v>0</v>
      </c>
      <c r="BN209" s="388">
        <f t="shared" si="142"/>
        <v>13750</v>
      </c>
      <c r="BO209" s="388">
        <f t="shared" si="143"/>
        <v>0</v>
      </c>
      <c r="BP209" s="388">
        <f t="shared" si="144"/>
        <v>5626.5247999999992</v>
      </c>
      <c r="BQ209" s="388">
        <f t="shared" si="145"/>
        <v>1315.8807999999999</v>
      </c>
      <c r="BR209" s="388">
        <f t="shared" si="146"/>
        <v>10145.894719999998</v>
      </c>
      <c r="BS209" s="388">
        <f t="shared" si="147"/>
        <v>654.310384</v>
      </c>
      <c r="BT209" s="388">
        <f t="shared" si="148"/>
        <v>0</v>
      </c>
      <c r="BU209" s="388">
        <f t="shared" si="149"/>
        <v>0</v>
      </c>
      <c r="BV209" s="388">
        <f t="shared" si="150"/>
        <v>353.92655999999994</v>
      </c>
      <c r="BW209" s="388">
        <f t="shared" si="151"/>
        <v>0</v>
      </c>
      <c r="BX209" s="388">
        <f t="shared" si="166"/>
        <v>18096.537263999999</v>
      </c>
      <c r="BY209" s="388">
        <f t="shared" si="167"/>
        <v>0</v>
      </c>
      <c r="BZ209" s="388">
        <f t="shared" si="168"/>
        <v>1250</v>
      </c>
      <c r="CA209" s="388">
        <f t="shared" si="169"/>
        <v>0</v>
      </c>
      <c r="CB209" s="388">
        <f t="shared" si="170"/>
        <v>0</v>
      </c>
      <c r="CC209" s="388">
        <f t="shared" si="152"/>
        <v>0</v>
      </c>
      <c r="CD209" s="388">
        <f t="shared" si="153"/>
        <v>-689.70304000000078</v>
      </c>
      <c r="CE209" s="388">
        <f t="shared" si="154"/>
        <v>0</v>
      </c>
      <c r="CF209" s="388">
        <f t="shared" si="155"/>
        <v>0</v>
      </c>
      <c r="CG209" s="388">
        <f t="shared" si="156"/>
        <v>0</v>
      </c>
      <c r="CH209" s="388">
        <f t="shared" si="157"/>
        <v>36.300159999999977</v>
      </c>
      <c r="CI209" s="388">
        <f t="shared" si="158"/>
        <v>0</v>
      </c>
      <c r="CJ209" s="388">
        <f t="shared" si="171"/>
        <v>-653.40288000000078</v>
      </c>
      <c r="CK209" s="388" t="str">
        <f t="shared" si="172"/>
        <v/>
      </c>
      <c r="CL209" s="388" t="str">
        <f t="shared" si="173"/>
        <v/>
      </c>
      <c r="CM209" s="388" t="str">
        <f t="shared" si="174"/>
        <v/>
      </c>
      <c r="CN209" s="388" t="str">
        <f t="shared" si="175"/>
        <v>0348-95</v>
      </c>
    </row>
    <row r="210" spans="1:92" ht="15.75" thickBot="1" x14ac:dyDescent="0.3">
      <c r="A210" s="377" t="s">
        <v>162</v>
      </c>
      <c r="B210" s="377" t="s">
        <v>163</v>
      </c>
      <c r="C210" s="377" t="s">
        <v>659</v>
      </c>
      <c r="D210" s="377" t="s">
        <v>300</v>
      </c>
      <c r="E210" s="377" t="s">
        <v>637</v>
      </c>
      <c r="F210" s="383" t="s">
        <v>727</v>
      </c>
      <c r="G210" s="377" t="s">
        <v>439</v>
      </c>
      <c r="H210" s="379"/>
      <c r="I210" s="379"/>
      <c r="J210" s="377" t="s">
        <v>269</v>
      </c>
      <c r="K210" s="377" t="s">
        <v>301</v>
      </c>
      <c r="L210" s="377" t="s">
        <v>167</v>
      </c>
      <c r="M210" s="377" t="s">
        <v>172</v>
      </c>
      <c r="N210" s="377" t="s">
        <v>173</v>
      </c>
      <c r="O210" s="380">
        <v>1</v>
      </c>
      <c r="P210" s="386">
        <v>0.8</v>
      </c>
      <c r="Q210" s="386">
        <v>0.8</v>
      </c>
      <c r="R210" s="381">
        <v>80</v>
      </c>
      <c r="S210" s="386">
        <v>0.8</v>
      </c>
      <c r="T210" s="381">
        <v>68032.259999999995</v>
      </c>
      <c r="U210" s="381">
        <v>0</v>
      </c>
      <c r="V210" s="381">
        <v>22604.44</v>
      </c>
      <c r="W210" s="381">
        <v>74347.509999999995</v>
      </c>
      <c r="X210" s="381">
        <v>25360.91</v>
      </c>
      <c r="Y210" s="381">
        <v>74347.509999999995</v>
      </c>
      <c r="Z210" s="381">
        <v>25825.61</v>
      </c>
      <c r="AA210" s="377" t="s">
        <v>660</v>
      </c>
      <c r="AB210" s="377" t="s">
        <v>661</v>
      </c>
      <c r="AC210" s="377" t="s">
        <v>662</v>
      </c>
      <c r="AD210" s="377" t="s">
        <v>171</v>
      </c>
      <c r="AE210" s="377" t="s">
        <v>301</v>
      </c>
      <c r="AF210" s="377" t="s">
        <v>207</v>
      </c>
      <c r="AG210" s="377" t="s">
        <v>179</v>
      </c>
      <c r="AH210" s="382">
        <v>44.68</v>
      </c>
      <c r="AI210" s="380">
        <v>24864</v>
      </c>
      <c r="AJ210" s="377" t="s">
        <v>180</v>
      </c>
      <c r="AK210" s="377" t="s">
        <v>181</v>
      </c>
      <c r="AL210" s="377" t="s">
        <v>182</v>
      </c>
      <c r="AM210" s="377" t="s">
        <v>183</v>
      </c>
      <c r="AN210" s="377" t="s">
        <v>66</v>
      </c>
      <c r="AO210" s="380">
        <v>80</v>
      </c>
      <c r="AP210" s="386">
        <v>1</v>
      </c>
      <c r="AQ210" s="386">
        <v>0.8</v>
      </c>
      <c r="AR210" s="384" t="s">
        <v>184</v>
      </c>
      <c r="AS210" s="388">
        <f t="shared" si="159"/>
        <v>0.8</v>
      </c>
      <c r="AT210">
        <f t="shared" si="160"/>
        <v>1</v>
      </c>
      <c r="AU210" s="388">
        <f>IF(AT210=0,"",IF(AND(AT210=1,M210="F",SUMIF(C2:C258,C210,AS2:AS258)&lt;=1),SUMIF(C2:C258,C210,AS2:AS258),IF(AND(AT210=1,M210="F",SUMIF(C2:C258,C210,AS2:AS258)&gt;1),1,"")))</f>
        <v>1</v>
      </c>
      <c r="AV210" s="388" t="str">
        <f>IF(AT210=0,"",IF(AND(AT210=3,M210="F",SUMIF(C2:C258,C210,AS2:AS258)&lt;=1),SUMIF(C2:C258,C210,AS2:AS258),IF(AND(AT210=3,M210="F",SUMIF(C2:C258,C210,AS2:AS258)&gt;1),1,"")))</f>
        <v/>
      </c>
      <c r="AW210" s="388">
        <f>SUMIF(C2:C258,C210,O2:O258)</f>
        <v>2</v>
      </c>
      <c r="AX210" s="388">
        <f>IF(AND(M210="F",AS210&lt;&gt;0),SUMIF(C2:C258,C210,W2:W258),0)</f>
        <v>92934.39</v>
      </c>
      <c r="AY210" s="388">
        <f t="shared" si="161"/>
        <v>74347.509999999995</v>
      </c>
      <c r="AZ210" s="388" t="str">
        <f t="shared" si="162"/>
        <v/>
      </c>
      <c r="BA210" s="388">
        <f t="shared" si="163"/>
        <v>0</v>
      </c>
      <c r="BB210" s="388">
        <f t="shared" si="132"/>
        <v>10000</v>
      </c>
      <c r="BC210" s="388">
        <f t="shared" si="133"/>
        <v>0</v>
      </c>
      <c r="BD210" s="388">
        <f t="shared" si="134"/>
        <v>4609.5456199999999</v>
      </c>
      <c r="BE210" s="388">
        <f t="shared" si="135"/>
        <v>1078.0388949999999</v>
      </c>
      <c r="BF210" s="388">
        <f t="shared" si="136"/>
        <v>8877.092693999999</v>
      </c>
      <c r="BG210" s="388">
        <f t="shared" si="137"/>
        <v>536.04554710000002</v>
      </c>
      <c r="BH210" s="388">
        <f t="shared" si="138"/>
        <v>0</v>
      </c>
      <c r="BI210" s="388">
        <f t="shared" si="139"/>
        <v>0</v>
      </c>
      <c r="BJ210" s="388">
        <f t="shared" si="140"/>
        <v>260.21628499999997</v>
      </c>
      <c r="BK210" s="388">
        <f t="shared" si="141"/>
        <v>0</v>
      </c>
      <c r="BL210" s="388">
        <f t="shared" si="164"/>
        <v>15360.939041099999</v>
      </c>
      <c r="BM210" s="388">
        <f t="shared" si="165"/>
        <v>0</v>
      </c>
      <c r="BN210" s="388">
        <f t="shared" si="142"/>
        <v>11000</v>
      </c>
      <c r="BO210" s="388">
        <f t="shared" si="143"/>
        <v>0</v>
      </c>
      <c r="BP210" s="388">
        <f t="shared" si="144"/>
        <v>4609.5456199999999</v>
      </c>
      <c r="BQ210" s="388">
        <f t="shared" si="145"/>
        <v>1078.0388949999999</v>
      </c>
      <c r="BR210" s="388">
        <f t="shared" si="146"/>
        <v>8312.0516179999995</v>
      </c>
      <c r="BS210" s="388">
        <f t="shared" si="147"/>
        <v>536.04554710000002</v>
      </c>
      <c r="BT210" s="388">
        <f t="shared" si="148"/>
        <v>0</v>
      </c>
      <c r="BU210" s="388">
        <f t="shared" si="149"/>
        <v>0</v>
      </c>
      <c r="BV210" s="388">
        <f t="shared" si="150"/>
        <v>289.95528899999999</v>
      </c>
      <c r="BW210" s="388">
        <f t="shared" si="151"/>
        <v>0</v>
      </c>
      <c r="BX210" s="388">
        <f t="shared" si="166"/>
        <v>14825.6369691</v>
      </c>
      <c r="BY210" s="388">
        <f t="shared" si="167"/>
        <v>0</v>
      </c>
      <c r="BZ210" s="388">
        <f t="shared" si="168"/>
        <v>1000</v>
      </c>
      <c r="CA210" s="388">
        <f t="shared" si="169"/>
        <v>0</v>
      </c>
      <c r="CB210" s="388">
        <f t="shared" si="170"/>
        <v>0</v>
      </c>
      <c r="CC210" s="388">
        <f t="shared" si="152"/>
        <v>0</v>
      </c>
      <c r="CD210" s="388">
        <f t="shared" si="153"/>
        <v>-565.04107600000066</v>
      </c>
      <c r="CE210" s="388">
        <f t="shared" si="154"/>
        <v>0</v>
      </c>
      <c r="CF210" s="388">
        <f t="shared" si="155"/>
        <v>0</v>
      </c>
      <c r="CG210" s="388">
        <f t="shared" si="156"/>
        <v>0</v>
      </c>
      <c r="CH210" s="388">
        <f t="shared" si="157"/>
        <v>29.73900399999998</v>
      </c>
      <c r="CI210" s="388">
        <f t="shared" si="158"/>
        <v>0</v>
      </c>
      <c r="CJ210" s="388">
        <f t="shared" si="171"/>
        <v>-535.30207200000063</v>
      </c>
      <c r="CK210" s="388" t="str">
        <f t="shared" si="172"/>
        <v/>
      </c>
      <c r="CL210" s="388" t="str">
        <f t="shared" si="173"/>
        <v/>
      </c>
      <c r="CM210" s="388" t="str">
        <f t="shared" si="174"/>
        <v/>
      </c>
      <c r="CN210" s="388" t="str">
        <f t="shared" si="175"/>
        <v>0348-95</v>
      </c>
    </row>
    <row r="211" spans="1:92" ht="15.75" thickBot="1" x14ac:dyDescent="0.3">
      <c r="A211" s="377" t="s">
        <v>162</v>
      </c>
      <c r="B211" s="377" t="s">
        <v>163</v>
      </c>
      <c r="C211" s="377" t="s">
        <v>758</v>
      </c>
      <c r="D211" s="377" t="s">
        <v>300</v>
      </c>
      <c r="E211" s="377" t="s">
        <v>637</v>
      </c>
      <c r="F211" s="383" t="s">
        <v>727</v>
      </c>
      <c r="G211" s="377" t="s">
        <v>439</v>
      </c>
      <c r="H211" s="379"/>
      <c r="I211" s="379"/>
      <c r="J211" s="377" t="s">
        <v>169</v>
      </c>
      <c r="K211" s="377" t="s">
        <v>301</v>
      </c>
      <c r="L211" s="377" t="s">
        <v>167</v>
      </c>
      <c r="M211" s="377" t="s">
        <v>172</v>
      </c>
      <c r="N211" s="377" t="s">
        <v>173</v>
      </c>
      <c r="O211" s="380">
        <v>1</v>
      </c>
      <c r="P211" s="386">
        <v>1</v>
      </c>
      <c r="Q211" s="386">
        <v>1</v>
      </c>
      <c r="R211" s="381">
        <v>80</v>
      </c>
      <c r="S211" s="386">
        <v>1</v>
      </c>
      <c r="T211" s="381">
        <v>83646.37</v>
      </c>
      <c r="U211" s="381">
        <v>0</v>
      </c>
      <c r="V211" s="381">
        <v>29324.16</v>
      </c>
      <c r="W211" s="381">
        <v>82596.800000000003</v>
      </c>
      <c r="X211" s="381">
        <v>29565.3</v>
      </c>
      <c r="Y211" s="381">
        <v>82596.800000000003</v>
      </c>
      <c r="Z211" s="381">
        <v>30220.6</v>
      </c>
      <c r="AA211" s="377" t="s">
        <v>759</v>
      </c>
      <c r="AB211" s="377" t="s">
        <v>760</v>
      </c>
      <c r="AC211" s="377" t="s">
        <v>761</v>
      </c>
      <c r="AD211" s="377" t="s">
        <v>762</v>
      </c>
      <c r="AE211" s="377" t="s">
        <v>301</v>
      </c>
      <c r="AF211" s="377" t="s">
        <v>207</v>
      </c>
      <c r="AG211" s="377" t="s">
        <v>179</v>
      </c>
      <c r="AH211" s="382">
        <v>39.71</v>
      </c>
      <c r="AI211" s="382">
        <v>4123.5</v>
      </c>
      <c r="AJ211" s="377" t="s">
        <v>180</v>
      </c>
      <c r="AK211" s="377" t="s">
        <v>181</v>
      </c>
      <c r="AL211" s="377" t="s">
        <v>182</v>
      </c>
      <c r="AM211" s="377" t="s">
        <v>183</v>
      </c>
      <c r="AN211" s="377" t="s">
        <v>66</v>
      </c>
      <c r="AO211" s="380">
        <v>80</v>
      </c>
      <c r="AP211" s="386">
        <v>1</v>
      </c>
      <c r="AQ211" s="386">
        <v>1</v>
      </c>
      <c r="AR211" s="384" t="s">
        <v>184</v>
      </c>
      <c r="AS211" s="388">
        <f t="shared" si="159"/>
        <v>1</v>
      </c>
      <c r="AT211">
        <f t="shared" si="160"/>
        <v>1</v>
      </c>
      <c r="AU211" s="388">
        <f>IF(AT211=0,"",IF(AND(AT211=1,M211="F",SUMIF(C2:C258,C211,AS2:AS258)&lt;=1),SUMIF(C2:C258,C211,AS2:AS258),IF(AND(AT211=1,M211="F",SUMIF(C2:C258,C211,AS2:AS258)&gt;1),1,"")))</f>
        <v>1</v>
      </c>
      <c r="AV211" s="388" t="str">
        <f>IF(AT211=0,"",IF(AND(AT211=3,M211="F",SUMIF(C2:C258,C211,AS2:AS258)&lt;=1),SUMIF(C2:C258,C211,AS2:AS258),IF(AND(AT211=3,M211="F",SUMIF(C2:C258,C211,AS2:AS258)&gt;1),1,"")))</f>
        <v/>
      </c>
      <c r="AW211" s="388">
        <f>SUMIF(C2:C258,C211,O2:O258)</f>
        <v>1</v>
      </c>
      <c r="AX211" s="388">
        <f>IF(AND(M211="F",AS211&lt;&gt;0),SUMIF(C2:C258,C211,W2:W258),0)</f>
        <v>82596.800000000003</v>
      </c>
      <c r="AY211" s="388">
        <f t="shared" si="161"/>
        <v>82596.800000000003</v>
      </c>
      <c r="AZ211" s="388" t="str">
        <f t="shared" si="162"/>
        <v/>
      </c>
      <c r="BA211" s="388">
        <f t="shared" si="163"/>
        <v>0</v>
      </c>
      <c r="BB211" s="388">
        <f t="shared" si="132"/>
        <v>12500</v>
      </c>
      <c r="BC211" s="388">
        <f t="shared" si="133"/>
        <v>0</v>
      </c>
      <c r="BD211" s="388">
        <f t="shared" si="134"/>
        <v>5121.0016000000005</v>
      </c>
      <c r="BE211" s="388">
        <f t="shared" si="135"/>
        <v>1197.6536000000001</v>
      </c>
      <c r="BF211" s="388">
        <f t="shared" si="136"/>
        <v>9862.0579200000011</v>
      </c>
      <c r="BG211" s="388">
        <f t="shared" si="137"/>
        <v>595.52292800000009</v>
      </c>
      <c r="BH211" s="388">
        <f t="shared" si="138"/>
        <v>0</v>
      </c>
      <c r="BI211" s="388">
        <f t="shared" si="139"/>
        <v>0</v>
      </c>
      <c r="BJ211" s="388">
        <f t="shared" si="140"/>
        <v>289.08879999999999</v>
      </c>
      <c r="BK211" s="388">
        <f t="shared" si="141"/>
        <v>0</v>
      </c>
      <c r="BL211" s="388">
        <f t="shared" si="164"/>
        <v>17065.324848000004</v>
      </c>
      <c r="BM211" s="388">
        <f t="shared" si="165"/>
        <v>0</v>
      </c>
      <c r="BN211" s="388">
        <f t="shared" si="142"/>
        <v>13750</v>
      </c>
      <c r="BO211" s="388">
        <f t="shared" si="143"/>
        <v>0</v>
      </c>
      <c r="BP211" s="388">
        <f t="shared" si="144"/>
        <v>5121.0016000000005</v>
      </c>
      <c r="BQ211" s="388">
        <f t="shared" si="145"/>
        <v>1197.6536000000001</v>
      </c>
      <c r="BR211" s="388">
        <f t="shared" si="146"/>
        <v>9234.3222399999995</v>
      </c>
      <c r="BS211" s="388">
        <f t="shared" si="147"/>
        <v>595.52292800000009</v>
      </c>
      <c r="BT211" s="388">
        <f t="shared" si="148"/>
        <v>0</v>
      </c>
      <c r="BU211" s="388">
        <f t="shared" si="149"/>
        <v>0</v>
      </c>
      <c r="BV211" s="388">
        <f t="shared" si="150"/>
        <v>322.12752</v>
      </c>
      <c r="BW211" s="388">
        <f t="shared" si="151"/>
        <v>0</v>
      </c>
      <c r="BX211" s="388">
        <f t="shared" si="166"/>
        <v>16470.627888000003</v>
      </c>
      <c r="BY211" s="388">
        <f t="shared" si="167"/>
        <v>0</v>
      </c>
      <c r="BZ211" s="388">
        <f t="shared" si="168"/>
        <v>1250</v>
      </c>
      <c r="CA211" s="388">
        <f t="shared" si="169"/>
        <v>0</v>
      </c>
      <c r="CB211" s="388">
        <f t="shared" si="170"/>
        <v>0</v>
      </c>
      <c r="CC211" s="388">
        <f t="shared" si="152"/>
        <v>0</v>
      </c>
      <c r="CD211" s="388">
        <f t="shared" si="153"/>
        <v>-627.7356800000008</v>
      </c>
      <c r="CE211" s="388">
        <f t="shared" si="154"/>
        <v>0</v>
      </c>
      <c r="CF211" s="388">
        <f t="shared" si="155"/>
        <v>0</v>
      </c>
      <c r="CG211" s="388">
        <f t="shared" si="156"/>
        <v>0</v>
      </c>
      <c r="CH211" s="388">
        <f t="shared" si="157"/>
        <v>33.038719999999984</v>
      </c>
      <c r="CI211" s="388">
        <f t="shared" si="158"/>
        <v>0</v>
      </c>
      <c r="CJ211" s="388">
        <f t="shared" si="171"/>
        <v>-594.69696000000079</v>
      </c>
      <c r="CK211" s="388" t="str">
        <f t="shared" si="172"/>
        <v/>
      </c>
      <c r="CL211" s="388" t="str">
        <f t="shared" si="173"/>
        <v/>
      </c>
      <c r="CM211" s="388" t="str">
        <f t="shared" si="174"/>
        <v/>
      </c>
      <c r="CN211" s="388" t="str">
        <f t="shared" si="175"/>
        <v>0348-95</v>
      </c>
    </row>
    <row r="212" spans="1:92" ht="15.75" thickBot="1" x14ac:dyDescent="0.3">
      <c r="A212" s="377" t="s">
        <v>162</v>
      </c>
      <c r="B212" s="377" t="s">
        <v>163</v>
      </c>
      <c r="C212" s="377" t="s">
        <v>561</v>
      </c>
      <c r="D212" s="377" t="s">
        <v>300</v>
      </c>
      <c r="E212" s="377" t="s">
        <v>637</v>
      </c>
      <c r="F212" s="383" t="s">
        <v>727</v>
      </c>
      <c r="G212" s="377" t="s">
        <v>439</v>
      </c>
      <c r="H212" s="379"/>
      <c r="I212" s="379"/>
      <c r="J212" s="377" t="s">
        <v>169</v>
      </c>
      <c r="K212" s="377" t="s">
        <v>301</v>
      </c>
      <c r="L212" s="377" t="s">
        <v>167</v>
      </c>
      <c r="M212" s="377" t="s">
        <v>172</v>
      </c>
      <c r="N212" s="377" t="s">
        <v>173</v>
      </c>
      <c r="O212" s="380">
        <v>1</v>
      </c>
      <c r="P212" s="386">
        <v>0.7</v>
      </c>
      <c r="Q212" s="386">
        <v>0.7</v>
      </c>
      <c r="R212" s="381">
        <v>80</v>
      </c>
      <c r="S212" s="386">
        <v>0.7</v>
      </c>
      <c r="T212" s="381">
        <v>50565.02</v>
      </c>
      <c r="U212" s="381">
        <v>0</v>
      </c>
      <c r="V212" s="381">
        <v>17791.72</v>
      </c>
      <c r="W212" s="381">
        <v>56842.239999999998</v>
      </c>
      <c r="X212" s="381">
        <v>20494.150000000001</v>
      </c>
      <c r="Y212" s="381">
        <v>56842.239999999998</v>
      </c>
      <c r="Z212" s="381">
        <v>20959.89</v>
      </c>
      <c r="AA212" s="377" t="s">
        <v>562</v>
      </c>
      <c r="AB212" s="377" t="s">
        <v>563</v>
      </c>
      <c r="AC212" s="377" t="s">
        <v>564</v>
      </c>
      <c r="AD212" s="377" t="s">
        <v>316</v>
      </c>
      <c r="AE212" s="377" t="s">
        <v>301</v>
      </c>
      <c r="AF212" s="377" t="s">
        <v>207</v>
      </c>
      <c r="AG212" s="377" t="s">
        <v>179</v>
      </c>
      <c r="AH212" s="382">
        <v>39.04</v>
      </c>
      <c r="AI212" s="382">
        <v>16713.5</v>
      </c>
      <c r="AJ212" s="377" t="s">
        <v>180</v>
      </c>
      <c r="AK212" s="377" t="s">
        <v>181</v>
      </c>
      <c r="AL212" s="377" t="s">
        <v>182</v>
      </c>
      <c r="AM212" s="377" t="s">
        <v>183</v>
      </c>
      <c r="AN212" s="377" t="s">
        <v>66</v>
      </c>
      <c r="AO212" s="380">
        <v>80</v>
      </c>
      <c r="AP212" s="386">
        <v>1</v>
      </c>
      <c r="AQ212" s="386">
        <v>0.7</v>
      </c>
      <c r="AR212" s="384" t="s">
        <v>184</v>
      </c>
      <c r="AS212" s="388">
        <f t="shared" si="159"/>
        <v>0.7</v>
      </c>
      <c r="AT212">
        <f t="shared" si="160"/>
        <v>1</v>
      </c>
      <c r="AU212" s="388">
        <f>IF(AT212=0,"",IF(AND(AT212=1,M212="F",SUMIF(C2:C258,C212,AS2:AS258)&lt;=1),SUMIF(C2:C258,C212,AS2:AS258),IF(AND(AT212=1,M212="F",SUMIF(C2:C258,C212,AS2:AS258)&gt;1),1,"")))</f>
        <v>1</v>
      </c>
      <c r="AV212" s="388" t="str">
        <f>IF(AT212=0,"",IF(AND(AT212=3,M212="F",SUMIF(C2:C258,C212,AS2:AS258)&lt;=1),SUMIF(C2:C258,C212,AS2:AS258),IF(AND(AT212=3,M212="F",SUMIF(C2:C258,C212,AS2:AS258)&gt;1),1,"")))</f>
        <v/>
      </c>
      <c r="AW212" s="388">
        <f>SUMIF(C2:C258,C212,O2:O258)</f>
        <v>2</v>
      </c>
      <c r="AX212" s="388">
        <f>IF(AND(M212="F",AS212&lt;&gt;0),SUMIF(C2:C258,C212,W2:W258),0)</f>
        <v>81203.199999999997</v>
      </c>
      <c r="AY212" s="388">
        <f t="shared" si="161"/>
        <v>56842.239999999998</v>
      </c>
      <c r="AZ212" s="388" t="str">
        <f t="shared" si="162"/>
        <v/>
      </c>
      <c r="BA212" s="388">
        <f t="shared" si="163"/>
        <v>0</v>
      </c>
      <c r="BB212" s="388">
        <f t="shared" si="132"/>
        <v>8750</v>
      </c>
      <c r="BC212" s="388">
        <f t="shared" si="133"/>
        <v>0</v>
      </c>
      <c r="BD212" s="388">
        <f t="shared" si="134"/>
        <v>3524.2188799999999</v>
      </c>
      <c r="BE212" s="388">
        <f t="shared" si="135"/>
        <v>824.21248000000003</v>
      </c>
      <c r="BF212" s="388">
        <f t="shared" si="136"/>
        <v>6786.9634560000004</v>
      </c>
      <c r="BG212" s="388">
        <f t="shared" si="137"/>
        <v>409.8325504</v>
      </c>
      <c r="BH212" s="388">
        <f t="shared" si="138"/>
        <v>0</v>
      </c>
      <c r="BI212" s="388">
        <f t="shared" si="139"/>
        <v>0</v>
      </c>
      <c r="BJ212" s="388">
        <f t="shared" si="140"/>
        <v>198.94783999999999</v>
      </c>
      <c r="BK212" s="388">
        <f t="shared" si="141"/>
        <v>0</v>
      </c>
      <c r="BL212" s="388">
        <f t="shared" si="164"/>
        <v>11744.175206400001</v>
      </c>
      <c r="BM212" s="388">
        <f t="shared" si="165"/>
        <v>0</v>
      </c>
      <c r="BN212" s="388">
        <f t="shared" si="142"/>
        <v>9625</v>
      </c>
      <c r="BO212" s="388">
        <f t="shared" si="143"/>
        <v>0</v>
      </c>
      <c r="BP212" s="388">
        <f t="shared" si="144"/>
        <v>3524.2188799999999</v>
      </c>
      <c r="BQ212" s="388">
        <f t="shared" si="145"/>
        <v>824.21248000000003</v>
      </c>
      <c r="BR212" s="388">
        <f t="shared" si="146"/>
        <v>6354.9624319999994</v>
      </c>
      <c r="BS212" s="388">
        <f t="shared" si="147"/>
        <v>409.8325504</v>
      </c>
      <c r="BT212" s="388">
        <f t="shared" si="148"/>
        <v>0</v>
      </c>
      <c r="BU212" s="388">
        <f t="shared" si="149"/>
        <v>0</v>
      </c>
      <c r="BV212" s="388">
        <f t="shared" si="150"/>
        <v>221.68473599999999</v>
      </c>
      <c r="BW212" s="388">
        <f t="shared" si="151"/>
        <v>0</v>
      </c>
      <c r="BX212" s="388">
        <f t="shared" si="166"/>
        <v>11334.911078399999</v>
      </c>
      <c r="BY212" s="388">
        <f t="shared" si="167"/>
        <v>0</v>
      </c>
      <c r="BZ212" s="388">
        <f t="shared" si="168"/>
        <v>875</v>
      </c>
      <c r="CA212" s="388">
        <f t="shared" si="169"/>
        <v>0</v>
      </c>
      <c r="CB212" s="388">
        <f t="shared" si="170"/>
        <v>0</v>
      </c>
      <c r="CC212" s="388">
        <f t="shared" si="152"/>
        <v>0</v>
      </c>
      <c r="CD212" s="388">
        <f t="shared" si="153"/>
        <v>-432.00102400000054</v>
      </c>
      <c r="CE212" s="388">
        <f t="shared" si="154"/>
        <v>0</v>
      </c>
      <c r="CF212" s="388">
        <f t="shared" si="155"/>
        <v>0</v>
      </c>
      <c r="CG212" s="388">
        <f t="shared" si="156"/>
        <v>0</v>
      </c>
      <c r="CH212" s="388">
        <f t="shared" si="157"/>
        <v>22.736895999999984</v>
      </c>
      <c r="CI212" s="388">
        <f t="shared" si="158"/>
        <v>0</v>
      </c>
      <c r="CJ212" s="388">
        <f t="shared" si="171"/>
        <v>-409.26412800000054</v>
      </c>
      <c r="CK212" s="388" t="str">
        <f t="shared" si="172"/>
        <v/>
      </c>
      <c r="CL212" s="388" t="str">
        <f t="shared" si="173"/>
        <v/>
      </c>
      <c r="CM212" s="388" t="str">
        <f t="shared" si="174"/>
        <v/>
      </c>
      <c r="CN212" s="388" t="str">
        <f t="shared" si="175"/>
        <v>0348-95</v>
      </c>
    </row>
    <row r="213" spans="1:92" ht="15.75" thickBot="1" x14ac:dyDescent="0.3">
      <c r="A213" s="377" t="s">
        <v>162</v>
      </c>
      <c r="B213" s="377" t="s">
        <v>163</v>
      </c>
      <c r="C213" s="377" t="s">
        <v>444</v>
      </c>
      <c r="D213" s="377" t="s">
        <v>251</v>
      </c>
      <c r="E213" s="377" t="s">
        <v>637</v>
      </c>
      <c r="F213" s="383" t="s">
        <v>727</v>
      </c>
      <c r="G213" s="377" t="s">
        <v>439</v>
      </c>
      <c r="H213" s="379"/>
      <c r="I213" s="379"/>
      <c r="J213" s="377" t="s">
        <v>169</v>
      </c>
      <c r="K213" s="377" t="s">
        <v>252</v>
      </c>
      <c r="L213" s="377" t="s">
        <v>179</v>
      </c>
      <c r="M213" s="377" t="s">
        <v>395</v>
      </c>
      <c r="N213" s="377" t="s">
        <v>173</v>
      </c>
      <c r="O213" s="380">
        <v>0</v>
      </c>
      <c r="P213" s="386">
        <v>1</v>
      </c>
      <c r="Q213" s="386">
        <v>1</v>
      </c>
      <c r="R213" s="381">
        <v>80</v>
      </c>
      <c r="S213" s="386">
        <v>1</v>
      </c>
      <c r="T213" s="381">
        <v>15991.42</v>
      </c>
      <c r="U213" s="381">
        <v>0</v>
      </c>
      <c r="V213" s="381">
        <v>9019.7999999999993</v>
      </c>
      <c r="W213" s="381">
        <v>39998.400000000001</v>
      </c>
      <c r="X213" s="381">
        <v>17999.27</v>
      </c>
      <c r="Y213" s="381">
        <v>39998.400000000001</v>
      </c>
      <c r="Z213" s="381">
        <v>18639.25</v>
      </c>
      <c r="AA213" s="379"/>
      <c r="AB213" s="377" t="s">
        <v>45</v>
      </c>
      <c r="AC213" s="377" t="s">
        <v>45</v>
      </c>
      <c r="AD213" s="379"/>
      <c r="AE213" s="379"/>
      <c r="AF213" s="379"/>
      <c r="AG213" s="379"/>
      <c r="AH213" s="380">
        <v>0</v>
      </c>
      <c r="AI213" s="380">
        <v>0</v>
      </c>
      <c r="AJ213" s="379"/>
      <c r="AK213" s="379"/>
      <c r="AL213" s="377" t="s">
        <v>182</v>
      </c>
      <c r="AM213" s="379"/>
      <c r="AN213" s="379"/>
      <c r="AO213" s="380">
        <v>0</v>
      </c>
      <c r="AP213" s="386">
        <v>0</v>
      </c>
      <c r="AQ213" s="386">
        <v>0</v>
      </c>
      <c r="AR213" s="385"/>
      <c r="AS213" s="388">
        <f t="shared" si="159"/>
        <v>0</v>
      </c>
      <c r="AT213">
        <f t="shared" si="160"/>
        <v>0</v>
      </c>
      <c r="AU213" s="388" t="str">
        <f>IF(AT213=0,"",IF(AND(AT213=1,M213="F",SUMIF(C2:C258,C213,AS2:AS258)&lt;=1),SUMIF(C2:C258,C213,AS2:AS258),IF(AND(AT213=1,M213="F",SUMIF(C2:C258,C213,AS2:AS258)&gt;1),1,"")))</f>
        <v/>
      </c>
      <c r="AV213" s="388" t="str">
        <f>IF(AT213=0,"",IF(AND(AT213=3,M213="F",SUMIF(C2:C258,C213,AS2:AS258)&lt;=1),SUMIF(C2:C258,C213,AS2:AS258),IF(AND(AT213=3,M213="F",SUMIF(C2:C258,C213,AS2:AS258)&gt;1),1,"")))</f>
        <v/>
      </c>
      <c r="AW213" s="388">
        <f>SUMIF(C2:C258,C213,O2:O258)</f>
        <v>0</v>
      </c>
      <c r="AX213" s="388">
        <f>IF(AND(M213="F",AS213&lt;&gt;0),SUMIF(C2:C258,C213,W2:W258),0)</f>
        <v>0</v>
      </c>
      <c r="AY213" s="388" t="str">
        <f t="shared" si="161"/>
        <v/>
      </c>
      <c r="AZ213" s="388" t="str">
        <f t="shared" si="162"/>
        <v/>
      </c>
      <c r="BA213" s="388">
        <f t="shared" si="163"/>
        <v>0</v>
      </c>
      <c r="BB213" s="388">
        <f t="shared" si="132"/>
        <v>0</v>
      </c>
      <c r="BC213" s="388">
        <f t="shared" si="133"/>
        <v>0</v>
      </c>
      <c r="BD213" s="388">
        <f t="shared" si="134"/>
        <v>0</v>
      </c>
      <c r="BE213" s="388">
        <f t="shared" si="135"/>
        <v>0</v>
      </c>
      <c r="BF213" s="388">
        <f t="shared" si="136"/>
        <v>0</v>
      </c>
      <c r="BG213" s="388">
        <f t="shared" si="137"/>
        <v>0</v>
      </c>
      <c r="BH213" s="388">
        <f t="shared" si="138"/>
        <v>0</v>
      </c>
      <c r="BI213" s="388">
        <f t="shared" si="139"/>
        <v>0</v>
      </c>
      <c r="BJ213" s="388">
        <f t="shared" si="140"/>
        <v>0</v>
      </c>
      <c r="BK213" s="388">
        <f t="shared" si="141"/>
        <v>0</v>
      </c>
      <c r="BL213" s="388">
        <f t="shared" si="164"/>
        <v>0</v>
      </c>
      <c r="BM213" s="388">
        <f t="shared" si="165"/>
        <v>0</v>
      </c>
      <c r="BN213" s="388">
        <f t="shared" si="142"/>
        <v>0</v>
      </c>
      <c r="BO213" s="388">
        <f t="shared" si="143"/>
        <v>0</v>
      </c>
      <c r="BP213" s="388">
        <f t="shared" si="144"/>
        <v>0</v>
      </c>
      <c r="BQ213" s="388">
        <f t="shared" si="145"/>
        <v>0</v>
      </c>
      <c r="BR213" s="388">
        <f t="shared" si="146"/>
        <v>0</v>
      </c>
      <c r="BS213" s="388">
        <f t="shared" si="147"/>
        <v>0</v>
      </c>
      <c r="BT213" s="388">
        <f t="shared" si="148"/>
        <v>0</v>
      </c>
      <c r="BU213" s="388">
        <f t="shared" si="149"/>
        <v>0</v>
      </c>
      <c r="BV213" s="388">
        <f t="shared" si="150"/>
        <v>0</v>
      </c>
      <c r="BW213" s="388">
        <f t="shared" si="151"/>
        <v>0</v>
      </c>
      <c r="BX213" s="388">
        <f t="shared" si="166"/>
        <v>0</v>
      </c>
      <c r="BY213" s="388">
        <f t="shared" si="167"/>
        <v>0</v>
      </c>
      <c r="BZ213" s="388">
        <f t="shared" si="168"/>
        <v>0</v>
      </c>
      <c r="CA213" s="388">
        <f t="shared" si="169"/>
        <v>0</v>
      </c>
      <c r="CB213" s="388">
        <f t="shared" si="170"/>
        <v>0</v>
      </c>
      <c r="CC213" s="388">
        <f t="shared" si="152"/>
        <v>0</v>
      </c>
      <c r="CD213" s="388">
        <f t="shared" si="153"/>
        <v>0</v>
      </c>
      <c r="CE213" s="388">
        <f t="shared" si="154"/>
        <v>0</v>
      </c>
      <c r="CF213" s="388">
        <f t="shared" si="155"/>
        <v>0</v>
      </c>
      <c r="CG213" s="388">
        <f t="shared" si="156"/>
        <v>0</v>
      </c>
      <c r="CH213" s="388">
        <f t="shared" si="157"/>
        <v>0</v>
      </c>
      <c r="CI213" s="388">
        <f t="shared" si="158"/>
        <v>0</v>
      </c>
      <c r="CJ213" s="388">
        <f t="shared" si="171"/>
        <v>0</v>
      </c>
      <c r="CK213" s="388" t="str">
        <f t="shared" si="172"/>
        <v/>
      </c>
      <c r="CL213" s="388" t="str">
        <f t="shared" si="173"/>
        <v/>
      </c>
      <c r="CM213" s="388" t="str">
        <f t="shared" si="174"/>
        <v/>
      </c>
      <c r="CN213" s="388" t="str">
        <f t="shared" si="175"/>
        <v>0348-95</v>
      </c>
    </row>
    <row r="214" spans="1:92" ht="15.75" thickBot="1" x14ac:dyDescent="0.3">
      <c r="A214" s="377" t="s">
        <v>162</v>
      </c>
      <c r="B214" s="377" t="s">
        <v>163</v>
      </c>
      <c r="C214" s="377" t="s">
        <v>463</v>
      </c>
      <c r="D214" s="377" t="s">
        <v>464</v>
      </c>
      <c r="E214" s="377" t="s">
        <v>763</v>
      </c>
      <c r="F214" s="383" t="s">
        <v>167</v>
      </c>
      <c r="G214" s="377" t="s">
        <v>439</v>
      </c>
      <c r="H214" s="379"/>
      <c r="I214" s="379"/>
      <c r="J214" s="377" t="s">
        <v>169</v>
      </c>
      <c r="K214" s="377" t="s">
        <v>465</v>
      </c>
      <c r="L214" s="377" t="s">
        <v>167</v>
      </c>
      <c r="M214" s="377" t="s">
        <v>172</v>
      </c>
      <c r="N214" s="377" t="s">
        <v>173</v>
      </c>
      <c r="O214" s="380">
        <v>1</v>
      </c>
      <c r="P214" s="386">
        <v>0.65</v>
      </c>
      <c r="Q214" s="386">
        <v>0.65</v>
      </c>
      <c r="R214" s="381">
        <v>80</v>
      </c>
      <c r="S214" s="386">
        <v>0.65</v>
      </c>
      <c r="T214" s="381">
        <v>43264.62</v>
      </c>
      <c r="U214" s="381">
        <v>0</v>
      </c>
      <c r="V214" s="381">
        <v>17055.599999999999</v>
      </c>
      <c r="W214" s="381">
        <v>42709.68</v>
      </c>
      <c r="X214" s="381">
        <v>16949.22</v>
      </c>
      <c r="Y214" s="381">
        <v>42709.68</v>
      </c>
      <c r="Z214" s="381">
        <v>17454.21</v>
      </c>
      <c r="AA214" s="377" t="s">
        <v>466</v>
      </c>
      <c r="AB214" s="377" t="s">
        <v>467</v>
      </c>
      <c r="AC214" s="377" t="s">
        <v>468</v>
      </c>
      <c r="AD214" s="377" t="s">
        <v>469</v>
      </c>
      <c r="AE214" s="377" t="s">
        <v>465</v>
      </c>
      <c r="AF214" s="377" t="s">
        <v>207</v>
      </c>
      <c r="AG214" s="377" t="s">
        <v>179</v>
      </c>
      <c r="AH214" s="382">
        <v>31.59</v>
      </c>
      <c r="AI214" s="382">
        <v>6381.7</v>
      </c>
      <c r="AJ214" s="377" t="s">
        <v>180</v>
      </c>
      <c r="AK214" s="377" t="s">
        <v>181</v>
      </c>
      <c r="AL214" s="377" t="s">
        <v>182</v>
      </c>
      <c r="AM214" s="377" t="s">
        <v>183</v>
      </c>
      <c r="AN214" s="377" t="s">
        <v>66</v>
      </c>
      <c r="AO214" s="380">
        <v>80</v>
      </c>
      <c r="AP214" s="386">
        <v>1</v>
      </c>
      <c r="AQ214" s="386">
        <v>0.65</v>
      </c>
      <c r="AR214" s="384" t="s">
        <v>184</v>
      </c>
      <c r="AS214" s="388">
        <f t="shared" si="159"/>
        <v>0.65</v>
      </c>
      <c r="AT214">
        <f t="shared" si="160"/>
        <v>1</v>
      </c>
      <c r="AU214" s="388">
        <f>IF(AT214=0,"",IF(AND(AT214=1,M214="F",SUMIF(C2:C258,C214,AS2:AS258)&lt;=1),SUMIF(C2:C258,C214,AS2:AS258),IF(AND(AT214=1,M214="F",SUMIF(C2:C258,C214,AS2:AS258)&gt;1),1,"")))</f>
        <v>1</v>
      </c>
      <c r="AV214" s="388" t="str">
        <f>IF(AT214=0,"",IF(AND(AT214=3,M214="F",SUMIF(C2:C258,C214,AS2:AS258)&lt;=1),SUMIF(C2:C258,C214,AS2:AS258),IF(AND(AT214=3,M214="F",SUMIF(C2:C258,C214,AS2:AS258)&gt;1),1,"")))</f>
        <v/>
      </c>
      <c r="AW214" s="388">
        <f>SUMIF(C2:C258,C214,O2:O258)</f>
        <v>3</v>
      </c>
      <c r="AX214" s="388">
        <f>IF(AND(M214="F",AS214&lt;&gt;0),SUMIF(C2:C258,C214,W2:W258),0)</f>
        <v>65707.199999999997</v>
      </c>
      <c r="AY214" s="388">
        <f t="shared" si="161"/>
        <v>42709.68</v>
      </c>
      <c r="AZ214" s="388" t="str">
        <f t="shared" si="162"/>
        <v/>
      </c>
      <c r="BA214" s="388">
        <f t="shared" si="163"/>
        <v>0</v>
      </c>
      <c r="BB214" s="388">
        <f t="shared" si="132"/>
        <v>8125</v>
      </c>
      <c r="BC214" s="388">
        <f t="shared" si="133"/>
        <v>0</v>
      </c>
      <c r="BD214" s="388">
        <f t="shared" si="134"/>
        <v>2648.0001600000001</v>
      </c>
      <c r="BE214" s="388">
        <f t="shared" si="135"/>
        <v>619.29036000000008</v>
      </c>
      <c r="BF214" s="388">
        <f t="shared" si="136"/>
        <v>5099.5357920000006</v>
      </c>
      <c r="BG214" s="388">
        <f t="shared" si="137"/>
        <v>307.93679280000003</v>
      </c>
      <c r="BH214" s="388">
        <f t="shared" si="138"/>
        <v>0</v>
      </c>
      <c r="BI214" s="388">
        <f t="shared" si="139"/>
        <v>0</v>
      </c>
      <c r="BJ214" s="388">
        <f t="shared" si="140"/>
        <v>149.48388</v>
      </c>
      <c r="BK214" s="388">
        <f t="shared" si="141"/>
        <v>0</v>
      </c>
      <c r="BL214" s="388">
        <f t="shared" si="164"/>
        <v>8824.2469848000001</v>
      </c>
      <c r="BM214" s="388">
        <f t="shared" si="165"/>
        <v>0</v>
      </c>
      <c r="BN214" s="388">
        <f t="shared" si="142"/>
        <v>8937.5</v>
      </c>
      <c r="BO214" s="388">
        <f t="shared" si="143"/>
        <v>0</v>
      </c>
      <c r="BP214" s="388">
        <f t="shared" si="144"/>
        <v>2648.0001600000001</v>
      </c>
      <c r="BQ214" s="388">
        <f t="shared" si="145"/>
        <v>619.29036000000008</v>
      </c>
      <c r="BR214" s="388">
        <f t="shared" si="146"/>
        <v>4774.9422239999994</v>
      </c>
      <c r="BS214" s="388">
        <f t="shared" si="147"/>
        <v>307.93679280000003</v>
      </c>
      <c r="BT214" s="388">
        <f t="shared" si="148"/>
        <v>0</v>
      </c>
      <c r="BU214" s="388">
        <f t="shared" si="149"/>
        <v>0</v>
      </c>
      <c r="BV214" s="388">
        <f t="shared" si="150"/>
        <v>166.56775199999998</v>
      </c>
      <c r="BW214" s="388">
        <f t="shared" si="151"/>
        <v>0</v>
      </c>
      <c r="BX214" s="388">
        <f t="shared" si="166"/>
        <v>8516.7372887999991</v>
      </c>
      <c r="BY214" s="388">
        <f t="shared" si="167"/>
        <v>0</v>
      </c>
      <c r="BZ214" s="388">
        <f t="shared" si="168"/>
        <v>812.5</v>
      </c>
      <c r="CA214" s="388">
        <f t="shared" si="169"/>
        <v>0</v>
      </c>
      <c r="CB214" s="388">
        <f t="shared" si="170"/>
        <v>0</v>
      </c>
      <c r="CC214" s="388">
        <f t="shared" si="152"/>
        <v>0</v>
      </c>
      <c r="CD214" s="388">
        <f t="shared" si="153"/>
        <v>-324.5935680000004</v>
      </c>
      <c r="CE214" s="388">
        <f t="shared" si="154"/>
        <v>0</v>
      </c>
      <c r="CF214" s="388">
        <f t="shared" si="155"/>
        <v>0</v>
      </c>
      <c r="CG214" s="388">
        <f t="shared" si="156"/>
        <v>0</v>
      </c>
      <c r="CH214" s="388">
        <f t="shared" si="157"/>
        <v>17.083871999999989</v>
      </c>
      <c r="CI214" s="388">
        <f t="shared" si="158"/>
        <v>0</v>
      </c>
      <c r="CJ214" s="388">
        <f t="shared" si="171"/>
        <v>-307.50969600000042</v>
      </c>
      <c r="CK214" s="388" t="str">
        <f t="shared" si="172"/>
        <v/>
      </c>
      <c r="CL214" s="388" t="str">
        <f t="shared" si="173"/>
        <v/>
      </c>
      <c r="CM214" s="388" t="str">
        <f t="shared" si="174"/>
        <v/>
      </c>
      <c r="CN214" s="388" t="str">
        <f t="shared" si="175"/>
        <v>0349-00</v>
      </c>
    </row>
    <row r="215" spans="1:92" ht="15.75" thickBot="1" x14ac:dyDescent="0.3">
      <c r="A215" s="377" t="s">
        <v>162</v>
      </c>
      <c r="B215" s="377" t="s">
        <v>163</v>
      </c>
      <c r="C215" s="377" t="s">
        <v>648</v>
      </c>
      <c r="D215" s="377" t="s">
        <v>194</v>
      </c>
      <c r="E215" s="377" t="s">
        <v>763</v>
      </c>
      <c r="F215" s="383" t="s">
        <v>167</v>
      </c>
      <c r="G215" s="377" t="s">
        <v>439</v>
      </c>
      <c r="H215" s="379"/>
      <c r="I215" s="379"/>
      <c r="J215" s="377" t="s">
        <v>649</v>
      </c>
      <c r="K215" s="377" t="s">
        <v>639</v>
      </c>
      <c r="L215" s="377" t="s">
        <v>321</v>
      </c>
      <c r="M215" s="377" t="s">
        <v>172</v>
      </c>
      <c r="N215" s="377" t="s">
        <v>173</v>
      </c>
      <c r="O215" s="380">
        <v>1</v>
      </c>
      <c r="P215" s="386">
        <v>0</v>
      </c>
      <c r="Q215" s="386">
        <v>0</v>
      </c>
      <c r="R215" s="381">
        <v>80</v>
      </c>
      <c r="S215" s="386">
        <v>0</v>
      </c>
      <c r="T215" s="381">
        <v>32.5</v>
      </c>
      <c r="U215" s="381">
        <v>0</v>
      </c>
      <c r="V215" s="381">
        <v>12.69</v>
      </c>
      <c r="W215" s="381">
        <v>0</v>
      </c>
      <c r="X215" s="381">
        <v>0</v>
      </c>
      <c r="Y215" s="381">
        <v>0</v>
      </c>
      <c r="Z215" s="381">
        <v>0</v>
      </c>
      <c r="AA215" s="377" t="s">
        <v>650</v>
      </c>
      <c r="AB215" s="377" t="s">
        <v>651</v>
      </c>
      <c r="AC215" s="377" t="s">
        <v>652</v>
      </c>
      <c r="AD215" s="377" t="s">
        <v>321</v>
      </c>
      <c r="AE215" s="377" t="s">
        <v>639</v>
      </c>
      <c r="AF215" s="377" t="s">
        <v>207</v>
      </c>
      <c r="AG215" s="377" t="s">
        <v>179</v>
      </c>
      <c r="AH215" s="382">
        <v>36.86</v>
      </c>
      <c r="AI215" s="380">
        <v>26242</v>
      </c>
      <c r="AJ215" s="377" t="s">
        <v>180</v>
      </c>
      <c r="AK215" s="377" t="s">
        <v>181</v>
      </c>
      <c r="AL215" s="377" t="s">
        <v>182</v>
      </c>
      <c r="AM215" s="377" t="s">
        <v>183</v>
      </c>
      <c r="AN215" s="377" t="s">
        <v>66</v>
      </c>
      <c r="AO215" s="380">
        <v>80</v>
      </c>
      <c r="AP215" s="386">
        <v>1</v>
      </c>
      <c r="AQ215" s="386">
        <v>0</v>
      </c>
      <c r="AR215" s="384" t="s">
        <v>184</v>
      </c>
      <c r="AS215" s="388">
        <f t="shared" si="159"/>
        <v>0</v>
      </c>
      <c r="AT215">
        <f t="shared" si="160"/>
        <v>0</v>
      </c>
      <c r="AU215" s="388" t="str">
        <f>IF(AT215=0,"",IF(AND(AT215=1,M215="F",SUMIF(C2:C258,C215,AS2:AS258)&lt;=1),SUMIF(C2:C258,C215,AS2:AS258),IF(AND(AT215=1,M215="F",SUMIF(C2:C258,C215,AS2:AS258)&gt;1),1,"")))</f>
        <v/>
      </c>
      <c r="AV215" s="388" t="str">
        <f>IF(AT215=0,"",IF(AND(AT215=3,M215="F",SUMIF(C2:C258,C215,AS2:AS258)&lt;=1),SUMIF(C2:C258,C215,AS2:AS258),IF(AND(AT215=3,M215="F",SUMIF(C2:C258,C215,AS2:AS258)&gt;1),1,"")))</f>
        <v/>
      </c>
      <c r="AW215" s="388">
        <f>SUMIF(C2:C258,C215,O2:O258)</f>
        <v>4</v>
      </c>
      <c r="AX215" s="388">
        <f>IF(AND(M215="F",AS215&lt;&gt;0),SUMIF(C2:C258,C215,W2:W258),0)</f>
        <v>0</v>
      </c>
      <c r="AY215" s="388" t="str">
        <f t="shared" si="161"/>
        <v/>
      </c>
      <c r="AZ215" s="388" t="str">
        <f t="shared" si="162"/>
        <v/>
      </c>
      <c r="BA215" s="388">
        <f t="shared" si="163"/>
        <v>0</v>
      </c>
      <c r="BB215" s="388">
        <f t="shared" si="132"/>
        <v>0</v>
      </c>
      <c r="BC215" s="388">
        <f t="shared" si="133"/>
        <v>0</v>
      </c>
      <c r="BD215" s="388">
        <f t="shared" si="134"/>
        <v>0</v>
      </c>
      <c r="BE215" s="388">
        <f t="shared" si="135"/>
        <v>0</v>
      </c>
      <c r="BF215" s="388">
        <f t="shared" si="136"/>
        <v>0</v>
      </c>
      <c r="BG215" s="388">
        <f t="shared" si="137"/>
        <v>0</v>
      </c>
      <c r="BH215" s="388">
        <f t="shared" si="138"/>
        <v>0</v>
      </c>
      <c r="BI215" s="388">
        <f t="shared" si="139"/>
        <v>0</v>
      </c>
      <c r="BJ215" s="388">
        <f t="shared" si="140"/>
        <v>0</v>
      </c>
      <c r="BK215" s="388">
        <f t="shared" si="141"/>
        <v>0</v>
      </c>
      <c r="BL215" s="388">
        <f t="shared" si="164"/>
        <v>0</v>
      </c>
      <c r="BM215" s="388">
        <f t="shared" si="165"/>
        <v>0</v>
      </c>
      <c r="BN215" s="388">
        <f t="shared" si="142"/>
        <v>0</v>
      </c>
      <c r="BO215" s="388">
        <f t="shared" si="143"/>
        <v>0</v>
      </c>
      <c r="BP215" s="388">
        <f t="shared" si="144"/>
        <v>0</v>
      </c>
      <c r="BQ215" s="388">
        <f t="shared" si="145"/>
        <v>0</v>
      </c>
      <c r="BR215" s="388">
        <f t="shared" si="146"/>
        <v>0</v>
      </c>
      <c r="BS215" s="388">
        <f t="shared" si="147"/>
        <v>0</v>
      </c>
      <c r="BT215" s="388">
        <f t="shared" si="148"/>
        <v>0</v>
      </c>
      <c r="BU215" s="388">
        <f t="shared" si="149"/>
        <v>0</v>
      </c>
      <c r="BV215" s="388">
        <f t="shared" si="150"/>
        <v>0</v>
      </c>
      <c r="BW215" s="388">
        <f t="shared" si="151"/>
        <v>0</v>
      </c>
      <c r="BX215" s="388">
        <f t="shared" si="166"/>
        <v>0</v>
      </c>
      <c r="BY215" s="388">
        <f t="shared" si="167"/>
        <v>0</v>
      </c>
      <c r="BZ215" s="388">
        <f t="shared" si="168"/>
        <v>0</v>
      </c>
      <c r="CA215" s="388">
        <f t="shared" si="169"/>
        <v>0</v>
      </c>
      <c r="CB215" s="388">
        <f t="shared" si="170"/>
        <v>0</v>
      </c>
      <c r="CC215" s="388">
        <f t="shared" si="152"/>
        <v>0</v>
      </c>
      <c r="CD215" s="388">
        <f t="shared" si="153"/>
        <v>0</v>
      </c>
      <c r="CE215" s="388">
        <f t="shared" si="154"/>
        <v>0</v>
      </c>
      <c r="CF215" s="388">
        <f t="shared" si="155"/>
        <v>0</v>
      </c>
      <c r="CG215" s="388">
        <f t="shared" si="156"/>
        <v>0</v>
      </c>
      <c r="CH215" s="388">
        <f t="shared" si="157"/>
        <v>0</v>
      </c>
      <c r="CI215" s="388">
        <f t="shared" si="158"/>
        <v>0</v>
      </c>
      <c r="CJ215" s="388">
        <f t="shared" si="171"/>
        <v>0</v>
      </c>
      <c r="CK215" s="388" t="str">
        <f t="shared" si="172"/>
        <v/>
      </c>
      <c r="CL215" s="388" t="str">
        <f t="shared" si="173"/>
        <v/>
      </c>
      <c r="CM215" s="388" t="str">
        <f t="shared" si="174"/>
        <v/>
      </c>
      <c r="CN215" s="388" t="str">
        <f t="shared" si="175"/>
        <v>0349-00</v>
      </c>
    </row>
    <row r="216" spans="1:92" ht="15.75" thickBot="1" x14ac:dyDescent="0.3">
      <c r="A216" s="377" t="s">
        <v>162</v>
      </c>
      <c r="B216" s="377" t="s">
        <v>163</v>
      </c>
      <c r="C216" s="377" t="s">
        <v>474</v>
      </c>
      <c r="D216" s="377" t="s">
        <v>194</v>
      </c>
      <c r="E216" s="377" t="s">
        <v>763</v>
      </c>
      <c r="F216" s="383" t="s">
        <v>167</v>
      </c>
      <c r="G216" s="377" t="s">
        <v>439</v>
      </c>
      <c r="H216" s="379"/>
      <c r="I216" s="379"/>
      <c r="J216" s="377" t="s">
        <v>169</v>
      </c>
      <c r="K216" s="377" t="s">
        <v>195</v>
      </c>
      <c r="L216" s="377" t="s">
        <v>171</v>
      </c>
      <c r="M216" s="377" t="s">
        <v>395</v>
      </c>
      <c r="N216" s="377" t="s">
        <v>173</v>
      </c>
      <c r="O216" s="380">
        <v>0</v>
      </c>
      <c r="P216" s="386">
        <v>0.48</v>
      </c>
      <c r="Q216" s="386">
        <v>0.48</v>
      </c>
      <c r="R216" s="381">
        <v>80</v>
      </c>
      <c r="S216" s="386">
        <v>0.48</v>
      </c>
      <c r="T216" s="381">
        <v>21144.19</v>
      </c>
      <c r="U216" s="381">
        <v>0</v>
      </c>
      <c r="V216" s="381">
        <v>9112.86</v>
      </c>
      <c r="W216" s="381">
        <v>23961.599999999999</v>
      </c>
      <c r="X216" s="381">
        <v>10782.72</v>
      </c>
      <c r="Y216" s="381">
        <v>23961.599999999999</v>
      </c>
      <c r="Z216" s="381">
        <v>11166.1</v>
      </c>
      <c r="AA216" s="379"/>
      <c r="AB216" s="377" t="s">
        <v>45</v>
      </c>
      <c r="AC216" s="377" t="s">
        <v>45</v>
      </c>
      <c r="AD216" s="379"/>
      <c r="AE216" s="379"/>
      <c r="AF216" s="379"/>
      <c r="AG216" s="379"/>
      <c r="AH216" s="380">
        <v>0</v>
      </c>
      <c r="AI216" s="380">
        <v>0</v>
      </c>
      <c r="AJ216" s="379"/>
      <c r="AK216" s="379"/>
      <c r="AL216" s="377" t="s">
        <v>182</v>
      </c>
      <c r="AM216" s="379"/>
      <c r="AN216" s="379"/>
      <c r="AO216" s="380">
        <v>0</v>
      </c>
      <c r="AP216" s="386">
        <v>0</v>
      </c>
      <c r="AQ216" s="386">
        <v>0</v>
      </c>
      <c r="AR216" s="385"/>
      <c r="AS216" s="388">
        <f t="shared" si="159"/>
        <v>0</v>
      </c>
      <c r="AT216">
        <f t="shared" si="160"/>
        <v>0</v>
      </c>
      <c r="AU216" s="388" t="str">
        <f>IF(AT216=0,"",IF(AND(AT216=1,M216="F",SUMIF(C2:C258,C216,AS2:AS258)&lt;=1),SUMIF(C2:C258,C216,AS2:AS258),IF(AND(AT216=1,M216="F",SUMIF(C2:C258,C216,AS2:AS258)&gt;1),1,"")))</f>
        <v/>
      </c>
      <c r="AV216" s="388" t="str">
        <f>IF(AT216=0,"",IF(AND(AT216=3,M216="F",SUMIF(C2:C258,C216,AS2:AS258)&lt;=1),SUMIF(C2:C258,C216,AS2:AS258),IF(AND(AT216=3,M216="F",SUMIF(C2:C258,C216,AS2:AS258)&gt;1),1,"")))</f>
        <v/>
      </c>
      <c r="AW216" s="388">
        <f>SUMIF(C2:C258,C216,O2:O258)</f>
        <v>0</v>
      </c>
      <c r="AX216" s="388">
        <f>IF(AND(M216="F",AS216&lt;&gt;0),SUMIF(C2:C258,C216,W2:W258),0)</f>
        <v>0</v>
      </c>
      <c r="AY216" s="388" t="str">
        <f t="shared" si="161"/>
        <v/>
      </c>
      <c r="AZ216" s="388" t="str">
        <f t="shared" si="162"/>
        <v/>
      </c>
      <c r="BA216" s="388">
        <f t="shared" si="163"/>
        <v>0</v>
      </c>
      <c r="BB216" s="388">
        <f t="shared" si="132"/>
        <v>0</v>
      </c>
      <c r="BC216" s="388">
        <f t="shared" si="133"/>
        <v>0</v>
      </c>
      <c r="BD216" s="388">
        <f t="shared" si="134"/>
        <v>0</v>
      </c>
      <c r="BE216" s="388">
        <f t="shared" si="135"/>
        <v>0</v>
      </c>
      <c r="BF216" s="388">
        <f t="shared" si="136"/>
        <v>0</v>
      </c>
      <c r="BG216" s="388">
        <f t="shared" si="137"/>
        <v>0</v>
      </c>
      <c r="BH216" s="388">
        <f t="shared" si="138"/>
        <v>0</v>
      </c>
      <c r="BI216" s="388">
        <f t="shared" si="139"/>
        <v>0</v>
      </c>
      <c r="BJ216" s="388">
        <f t="shared" si="140"/>
        <v>0</v>
      </c>
      <c r="BK216" s="388">
        <f t="shared" si="141"/>
        <v>0</v>
      </c>
      <c r="BL216" s="388">
        <f t="shared" si="164"/>
        <v>0</v>
      </c>
      <c r="BM216" s="388">
        <f t="shared" si="165"/>
        <v>0</v>
      </c>
      <c r="BN216" s="388">
        <f t="shared" si="142"/>
        <v>0</v>
      </c>
      <c r="BO216" s="388">
        <f t="shared" si="143"/>
        <v>0</v>
      </c>
      <c r="BP216" s="388">
        <f t="shared" si="144"/>
        <v>0</v>
      </c>
      <c r="BQ216" s="388">
        <f t="shared" si="145"/>
        <v>0</v>
      </c>
      <c r="BR216" s="388">
        <f t="shared" si="146"/>
        <v>0</v>
      </c>
      <c r="BS216" s="388">
        <f t="shared" si="147"/>
        <v>0</v>
      </c>
      <c r="BT216" s="388">
        <f t="shared" si="148"/>
        <v>0</v>
      </c>
      <c r="BU216" s="388">
        <f t="shared" si="149"/>
        <v>0</v>
      </c>
      <c r="BV216" s="388">
        <f t="shared" si="150"/>
        <v>0</v>
      </c>
      <c r="BW216" s="388">
        <f t="shared" si="151"/>
        <v>0</v>
      </c>
      <c r="BX216" s="388">
        <f t="shared" si="166"/>
        <v>0</v>
      </c>
      <c r="BY216" s="388">
        <f t="shared" si="167"/>
        <v>0</v>
      </c>
      <c r="BZ216" s="388">
        <f t="shared" si="168"/>
        <v>0</v>
      </c>
      <c r="CA216" s="388">
        <f t="shared" si="169"/>
        <v>0</v>
      </c>
      <c r="CB216" s="388">
        <f t="shared" si="170"/>
        <v>0</v>
      </c>
      <c r="CC216" s="388">
        <f t="shared" si="152"/>
        <v>0</v>
      </c>
      <c r="CD216" s="388">
        <f t="shared" si="153"/>
        <v>0</v>
      </c>
      <c r="CE216" s="388">
        <f t="shared" si="154"/>
        <v>0</v>
      </c>
      <c r="CF216" s="388">
        <f t="shared" si="155"/>
        <v>0</v>
      </c>
      <c r="CG216" s="388">
        <f t="shared" si="156"/>
        <v>0</v>
      </c>
      <c r="CH216" s="388">
        <f t="shared" si="157"/>
        <v>0</v>
      </c>
      <c r="CI216" s="388">
        <f t="shared" si="158"/>
        <v>0</v>
      </c>
      <c r="CJ216" s="388">
        <f t="shared" si="171"/>
        <v>0</v>
      </c>
      <c r="CK216" s="388" t="str">
        <f t="shared" si="172"/>
        <v/>
      </c>
      <c r="CL216" s="388" t="str">
        <f t="shared" si="173"/>
        <v/>
      </c>
      <c r="CM216" s="388" t="str">
        <f t="shared" si="174"/>
        <v/>
      </c>
      <c r="CN216" s="388" t="str">
        <f t="shared" si="175"/>
        <v>0349-00</v>
      </c>
    </row>
    <row r="217" spans="1:92" ht="15.75" thickBot="1" x14ac:dyDescent="0.3">
      <c r="A217" s="377" t="s">
        <v>162</v>
      </c>
      <c r="B217" s="377" t="s">
        <v>163</v>
      </c>
      <c r="C217" s="377" t="s">
        <v>691</v>
      </c>
      <c r="D217" s="377" t="s">
        <v>300</v>
      </c>
      <c r="E217" s="377" t="s">
        <v>763</v>
      </c>
      <c r="F217" s="383" t="s">
        <v>167</v>
      </c>
      <c r="G217" s="377" t="s">
        <v>439</v>
      </c>
      <c r="H217" s="379"/>
      <c r="I217" s="379"/>
      <c r="J217" s="377" t="s">
        <v>219</v>
      </c>
      <c r="K217" s="377" t="s">
        <v>301</v>
      </c>
      <c r="L217" s="377" t="s">
        <v>167</v>
      </c>
      <c r="M217" s="377" t="s">
        <v>172</v>
      </c>
      <c r="N217" s="377" t="s">
        <v>173</v>
      </c>
      <c r="O217" s="380">
        <v>1</v>
      </c>
      <c r="P217" s="386">
        <v>0</v>
      </c>
      <c r="Q217" s="386">
        <v>0</v>
      </c>
      <c r="R217" s="381">
        <v>80</v>
      </c>
      <c r="S217" s="386">
        <v>0</v>
      </c>
      <c r="T217" s="381">
        <v>4662.41</v>
      </c>
      <c r="U217" s="381">
        <v>0</v>
      </c>
      <c r="V217" s="381">
        <v>1533.56</v>
      </c>
      <c r="W217" s="381">
        <v>0</v>
      </c>
      <c r="X217" s="381">
        <v>0</v>
      </c>
      <c r="Y217" s="381">
        <v>0</v>
      </c>
      <c r="Z217" s="381">
        <v>0</v>
      </c>
      <c r="AA217" s="377" t="s">
        <v>692</v>
      </c>
      <c r="AB217" s="377" t="s">
        <v>364</v>
      </c>
      <c r="AC217" s="377" t="s">
        <v>320</v>
      </c>
      <c r="AD217" s="377" t="s">
        <v>598</v>
      </c>
      <c r="AE217" s="377" t="s">
        <v>301</v>
      </c>
      <c r="AF217" s="377" t="s">
        <v>207</v>
      </c>
      <c r="AG217" s="377" t="s">
        <v>179</v>
      </c>
      <c r="AH217" s="382">
        <v>33.68</v>
      </c>
      <c r="AI217" s="380">
        <v>2560</v>
      </c>
      <c r="AJ217" s="377" t="s">
        <v>180</v>
      </c>
      <c r="AK217" s="377" t="s">
        <v>181</v>
      </c>
      <c r="AL217" s="377" t="s">
        <v>182</v>
      </c>
      <c r="AM217" s="377" t="s">
        <v>183</v>
      </c>
      <c r="AN217" s="377" t="s">
        <v>66</v>
      </c>
      <c r="AO217" s="380">
        <v>80</v>
      </c>
      <c r="AP217" s="386">
        <v>1</v>
      </c>
      <c r="AQ217" s="386">
        <v>0</v>
      </c>
      <c r="AR217" s="384" t="s">
        <v>184</v>
      </c>
      <c r="AS217" s="388">
        <f t="shared" si="159"/>
        <v>0</v>
      </c>
      <c r="AT217">
        <f t="shared" si="160"/>
        <v>0</v>
      </c>
      <c r="AU217" s="388" t="str">
        <f>IF(AT217=0,"",IF(AND(AT217=1,M217="F",SUMIF(C2:C258,C217,AS2:AS258)&lt;=1),SUMIF(C2:C258,C217,AS2:AS258),IF(AND(AT217=1,M217="F",SUMIF(C2:C258,C217,AS2:AS258)&gt;1),1,"")))</f>
        <v/>
      </c>
      <c r="AV217" s="388" t="str">
        <f>IF(AT217=0,"",IF(AND(AT217=3,M217="F",SUMIF(C2:C258,C217,AS2:AS258)&lt;=1),SUMIF(C2:C258,C217,AS2:AS258),IF(AND(AT217=3,M217="F",SUMIF(C2:C258,C217,AS2:AS258)&gt;1),1,"")))</f>
        <v/>
      </c>
      <c r="AW217" s="388">
        <f>SUMIF(C2:C258,C217,O2:O258)</f>
        <v>3</v>
      </c>
      <c r="AX217" s="388">
        <f>IF(AND(M217="F",AS217&lt;&gt;0),SUMIF(C2:C258,C217,W2:W258),0)</f>
        <v>0</v>
      </c>
      <c r="AY217" s="388" t="str">
        <f t="shared" si="161"/>
        <v/>
      </c>
      <c r="AZ217" s="388" t="str">
        <f t="shared" si="162"/>
        <v/>
      </c>
      <c r="BA217" s="388">
        <f t="shared" si="163"/>
        <v>0</v>
      </c>
      <c r="BB217" s="388">
        <f t="shared" si="132"/>
        <v>0</v>
      </c>
      <c r="BC217" s="388">
        <f t="shared" si="133"/>
        <v>0</v>
      </c>
      <c r="BD217" s="388">
        <f t="shared" si="134"/>
        <v>0</v>
      </c>
      <c r="BE217" s="388">
        <f t="shared" si="135"/>
        <v>0</v>
      </c>
      <c r="BF217" s="388">
        <f t="shared" si="136"/>
        <v>0</v>
      </c>
      <c r="BG217" s="388">
        <f t="shared" si="137"/>
        <v>0</v>
      </c>
      <c r="BH217" s="388">
        <f t="shared" si="138"/>
        <v>0</v>
      </c>
      <c r="BI217" s="388">
        <f t="shared" si="139"/>
        <v>0</v>
      </c>
      <c r="BJ217" s="388">
        <f t="shared" si="140"/>
        <v>0</v>
      </c>
      <c r="BK217" s="388">
        <f t="shared" si="141"/>
        <v>0</v>
      </c>
      <c r="BL217" s="388">
        <f t="shared" si="164"/>
        <v>0</v>
      </c>
      <c r="BM217" s="388">
        <f t="shared" si="165"/>
        <v>0</v>
      </c>
      <c r="BN217" s="388">
        <f t="shared" si="142"/>
        <v>0</v>
      </c>
      <c r="BO217" s="388">
        <f t="shared" si="143"/>
        <v>0</v>
      </c>
      <c r="BP217" s="388">
        <f t="shared" si="144"/>
        <v>0</v>
      </c>
      <c r="BQ217" s="388">
        <f t="shared" si="145"/>
        <v>0</v>
      </c>
      <c r="BR217" s="388">
        <f t="shared" si="146"/>
        <v>0</v>
      </c>
      <c r="BS217" s="388">
        <f t="shared" si="147"/>
        <v>0</v>
      </c>
      <c r="BT217" s="388">
        <f t="shared" si="148"/>
        <v>0</v>
      </c>
      <c r="BU217" s="388">
        <f t="shared" si="149"/>
        <v>0</v>
      </c>
      <c r="BV217" s="388">
        <f t="shared" si="150"/>
        <v>0</v>
      </c>
      <c r="BW217" s="388">
        <f t="shared" si="151"/>
        <v>0</v>
      </c>
      <c r="BX217" s="388">
        <f t="shared" si="166"/>
        <v>0</v>
      </c>
      <c r="BY217" s="388">
        <f t="shared" si="167"/>
        <v>0</v>
      </c>
      <c r="BZ217" s="388">
        <f t="shared" si="168"/>
        <v>0</v>
      </c>
      <c r="CA217" s="388">
        <f t="shared" si="169"/>
        <v>0</v>
      </c>
      <c r="CB217" s="388">
        <f t="shared" si="170"/>
        <v>0</v>
      </c>
      <c r="CC217" s="388">
        <f t="shared" si="152"/>
        <v>0</v>
      </c>
      <c r="CD217" s="388">
        <f t="shared" si="153"/>
        <v>0</v>
      </c>
      <c r="CE217" s="388">
        <f t="shared" si="154"/>
        <v>0</v>
      </c>
      <c r="CF217" s="388">
        <f t="shared" si="155"/>
        <v>0</v>
      </c>
      <c r="CG217" s="388">
        <f t="shared" si="156"/>
        <v>0</v>
      </c>
      <c r="CH217" s="388">
        <f t="shared" si="157"/>
        <v>0</v>
      </c>
      <c r="CI217" s="388">
        <f t="shared" si="158"/>
        <v>0</v>
      </c>
      <c r="CJ217" s="388">
        <f t="shared" si="171"/>
        <v>0</v>
      </c>
      <c r="CK217" s="388" t="str">
        <f t="shared" si="172"/>
        <v/>
      </c>
      <c r="CL217" s="388" t="str">
        <f t="shared" si="173"/>
        <v/>
      </c>
      <c r="CM217" s="388" t="str">
        <f t="shared" si="174"/>
        <v/>
      </c>
      <c r="CN217" s="388" t="str">
        <f t="shared" si="175"/>
        <v>0349-00</v>
      </c>
    </row>
    <row r="218" spans="1:92" ht="15.75" thickBot="1" x14ac:dyDescent="0.3">
      <c r="A218" s="377" t="s">
        <v>162</v>
      </c>
      <c r="B218" s="377" t="s">
        <v>163</v>
      </c>
      <c r="C218" s="377" t="s">
        <v>551</v>
      </c>
      <c r="D218" s="377" t="s">
        <v>282</v>
      </c>
      <c r="E218" s="377" t="s">
        <v>763</v>
      </c>
      <c r="F218" s="383" t="s">
        <v>167</v>
      </c>
      <c r="G218" s="377" t="s">
        <v>439</v>
      </c>
      <c r="H218" s="379"/>
      <c r="I218" s="379"/>
      <c r="J218" s="377" t="s">
        <v>169</v>
      </c>
      <c r="K218" s="377" t="s">
        <v>244</v>
      </c>
      <c r="L218" s="377" t="s">
        <v>167</v>
      </c>
      <c r="M218" s="377" t="s">
        <v>172</v>
      </c>
      <c r="N218" s="377" t="s">
        <v>173</v>
      </c>
      <c r="O218" s="380">
        <v>1</v>
      </c>
      <c r="P218" s="386">
        <v>0.55000000000000004</v>
      </c>
      <c r="Q218" s="386">
        <v>0.55000000000000004</v>
      </c>
      <c r="R218" s="381">
        <v>80</v>
      </c>
      <c r="S218" s="386">
        <v>0.55000000000000004</v>
      </c>
      <c r="T218" s="381">
        <v>44973.26</v>
      </c>
      <c r="U218" s="381">
        <v>0</v>
      </c>
      <c r="V218" s="381">
        <v>16379.86</v>
      </c>
      <c r="W218" s="381">
        <v>44547.360000000001</v>
      </c>
      <c r="X218" s="381">
        <v>16078.92</v>
      </c>
      <c r="Y218" s="381">
        <v>44547.360000000001</v>
      </c>
      <c r="Z218" s="381">
        <v>16445.68</v>
      </c>
      <c r="AA218" s="377" t="s">
        <v>552</v>
      </c>
      <c r="AB218" s="377" t="s">
        <v>553</v>
      </c>
      <c r="AC218" s="377" t="s">
        <v>554</v>
      </c>
      <c r="AD218" s="377" t="s">
        <v>555</v>
      </c>
      <c r="AE218" s="377" t="s">
        <v>244</v>
      </c>
      <c r="AF218" s="377" t="s">
        <v>207</v>
      </c>
      <c r="AG218" s="377" t="s">
        <v>179</v>
      </c>
      <c r="AH218" s="382">
        <v>38.94</v>
      </c>
      <c r="AI218" s="380">
        <v>3184</v>
      </c>
      <c r="AJ218" s="377" t="s">
        <v>180</v>
      </c>
      <c r="AK218" s="377" t="s">
        <v>181</v>
      </c>
      <c r="AL218" s="377" t="s">
        <v>182</v>
      </c>
      <c r="AM218" s="377" t="s">
        <v>183</v>
      </c>
      <c r="AN218" s="377" t="s">
        <v>66</v>
      </c>
      <c r="AO218" s="380">
        <v>80</v>
      </c>
      <c r="AP218" s="386">
        <v>1</v>
      </c>
      <c r="AQ218" s="386">
        <v>0.55000000000000004</v>
      </c>
      <c r="AR218" s="384" t="s">
        <v>184</v>
      </c>
      <c r="AS218" s="388">
        <f t="shared" si="159"/>
        <v>0.55000000000000004</v>
      </c>
      <c r="AT218">
        <f t="shared" si="160"/>
        <v>1</v>
      </c>
      <c r="AU218" s="388">
        <f>IF(AT218=0,"",IF(AND(AT218=1,M218="F",SUMIF(C2:C258,C218,AS2:AS258)&lt;=1),SUMIF(C2:C258,C218,AS2:AS258),IF(AND(AT218=1,M218="F",SUMIF(C2:C258,C218,AS2:AS258)&gt;1),1,"")))</f>
        <v>1</v>
      </c>
      <c r="AV218" s="388" t="str">
        <f>IF(AT218=0,"",IF(AND(AT218=3,M218="F",SUMIF(C2:C258,C218,AS2:AS258)&lt;=1),SUMIF(C2:C258,C218,AS2:AS258),IF(AND(AT218=3,M218="F",SUMIF(C2:C258,C218,AS2:AS258)&gt;1),1,"")))</f>
        <v/>
      </c>
      <c r="AW218" s="388">
        <f>SUMIF(C2:C258,C218,O2:O258)</f>
        <v>3</v>
      </c>
      <c r="AX218" s="388">
        <f>IF(AND(M218="F",AS218&lt;&gt;0),SUMIF(C2:C258,C218,W2:W258),0)</f>
        <v>80995.199999999997</v>
      </c>
      <c r="AY218" s="388">
        <f t="shared" si="161"/>
        <v>44547.360000000001</v>
      </c>
      <c r="AZ218" s="388" t="str">
        <f t="shared" si="162"/>
        <v/>
      </c>
      <c r="BA218" s="388">
        <f t="shared" si="163"/>
        <v>0</v>
      </c>
      <c r="BB218" s="388">
        <f t="shared" si="132"/>
        <v>6875.0000000000009</v>
      </c>
      <c r="BC218" s="388">
        <f t="shared" si="133"/>
        <v>0</v>
      </c>
      <c r="BD218" s="388">
        <f t="shared" si="134"/>
        <v>2761.9363199999998</v>
      </c>
      <c r="BE218" s="388">
        <f t="shared" si="135"/>
        <v>645.93672000000004</v>
      </c>
      <c r="BF218" s="388">
        <f t="shared" si="136"/>
        <v>5318.9547840000005</v>
      </c>
      <c r="BG218" s="388">
        <f t="shared" si="137"/>
        <v>321.18646560000002</v>
      </c>
      <c r="BH218" s="388">
        <f t="shared" si="138"/>
        <v>0</v>
      </c>
      <c r="BI218" s="388">
        <f t="shared" si="139"/>
        <v>0</v>
      </c>
      <c r="BJ218" s="388">
        <f t="shared" si="140"/>
        <v>155.91576000000001</v>
      </c>
      <c r="BK218" s="388">
        <f t="shared" si="141"/>
        <v>0</v>
      </c>
      <c r="BL218" s="388">
        <f t="shared" si="164"/>
        <v>9203.9300495999996</v>
      </c>
      <c r="BM218" s="388">
        <f t="shared" si="165"/>
        <v>0</v>
      </c>
      <c r="BN218" s="388">
        <f t="shared" si="142"/>
        <v>7562.5000000000009</v>
      </c>
      <c r="BO218" s="388">
        <f t="shared" si="143"/>
        <v>0</v>
      </c>
      <c r="BP218" s="388">
        <f t="shared" si="144"/>
        <v>2761.9363199999998</v>
      </c>
      <c r="BQ218" s="388">
        <f t="shared" si="145"/>
        <v>645.93672000000004</v>
      </c>
      <c r="BR218" s="388">
        <f t="shared" si="146"/>
        <v>4980.3948479999999</v>
      </c>
      <c r="BS218" s="388">
        <f t="shared" si="147"/>
        <v>321.18646560000002</v>
      </c>
      <c r="BT218" s="388">
        <f t="shared" si="148"/>
        <v>0</v>
      </c>
      <c r="BU218" s="388">
        <f t="shared" si="149"/>
        <v>0</v>
      </c>
      <c r="BV218" s="388">
        <f t="shared" si="150"/>
        <v>173.73470399999999</v>
      </c>
      <c r="BW218" s="388">
        <f t="shared" si="151"/>
        <v>0</v>
      </c>
      <c r="BX218" s="388">
        <f t="shared" si="166"/>
        <v>8883.1890576000005</v>
      </c>
      <c r="BY218" s="388">
        <f t="shared" si="167"/>
        <v>0</v>
      </c>
      <c r="BZ218" s="388">
        <f t="shared" si="168"/>
        <v>687.5</v>
      </c>
      <c r="CA218" s="388">
        <f t="shared" si="169"/>
        <v>0</v>
      </c>
      <c r="CB218" s="388">
        <f t="shared" si="170"/>
        <v>0</v>
      </c>
      <c r="CC218" s="388">
        <f t="shared" si="152"/>
        <v>0</v>
      </c>
      <c r="CD218" s="388">
        <f t="shared" si="153"/>
        <v>-338.55993600000045</v>
      </c>
      <c r="CE218" s="388">
        <f t="shared" si="154"/>
        <v>0</v>
      </c>
      <c r="CF218" s="388">
        <f t="shared" si="155"/>
        <v>0</v>
      </c>
      <c r="CG218" s="388">
        <f t="shared" si="156"/>
        <v>0</v>
      </c>
      <c r="CH218" s="388">
        <f t="shared" si="157"/>
        <v>17.818943999999988</v>
      </c>
      <c r="CI218" s="388">
        <f t="shared" si="158"/>
        <v>0</v>
      </c>
      <c r="CJ218" s="388">
        <f t="shared" si="171"/>
        <v>-320.74099200000046</v>
      </c>
      <c r="CK218" s="388" t="str">
        <f t="shared" si="172"/>
        <v/>
      </c>
      <c r="CL218" s="388" t="str">
        <f t="shared" si="173"/>
        <v/>
      </c>
      <c r="CM218" s="388" t="str">
        <f t="shared" si="174"/>
        <v/>
      </c>
      <c r="CN218" s="388" t="str">
        <f t="shared" si="175"/>
        <v>0349-00</v>
      </c>
    </row>
    <row r="219" spans="1:92" ht="15.75" thickBot="1" x14ac:dyDescent="0.3">
      <c r="A219" s="377" t="s">
        <v>162</v>
      </c>
      <c r="B219" s="377" t="s">
        <v>163</v>
      </c>
      <c r="C219" s="377" t="s">
        <v>501</v>
      </c>
      <c r="D219" s="377" t="s">
        <v>464</v>
      </c>
      <c r="E219" s="377" t="s">
        <v>763</v>
      </c>
      <c r="F219" s="383" t="s">
        <v>167</v>
      </c>
      <c r="G219" s="377" t="s">
        <v>439</v>
      </c>
      <c r="H219" s="379"/>
      <c r="I219" s="379"/>
      <c r="J219" s="377" t="s">
        <v>169</v>
      </c>
      <c r="K219" s="377" t="s">
        <v>465</v>
      </c>
      <c r="L219" s="377" t="s">
        <v>167</v>
      </c>
      <c r="M219" s="377" t="s">
        <v>395</v>
      </c>
      <c r="N219" s="377" t="s">
        <v>173</v>
      </c>
      <c r="O219" s="380">
        <v>0</v>
      </c>
      <c r="P219" s="386">
        <v>0.5</v>
      </c>
      <c r="Q219" s="386">
        <v>0.5</v>
      </c>
      <c r="R219" s="381">
        <v>80</v>
      </c>
      <c r="S219" s="386">
        <v>0.5</v>
      </c>
      <c r="T219" s="381">
        <v>18778.09</v>
      </c>
      <c r="U219" s="381">
        <v>0</v>
      </c>
      <c r="V219" s="381">
        <v>7833.84</v>
      </c>
      <c r="W219" s="381">
        <v>26520</v>
      </c>
      <c r="X219" s="381">
        <v>11934</v>
      </c>
      <c r="Y219" s="381">
        <v>26520</v>
      </c>
      <c r="Z219" s="381">
        <v>12358.32</v>
      </c>
      <c r="AA219" s="379"/>
      <c r="AB219" s="377" t="s">
        <v>45</v>
      </c>
      <c r="AC219" s="377" t="s">
        <v>45</v>
      </c>
      <c r="AD219" s="379"/>
      <c r="AE219" s="379"/>
      <c r="AF219" s="379"/>
      <c r="AG219" s="379"/>
      <c r="AH219" s="380">
        <v>0</v>
      </c>
      <c r="AI219" s="380">
        <v>0</v>
      </c>
      <c r="AJ219" s="379"/>
      <c r="AK219" s="379"/>
      <c r="AL219" s="377" t="s">
        <v>182</v>
      </c>
      <c r="AM219" s="379"/>
      <c r="AN219" s="379"/>
      <c r="AO219" s="380">
        <v>0</v>
      </c>
      <c r="AP219" s="386">
        <v>0</v>
      </c>
      <c r="AQ219" s="386">
        <v>0</v>
      </c>
      <c r="AR219" s="385"/>
      <c r="AS219" s="388">
        <f t="shared" si="159"/>
        <v>0</v>
      </c>
      <c r="AT219">
        <f t="shared" si="160"/>
        <v>0</v>
      </c>
      <c r="AU219" s="388" t="str">
        <f>IF(AT219=0,"",IF(AND(AT219=1,M219="F",SUMIF(C2:C258,C219,AS2:AS258)&lt;=1),SUMIF(C2:C258,C219,AS2:AS258),IF(AND(AT219=1,M219="F",SUMIF(C2:C258,C219,AS2:AS258)&gt;1),1,"")))</f>
        <v/>
      </c>
      <c r="AV219" s="388" t="str">
        <f>IF(AT219=0,"",IF(AND(AT219=3,M219="F",SUMIF(C2:C258,C219,AS2:AS258)&lt;=1),SUMIF(C2:C258,C219,AS2:AS258),IF(AND(AT219=3,M219="F",SUMIF(C2:C258,C219,AS2:AS258)&gt;1),1,"")))</f>
        <v/>
      </c>
      <c r="AW219" s="388">
        <f>SUMIF(C2:C258,C219,O2:O258)</f>
        <v>0</v>
      </c>
      <c r="AX219" s="388">
        <f>IF(AND(M219="F",AS219&lt;&gt;0),SUMIF(C2:C258,C219,W2:W258),0)</f>
        <v>0</v>
      </c>
      <c r="AY219" s="388" t="str">
        <f t="shared" si="161"/>
        <v/>
      </c>
      <c r="AZ219" s="388" t="str">
        <f t="shared" si="162"/>
        <v/>
      </c>
      <c r="BA219" s="388">
        <f t="shared" si="163"/>
        <v>0</v>
      </c>
      <c r="BB219" s="388">
        <f t="shared" si="132"/>
        <v>0</v>
      </c>
      <c r="BC219" s="388">
        <f t="shared" si="133"/>
        <v>0</v>
      </c>
      <c r="BD219" s="388">
        <f t="shared" si="134"/>
        <v>0</v>
      </c>
      <c r="BE219" s="388">
        <f t="shared" si="135"/>
        <v>0</v>
      </c>
      <c r="BF219" s="388">
        <f t="shared" si="136"/>
        <v>0</v>
      </c>
      <c r="BG219" s="388">
        <f t="shared" si="137"/>
        <v>0</v>
      </c>
      <c r="BH219" s="388">
        <f t="shared" si="138"/>
        <v>0</v>
      </c>
      <c r="BI219" s="388">
        <f t="shared" si="139"/>
        <v>0</v>
      </c>
      <c r="BJ219" s="388">
        <f t="shared" si="140"/>
        <v>0</v>
      </c>
      <c r="BK219" s="388">
        <f t="shared" si="141"/>
        <v>0</v>
      </c>
      <c r="BL219" s="388">
        <f t="shared" si="164"/>
        <v>0</v>
      </c>
      <c r="BM219" s="388">
        <f t="shared" si="165"/>
        <v>0</v>
      </c>
      <c r="BN219" s="388">
        <f t="shared" si="142"/>
        <v>0</v>
      </c>
      <c r="BO219" s="388">
        <f t="shared" si="143"/>
        <v>0</v>
      </c>
      <c r="BP219" s="388">
        <f t="shared" si="144"/>
        <v>0</v>
      </c>
      <c r="BQ219" s="388">
        <f t="shared" si="145"/>
        <v>0</v>
      </c>
      <c r="BR219" s="388">
        <f t="shared" si="146"/>
        <v>0</v>
      </c>
      <c r="BS219" s="388">
        <f t="shared" si="147"/>
        <v>0</v>
      </c>
      <c r="BT219" s="388">
        <f t="shared" si="148"/>
        <v>0</v>
      </c>
      <c r="BU219" s="388">
        <f t="shared" si="149"/>
        <v>0</v>
      </c>
      <c r="BV219" s="388">
        <f t="shared" si="150"/>
        <v>0</v>
      </c>
      <c r="BW219" s="388">
        <f t="shared" si="151"/>
        <v>0</v>
      </c>
      <c r="BX219" s="388">
        <f t="shared" si="166"/>
        <v>0</v>
      </c>
      <c r="BY219" s="388">
        <f t="shared" si="167"/>
        <v>0</v>
      </c>
      <c r="BZ219" s="388">
        <f t="shared" si="168"/>
        <v>0</v>
      </c>
      <c r="CA219" s="388">
        <f t="shared" si="169"/>
        <v>0</v>
      </c>
      <c r="CB219" s="388">
        <f t="shared" si="170"/>
        <v>0</v>
      </c>
      <c r="CC219" s="388">
        <f t="shared" si="152"/>
        <v>0</v>
      </c>
      <c r="CD219" s="388">
        <f t="shared" si="153"/>
        <v>0</v>
      </c>
      <c r="CE219" s="388">
        <f t="shared" si="154"/>
        <v>0</v>
      </c>
      <c r="CF219" s="388">
        <f t="shared" si="155"/>
        <v>0</v>
      </c>
      <c r="CG219" s="388">
        <f t="shared" si="156"/>
        <v>0</v>
      </c>
      <c r="CH219" s="388">
        <f t="shared" si="157"/>
        <v>0</v>
      </c>
      <c r="CI219" s="388">
        <f t="shared" si="158"/>
        <v>0</v>
      </c>
      <c r="CJ219" s="388">
        <f t="shared" si="171"/>
        <v>0</v>
      </c>
      <c r="CK219" s="388" t="str">
        <f t="shared" si="172"/>
        <v/>
      </c>
      <c r="CL219" s="388" t="str">
        <f t="shared" si="173"/>
        <v/>
      </c>
      <c r="CM219" s="388" t="str">
        <f t="shared" si="174"/>
        <v/>
      </c>
      <c r="CN219" s="388" t="str">
        <f t="shared" si="175"/>
        <v>0349-00</v>
      </c>
    </row>
    <row r="220" spans="1:92" ht="15.75" thickBot="1" x14ac:dyDescent="0.3">
      <c r="A220" s="377" t="s">
        <v>162</v>
      </c>
      <c r="B220" s="377" t="s">
        <v>163</v>
      </c>
      <c r="C220" s="377" t="s">
        <v>580</v>
      </c>
      <c r="D220" s="377" t="s">
        <v>464</v>
      </c>
      <c r="E220" s="377" t="s">
        <v>763</v>
      </c>
      <c r="F220" s="383" t="s">
        <v>167</v>
      </c>
      <c r="G220" s="377" t="s">
        <v>439</v>
      </c>
      <c r="H220" s="379"/>
      <c r="I220" s="379"/>
      <c r="J220" s="377" t="s">
        <v>169</v>
      </c>
      <c r="K220" s="377" t="s">
        <v>465</v>
      </c>
      <c r="L220" s="377" t="s">
        <v>167</v>
      </c>
      <c r="M220" s="377" t="s">
        <v>172</v>
      </c>
      <c r="N220" s="377" t="s">
        <v>173</v>
      </c>
      <c r="O220" s="380">
        <v>1</v>
      </c>
      <c r="P220" s="386">
        <v>0.65</v>
      </c>
      <c r="Q220" s="386">
        <v>0.65</v>
      </c>
      <c r="R220" s="381">
        <v>80</v>
      </c>
      <c r="S220" s="386">
        <v>0.65</v>
      </c>
      <c r="T220" s="381">
        <v>47661.65</v>
      </c>
      <c r="U220" s="381">
        <v>0</v>
      </c>
      <c r="V220" s="381">
        <v>18269.53</v>
      </c>
      <c r="W220" s="381">
        <v>47049.599999999999</v>
      </c>
      <c r="X220" s="381">
        <v>17845.89</v>
      </c>
      <c r="Y220" s="381">
        <v>47049.599999999999</v>
      </c>
      <c r="Z220" s="381">
        <v>18319.63</v>
      </c>
      <c r="AA220" s="377" t="s">
        <v>581</v>
      </c>
      <c r="AB220" s="377" t="s">
        <v>582</v>
      </c>
      <c r="AC220" s="377" t="s">
        <v>583</v>
      </c>
      <c r="AD220" s="377" t="s">
        <v>215</v>
      </c>
      <c r="AE220" s="377" t="s">
        <v>465</v>
      </c>
      <c r="AF220" s="377" t="s">
        <v>207</v>
      </c>
      <c r="AG220" s="377" t="s">
        <v>179</v>
      </c>
      <c r="AH220" s="382">
        <v>34.799999999999997</v>
      </c>
      <c r="AI220" s="380">
        <v>11368</v>
      </c>
      <c r="AJ220" s="377" t="s">
        <v>180</v>
      </c>
      <c r="AK220" s="377" t="s">
        <v>181</v>
      </c>
      <c r="AL220" s="377" t="s">
        <v>182</v>
      </c>
      <c r="AM220" s="377" t="s">
        <v>183</v>
      </c>
      <c r="AN220" s="377" t="s">
        <v>66</v>
      </c>
      <c r="AO220" s="380">
        <v>80</v>
      </c>
      <c r="AP220" s="386">
        <v>1</v>
      </c>
      <c r="AQ220" s="386">
        <v>0.65</v>
      </c>
      <c r="AR220" s="384" t="s">
        <v>184</v>
      </c>
      <c r="AS220" s="388">
        <f t="shared" si="159"/>
        <v>0.65</v>
      </c>
      <c r="AT220">
        <f t="shared" si="160"/>
        <v>1</v>
      </c>
      <c r="AU220" s="388">
        <f>IF(AT220=0,"",IF(AND(AT220=1,M220="F",SUMIF(C2:C258,C220,AS2:AS258)&lt;=1),SUMIF(C2:C258,C220,AS2:AS258),IF(AND(AT220=1,M220="F",SUMIF(C2:C258,C220,AS2:AS258)&gt;1),1,"")))</f>
        <v>1</v>
      </c>
      <c r="AV220" s="388" t="str">
        <f>IF(AT220=0,"",IF(AND(AT220=3,M220="F",SUMIF(C2:C258,C220,AS2:AS258)&lt;=1),SUMIF(C2:C258,C220,AS2:AS258),IF(AND(AT220=3,M220="F",SUMIF(C2:C258,C220,AS2:AS258)&gt;1),1,"")))</f>
        <v/>
      </c>
      <c r="AW220" s="388">
        <f>SUMIF(C2:C258,C220,O2:O258)</f>
        <v>3</v>
      </c>
      <c r="AX220" s="388">
        <f>IF(AND(M220="F",AS220&lt;&gt;0),SUMIF(C2:C258,C220,W2:W258),0)</f>
        <v>72384</v>
      </c>
      <c r="AY220" s="388">
        <f t="shared" si="161"/>
        <v>47049.599999999999</v>
      </c>
      <c r="AZ220" s="388" t="str">
        <f t="shared" si="162"/>
        <v/>
      </c>
      <c r="BA220" s="388">
        <f t="shared" si="163"/>
        <v>0</v>
      </c>
      <c r="BB220" s="388">
        <f t="shared" si="132"/>
        <v>8125</v>
      </c>
      <c r="BC220" s="388">
        <f t="shared" si="133"/>
        <v>0</v>
      </c>
      <c r="BD220" s="388">
        <f t="shared" si="134"/>
        <v>2917.0751999999998</v>
      </c>
      <c r="BE220" s="388">
        <f t="shared" si="135"/>
        <v>682.2192</v>
      </c>
      <c r="BF220" s="388">
        <f t="shared" si="136"/>
        <v>5617.7222400000001</v>
      </c>
      <c r="BG220" s="388">
        <f t="shared" si="137"/>
        <v>339.22761600000001</v>
      </c>
      <c r="BH220" s="388">
        <f t="shared" si="138"/>
        <v>0</v>
      </c>
      <c r="BI220" s="388">
        <f t="shared" si="139"/>
        <v>0</v>
      </c>
      <c r="BJ220" s="388">
        <f t="shared" si="140"/>
        <v>164.67359999999999</v>
      </c>
      <c r="BK220" s="388">
        <f t="shared" si="141"/>
        <v>0</v>
      </c>
      <c r="BL220" s="388">
        <f t="shared" si="164"/>
        <v>9720.917856</v>
      </c>
      <c r="BM220" s="388">
        <f t="shared" si="165"/>
        <v>0</v>
      </c>
      <c r="BN220" s="388">
        <f t="shared" si="142"/>
        <v>8937.5</v>
      </c>
      <c r="BO220" s="388">
        <f t="shared" si="143"/>
        <v>0</v>
      </c>
      <c r="BP220" s="388">
        <f t="shared" si="144"/>
        <v>2917.0751999999998</v>
      </c>
      <c r="BQ220" s="388">
        <f t="shared" si="145"/>
        <v>682.2192</v>
      </c>
      <c r="BR220" s="388">
        <f t="shared" si="146"/>
        <v>5260.1452799999997</v>
      </c>
      <c r="BS220" s="388">
        <f t="shared" si="147"/>
        <v>339.22761600000001</v>
      </c>
      <c r="BT220" s="388">
        <f t="shared" si="148"/>
        <v>0</v>
      </c>
      <c r="BU220" s="388">
        <f t="shared" si="149"/>
        <v>0</v>
      </c>
      <c r="BV220" s="388">
        <f t="shared" si="150"/>
        <v>183.49343999999999</v>
      </c>
      <c r="BW220" s="388">
        <f t="shared" si="151"/>
        <v>0</v>
      </c>
      <c r="BX220" s="388">
        <f t="shared" si="166"/>
        <v>9382.1607359999998</v>
      </c>
      <c r="BY220" s="388">
        <f t="shared" si="167"/>
        <v>0</v>
      </c>
      <c r="BZ220" s="388">
        <f t="shared" si="168"/>
        <v>812.5</v>
      </c>
      <c r="CA220" s="388">
        <f t="shared" si="169"/>
        <v>0</v>
      </c>
      <c r="CB220" s="388">
        <f t="shared" si="170"/>
        <v>0</v>
      </c>
      <c r="CC220" s="388">
        <f t="shared" si="152"/>
        <v>0</v>
      </c>
      <c r="CD220" s="388">
        <f t="shared" si="153"/>
        <v>-357.57696000000044</v>
      </c>
      <c r="CE220" s="388">
        <f t="shared" si="154"/>
        <v>0</v>
      </c>
      <c r="CF220" s="388">
        <f t="shared" si="155"/>
        <v>0</v>
      </c>
      <c r="CG220" s="388">
        <f t="shared" si="156"/>
        <v>0</v>
      </c>
      <c r="CH220" s="388">
        <f t="shared" si="157"/>
        <v>18.819839999999989</v>
      </c>
      <c r="CI220" s="388">
        <f t="shared" si="158"/>
        <v>0</v>
      </c>
      <c r="CJ220" s="388">
        <f t="shared" si="171"/>
        <v>-338.75712000000044</v>
      </c>
      <c r="CK220" s="388" t="str">
        <f t="shared" si="172"/>
        <v/>
      </c>
      <c r="CL220" s="388" t="str">
        <f t="shared" si="173"/>
        <v/>
      </c>
      <c r="CM220" s="388" t="str">
        <f t="shared" si="174"/>
        <v/>
      </c>
      <c r="CN220" s="388" t="str">
        <f t="shared" si="175"/>
        <v>0349-00</v>
      </c>
    </row>
    <row r="221" spans="1:92" ht="15.75" thickBot="1" x14ac:dyDescent="0.3">
      <c r="A221" s="377" t="s">
        <v>162</v>
      </c>
      <c r="B221" s="377" t="s">
        <v>163</v>
      </c>
      <c r="C221" s="377" t="s">
        <v>585</v>
      </c>
      <c r="D221" s="377" t="s">
        <v>464</v>
      </c>
      <c r="E221" s="377" t="s">
        <v>763</v>
      </c>
      <c r="F221" s="383" t="s">
        <v>167</v>
      </c>
      <c r="G221" s="377" t="s">
        <v>439</v>
      </c>
      <c r="H221" s="379"/>
      <c r="I221" s="379"/>
      <c r="J221" s="377" t="s">
        <v>169</v>
      </c>
      <c r="K221" s="377" t="s">
        <v>465</v>
      </c>
      <c r="L221" s="377" t="s">
        <v>167</v>
      </c>
      <c r="M221" s="377" t="s">
        <v>172</v>
      </c>
      <c r="N221" s="377" t="s">
        <v>173</v>
      </c>
      <c r="O221" s="380">
        <v>1</v>
      </c>
      <c r="P221" s="386">
        <v>0.65</v>
      </c>
      <c r="Q221" s="386">
        <v>0.65</v>
      </c>
      <c r="R221" s="381">
        <v>80</v>
      </c>
      <c r="S221" s="386">
        <v>0.65</v>
      </c>
      <c r="T221" s="381">
        <v>42098.03</v>
      </c>
      <c r="U221" s="381">
        <v>0</v>
      </c>
      <c r="V221" s="381">
        <v>15344.65</v>
      </c>
      <c r="W221" s="381">
        <v>39099.839999999997</v>
      </c>
      <c r="X221" s="381">
        <v>16203.39</v>
      </c>
      <c r="Y221" s="381">
        <v>39099.839999999997</v>
      </c>
      <c r="Z221" s="381">
        <v>16734.38</v>
      </c>
      <c r="AA221" s="377" t="s">
        <v>586</v>
      </c>
      <c r="AB221" s="377" t="s">
        <v>587</v>
      </c>
      <c r="AC221" s="377" t="s">
        <v>588</v>
      </c>
      <c r="AD221" s="377" t="s">
        <v>240</v>
      </c>
      <c r="AE221" s="377" t="s">
        <v>465</v>
      </c>
      <c r="AF221" s="377" t="s">
        <v>207</v>
      </c>
      <c r="AG221" s="377" t="s">
        <v>179</v>
      </c>
      <c r="AH221" s="382">
        <v>28.92</v>
      </c>
      <c r="AI221" s="380">
        <v>1754</v>
      </c>
      <c r="AJ221" s="377" t="s">
        <v>180</v>
      </c>
      <c r="AK221" s="377" t="s">
        <v>181</v>
      </c>
      <c r="AL221" s="377" t="s">
        <v>182</v>
      </c>
      <c r="AM221" s="377" t="s">
        <v>183</v>
      </c>
      <c r="AN221" s="377" t="s">
        <v>66</v>
      </c>
      <c r="AO221" s="380">
        <v>80</v>
      </c>
      <c r="AP221" s="386">
        <v>1</v>
      </c>
      <c r="AQ221" s="386">
        <v>0.65</v>
      </c>
      <c r="AR221" s="384" t="s">
        <v>184</v>
      </c>
      <c r="AS221" s="388">
        <f t="shared" si="159"/>
        <v>0.65</v>
      </c>
      <c r="AT221">
        <f t="shared" si="160"/>
        <v>1</v>
      </c>
      <c r="AU221" s="388">
        <f>IF(AT221=0,"",IF(AND(AT221=1,M221="F",SUMIF(C2:C258,C221,AS2:AS258)&lt;=1),SUMIF(C2:C258,C221,AS2:AS258),IF(AND(AT221=1,M221="F",SUMIF(C2:C258,C221,AS2:AS258)&gt;1),1,"")))</f>
        <v>1</v>
      </c>
      <c r="AV221" s="388" t="str">
        <f>IF(AT221=0,"",IF(AND(AT221=3,M221="F",SUMIF(C2:C258,C221,AS2:AS258)&lt;=1),SUMIF(C2:C258,C221,AS2:AS258),IF(AND(AT221=3,M221="F",SUMIF(C2:C258,C221,AS2:AS258)&gt;1),1,"")))</f>
        <v/>
      </c>
      <c r="AW221" s="388">
        <f>SUMIF(C2:C258,C221,O2:O258)</f>
        <v>3</v>
      </c>
      <c r="AX221" s="388">
        <f>IF(AND(M221="F",AS221&lt;&gt;0),SUMIF(C2:C258,C221,W2:W258),0)</f>
        <v>60153.599999999991</v>
      </c>
      <c r="AY221" s="388">
        <f t="shared" si="161"/>
        <v>39099.839999999997</v>
      </c>
      <c r="AZ221" s="388" t="str">
        <f t="shared" si="162"/>
        <v/>
      </c>
      <c r="BA221" s="388">
        <f t="shared" si="163"/>
        <v>0</v>
      </c>
      <c r="BB221" s="388">
        <f t="shared" si="132"/>
        <v>8125</v>
      </c>
      <c r="BC221" s="388">
        <f t="shared" si="133"/>
        <v>0</v>
      </c>
      <c r="BD221" s="388">
        <f t="shared" si="134"/>
        <v>2424.1900799999999</v>
      </c>
      <c r="BE221" s="388">
        <f t="shared" si="135"/>
        <v>566.94767999999999</v>
      </c>
      <c r="BF221" s="388">
        <f t="shared" si="136"/>
        <v>4668.520896</v>
      </c>
      <c r="BG221" s="388">
        <f t="shared" si="137"/>
        <v>281.90984639999999</v>
      </c>
      <c r="BH221" s="388">
        <f t="shared" si="138"/>
        <v>0</v>
      </c>
      <c r="BI221" s="388">
        <f t="shared" si="139"/>
        <v>0</v>
      </c>
      <c r="BJ221" s="388">
        <f t="shared" si="140"/>
        <v>136.84943999999999</v>
      </c>
      <c r="BK221" s="388">
        <f t="shared" si="141"/>
        <v>0</v>
      </c>
      <c r="BL221" s="388">
        <f t="shared" si="164"/>
        <v>8078.4179423999994</v>
      </c>
      <c r="BM221" s="388">
        <f t="shared" si="165"/>
        <v>0</v>
      </c>
      <c r="BN221" s="388">
        <f t="shared" si="142"/>
        <v>8937.5</v>
      </c>
      <c r="BO221" s="388">
        <f t="shared" si="143"/>
        <v>0</v>
      </c>
      <c r="BP221" s="388">
        <f t="shared" si="144"/>
        <v>2424.1900799999999</v>
      </c>
      <c r="BQ221" s="388">
        <f t="shared" si="145"/>
        <v>566.94767999999999</v>
      </c>
      <c r="BR221" s="388">
        <f t="shared" si="146"/>
        <v>4371.3621119999998</v>
      </c>
      <c r="BS221" s="388">
        <f t="shared" si="147"/>
        <v>281.90984639999999</v>
      </c>
      <c r="BT221" s="388">
        <f t="shared" si="148"/>
        <v>0</v>
      </c>
      <c r="BU221" s="388">
        <f t="shared" si="149"/>
        <v>0</v>
      </c>
      <c r="BV221" s="388">
        <f t="shared" si="150"/>
        <v>152.48937599999999</v>
      </c>
      <c r="BW221" s="388">
        <f t="shared" si="151"/>
        <v>0</v>
      </c>
      <c r="BX221" s="388">
        <f t="shared" si="166"/>
        <v>7796.8990943999997</v>
      </c>
      <c r="BY221" s="388">
        <f t="shared" si="167"/>
        <v>0</v>
      </c>
      <c r="BZ221" s="388">
        <f t="shared" si="168"/>
        <v>812.5</v>
      </c>
      <c r="CA221" s="388">
        <f t="shared" si="169"/>
        <v>0</v>
      </c>
      <c r="CB221" s="388">
        <f t="shared" si="170"/>
        <v>0</v>
      </c>
      <c r="CC221" s="388">
        <f t="shared" si="152"/>
        <v>0</v>
      </c>
      <c r="CD221" s="388">
        <f t="shared" si="153"/>
        <v>-297.15878400000037</v>
      </c>
      <c r="CE221" s="388">
        <f t="shared" si="154"/>
        <v>0</v>
      </c>
      <c r="CF221" s="388">
        <f t="shared" si="155"/>
        <v>0</v>
      </c>
      <c r="CG221" s="388">
        <f t="shared" si="156"/>
        <v>0</v>
      </c>
      <c r="CH221" s="388">
        <f t="shared" si="157"/>
        <v>15.639935999999988</v>
      </c>
      <c r="CI221" s="388">
        <f t="shared" si="158"/>
        <v>0</v>
      </c>
      <c r="CJ221" s="388">
        <f t="shared" si="171"/>
        <v>-281.51884800000039</v>
      </c>
      <c r="CK221" s="388" t="str">
        <f t="shared" si="172"/>
        <v/>
      </c>
      <c r="CL221" s="388" t="str">
        <f t="shared" si="173"/>
        <v/>
      </c>
      <c r="CM221" s="388" t="str">
        <f t="shared" si="174"/>
        <v/>
      </c>
      <c r="CN221" s="388" t="str">
        <f t="shared" si="175"/>
        <v>0349-00</v>
      </c>
    </row>
    <row r="222" spans="1:92" ht="15.75" thickBot="1" x14ac:dyDescent="0.3">
      <c r="A222" s="377" t="s">
        <v>162</v>
      </c>
      <c r="B222" s="377" t="s">
        <v>163</v>
      </c>
      <c r="C222" s="377" t="s">
        <v>479</v>
      </c>
      <c r="D222" s="377" t="s">
        <v>300</v>
      </c>
      <c r="E222" s="377" t="s">
        <v>166</v>
      </c>
      <c r="F222" s="378" t="s">
        <v>167</v>
      </c>
      <c r="G222" s="377" t="s">
        <v>764</v>
      </c>
      <c r="H222" s="379"/>
      <c r="I222" s="379"/>
      <c r="J222" s="377" t="s">
        <v>219</v>
      </c>
      <c r="K222" s="377" t="s">
        <v>301</v>
      </c>
      <c r="L222" s="377" t="s">
        <v>167</v>
      </c>
      <c r="M222" s="377" t="s">
        <v>172</v>
      </c>
      <c r="N222" s="377" t="s">
        <v>173</v>
      </c>
      <c r="O222" s="380">
        <v>1</v>
      </c>
      <c r="P222" s="386">
        <v>1</v>
      </c>
      <c r="Q222" s="386">
        <v>1</v>
      </c>
      <c r="R222" s="381">
        <v>80</v>
      </c>
      <c r="S222" s="386">
        <v>1</v>
      </c>
      <c r="T222" s="381">
        <v>71942.83</v>
      </c>
      <c r="U222" s="381">
        <v>0</v>
      </c>
      <c r="V222" s="381">
        <v>25557.279999999999</v>
      </c>
      <c r="W222" s="381">
        <v>80433.600000000006</v>
      </c>
      <c r="X222" s="381">
        <v>29118.36</v>
      </c>
      <c r="Y222" s="381">
        <v>80433.600000000006</v>
      </c>
      <c r="Z222" s="381">
        <v>29789.24</v>
      </c>
      <c r="AA222" s="377" t="s">
        <v>480</v>
      </c>
      <c r="AB222" s="377" t="s">
        <v>481</v>
      </c>
      <c r="AC222" s="377" t="s">
        <v>482</v>
      </c>
      <c r="AD222" s="377" t="s">
        <v>316</v>
      </c>
      <c r="AE222" s="377" t="s">
        <v>301</v>
      </c>
      <c r="AF222" s="377" t="s">
        <v>207</v>
      </c>
      <c r="AG222" s="377" t="s">
        <v>179</v>
      </c>
      <c r="AH222" s="382">
        <v>38.67</v>
      </c>
      <c r="AI222" s="382">
        <v>47362.400000000001</v>
      </c>
      <c r="AJ222" s="377" t="s">
        <v>180</v>
      </c>
      <c r="AK222" s="377" t="s">
        <v>181</v>
      </c>
      <c r="AL222" s="377" t="s">
        <v>182</v>
      </c>
      <c r="AM222" s="377" t="s">
        <v>183</v>
      </c>
      <c r="AN222" s="377" t="s">
        <v>66</v>
      </c>
      <c r="AO222" s="380">
        <v>80</v>
      </c>
      <c r="AP222" s="386">
        <v>1</v>
      </c>
      <c r="AQ222" s="386">
        <v>1</v>
      </c>
      <c r="AR222" s="384" t="s">
        <v>184</v>
      </c>
      <c r="AS222" s="388">
        <f t="shared" si="159"/>
        <v>1</v>
      </c>
      <c r="AT222">
        <f t="shared" si="160"/>
        <v>1</v>
      </c>
      <c r="AU222" s="388">
        <f>IF(AT222=0,"",IF(AND(AT222=1,M222="F",SUMIF(C2:C258,C222,AS2:AS258)&lt;=1),SUMIF(C2:C258,C222,AS2:AS258),IF(AND(AT222=1,M222="F",SUMIF(C2:C258,C222,AS2:AS258)&gt;1),1,"")))</f>
        <v>1</v>
      </c>
      <c r="AV222" s="388" t="str">
        <f>IF(AT222=0,"",IF(AND(AT222=3,M222="F",SUMIF(C2:C258,C222,AS2:AS258)&lt;=1),SUMIF(C2:C258,C222,AS2:AS258),IF(AND(AT222=3,M222="F",SUMIF(C2:C258,C222,AS2:AS258)&gt;1),1,"")))</f>
        <v/>
      </c>
      <c r="AW222" s="388">
        <f>SUMIF(C2:C258,C222,O2:O258)</f>
        <v>2</v>
      </c>
      <c r="AX222" s="388">
        <f>IF(AND(M222="F",AS222&lt;&gt;0),SUMIF(C2:C258,C222,W2:W258),0)</f>
        <v>80433.600000000006</v>
      </c>
      <c r="AY222" s="388">
        <f t="shared" si="161"/>
        <v>80433.600000000006</v>
      </c>
      <c r="AZ222" s="388" t="str">
        <f t="shared" si="162"/>
        <v/>
      </c>
      <c r="BA222" s="388">
        <f t="shared" si="163"/>
        <v>0</v>
      </c>
      <c r="BB222" s="388">
        <f t="shared" si="132"/>
        <v>12500</v>
      </c>
      <c r="BC222" s="388">
        <f t="shared" si="133"/>
        <v>0</v>
      </c>
      <c r="BD222" s="388">
        <f t="shared" si="134"/>
        <v>4986.8832000000002</v>
      </c>
      <c r="BE222" s="388">
        <f t="shared" si="135"/>
        <v>1166.2872000000002</v>
      </c>
      <c r="BF222" s="388">
        <f t="shared" si="136"/>
        <v>9603.7718400000012</v>
      </c>
      <c r="BG222" s="388">
        <f t="shared" si="137"/>
        <v>579.92625600000008</v>
      </c>
      <c r="BH222" s="388">
        <f t="shared" si="138"/>
        <v>0</v>
      </c>
      <c r="BI222" s="388">
        <f t="shared" si="139"/>
        <v>0</v>
      </c>
      <c r="BJ222" s="388">
        <f t="shared" si="140"/>
        <v>281.51760000000002</v>
      </c>
      <c r="BK222" s="388">
        <f t="shared" si="141"/>
        <v>0</v>
      </c>
      <c r="BL222" s="388">
        <f t="shared" si="164"/>
        <v>16618.386096000002</v>
      </c>
      <c r="BM222" s="388">
        <f t="shared" si="165"/>
        <v>0</v>
      </c>
      <c r="BN222" s="388">
        <f t="shared" si="142"/>
        <v>13750</v>
      </c>
      <c r="BO222" s="388">
        <f t="shared" si="143"/>
        <v>0</v>
      </c>
      <c r="BP222" s="388">
        <f t="shared" si="144"/>
        <v>4986.8832000000002</v>
      </c>
      <c r="BQ222" s="388">
        <f t="shared" si="145"/>
        <v>1166.2872000000002</v>
      </c>
      <c r="BR222" s="388">
        <f t="shared" si="146"/>
        <v>8992.4764800000012</v>
      </c>
      <c r="BS222" s="388">
        <f t="shared" si="147"/>
        <v>579.92625600000008</v>
      </c>
      <c r="BT222" s="388">
        <f t="shared" si="148"/>
        <v>0</v>
      </c>
      <c r="BU222" s="388">
        <f t="shared" si="149"/>
        <v>0</v>
      </c>
      <c r="BV222" s="388">
        <f t="shared" si="150"/>
        <v>313.69103999999999</v>
      </c>
      <c r="BW222" s="388">
        <f t="shared" si="151"/>
        <v>0</v>
      </c>
      <c r="BX222" s="388">
        <f t="shared" si="166"/>
        <v>16039.264176000002</v>
      </c>
      <c r="BY222" s="388">
        <f t="shared" si="167"/>
        <v>0</v>
      </c>
      <c r="BZ222" s="388">
        <f t="shared" si="168"/>
        <v>1250</v>
      </c>
      <c r="CA222" s="388">
        <f t="shared" si="169"/>
        <v>0</v>
      </c>
      <c r="CB222" s="388">
        <f t="shared" si="170"/>
        <v>0</v>
      </c>
      <c r="CC222" s="388">
        <f t="shared" si="152"/>
        <v>0</v>
      </c>
      <c r="CD222" s="388">
        <f t="shared" si="153"/>
        <v>-611.29536000000076</v>
      </c>
      <c r="CE222" s="388">
        <f t="shared" si="154"/>
        <v>0</v>
      </c>
      <c r="CF222" s="388">
        <f t="shared" si="155"/>
        <v>0</v>
      </c>
      <c r="CG222" s="388">
        <f t="shared" si="156"/>
        <v>0</v>
      </c>
      <c r="CH222" s="388">
        <f t="shared" si="157"/>
        <v>32.173439999999985</v>
      </c>
      <c r="CI222" s="388">
        <f t="shared" si="158"/>
        <v>0</v>
      </c>
      <c r="CJ222" s="388">
        <f t="shared" si="171"/>
        <v>-579.12192000000073</v>
      </c>
      <c r="CK222" s="388" t="str">
        <f t="shared" si="172"/>
        <v/>
      </c>
      <c r="CL222" s="388" t="str">
        <f t="shared" si="173"/>
        <v/>
      </c>
      <c r="CM222" s="388" t="str">
        <f t="shared" si="174"/>
        <v/>
      </c>
      <c r="CN222" s="388" t="str">
        <f t="shared" si="175"/>
        <v>0125-00</v>
      </c>
    </row>
    <row r="223" spans="1:92" ht="15.75" thickBot="1" x14ac:dyDescent="0.3">
      <c r="A223" s="377" t="s">
        <v>162</v>
      </c>
      <c r="B223" s="377" t="s">
        <v>163</v>
      </c>
      <c r="C223" s="377" t="s">
        <v>521</v>
      </c>
      <c r="D223" s="377" t="s">
        <v>282</v>
      </c>
      <c r="E223" s="377" t="s">
        <v>765</v>
      </c>
      <c r="F223" s="378" t="s">
        <v>167</v>
      </c>
      <c r="G223" s="377" t="s">
        <v>764</v>
      </c>
      <c r="H223" s="379"/>
      <c r="I223" s="379"/>
      <c r="J223" s="377" t="s">
        <v>517</v>
      </c>
      <c r="K223" s="377" t="s">
        <v>244</v>
      </c>
      <c r="L223" s="377" t="s">
        <v>167</v>
      </c>
      <c r="M223" s="377" t="s">
        <v>395</v>
      </c>
      <c r="N223" s="377" t="s">
        <v>173</v>
      </c>
      <c r="O223" s="380">
        <v>0</v>
      </c>
      <c r="P223" s="386">
        <v>0.12</v>
      </c>
      <c r="Q223" s="386">
        <v>0.12</v>
      </c>
      <c r="R223" s="381">
        <v>80</v>
      </c>
      <c r="S223" s="386">
        <v>0.12</v>
      </c>
      <c r="T223" s="381">
        <v>7437.81</v>
      </c>
      <c r="U223" s="381">
        <v>0</v>
      </c>
      <c r="V223" s="381">
        <v>2467.5500000000002</v>
      </c>
      <c r="W223" s="381">
        <v>10383.36</v>
      </c>
      <c r="X223" s="381">
        <v>4672.51</v>
      </c>
      <c r="Y223" s="381">
        <v>10383.36</v>
      </c>
      <c r="Z223" s="381">
        <v>4838.6400000000003</v>
      </c>
      <c r="AA223" s="379"/>
      <c r="AB223" s="377" t="s">
        <v>45</v>
      </c>
      <c r="AC223" s="377" t="s">
        <v>45</v>
      </c>
      <c r="AD223" s="379"/>
      <c r="AE223" s="379"/>
      <c r="AF223" s="379"/>
      <c r="AG223" s="379"/>
      <c r="AH223" s="380">
        <v>0</v>
      </c>
      <c r="AI223" s="380">
        <v>0</v>
      </c>
      <c r="AJ223" s="379"/>
      <c r="AK223" s="379"/>
      <c r="AL223" s="377" t="s">
        <v>182</v>
      </c>
      <c r="AM223" s="379"/>
      <c r="AN223" s="379"/>
      <c r="AO223" s="380">
        <v>0</v>
      </c>
      <c r="AP223" s="386">
        <v>0</v>
      </c>
      <c r="AQ223" s="386">
        <v>0</v>
      </c>
      <c r="AR223" s="385"/>
      <c r="AS223" s="388">
        <f t="shared" si="159"/>
        <v>0</v>
      </c>
      <c r="AT223">
        <f t="shared" si="160"/>
        <v>0</v>
      </c>
      <c r="AU223" s="388" t="str">
        <f>IF(AT223=0,"",IF(AND(AT223=1,M223="F",SUMIF(C2:C258,C223,AS2:AS258)&lt;=1),SUMIF(C2:C258,C223,AS2:AS258),IF(AND(AT223=1,M223="F",SUMIF(C2:C258,C223,AS2:AS258)&gt;1),1,"")))</f>
        <v/>
      </c>
      <c r="AV223" s="388" t="str">
        <f>IF(AT223=0,"",IF(AND(AT223=3,M223="F",SUMIF(C2:C258,C223,AS2:AS258)&lt;=1),SUMIF(C2:C258,C223,AS2:AS258),IF(AND(AT223=3,M223="F",SUMIF(C2:C258,C223,AS2:AS258)&gt;1),1,"")))</f>
        <v/>
      </c>
      <c r="AW223" s="388">
        <f>SUMIF(C2:C258,C223,O2:O258)</f>
        <v>0</v>
      </c>
      <c r="AX223" s="388">
        <f>IF(AND(M223="F",AS223&lt;&gt;0),SUMIF(C2:C258,C223,W2:W258),0)</f>
        <v>0</v>
      </c>
      <c r="AY223" s="388" t="str">
        <f t="shared" si="161"/>
        <v/>
      </c>
      <c r="AZ223" s="388" t="str">
        <f t="shared" si="162"/>
        <v/>
      </c>
      <c r="BA223" s="388">
        <f t="shared" si="163"/>
        <v>0</v>
      </c>
      <c r="BB223" s="388">
        <f t="shared" si="132"/>
        <v>0</v>
      </c>
      <c r="BC223" s="388">
        <f t="shared" si="133"/>
        <v>0</v>
      </c>
      <c r="BD223" s="388">
        <f t="shared" si="134"/>
        <v>0</v>
      </c>
      <c r="BE223" s="388">
        <f t="shared" si="135"/>
        <v>0</v>
      </c>
      <c r="BF223" s="388">
        <f t="shared" si="136"/>
        <v>0</v>
      </c>
      <c r="BG223" s="388">
        <f t="shared" si="137"/>
        <v>0</v>
      </c>
      <c r="BH223" s="388">
        <f t="shared" si="138"/>
        <v>0</v>
      </c>
      <c r="BI223" s="388">
        <f t="shared" si="139"/>
        <v>0</v>
      </c>
      <c r="BJ223" s="388">
        <f t="shared" si="140"/>
        <v>0</v>
      </c>
      <c r="BK223" s="388">
        <f t="shared" si="141"/>
        <v>0</v>
      </c>
      <c r="BL223" s="388">
        <f t="shared" si="164"/>
        <v>0</v>
      </c>
      <c r="BM223" s="388">
        <f t="shared" si="165"/>
        <v>0</v>
      </c>
      <c r="BN223" s="388">
        <f t="shared" si="142"/>
        <v>0</v>
      </c>
      <c r="BO223" s="388">
        <f t="shared" si="143"/>
        <v>0</v>
      </c>
      <c r="BP223" s="388">
        <f t="shared" si="144"/>
        <v>0</v>
      </c>
      <c r="BQ223" s="388">
        <f t="shared" si="145"/>
        <v>0</v>
      </c>
      <c r="BR223" s="388">
        <f t="shared" si="146"/>
        <v>0</v>
      </c>
      <c r="BS223" s="388">
        <f t="shared" si="147"/>
        <v>0</v>
      </c>
      <c r="BT223" s="388">
        <f t="shared" si="148"/>
        <v>0</v>
      </c>
      <c r="BU223" s="388">
        <f t="shared" si="149"/>
        <v>0</v>
      </c>
      <c r="BV223" s="388">
        <f t="shared" si="150"/>
        <v>0</v>
      </c>
      <c r="BW223" s="388">
        <f t="shared" si="151"/>
        <v>0</v>
      </c>
      <c r="BX223" s="388">
        <f t="shared" si="166"/>
        <v>0</v>
      </c>
      <c r="BY223" s="388">
        <f t="shared" si="167"/>
        <v>0</v>
      </c>
      <c r="BZ223" s="388">
        <f t="shared" si="168"/>
        <v>0</v>
      </c>
      <c r="CA223" s="388">
        <f t="shared" si="169"/>
        <v>0</v>
      </c>
      <c r="CB223" s="388">
        <f t="shared" si="170"/>
        <v>0</v>
      </c>
      <c r="CC223" s="388">
        <f t="shared" si="152"/>
        <v>0</v>
      </c>
      <c r="CD223" s="388">
        <f t="shared" si="153"/>
        <v>0</v>
      </c>
      <c r="CE223" s="388">
        <f t="shared" si="154"/>
        <v>0</v>
      </c>
      <c r="CF223" s="388">
        <f t="shared" si="155"/>
        <v>0</v>
      </c>
      <c r="CG223" s="388">
        <f t="shared" si="156"/>
        <v>0</v>
      </c>
      <c r="CH223" s="388">
        <f t="shared" si="157"/>
        <v>0</v>
      </c>
      <c r="CI223" s="388">
        <f t="shared" si="158"/>
        <v>0</v>
      </c>
      <c r="CJ223" s="388">
        <f t="shared" si="171"/>
        <v>0</v>
      </c>
      <c r="CK223" s="388" t="str">
        <f t="shared" si="172"/>
        <v/>
      </c>
      <c r="CL223" s="388" t="str">
        <f t="shared" si="173"/>
        <v/>
      </c>
      <c r="CM223" s="388" t="str">
        <f t="shared" si="174"/>
        <v/>
      </c>
      <c r="CN223" s="388" t="str">
        <f t="shared" si="175"/>
        <v>0319-00</v>
      </c>
    </row>
    <row r="224" spans="1:92" ht="15.75" thickBot="1" x14ac:dyDescent="0.3">
      <c r="A224" s="377" t="s">
        <v>162</v>
      </c>
      <c r="B224" s="377" t="s">
        <v>163</v>
      </c>
      <c r="C224" s="377" t="s">
        <v>541</v>
      </c>
      <c r="D224" s="377" t="s">
        <v>276</v>
      </c>
      <c r="E224" s="377" t="s">
        <v>765</v>
      </c>
      <c r="F224" s="378" t="s">
        <v>167</v>
      </c>
      <c r="G224" s="377" t="s">
        <v>764</v>
      </c>
      <c r="H224" s="379"/>
      <c r="I224" s="379"/>
      <c r="J224" s="377" t="s">
        <v>283</v>
      </c>
      <c r="K224" s="377" t="s">
        <v>277</v>
      </c>
      <c r="L224" s="377" t="s">
        <v>215</v>
      </c>
      <c r="M224" s="377" t="s">
        <v>395</v>
      </c>
      <c r="N224" s="377" t="s">
        <v>173</v>
      </c>
      <c r="O224" s="380">
        <v>0</v>
      </c>
      <c r="P224" s="386">
        <v>0</v>
      </c>
      <c r="Q224" s="386">
        <v>0</v>
      </c>
      <c r="R224" s="381">
        <v>80</v>
      </c>
      <c r="S224" s="386">
        <v>0</v>
      </c>
      <c r="T224" s="381">
        <v>5419.26</v>
      </c>
      <c r="U224" s="381">
        <v>0</v>
      </c>
      <c r="V224" s="381">
        <v>3108.5</v>
      </c>
      <c r="W224" s="381">
        <v>0</v>
      </c>
      <c r="X224" s="381">
        <v>0</v>
      </c>
      <c r="Y224" s="381">
        <v>0</v>
      </c>
      <c r="Z224" s="381">
        <v>0</v>
      </c>
      <c r="AA224" s="379"/>
      <c r="AB224" s="377" t="s">
        <v>45</v>
      </c>
      <c r="AC224" s="377" t="s">
        <v>45</v>
      </c>
      <c r="AD224" s="379"/>
      <c r="AE224" s="379"/>
      <c r="AF224" s="379"/>
      <c r="AG224" s="379"/>
      <c r="AH224" s="380">
        <v>0</v>
      </c>
      <c r="AI224" s="380">
        <v>0</v>
      </c>
      <c r="AJ224" s="379"/>
      <c r="AK224" s="379"/>
      <c r="AL224" s="377" t="s">
        <v>182</v>
      </c>
      <c r="AM224" s="379"/>
      <c r="AN224" s="379"/>
      <c r="AO224" s="380">
        <v>0</v>
      </c>
      <c r="AP224" s="386">
        <v>0</v>
      </c>
      <c r="AQ224" s="386">
        <v>0</v>
      </c>
      <c r="AR224" s="385"/>
      <c r="AS224" s="388">
        <f t="shared" si="159"/>
        <v>0</v>
      </c>
      <c r="AT224">
        <f t="shared" si="160"/>
        <v>0</v>
      </c>
      <c r="AU224" s="388" t="str">
        <f>IF(AT224=0,"",IF(AND(AT224=1,M224="F",SUMIF(C2:C258,C224,AS2:AS258)&lt;=1),SUMIF(C2:C258,C224,AS2:AS258),IF(AND(AT224=1,M224="F",SUMIF(C2:C258,C224,AS2:AS258)&gt;1),1,"")))</f>
        <v/>
      </c>
      <c r="AV224" s="388" t="str">
        <f>IF(AT224=0,"",IF(AND(AT224=3,M224="F",SUMIF(C2:C258,C224,AS2:AS258)&lt;=1),SUMIF(C2:C258,C224,AS2:AS258),IF(AND(AT224=3,M224="F",SUMIF(C2:C258,C224,AS2:AS258)&gt;1),1,"")))</f>
        <v/>
      </c>
      <c r="AW224" s="388">
        <f>SUMIF(C2:C258,C224,O2:O258)</f>
        <v>0</v>
      </c>
      <c r="AX224" s="388">
        <f>IF(AND(M224="F",AS224&lt;&gt;0),SUMIF(C2:C258,C224,W2:W258),0)</f>
        <v>0</v>
      </c>
      <c r="AY224" s="388" t="str">
        <f t="shared" si="161"/>
        <v/>
      </c>
      <c r="AZ224" s="388" t="str">
        <f t="shared" si="162"/>
        <v/>
      </c>
      <c r="BA224" s="388">
        <f t="shared" si="163"/>
        <v>0</v>
      </c>
      <c r="BB224" s="388">
        <f t="shared" si="132"/>
        <v>0</v>
      </c>
      <c r="BC224" s="388">
        <f t="shared" si="133"/>
        <v>0</v>
      </c>
      <c r="BD224" s="388">
        <f t="shared" si="134"/>
        <v>0</v>
      </c>
      <c r="BE224" s="388">
        <f t="shared" si="135"/>
        <v>0</v>
      </c>
      <c r="BF224" s="388">
        <f t="shared" si="136"/>
        <v>0</v>
      </c>
      <c r="BG224" s="388">
        <f t="shared" si="137"/>
        <v>0</v>
      </c>
      <c r="BH224" s="388">
        <f t="shared" si="138"/>
        <v>0</v>
      </c>
      <c r="BI224" s="388">
        <f t="shared" si="139"/>
        <v>0</v>
      </c>
      <c r="BJ224" s="388">
        <f t="shared" si="140"/>
        <v>0</v>
      </c>
      <c r="BK224" s="388">
        <f t="shared" si="141"/>
        <v>0</v>
      </c>
      <c r="BL224" s="388">
        <f t="shared" si="164"/>
        <v>0</v>
      </c>
      <c r="BM224" s="388">
        <f t="shared" si="165"/>
        <v>0</v>
      </c>
      <c r="BN224" s="388">
        <f t="shared" si="142"/>
        <v>0</v>
      </c>
      <c r="BO224" s="388">
        <f t="shared" si="143"/>
        <v>0</v>
      </c>
      <c r="BP224" s="388">
        <f t="shared" si="144"/>
        <v>0</v>
      </c>
      <c r="BQ224" s="388">
        <f t="shared" si="145"/>
        <v>0</v>
      </c>
      <c r="BR224" s="388">
        <f t="shared" si="146"/>
        <v>0</v>
      </c>
      <c r="BS224" s="388">
        <f t="shared" si="147"/>
        <v>0</v>
      </c>
      <c r="BT224" s="388">
        <f t="shared" si="148"/>
        <v>0</v>
      </c>
      <c r="BU224" s="388">
        <f t="shared" si="149"/>
        <v>0</v>
      </c>
      <c r="BV224" s="388">
        <f t="shared" si="150"/>
        <v>0</v>
      </c>
      <c r="BW224" s="388">
        <f t="shared" si="151"/>
        <v>0</v>
      </c>
      <c r="BX224" s="388">
        <f t="shared" si="166"/>
        <v>0</v>
      </c>
      <c r="BY224" s="388">
        <f t="shared" si="167"/>
        <v>0</v>
      </c>
      <c r="BZ224" s="388">
        <f t="shared" si="168"/>
        <v>0</v>
      </c>
      <c r="CA224" s="388">
        <f t="shared" si="169"/>
        <v>0</v>
      </c>
      <c r="CB224" s="388">
        <f t="shared" si="170"/>
        <v>0</v>
      </c>
      <c r="CC224" s="388">
        <f t="shared" si="152"/>
        <v>0</v>
      </c>
      <c r="CD224" s="388">
        <f t="shared" si="153"/>
        <v>0</v>
      </c>
      <c r="CE224" s="388">
        <f t="shared" si="154"/>
        <v>0</v>
      </c>
      <c r="CF224" s="388">
        <f t="shared" si="155"/>
        <v>0</v>
      </c>
      <c r="CG224" s="388">
        <f t="shared" si="156"/>
        <v>0</v>
      </c>
      <c r="CH224" s="388">
        <f t="shared" si="157"/>
        <v>0</v>
      </c>
      <c r="CI224" s="388">
        <f t="shared" si="158"/>
        <v>0</v>
      </c>
      <c r="CJ224" s="388">
        <f t="shared" si="171"/>
        <v>0</v>
      </c>
      <c r="CK224" s="388" t="str">
        <f t="shared" si="172"/>
        <v/>
      </c>
      <c r="CL224" s="388" t="str">
        <f t="shared" si="173"/>
        <v/>
      </c>
      <c r="CM224" s="388" t="str">
        <f t="shared" si="174"/>
        <v/>
      </c>
      <c r="CN224" s="388" t="str">
        <f t="shared" si="175"/>
        <v>0319-00</v>
      </c>
    </row>
    <row r="225" spans="1:92" ht="15.75" thickBot="1" x14ac:dyDescent="0.3">
      <c r="A225" s="377" t="s">
        <v>162</v>
      </c>
      <c r="B225" s="377" t="s">
        <v>163</v>
      </c>
      <c r="C225" s="377" t="s">
        <v>584</v>
      </c>
      <c r="D225" s="377" t="s">
        <v>276</v>
      </c>
      <c r="E225" s="377" t="s">
        <v>765</v>
      </c>
      <c r="F225" s="378" t="s">
        <v>167</v>
      </c>
      <c r="G225" s="377" t="s">
        <v>764</v>
      </c>
      <c r="H225" s="379"/>
      <c r="I225" s="379"/>
      <c r="J225" s="377" t="s">
        <v>283</v>
      </c>
      <c r="K225" s="377" t="s">
        <v>277</v>
      </c>
      <c r="L225" s="377" t="s">
        <v>215</v>
      </c>
      <c r="M225" s="377" t="s">
        <v>395</v>
      </c>
      <c r="N225" s="377" t="s">
        <v>173</v>
      </c>
      <c r="O225" s="380">
        <v>0</v>
      </c>
      <c r="P225" s="386">
        <v>0</v>
      </c>
      <c r="Q225" s="386">
        <v>0</v>
      </c>
      <c r="R225" s="381">
        <v>80</v>
      </c>
      <c r="S225" s="386">
        <v>0</v>
      </c>
      <c r="T225" s="381">
        <v>464.83</v>
      </c>
      <c r="U225" s="381">
        <v>0</v>
      </c>
      <c r="V225" s="381">
        <v>231.53</v>
      </c>
      <c r="W225" s="381">
        <v>0</v>
      </c>
      <c r="X225" s="381">
        <v>0</v>
      </c>
      <c r="Y225" s="381">
        <v>0</v>
      </c>
      <c r="Z225" s="381">
        <v>0</v>
      </c>
      <c r="AA225" s="379"/>
      <c r="AB225" s="377" t="s">
        <v>45</v>
      </c>
      <c r="AC225" s="377" t="s">
        <v>45</v>
      </c>
      <c r="AD225" s="379"/>
      <c r="AE225" s="379"/>
      <c r="AF225" s="379"/>
      <c r="AG225" s="379"/>
      <c r="AH225" s="380">
        <v>0</v>
      </c>
      <c r="AI225" s="380">
        <v>0</v>
      </c>
      <c r="AJ225" s="379"/>
      <c r="AK225" s="379"/>
      <c r="AL225" s="377" t="s">
        <v>182</v>
      </c>
      <c r="AM225" s="379"/>
      <c r="AN225" s="379"/>
      <c r="AO225" s="380">
        <v>0</v>
      </c>
      <c r="AP225" s="386">
        <v>0</v>
      </c>
      <c r="AQ225" s="386">
        <v>0</v>
      </c>
      <c r="AR225" s="385"/>
      <c r="AS225" s="388">
        <f t="shared" si="159"/>
        <v>0</v>
      </c>
      <c r="AT225">
        <f t="shared" si="160"/>
        <v>0</v>
      </c>
      <c r="AU225" s="388" t="str">
        <f>IF(AT225=0,"",IF(AND(AT225=1,M225="F",SUMIF(C2:C258,C225,AS2:AS258)&lt;=1),SUMIF(C2:C258,C225,AS2:AS258),IF(AND(AT225=1,M225="F",SUMIF(C2:C258,C225,AS2:AS258)&gt;1),1,"")))</f>
        <v/>
      </c>
      <c r="AV225" s="388" t="str">
        <f>IF(AT225=0,"",IF(AND(AT225=3,M225="F",SUMIF(C2:C258,C225,AS2:AS258)&lt;=1),SUMIF(C2:C258,C225,AS2:AS258),IF(AND(AT225=3,M225="F",SUMIF(C2:C258,C225,AS2:AS258)&gt;1),1,"")))</f>
        <v/>
      </c>
      <c r="AW225" s="388">
        <f>SUMIF(C2:C258,C225,O2:O258)</f>
        <v>0</v>
      </c>
      <c r="AX225" s="388">
        <f>IF(AND(M225="F",AS225&lt;&gt;0),SUMIF(C2:C258,C225,W2:W258),0)</f>
        <v>0</v>
      </c>
      <c r="AY225" s="388" t="str">
        <f t="shared" si="161"/>
        <v/>
      </c>
      <c r="AZ225" s="388" t="str">
        <f t="shared" si="162"/>
        <v/>
      </c>
      <c r="BA225" s="388">
        <f t="shared" si="163"/>
        <v>0</v>
      </c>
      <c r="BB225" s="388">
        <f t="shared" si="132"/>
        <v>0</v>
      </c>
      <c r="BC225" s="388">
        <f t="shared" si="133"/>
        <v>0</v>
      </c>
      <c r="BD225" s="388">
        <f t="shared" si="134"/>
        <v>0</v>
      </c>
      <c r="BE225" s="388">
        <f t="shared" si="135"/>
        <v>0</v>
      </c>
      <c r="BF225" s="388">
        <f t="shared" si="136"/>
        <v>0</v>
      </c>
      <c r="BG225" s="388">
        <f t="shared" si="137"/>
        <v>0</v>
      </c>
      <c r="BH225" s="388">
        <f t="shared" si="138"/>
        <v>0</v>
      </c>
      <c r="BI225" s="388">
        <f t="shared" si="139"/>
        <v>0</v>
      </c>
      <c r="BJ225" s="388">
        <f t="shared" si="140"/>
        <v>0</v>
      </c>
      <c r="BK225" s="388">
        <f t="shared" si="141"/>
        <v>0</v>
      </c>
      <c r="BL225" s="388">
        <f t="shared" si="164"/>
        <v>0</v>
      </c>
      <c r="BM225" s="388">
        <f t="shared" si="165"/>
        <v>0</v>
      </c>
      <c r="BN225" s="388">
        <f t="shared" si="142"/>
        <v>0</v>
      </c>
      <c r="BO225" s="388">
        <f t="shared" si="143"/>
        <v>0</v>
      </c>
      <c r="BP225" s="388">
        <f t="shared" si="144"/>
        <v>0</v>
      </c>
      <c r="BQ225" s="388">
        <f t="shared" si="145"/>
        <v>0</v>
      </c>
      <c r="BR225" s="388">
        <f t="shared" si="146"/>
        <v>0</v>
      </c>
      <c r="BS225" s="388">
        <f t="shared" si="147"/>
        <v>0</v>
      </c>
      <c r="BT225" s="388">
        <f t="shared" si="148"/>
        <v>0</v>
      </c>
      <c r="BU225" s="388">
        <f t="shared" si="149"/>
        <v>0</v>
      </c>
      <c r="BV225" s="388">
        <f t="shared" si="150"/>
        <v>0</v>
      </c>
      <c r="BW225" s="388">
        <f t="shared" si="151"/>
        <v>0</v>
      </c>
      <c r="BX225" s="388">
        <f t="shared" si="166"/>
        <v>0</v>
      </c>
      <c r="BY225" s="388">
        <f t="shared" si="167"/>
        <v>0</v>
      </c>
      <c r="BZ225" s="388">
        <f t="shared" si="168"/>
        <v>0</v>
      </c>
      <c r="CA225" s="388">
        <f t="shared" si="169"/>
        <v>0</v>
      </c>
      <c r="CB225" s="388">
        <f t="shared" si="170"/>
        <v>0</v>
      </c>
      <c r="CC225" s="388">
        <f t="shared" si="152"/>
        <v>0</v>
      </c>
      <c r="CD225" s="388">
        <f t="shared" si="153"/>
        <v>0</v>
      </c>
      <c r="CE225" s="388">
        <f t="shared" si="154"/>
        <v>0</v>
      </c>
      <c r="CF225" s="388">
        <f t="shared" si="155"/>
        <v>0</v>
      </c>
      <c r="CG225" s="388">
        <f t="shared" si="156"/>
        <v>0</v>
      </c>
      <c r="CH225" s="388">
        <f t="shared" si="157"/>
        <v>0</v>
      </c>
      <c r="CI225" s="388">
        <f t="shared" si="158"/>
        <v>0</v>
      </c>
      <c r="CJ225" s="388">
        <f t="shared" si="171"/>
        <v>0</v>
      </c>
      <c r="CK225" s="388" t="str">
        <f t="shared" si="172"/>
        <v/>
      </c>
      <c r="CL225" s="388" t="str">
        <f t="shared" si="173"/>
        <v/>
      </c>
      <c r="CM225" s="388" t="str">
        <f t="shared" si="174"/>
        <v/>
      </c>
      <c r="CN225" s="388" t="str">
        <f t="shared" si="175"/>
        <v>0319-00</v>
      </c>
    </row>
    <row r="226" spans="1:92" ht="15.75" thickBot="1" x14ac:dyDescent="0.3">
      <c r="A226" s="377" t="s">
        <v>162</v>
      </c>
      <c r="B226" s="377" t="s">
        <v>163</v>
      </c>
      <c r="C226" s="377" t="s">
        <v>237</v>
      </c>
      <c r="D226" s="377" t="s">
        <v>238</v>
      </c>
      <c r="E226" s="377" t="s">
        <v>765</v>
      </c>
      <c r="F226" s="378" t="s">
        <v>167</v>
      </c>
      <c r="G226" s="377" t="s">
        <v>764</v>
      </c>
      <c r="H226" s="379"/>
      <c r="I226" s="379"/>
      <c r="J226" s="377" t="s">
        <v>219</v>
      </c>
      <c r="K226" s="377" t="s">
        <v>239</v>
      </c>
      <c r="L226" s="377" t="s">
        <v>240</v>
      </c>
      <c r="M226" s="377" t="s">
        <v>172</v>
      </c>
      <c r="N226" s="377" t="s">
        <v>173</v>
      </c>
      <c r="O226" s="380">
        <v>1</v>
      </c>
      <c r="P226" s="386">
        <v>0</v>
      </c>
      <c r="Q226" s="386">
        <v>0</v>
      </c>
      <c r="R226" s="381">
        <v>80</v>
      </c>
      <c r="S226" s="386">
        <v>0</v>
      </c>
      <c r="T226" s="381">
        <v>1222.48</v>
      </c>
      <c r="U226" s="381">
        <v>0</v>
      </c>
      <c r="V226" s="381">
        <v>375.22</v>
      </c>
      <c r="W226" s="381">
        <v>0</v>
      </c>
      <c r="X226" s="381">
        <v>0</v>
      </c>
      <c r="Y226" s="381">
        <v>0</v>
      </c>
      <c r="Z226" s="381">
        <v>0</v>
      </c>
      <c r="AA226" s="377" t="s">
        <v>241</v>
      </c>
      <c r="AB226" s="377" t="s">
        <v>242</v>
      </c>
      <c r="AC226" s="377" t="s">
        <v>243</v>
      </c>
      <c r="AD226" s="377" t="s">
        <v>211</v>
      </c>
      <c r="AE226" s="377" t="s">
        <v>244</v>
      </c>
      <c r="AF226" s="377" t="s">
        <v>207</v>
      </c>
      <c r="AG226" s="377" t="s">
        <v>179</v>
      </c>
      <c r="AH226" s="382">
        <v>47.19</v>
      </c>
      <c r="AI226" s="382">
        <v>6916.8</v>
      </c>
      <c r="AJ226" s="377" t="s">
        <v>180</v>
      </c>
      <c r="AK226" s="377" t="s">
        <v>181</v>
      </c>
      <c r="AL226" s="377" t="s">
        <v>182</v>
      </c>
      <c r="AM226" s="377" t="s">
        <v>183</v>
      </c>
      <c r="AN226" s="377" t="s">
        <v>66</v>
      </c>
      <c r="AO226" s="380">
        <v>80</v>
      </c>
      <c r="AP226" s="386">
        <v>1</v>
      </c>
      <c r="AQ226" s="386">
        <v>0</v>
      </c>
      <c r="AR226" s="384" t="s">
        <v>184</v>
      </c>
      <c r="AS226" s="388">
        <f t="shared" si="159"/>
        <v>0</v>
      </c>
      <c r="AT226">
        <f t="shared" si="160"/>
        <v>0</v>
      </c>
      <c r="AU226" s="388" t="str">
        <f>IF(AT226=0,"",IF(AND(AT226=1,M226="F",SUMIF(C2:C258,C226,AS2:AS258)&lt;=1),SUMIF(C2:C258,C226,AS2:AS258),IF(AND(AT226=1,M226="F",SUMIF(C2:C258,C226,AS2:AS258)&gt;1),1,"")))</f>
        <v/>
      </c>
      <c r="AV226" s="388" t="str">
        <f>IF(AT226=0,"",IF(AND(AT226=3,M226="F",SUMIF(C2:C258,C226,AS2:AS258)&lt;=1),SUMIF(C2:C258,C226,AS2:AS258),IF(AND(AT226=3,M226="F",SUMIF(C2:C258,C226,AS2:AS258)&gt;1),1,"")))</f>
        <v/>
      </c>
      <c r="AW226" s="388">
        <f>SUMIF(C2:C258,C226,O2:O258)</f>
        <v>7</v>
      </c>
      <c r="AX226" s="388">
        <f>IF(AND(M226="F",AS226&lt;&gt;0),SUMIF(C2:C258,C226,W2:W258),0)</f>
        <v>0</v>
      </c>
      <c r="AY226" s="388" t="str">
        <f t="shared" si="161"/>
        <v/>
      </c>
      <c r="AZ226" s="388" t="str">
        <f t="shared" si="162"/>
        <v/>
      </c>
      <c r="BA226" s="388">
        <f t="shared" si="163"/>
        <v>0</v>
      </c>
      <c r="BB226" s="388">
        <f t="shared" si="132"/>
        <v>0</v>
      </c>
      <c r="BC226" s="388">
        <f t="shared" si="133"/>
        <v>0</v>
      </c>
      <c r="BD226" s="388">
        <f t="shared" si="134"/>
        <v>0</v>
      </c>
      <c r="BE226" s="388">
        <f t="shared" si="135"/>
        <v>0</v>
      </c>
      <c r="BF226" s="388">
        <f t="shared" si="136"/>
        <v>0</v>
      </c>
      <c r="BG226" s="388">
        <f t="shared" si="137"/>
        <v>0</v>
      </c>
      <c r="BH226" s="388">
        <f t="shared" si="138"/>
        <v>0</v>
      </c>
      <c r="BI226" s="388">
        <f t="shared" si="139"/>
        <v>0</v>
      </c>
      <c r="BJ226" s="388">
        <f t="shared" si="140"/>
        <v>0</v>
      </c>
      <c r="BK226" s="388">
        <f t="shared" si="141"/>
        <v>0</v>
      </c>
      <c r="BL226" s="388">
        <f t="shared" si="164"/>
        <v>0</v>
      </c>
      <c r="BM226" s="388">
        <f t="shared" si="165"/>
        <v>0</v>
      </c>
      <c r="BN226" s="388">
        <f t="shared" si="142"/>
        <v>0</v>
      </c>
      <c r="BO226" s="388">
        <f t="shared" si="143"/>
        <v>0</v>
      </c>
      <c r="BP226" s="388">
        <f t="shared" si="144"/>
        <v>0</v>
      </c>
      <c r="BQ226" s="388">
        <f t="shared" si="145"/>
        <v>0</v>
      </c>
      <c r="BR226" s="388">
        <f t="shared" si="146"/>
        <v>0</v>
      </c>
      <c r="BS226" s="388">
        <f t="shared" si="147"/>
        <v>0</v>
      </c>
      <c r="BT226" s="388">
        <f t="shared" si="148"/>
        <v>0</v>
      </c>
      <c r="BU226" s="388">
        <f t="shared" si="149"/>
        <v>0</v>
      </c>
      <c r="BV226" s="388">
        <f t="shared" si="150"/>
        <v>0</v>
      </c>
      <c r="BW226" s="388">
        <f t="shared" si="151"/>
        <v>0</v>
      </c>
      <c r="BX226" s="388">
        <f t="shared" si="166"/>
        <v>0</v>
      </c>
      <c r="BY226" s="388">
        <f t="shared" si="167"/>
        <v>0</v>
      </c>
      <c r="BZ226" s="388">
        <f t="shared" si="168"/>
        <v>0</v>
      </c>
      <c r="CA226" s="388">
        <f t="shared" si="169"/>
        <v>0</v>
      </c>
      <c r="CB226" s="388">
        <f t="shared" si="170"/>
        <v>0</v>
      </c>
      <c r="CC226" s="388">
        <f t="shared" si="152"/>
        <v>0</v>
      </c>
      <c r="CD226" s="388">
        <f t="shared" si="153"/>
        <v>0</v>
      </c>
      <c r="CE226" s="388">
        <f t="shared" si="154"/>
        <v>0</v>
      </c>
      <c r="CF226" s="388">
        <f t="shared" si="155"/>
        <v>0</v>
      </c>
      <c r="CG226" s="388">
        <f t="shared" si="156"/>
        <v>0</v>
      </c>
      <c r="CH226" s="388">
        <f t="shared" si="157"/>
        <v>0</v>
      </c>
      <c r="CI226" s="388">
        <f t="shared" si="158"/>
        <v>0</v>
      </c>
      <c r="CJ226" s="388">
        <f t="shared" si="171"/>
        <v>0</v>
      </c>
      <c r="CK226" s="388" t="str">
        <f t="shared" si="172"/>
        <v/>
      </c>
      <c r="CL226" s="388" t="str">
        <f t="shared" si="173"/>
        <v/>
      </c>
      <c r="CM226" s="388" t="str">
        <f t="shared" si="174"/>
        <v/>
      </c>
      <c r="CN226" s="388" t="str">
        <f t="shared" si="175"/>
        <v>0319-00</v>
      </c>
    </row>
    <row r="227" spans="1:92" ht="15.75" thickBot="1" x14ac:dyDescent="0.3">
      <c r="A227" s="377" t="s">
        <v>162</v>
      </c>
      <c r="B227" s="377" t="s">
        <v>163</v>
      </c>
      <c r="C227" s="377" t="s">
        <v>516</v>
      </c>
      <c r="D227" s="377" t="s">
        <v>251</v>
      </c>
      <c r="E227" s="377" t="s">
        <v>765</v>
      </c>
      <c r="F227" s="378" t="s">
        <v>167</v>
      </c>
      <c r="G227" s="377" t="s">
        <v>764</v>
      </c>
      <c r="H227" s="379"/>
      <c r="I227" s="379"/>
      <c r="J227" s="377" t="s">
        <v>517</v>
      </c>
      <c r="K227" s="377" t="s">
        <v>252</v>
      </c>
      <c r="L227" s="377" t="s">
        <v>179</v>
      </c>
      <c r="M227" s="377" t="s">
        <v>172</v>
      </c>
      <c r="N227" s="377" t="s">
        <v>173</v>
      </c>
      <c r="O227" s="380">
        <v>1</v>
      </c>
      <c r="P227" s="386">
        <v>0.17</v>
      </c>
      <c r="Q227" s="386">
        <v>0.17</v>
      </c>
      <c r="R227" s="381">
        <v>80</v>
      </c>
      <c r="S227" s="386">
        <v>0.17</v>
      </c>
      <c r="T227" s="381">
        <v>5565.02</v>
      </c>
      <c r="U227" s="381">
        <v>0</v>
      </c>
      <c r="V227" s="381">
        <v>2800.34</v>
      </c>
      <c r="W227" s="381">
        <v>6548.67</v>
      </c>
      <c r="X227" s="381">
        <v>3478.01</v>
      </c>
      <c r="Y227" s="381">
        <v>6548.67</v>
      </c>
      <c r="Z227" s="381">
        <v>3643.36</v>
      </c>
      <c r="AA227" s="377" t="s">
        <v>518</v>
      </c>
      <c r="AB227" s="377" t="s">
        <v>519</v>
      </c>
      <c r="AC227" s="377" t="s">
        <v>520</v>
      </c>
      <c r="AD227" s="377" t="s">
        <v>211</v>
      </c>
      <c r="AE227" s="377" t="s">
        <v>252</v>
      </c>
      <c r="AF227" s="377" t="s">
        <v>257</v>
      </c>
      <c r="AG227" s="377" t="s">
        <v>179</v>
      </c>
      <c r="AH227" s="382">
        <v>18.52</v>
      </c>
      <c r="AI227" s="382">
        <v>2463.6</v>
      </c>
      <c r="AJ227" s="377" t="s">
        <v>180</v>
      </c>
      <c r="AK227" s="377" t="s">
        <v>181</v>
      </c>
      <c r="AL227" s="377" t="s">
        <v>182</v>
      </c>
      <c r="AM227" s="377" t="s">
        <v>183</v>
      </c>
      <c r="AN227" s="377" t="s">
        <v>66</v>
      </c>
      <c r="AO227" s="380">
        <v>80</v>
      </c>
      <c r="AP227" s="386">
        <v>1</v>
      </c>
      <c r="AQ227" s="386">
        <v>0.17</v>
      </c>
      <c r="AR227" s="384" t="s">
        <v>184</v>
      </c>
      <c r="AS227" s="388">
        <f t="shared" si="159"/>
        <v>0.17</v>
      </c>
      <c r="AT227">
        <f t="shared" si="160"/>
        <v>1</v>
      </c>
      <c r="AU227" s="388">
        <f>IF(AT227=0,"",IF(AND(AT227=1,M227="F",SUMIF(C2:C258,C227,AS2:AS258)&lt;=1),SUMIF(C2:C258,C227,AS2:AS258),IF(AND(AT227=1,M227="F",SUMIF(C2:C258,C227,AS2:AS258)&gt;1),1,"")))</f>
        <v>1</v>
      </c>
      <c r="AV227" s="388" t="str">
        <f>IF(AT227=0,"",IF(AND(AT227=3,M227="F",SUMIF(C2:C258,C227,AS2:AS258)&lt;=1),SUMIF(C2:C258,C227,AS2:AS258),IF(AND(AT227=3,M227="F",SUMIF(C2:C258,C227,AS2:AS258)&gt;1),1,"")))</f>
        <v/>
      </c>
      <c r="AW227" s="388">
        <f>SUMIF(C2:C258,C227,O2:O258)</f>
        <v>6</v>
      </c>
      <c r="AX227" s="388">
        <f>IF(AND(M227="F",AS227&lt;&gt;0),SUMIF(C2:C258,C227,W2:W258),0)</f>
        <v>38521.58</v>
      </c>
      <c r="AY227" s="388">
        <f t="shared" si="161"/>
        <v>6548.67</v>
      </c>
      <c r="AZ227" s="388" t="str">
        <f t="shared" si="162"/>
        <v/>
      </c>
      <c r="BA227" s="388">
        <f t="shared" si="163"/>
        <v>0</v>
      </c>
      <c r="BB227" s="388">
        <f t="shared" si="132"/>
        <v>2125</v>
      </c>
      <c r="BC227" s="388">
        <f t="shared" si="133"/>
        <v>0</v>
      </c>
      <c r="BD227" s="388">
        <f t="shared" si="134"/>
        <v>406.01754</v>
      </c>
      <c r="BE227" s="388">
        <f t="shared" si="135"/>
        <v>94.955715000000012</v>
      </c>
      <c r="BF227" s="388">
        <f t="shared" si="136"/>
        <v>781.91119800000001</v>
      </c>
      <c r="BG227" s="388">
        <f t="shared" si="137"/>
        <v>47.215910700000002</v>
      </c>
      <c r="BH227" s="388">
        <f t="shared" si="138"/>
        <v>0</v>
      </c>
      <c r="BI227" s="388">
        <f t="shared" si="139"/>
        <v>0</v>
      </c>
      <c r="BJ227" s="388">
        <f t="shared" si="140"/>
        <v>22.920345000000001</v>
      </c>
      <c r="BK227" s="388">
        <f t="shared" si="141"/>
        <v>0</v>
      </c>
      <c r="BL227" s="388">
        <f t="shared" si="164"/>
        <v>1353.0207087000001</v>
      </c>
      <c r="BM227" s="388">
        <f t="shared" si="165"/>
        <v>0</v>
      </c>
      <c r="BN227" s="388">
        <f t="shared" si="142"/>
        <v>2337.5</v>
      </c>
      <c r="BO227" s="388">
        <f t="shared" si="143"/>
        <v>0</v>
      </c>
      <c r="BP227" s="388">
        <f t="shared" si="144"/>
        <v>406.01754</v>
      </c>
      <c r="BQ227" s="388">
        <f t="shared" si="145"/>
        <v>94.955715000000012</v>
      </c>
      <c r="BR227" s="388">
        <f t="shared" si="146"/>
        <v>732.14130599999999</v>
      </c>
      <c r="BS227" s="388">
        <f t="shared" si="147"/>
        <v>47.215910700000002</v>
      </c>
      <c r="BT227" s="388">
        <f t="shared" si="148"/>
        <v>0</v>
      </c>
      <c r="BU227" s="388">
        <f t="shared" si="149"/>
        <v>0</v>
      </c>
      <c r="BV227" s="388">
        <f t="shared" si="150"/>
        <v>25.539812999999999</v>
      </c>
      <c r="BW227" s="388">
        <f t="shared" si="151"/>
        <v>0</v>
      </c>
      <c r="BX227" s="388">
        <f t="shared" si="166"/>
        <v>1305.8702847</v>
      </c>
      <c r="BY227" s="388">
        <f t="shared" si="167"/>
        <v>0</v>
      </c>
      <c r="BZ227" s="388">
        <f t="shared" si="168"/>
        <v>212.5</v>
      </c>
      <c r="CA227" s="388">
        <f t="shared" si="169"/>
        <v>0</v>
      </c>
      <c r="CB227" s="388">
        <f t="shared" si="170"/>
        <v>0</v>
      </c>
      <c r="CC227" s="388">
        <f t="shared" si="152"/>
        <v>0</v>
      </c>
      <c r="CD227" s="388">
        <f t="shared" si="153"/>
        <v>-49.769892000000063</v>
      </c>
      <c r="CE227" s="388">
        <f t="shared" si="154"/>
        <v>0</v>
      </c>
      <c r="CF227" s="388">
        <f t="shared" si="155"/>
        <v>0</v>
      </c>
      <c r="CG227" s="388">
        <f t="shared" si="156"/>
        <v>0</v>
      </c>
      <c r="CH227" s="388">
        <f t="shared" si="157"/>
        <v>2.6194679999999986</v>
      </c>
      <c r="CI227" s="388">
        <f t="shared" si="158"/>
        <v>0</v>
      </c>
      <c r="CJ227" s="388">
        <f t="shared" si="171"/>
        <v>-47.150424000000065</v>
      </c>
      <c r="CK227" s="388" t="str">
        <f t="shared" si="172"/>
        <v/>
      </c>
      <c r="CL227" s="388" t="str">
        <f t="shared" si="173"/>
        <v/>
      </c>
      <c r="CM227" s="388" t="str">
        <f t="shared" si="174"/>
        <v/>
      </c>
      <c r="CN227" s="388" t="str">
        <f t="shared" si="175"/>
        <v>0319-00</v>
      </c>
    </row>
    <row r="228" spans="1:92" ht="15.75" thickBot="1" x14ac:dyDescent="0.3">
      <c r="A228" s="377" t="s">
        <v>162</v>
      </c>
      <c r="B228" s="377" t="s">
        <v>163</v>
      </c>
      <c r="C228" s="377" t="s">
        <v>766</v>
      </c>
      <c r="D228" s="377" t="s">
        <v>300</v>
      </c>
      <c r="E228" s="377" t="s">
        <v>765</v>
      </c>
      <c r="F228" s="378" t="s">
        <v>167</v>
      </c>
      <c r="G228" s="377" t="s">
        <v>764</v>
      </c>
      <c r="H228" s="379"/>
      <c r="I228" s="379"/>
      <c r="J228" s="377" t="s">
        <v>219</v>
      </c>
      <c r="K228" s="377" t="s">
        <v>301</v>
      </c>
      <c r="L228" s="377" t="s">
        <v>167</v>
      </c>
      <c r="M228" s="377" t="s">
        <v>172</v>
      </c>
      <c r="N228" s="377" t="s">
        <v>173</v>
      </c>
      <c r="O228" s="380">
        <v>1</v>
      </c>
      <c r="P228" s="386">
        <v>1</v>
      </c>
      <c r="Q228" s="386">
        <v>1</v>
      </c>
      <c r="R228" s="381">
        <v>80</v>
      </c>
      <c r="S228" s="386">
        <v>1</v>
      </c>
      <c r="T228" s="381">
        <v>65406.62</v>
      </c>
      <c r="U228" s="381">
        <v>0</v>
      </c>
      <c r="V228" s="381">
        <v>23888.3</v>
      </c>
      <c r="W228" s="381">
        <v>64459.199999999997</v>
      </c>
      <c r="X228" s="381">
        <v>25817.89</v>
      </c>
      <c r="Y228" s="381">
        <v>64459.199999999997</v>
      </c>
      <c r="Z228" s="381">
        <v>26603.79</v>
      </c>
      <c r="AA228" s="377" t="s">
        <v>767</v>
      </c>
      <c r="AB228" s="377" t="s">
        <v>280</v>
      </c>
      <c r="AC228" s="377" t="s">
        <v>235</v>
      </c>
      <c r="AD228" s="377" t="s">
        <v>181</v>
      </c>
      <c r="AE228" s="377" t="s">
        <v>301</v>
      </c>
      <c r="AF228" s="377" t="s">
        <v>207</v>
      </c>
      <c r="AG228" s="377" t="s">
        <v>179</v>
      </c>
      <c r="AH228" s="382">
        <v>30.99</v>
      </c>
      <c r="AI228" s="382">
        <v>13580.9</v>
      </c>
      <c r="AJ228" s="377" t="s">
        <v>180</v>
      </c>
      <c r="AK228" s="377" t="s">
        <v>181</v>
      </c>
      <c r="AL228" s="377" t="s">
        <v>182</v>
      </c>
      <c r="AM228" s="377" t="s">
        <v>183</v>
      </c>
      <c r="AN228" s="377" t="s">
        <v>66</v>
      </c>
      <c r="AO228" s="380">
        <v>80</v>
      </c>
      <c r="AP228" s="386">
        <v>1</v>
      </c>
      <c r="AQ228" s="386">
        <v>1</v>
      </c>
      <c r="AR228" s="384" t="s">
        <v>184</v>
      </c>
      <c r="AS228" s="388">
        <f t="shared" si="159"/>
        <v>1</v>
      </c>
      <c r="AT228">
        <f t="shared" si="160"/>
        <v>1</v>
      </c>
      <c r="AU228" s="388">
        <f>IF(AT228=0,"",IF(AND(AT228=1,M228="F",SUMIF(C2:C258,C228,AS2:AS258)&lt;=1),SUMIF(C2:C258,C228,AS2:AS258),IF(AND(AT228=1,M228="F",SUMIF(C2:C258,C228,AS2:AS258)&gt;1),1,"")))</f>
        <v>1</v>
      </c>
      <c r="AV228" s="388" t="str">
        <f>IF(AT228=0,"",IF(AND(AT228=3,M228="F",SUMIF(C2:C258,C228,AS2:AS258)&lt;=1),SUMIF(C2:C258,C228,AS2:AS258),IF(AND(AT228=3,M228="F",SUMIF(C2:C258,C228,AS2:AS258)&gt;1),1,"")))</f>
        <v/>
      </c>
      <c r="AW228" s="388">
        <f>SUMIF(C2:C258,C228,O2:O258)</f>
        <v>1</v>
      </c>
      <c r="AX228" s="388">
        <f>IF(AND(M228="F",AS228&lt;&gt;0),SUMIF(C2:C258,C228,W2:W258),0)</f>
        <v>64459.199999999997</v>
      </c>
      <c r="AY228" s="388">
        <f t="shared" si="161"/>
        <v>64459.199999999997</v>
      </c>
      <c r="AZ228" s="388" t="str">
        <f t="shared" si="162"/>
        <v/>
      </c>
      <c r="BA228" s="388">
        <f t="shared" si="163"/>
        <v>0</v>
      </c>
      <c r="BB228" s="388">
        <f t="shared" si="132"/>
        <v>12500</v>
      </c>
      <c r="BC228" s="388">
        <f t="shared" si="133"/>
        <v>0</v>
      </c>
      <c r="BD228" s="388">
        <f t="shared" si="134"/>
        <v>3996.4703999999997</v>
      </c>
      <c r="BE228" s="388">
        <f t="shared" si="135"/>
        <v>934.65840000000003</v>
      </c>
      <c r="BF228" s="388">
        <f t="shared" si="136"/>
        <v>7696.4284800000005</v>
      </c>
      <c r="BG228" s="388">
        <f t="shared" si="137"/>
        <v>464.750832</v>
      </c>
      <c r="BH228" s="388">
        <f t="shared" si="138"/>
        <v>0</v>
      </c>
      <c r="BI228" s="388">
        <f t="shared" si="139"/>
        <v>0</v>
      </c>
      <c r="BJ228" s="388">
        <f t="shared" si="140"/>
        <v>225.60720000000001</v>
      </c>
      <c r="BK228" s="388">
        <f t="shared" si="141"/>
        <v>0</v>
      </c>
      <c r="BL228" s="388">
        <f t="shared" si="164"/>
        <v>13317.915312000001</v>
      </c>
      <c r="BM228" s="388">
        <f t="shared" si="165"/>
        <v>0</v>
      </c>
      <c r="BN228" s="388">
        <f t="shared" si="142"/>
        <v>13750</v>
      </c>
      <c r="BO228" s="388">
        <f t="shared" si="143"/>
        <v>0</v>
      </c>
      <c r="BP228" s="388">
        <f t="shared" si="144"/>
        <v>3996.4703999999997</v>
      </c>
      <c r="BQ228" s="388">
        <f t="shared" si="145"/>
        <v>934.65840000000003</v>
      </c>
      <c r="BR228" s="388">
        <f t="shared" si="146"/>
        <v>7206.5385599999991</v>
      </c>
      <c r="BS228" s="388">
        <f t="shared" si="147"/>
        <v>464.750832</v>
      </c>
      <c r="BT228" s="388">
        <f t="shared" si="148"/>
        <v>0</v>
      </c>
      <c r="BU228" s="388">
        <f t="shared" si="149"/>
        <v>0</v>
      </c>
      <c r="BV228" s="388">
        <f t="shared" si="150"/>
        <v>251.39087999999998</v>
      </c>
      <c r="BW228" s="388">
        <f t="shared" si="151"/>
        <v>0</v>
      </c>
      <c r="BX228" s="388">
        <f t="shared" si="166"/>
        <v>12853.809072</v>
      </c>
      <c r="BY228" s="388">
        <f t="shared" si="167"/>
        <v>0</v>
      </c>
      <c r="BZ228" s="388">
        <f t="shared" si="168"/>
        <v>1250</v>
      </c>
      <c r="CA228" s="388">
        <f t="shared" si="169"/>
        <v>0</v>
      </c>
      <c r="CB228" s="388">
        <f t="shared" si="170"/>
        <v>0</v>
      </c>
      <c r="CC228" s="388">
        <f t="shared" si="152"/>
        <v>0</v>
      </c>
      <c r="CD228" s="388">
        <f t="shared" si="153"/>
        <v>-489.88992000000059</v>
      </c>
      <c r="CE228" s="388">
        <f t="shared" si="154"/>
        <v>0</v>
      </c>
      <c r="CF228" s="388">
        <f t="shared" si="155"/>
        <v>0</v>
      </c>
      <c r="CG228" s="388">
        <f t="shared" si="156"/>
        <v>0</v>
      </c>
      <c r="CH228" s="388">
        <f t="shared" si="157"/>
        <v>25.783679999999983</v>
      </c>
      <c r="CI228" s="388">
        <f t="shared" si="158"/>
        <v>0</v>
      </c>
      <c r="CJ228" s="388">
        <f t="shared" si="171"/>
        <v>-464.10624000000058</v>
      </c>
      <c r="CK228" s="388" t="str">
        <f t="shared" si="172"/>
        <v/>
      </c>
      <c r="CL228" s="388" t="str">
        <f t="shared" si="173"/>
        <v/>
      </c>
      <c r="CM228" s="388" t="str">
        <f t="shared" si="174"/>
        <v/>
      </c>
      <c r="CN228" s="388" t="str">
        <f t="shared" si="175"/>
        <v>0319-00</v>
      </c>
    </row>
    <row r="229" spans="1:92" ht="15.75" thickBot="1" x14ac:dyDescent="0.3">
      <c r="A229" s="377" t="s">
        <v>162</v>
      </c>
      <c r="B229" s="377" t="s">
        <v>163</v>
      </c>
      <c r="C229" s="377" t="s">
        <v>741</v>
      </c>
      <c r="D229" s="377" t="s">
        <v>300</v>
      </c>
      <c r="E229" s="377" t="s">
        <v>768</v>
      </c>
      <c r="F229" s="378" t="s">
        <v>167</v>
      </c>
      <c r="G229" s="377" t="s">
        <v>764</v>
      </c>
      <c r="H229" s="379"/>
      <c r="I229" s="379"/>
      <c r="J229" s="377" t="s">
        <v>219</v>
      </c>
      <c r="K229" s="377" t="s">
        <v>301</v>
      </c>
      <c r="L229" s="377" t="s">
        <v>167</v>
      </c>
      <c r="M229" s="377" t="s">
        <v>172</v>
      </c>
      <c r="N229" s="377" t="s">
        <v>173</v>
      </c>
      <c r="O229" s="380">
        <v>1</v>
      </c>
      <c r="P229" s="386">
        <v>1</v>
      </c>
      <c r="Q229" s="386">
        <v>1</v>
      </c>
      <c r="R229" s="381">
        <v>80</v>
      </c>
      <c r="S229" s="386">
        <v>1</v>
      </c>
      <c r="T229" s="381">
        <v>59192.97</v>
      </c>
      <c r="U229" s="381">
        <v>0</v>
      </c>
      <c r="V229" s="381">
        <v>23268.53</v>
      </c>
      <c r="W229" s="381">
        <v>62566.400000000001</v>
      </c>
      <c r="X229" s="381">
        <v>25426.82</v>
      </c>
      <c r="Y229" s="381">
        <v>62566.400000000001</v>
      </c>
      <c r="Z229" s="381">
        <v>26226.34</v>
      </c>
      <c r="AA229" s="377" t="s">
        <v>742</v>
      </c>
      <c r="AB229" s="377" t="s">
        <v>743</v>
      </c>
      <c r="AC229" s="377" t="s">
        <v>642</v>
      </c>
      <c r="AD229" s="377" t="s">
        <v>199</v>
      </c>
      <c r="AE229" s="377" t="s">
        <v>301</v>
      </c>
      <c r="AF229" s="377" t="s">
        <v>207</v>
      </c>
      <c r="AG229" s="377" t="s">
        <v>179</v>
      </c>
      <c r="AH229" s="382">
        <v>30.08</v>
      </c>
      <c r="AI229" s="382">
        <v>19520.8</v>
      </c>
      <c r="AJ229" s="377" t="s">
        <v>180</v>
      </c>
      <c r="AK229" s="377" t="s">
        <v>181</v>
      </c>
      <c r="AL229" s="377" t="s">
        <v>182</v>
      </c>
      <c r="AM229" s="377" t="s">
        <v>183</v>
      </c>
      <c r="AN229" s="377" t="s">
        <v>66</v>
      </c>
      <c r="AO229" s="380">
        <v>80</v>
      </c>
      <c r="AP229" s="386">
        <v>1</v>
      </c>
      <c r="AQ229" s="386">
        <v>1</v>
      </c>
      <c r="AR229" s="384" t="s">
        <v>184</v>
      </c>
      <c r="AS229" s="388">
        <f t="shared" si="159"/>
        <v>1</v>
      </c>
      <c r="AT229">
        <f t="shared" si="160"/>
        <v>1</v>
      </c>
      <c r="AU229" s="388">
        <f>IF(AT229=0,"",IF(AND(AT229=1,M229="F",SUMIF(C2:C258,C229,AS2:AS258)&lt;=1),SUMIF(C2:C258,C229,AS2:AS258),IF(AND(AT229=1,M229="F",SUMIF(C2:C258,C229,AS2:AS258)&gt;1),1,"")))</f>
        <v>1</v>
      </c>
      <c r="AV229" s="388" t="str">
        <f>IF(AT229=0,"",IF(AND(AT229=3,M229="F",SUMIF(C2:C258,C229,AS2:AS258)&lt;=1),SUMIF(C2:C258,C229,AS2:AS258),IF(AND(AT229=3,M229="F",SUMIF(C2:C258,C229,AS2:AS258)&gt;1),1,"")))</f>
        <v/>
      </c>
      <c r="AW229" s="388">
        <f>SUMIF(C2:C258,C229,O2:O258)</f>
        <v>2</v>
      </c>
      <c r="AX229" s="388">
        <f>IF(AND(M229="F",AS229&lt;&gt;0),SUMIF(C2:C258,C229,W2:W258),0)</f>
        <v>62566.400000000001</v>
      </c>
      <c r="AY229" s="388">
        <f t="shared" si="161"/>
        <v>62566.400000000001</v>
      </c>
      <c r="AZ229" s="388" t="str">
        <f t="shared" si="162"/>
        <v/>
      </c>
      <c r="BA229" s="388">
        <f t="shared" si="163"/>
        <v>0</v>
      </c>
      <c r="BB229" s="388">
        <f t="shared" si="132"/>
        <v>12500</v>
      </c>
      <c r="BC229" s="388">
        <f t="shared" si="133"/>
        <v>0</v>
      </c>
      <c r="BD229" s="388">
        <f t="shared" si="134"/>
        <v>3879.1168000000002</v>
      </c>
      <c r="BE229" s="388">
        <f t="shared" si="135"/>
        <v>907.21280000000002</v>
      </c>
      <c r="BF229" s="388">
        <f t="shared" si="136"/>
        <v>7470.4281600000004</v>
      </c>
      <c r="BG229" s="388">
        <f t="shared" si="137"/>
        <v>451.10374400000001</v>
      </c>
      <c r="BH229" s="388">
        <f t="shared" si="138"/>
        <v>0</v>
      </c>
      <c r="BI229" s="388">
        <f t="shared" si="139"/>
        <v>0</v>
      </c>
      <c r="BJ229" s="388">
        <f t="shared" si="140"/>
        <v>218.98240000000001</v>
      </c>
      <c r="BK229" s="388">
        <f t="shared" si="141"/>
        <v>0</v>
      </c>
      <c r="BL229" s="388">
        <f t="shared" si="164"/>
        <v>12926.843904000001</v>
      </c>
      <c r="BM229" s="388">
        <f t="shared" si="165"/>
        <v>0</v>
      </c>
      <c r="BN229" s="388">
        <f t="shared" si="142"/>
        <v>13750</v>
      </c>
      <c r="BO229" s="388">
        <f t="shared" si="143"/>
        <v>0</v>
      </c>
      <c r="BP229" s="388">
        <f t="shared" si="144"/>
        <v>3879.1168000000002</v>
      </c>
      <c r="BQ229" s="388">
        <f t="shared" si="145"/>
        <v>907.21280000000002</v>
      </c>
      <c r="BR229" s="388">
        <f t="shared" si="146"/>
        <v>6994.9235200000003</v>
      </c>
      <c r="BS229" s="388">
        <f t="shared" si="147"/>
        <v>451.10374400000001</v>
      </c>
      <c r="BT229" s="388">
        <f t="shared" si="148"/>
        <v>0</v>
      </c>
      <c r="BU229" s="388">
        <f t="shared" si="149"/>
        <v>0</v>
      </c>
      <c r="BV229" s="388">
        <f t="shared" si="150"/>
        <v>244.00896</v>
      </c>
      <c r="BW229" s="388">
        <f t="shared" si="151"/>
        <v>0</v>
      </c>
      <c r="BX229" s="388">
        <f t="shared" si="166"/>
        <v>12476.365824</v>
      </c>
      <c r="BY229" s="388">
        <f t="shared" si="167"/>
        <v>0</v>
      </c>
      <c r="BZ229" s="388">
        <f t="shared" si="168"/>
        <v>1250</v>
      </c>
      <c r="CA229" s="388">
        <f t="shared" si="169"/>
        <v>0</v>
      </c>
      <c r="CB229" s="388">
        <f t="shared" si="170"/>
        <v>0</v>
      </c>
      <c r="CC229" s="388">
        <f t="shared" si="152"/>
        <v>0</v>
      </c>
      <c r="CD229" s="388">
        <f t="shared" si="153"/>
        <v>-475.50464000000062</v>
      </c>
      <c r="CE229" s="388">
        <f t="shared" si="154"/>
        <v>0</v>
      </c>
      <c r="CF229" s="388">
        <f t="shared" si="155"/>
        <v>0</v>
      </c>
      <c r="CG229" s="388">
        <f t="shared" si="156"/>
        <v>0</v>
      </c>
      <c r="CH229" s="388">
        <f t="shared" si="157"/>
        <v>25.026559999999986</v>
      </c>
      <c r="CI229" s="388">
        <f t="shared" si="158"/>
        <v>0</v>
      </c>
      <c r="CJ229" s="388">
        <f t="shared" si="171"/>
        <v>-450.47808000000066</v>
      </c>
      <c r="CK229" s="388" t="str">
        <f t="shared" si="172"/>
        <v/>
      </c>
      <c r="CL229" s="388" t="str">
        <f t="shared" si="173"/>
        <v/>
      </c>
      <c r="CM229" s="388" t="str">
        <f t="shared" si="174"/>
        <v/>
      </c>
      <c r="CN229" s="388" t="str">
        <f t="shared" si="175"/>
        <v>0345-00</v>
      </c>
    </row>
    <row r="230" spans="1:92" ht="15.75" thickBot="1" x14ac:dyDescent="0.3">
      <c r="A230" s="377" t="s">
        <v>162</v>
      </c>
      <c r="B230" s="377" t="s">
        <v>163</v>
      </c>
      <c r="C230" s="377" t="s">
        <v>232</v>
      </c>
      <c r="D230" s="377" t="s">
        <v>194</v>
      </c>
      <c r="E230" s="377" t="s">
        <v>768</v>
      </c>
      <c r="F230" s="378" t="s">
        <v>167</v>
      </c>
      <c r="G230" s="377" t="s">
        <v>764</v>
      </c>
      <c r="H230" s="379"/>
      <c r="I230" s="379"/>
      <c r="J230" s="377" t="s">
        <v>169</v>
      </c>
      <c r="K230" s="377" t="s">
        <v>226</v>
      </c>
      <c r="L230" s="377" t="s">
        <v>215</v>
      </c>
      <c r="M230" s="377" t="s">
        <v>172</v>
      </c>
      <c r="N230" s="377" t="s">
        <v>173</v>
      </c>
      <c r="O230" s="380">
        <v>1</v>
      </c>
      <c r="P230" s="386">
        <v>0</v>
      </c>
      <c r="Q230" s="386">
        <v>0</v>
      </c>
      <c r="R230" s="381">
        <v>80</v>
      </c>
      <c r="S230" s="386">
        <v>0</v>
      </c>
      <c r="T230" s="381">
        <v>46.06</v>
      </c>
      <c r="U230" s="381">
        <v>0</v>
      </c>
      <c r="V230" s="381">
        <v>22.13</v>
      </c>
      <c r="W230" s="381">
        <v>0</v>
      </c>
      <c r="X230" s="381">
        <v>0</v>
      </c>
      <c r="Y230" s="381">
        <v>0</v>
      </c>
      <c r="Z230" s="381">
        <v>0</v>
      </c>
      <c r="AA230" s="377" t="s">
        <v>233</v>
      </c>
      <c r="AB230" s="377" t="s">
        <v>234</v>
      </c>
      <c r="AC230" s="377" t="s">
        <v>235</v>
      </c>
      <c r="AD230" s="377" t="s">
        <v>236</v>
      </c>
      <c r="AE230" s="377" t="s">
        <v>226</v>
      </c>
      <c r="AF230" s="377" t="s">
        <v>231</v>
      </c>
      <c r="AG230" s="377" t="s">
        <v>179</v>
      </c>
      <c r="AH230" s="382">
        <v>26.12</v>
      </c>
      <c r="AI230" s="382">
        <v>14441.4</v>
      </c>
      <c r="AJ230" s="377" t="s">
        <v>180</v>
      </c>
      <c r="AK230" s="377" t="s">
        <v>181</v>
      </c>
      <c r="AL230" s="377" t="s">
        <v>182</v>
      </c>
      <c r="AM230" s="377" t="s">
        <v>183</v>
      </c>
      <c r="AN230" s="377" t="s">
        <v>66</v>
      </c>
      <c r="AO230" s="380">
        <v>80</v>
      </c>
      <c r="AP230" s="386">
        <v>1</v>
      </c>
      <c r="AQ230" s="386">
        <v>0</v>
      </c>
      <c r="AR230" s="384" t="s">
        <v>184</v>
      </c>
      <c r="AS230" s="388">
        <f t="shared" si="159"/>
        <v>0</v>
      </c>
      <c r="AT230">
        <f t="shared" si="160"/>
        <v>0</v>
      </c>
      <c r="AU230" s="388" t="str">
        <f>IF(AT230=0,"",IF(AND(AT230=1,M230="F",SUMIF(C2:C258,C230,AS2:AS258)&lt;=1),SUMIF(C2:C258,C230,AS2:AS258),IF(AND(AT230=1,M230="F",SUMIF(C2:C258,C230,AS2:AS258)&gt;1),1,"")))</f>
        <v/>
      </c>
      <c r="AV230" s="388" t="str">
        <f>IF(AT230=0,"",IF(AND(AT230=3,M230="F",SUMIF(C2:C258,C230,AS2:AS258)&lt;=1),SUMIF(C2:C258,C230,AS2:AS258),IF(AND(AT230=3,M230="F",SUMIF(C2:C258,C230,AS2:AS258)&gt;1),1,"")))</f>
        <v/>
      </c>
      <c r="AW230" s="388">
        <f>SUMIF(C2:C258,C230,O2:O258)</f>
        <v>3</v>
      </c>
      <c r="AX230" s="388">
        <f>IF(AND(M230="F",AS230&lt;&gt;0),SUMIF(C2:C258,C230,W2:W258),0)</f>
        <v>0</v>
      </c>
      <c r="AY230" s="388" t="str">
        <f t="shared" si="161"/>
        <v/>
      </c>
      <c r="AZ230" s="388" t="str">
        <f t="shared" si="162"/>
        <v/>
      </c>
      <c r="BA230" s="388">
        <f t="shared" si="163"/>
        <v>0</v>
      </c>
      <c r="BB230" s="388">
        <f t="shared" si="132"/>
        <v>0</v>
      </c>
      <c r="BC230" s="388">
        <f t="shared" si="133"/>
        <v>0</v>
      </c>
      <c r="BD230" s="388">
        <f t="shared" si="134"/>
        <v>0</v>
      </c>
      <c r="BE230" s="388">
        <f t="shared" si="135"/>
        <v>0</v>
      </c>
      <c r="BF230" s="388">
        <f t="shared" si="136"/>
        <v>0</v>
      </c>
      <c r="BG230" s="388">
        <f t="shared" si="137"/>
        <v>0</v>
      </c>
      <c r="BH230" s="388">
        <f t="shared" si="138"/>
        <v>0</v>
      </c>
      <c r="BI230" s="388">
        <f t="shared" si="139"/>
        <v>0</v>
      </c>
      <c r="BJ230" s="388">
        <f t="shared" si="140"/>
        <v>0</v>
      </c>
      <c r="BK230" s="388">
        <f t="shared" si="141"/>
        <v>0</v>
      </c>
      <c r="BL230" s="388">
        <f t="shared" si="164"/>
        <v>0</v>
      </c>
      <c r="BM230" s="388">
        <f t="shared" si="165"/>
        <v>0</v>
      </c>
      <c r="BN230" s="388">
        <f t="shared" si="142"/>
        <v>0</v>
      </c>
      <c r="BO230" s="388">
        <f t="shared" si="143"/>
        <v>0</v>
      </c>
      <c r="BP230" s="388">
        <f t="shared" si="144"/>
        <v>0</v>
      </c>
      <c r="BQ230" s="388">
        <f t="shared" si="145"/>
        <v>0</v>
      </c>
      <c r="BR230" s="388">
        <f t="shared" si="146"/>
        <v>0</v>
      </c>
      <c r="BS230" s="388">
        <f t="shared" si="147"/>
        <v>0</v>
      </c>
      <c r="BT230" s="388">
        <f t="shared" si="148"/>
        <v>0</v>
      </c>
      <c r="BU230" s="388">
        <f t="shared" si="149"/>
        <v>0</v>
      </c>
      <c r="BV230" s="388">
        <f t="shared" si="150"/>
        <v>0</v>
      </c>
      <c r="BW230" s="388">
        <f t="shared" si="151"/>
        <v>0</v>
      </c>
      <c r="BX230" s="388">
        <f t="shared" si="166"/>
        <v>0</v>
      </c>
      <c r="BY230" s="388">
        <f t="shared" si="167"/>
        <v>0</v>
      </c>
      <c r="BZ230" s="388">
        <f t="shared" si="168"/>
        <v>0</v>
      </c>
      <c r="CA230" s="388">
        <f t="shared" si="169"/>
        <v>0</v>
      </c>
      <c r="CB230" s="388">
        <f t="shared" si="170"/>
        <v>0</v>
      </c>
      <c r="CC230" s="388">
        <f t="shared" si="152"/>
        <v>0</v>
      </c>
      <c r="CD230" s="388">
        <f t="shared" si="153"/>
        <v>0</v>
      </c>
      <c r="CE230" s="388">
        <f t="shared" si="154"/>
        <v>0</v>
      </c>
      <c r="CF230" s="388">
        <f t="shared" si="155"/>
        <v>0</v>
      </c>
      <c r="CG230" s="388">
        <f t="shared" si="156"/>
        <v>0</v>
      </c>
      <c r="CH230" s="388">
        <f t="shared" si="157"/>
        <v>0</v>
      </c>
      <c r="CI230" s="388">
        <f t="shared" si="158"/>
        <v>0</v>
      </c>
      <c r="CJ230" s="388">
        <f t="shared" si="171"/>
        <v>0</v>
      </c>
      <c r="CK230" s="388" t="str">
        <f t="shared" si="172"/>
        <v/>
      </c>
      <c r="CL230" s="388" t="str">
        <f t="shared" si="173"/>
        <v/>
      </c>
      <c r="CM230" s="388" t="str">
        <f t="shared" si="174"/>
        <v/>
      </c>
      <c r="CN230" s="388" t="str">
        <f t="shared" si="175"/>
        <v>0345-00</v>
      </c>
    </row>
    <row r="231" spans="1:92" ht="15.75" thickBot="1" x14ac:dyDescent="0.3">
      <c r="A231" s="377" t="s">
        <v>162</v>
      </c>
      <c r="B231" s="377" t="s">
        <v>163</v>
      </c>
      <c r="C231" s="377" t="s">
        <v>492</v>
      </c>
      <c r="D231" s="377" t="s">
        <v>276</v>
      </c>
      <c r="E231" s="377" t="s">
        <v>768</v>
      </c>
      <c r="F231" s="378" t="s">
        <v>167</v>
      </c>
      <c r="G231" s="377" t="s">
        <v>764</v>
      </c>
      <c r="H231" s="379"/>
      <c r="I231" s="379"/>
      <c r="J231" s="377" t="s">
        <v>169</v>
      </c>
      <c r="K231" s="377" t="s">
        <v>277</v>
      </c>
      <c r="L231" s="377" t="s">
        <v>215</v>
      </c>
      <c r="M231" s="377" t="s">
        <v>172</v>
      </c>
      <c r="N231" s="377" t="s">
        <v>173</v>
      </c>
      <c r="O231" s="380">
        <v>1</v>
      </c>
      <c r="P231" s="386">
        <v>0</v>
      </c>
      <c r="Q231" s="386">
        <v>0</v>
      </c>
      <c r="R231" s="381">
        <v>80</v>
      </c>
      <c r="S231" s="386">
        <v>0</v>
      </c>
      <c r="T231" s="381">
        <v>136.57</v>
      </c>
      <c r="U231" s="381">
        <v>0</v>
      </c>
      <c r="V231" s="381">
        <v>67.81</v>
      </c>
      <c r="W231" s="381">
        <v>0</v>
      </c>
      <c r="X231" s="381">
        <v>0</v>
      </c>
      <c r="Y231" s="381">
        <v>0</v>
      </c>
      <c r="Z231" s="381">
        <v>0</v>
      </c>
      <c r="AA231" s="377" t="s">
        <v>493</v>
      </c>
      <c r="AB231" s="377" t="s">
        <v>494</v>
      </c>
      <c r="AC231" s="377" t="s">
        <v>495</v>
      </c>
      <c r="AD231" s="377" t="s">
        <v>171</v>
      </c>
      <c r="AE231" s="377" t="s">
        <v>277</v>
      </c>
      <c r="AF231" s="377" t="s">
        <v>231</v>
      </c>
      <c r="AG231" s="377" t="s">
        <v>179</v>
      </c>
      <c r="AH231" s="382">
        <v>22.48</v>
      </c>
      <c r="AI231" s="382">
        <v>1745.2</v>
      </c>
      <c r="AJ231" s="377" t="s">
        <v>180</v>
      </c>
      <c r="AK231" s="377" t="s">
        <v>181</v>
      </c>
      <c r="AL231" s="377" t="s">
        <v>182</v>
      </c>
      <c r="AM231" s="377" t="s">
        <v>183</v>
      </c>
      <c r="AN231" s="377" t="s">
        <v>66</v>
      </c>
      <c r="AO231" s="380">
        <v>80</v>
      </c>
      <c r="AP231" s="386">
        <v>1</v>
      </c>
      <c r="AQ231" s="386">
        <v>0</v>
      </c>
      <c r="AR231" s="384" t="s">
        <v>184</v>
      </c>
      <c r="AS231" s="388">
        <f t="shared" si="159"/>
        <v>0</v>
      </c>
      <c r="AT231">
        <f t="shared" si="160"/>
        <v>0</v>
      </c>
      <c r="AU231" s="388" t="str">
        <f>IF(AT231=0,"",IF(AND(AT231=1,M231="F",SUMIF(C2:C258,C231,AS2:AS258)&lt;=1),SUMIF(C2:C258,C231,AS2:AS258),IF(AND(AT231=1,M231="F",SUMIF(C2:C258,C231,AS2:AS258)&gt;1),1,"")))</f>
        <v/>
      </c>
      <c r="AV231" s="388" t="str">
        <f>IF(AT231=0,"",IF(AND(AT231=3,M231="F",SUMIF(C2:C258,C231,AS2:AS258)&lt;=1),SUMIF(C2:C258,C231,AS2:AS258),IF(AND(AT231=3,M231="F",SUMIF(C2:C258,C231,AS2:AS258)&gt;1),1,"")))</f>
        <v/>
      </c>
      <c r="AW231" s="388">
        <f>SUMIF(C2:C258,C231,O2:O258)</f>
        <v>3</v>
      </c>
      <c r="AX231" s="388">
        <f>IF(AND(M231="F",AS231&lt;&gt;0),SUMIF(C2:C258,C231,W2:W258),0)</f>
        <v>0</v>
      </c>
      <c r="AY231" s="388" t="str">
        <f t="shared" si="161"/>
        <v/>
      </c>
      <c r="AZ231" s="388" t="str">
        <f t="shared" si="162"/>
        <v/>
      </c>
      <c r="BA231" s="388">
        <f t="shared" si="163"/>
        <v>0</v>
      </c>
      <c r="BB231" s="388">
        <f t="shared" si="132"/>
        <v>0</v>
      </c>
      <c r="BC231" s="388">
        <f t="shared" si="133"/>
        <v>0</v>
      </c>
      <c r="BD231" s="388">
        <f t="shared" si="134"/>
        <v>0</v>
      </c>
      <c r="BE231" s="388">
        <f t="shared" si="135"/>
        <v>0</v>
      </c>
      <c r="BF231" s="388">
        <f t="shared" si="136"/>
        <v>0</v>
      </c>
      <c r="BG231" s="388">
        <f t="shared" si="137"/>
        <v>0</v>
      </c>
      <c r="BH231" s="388">
        <f t="shared" si="138"/>
        <v>0</v>
      </c>
      <c r="BI231" s="388">
        <f t="shared" si="139"/>
        <v>0</v>
      </c>
      <c r="BJ231" s="388">
        <f t="shared" si="140"/>
        <v>0</v>
      </c>
      <c r="BK231" s="388">
        <f t="shared" si="141"/>
        <v>0</v>
      </c>
      <c r="BL231" s="388">
        <f t="shared" si="164"/>
        <v>0</v>
      </c>
      <c r="BM231" s="388">
        <f t="shared" si="165"/>
        <v>0</v>
      </c>
      <c r="BN231" s="388">
        <f t="shared" si="142"/>
        <v>0</v>
      </c>
      <c r="BO231" s="388">
        <f t="shared" si="143"/>
        <v>0</v>
      </c>
      <c r="BP231" s="388">
        <f t="shared" si="144"/>
        <v>0</v>
      </c>
      <c r="BQ231" s="388">
        <f t="shared" si="145"/>
        <v>0</v>
      </c>
      <c r="BR231" s="388">
        <f t="shared" si="146"/>
        <v>0</v>
      </c>
      <c r="BS231" s="388">
        <f t="shared" si="147"/>
        <v>0</v>
      </c>
      <c r="BT231" s="388">
        <f t="shared" si="148"/>
        <v>0</v>
      </c>
      <c r="BU231" s="388">
        <f t="shared" si="149"/>
        <v>0</v>
      </c>
      <c r="BV231" s="388">
        <f t="shared" si="150"/>
        <v>0</v>
      </c>
      <c r="BW231" s="388">
        <f t="shared" si="151"/>
        <v>0</v>
      </c>
      <c r="BX231" s="388">
        <f t="shared" si="166"/>
        <v>0</v>
      </c>
      <c r="BY231" s="388">
        <f t="shared" si="167"/>
        <v>0</v>
      </c>
      <c r="BZ231" s="388">
        <f t="shared" si="168"/>
        <v>0</v>
      </c>
      <c r="CA231" s="388">
        <f t="shared" si="169"/>
        <v>0</v>
      </c>
      <c r="CB231" s="388">
        <f t="shared" si="170"/>
        <v>0</v>
      </c>
      <c r="CC231" s="388">
        <f t="shared" si="152"/>
        <v>0</v>
      </c>
      <c r="CD231" s="388">
        <f t="shared" si="153"/>
        <v>0</v>
      </c>
      <c r="CE231" s="388">
        <f t="shared" si="154"/>
        <v>0</v>
      </c>
      <c r="CF231" s="388">
        <f t="shared" si="155"/>
        <v>0</v>
      </c>
      <c r="CG231" s="388">
        <f t="shared" si="156"/>
        <v>0</v>
      </c>
      <c r="CH231" s="388">
        <f t="shared" si="157"/>
        <v>0</v>
      </c>
      <c r="CI231" s="388">
        <f t="shared" si="158"/>
        <v>0</v>
      </c>
      <c r="CJ231" s="388">
        <f t="shared" si="171"/>
        <v>0</v>
      </c>
      <c r="CK231" s="388" t="str">
        <f t="shared" si="172"/>
        <v/>
      </c>
      <c r="CL231" s="388" t="str">
        <f t="shared" si="173"/>
        <v/>
      </c>
      <c r="CM231" s="388" t="str">
        <f t="shared" si="174"/>
        <v/>
      </c>
      <c r="CN231" s="388" t="str">
        <f t="shared" si="175"/>
        <v>0345-00</v>
      </c>
    </row>
    <row r="232" spans="1:92" ht="15.75" thickBot="1" x14ac:dyDescent="0.3">
      <c r="A232" s="377" t="s">
        <v>162</v>
      </c>
      <c r="B232" s="377" t="s">
        <v>163</v>
      </c>
      <c r="C232" s="377" t="s">
        <v>612</v>
      </c>
      <c r="D232" s="377" t="s">
        <v>194</v>
      </c>
      <c r="E232" s="377" t="s">
        <v>768</v>
      </c>
      <c r="F232" s="378" t="s">
        <v>167</v>
      </c>
      <c r="G232" s="377" t="s">
        <v>764</v>
      </c>
      <c r="H232" s="379"/>
      <c r="I232" s="379"/>
      <c r="J232" s="377" t="s">
        <v>613</v>
      </c>
      <c r="K232" s="377" t="s">
        <v>195</v>
      </c>
      <c r="L232" s="377" t="s">
        <v>171</v>
      </c>
      <c r="M232" s="377" t="s">
        <v>172</v>
      </c>
      <c r="N232" s="377" t="s">
        <v>173</v>
      </c>
      <c r="O232" s="380">
        <v>1</v>
      </c>
      <c r="P232" s="386">
        <v>0</v>
      </c>
      <c r="Q232" s="386">
        <v>0</v>
      </c>
      <c r="R232" s="381">
        <v>80</v>
      </c>
      <c r="S232" s="386">
        <v>0</v>
      </c>
      <c r="T232" s="381">
        <v>314.18</v>
      </c>
      <c r="U232" s="381">
        <v>0</v>
      </c>
      <c r="V232" s="381">
        <v>135.63</v>
      </c>
      <c r="W232" s="381">
        <v>0</v>
      </c>
      <c r="X232" s="381">
        <v>0</v>
      </c>
      <c r="Y232" s="381">
        <v>0</v>
      </c>
      <c r="Z232" s="381">
        <v>0</v>
      </c>
      <c r="AA232" s="377" t="s">
        <v>614</v>
      </c>
      <c r="AB232" s="377" t="s">
        <v>615</v>
      </c>
      <c r="AC232" s="377" t="s">
        <v>416</v>
      </c>
      <c r="AD232" s="377" t="s">
        <v>560</v>
      </c>
      <c r="AE232" s="377" t="s">
        <v>195</v>
      </c>
      <c r="AF232" s="377" t="s">
        <v>178</v>
      </c>
      <c r="AG232" s="377" t="s">
        <v>179</v>
      </c>
      <c r="AH232" s="382">
        <v>30.99</v>
      </c>
      <c r="AI232" s="382">
        <v>49155.5</v>
      </c>
      <c r="AJ232" s="377" t="s">
        <v>180</v>
      </c>
      <c r="AK232" s="377" t="s">
        <v>181</v>
      </c>
      <c r="AL232" s="377" t="s">
        <v>182</v>
      </c>
      <c r="AM232" s="377" t="s">
        <v>183</v>
      </c>
      <c r="AN232" s="377" t="s">
        <v>66</v>
      </c>
      <c r="AO232" s="380">
        <v>80</v>
      </c>
      <c r="AP232" s="386">
        <v>1</v>
      </c>
      <c r="AQ232" s="386">
        <v>0</v>
      </c>
      <c r="AR232" s="384" t="s">
        <v>184</v>
      </c>
      <c r="AS232" s="388">
        <f t="shared" si="159"/>
        <v>0</v>
      </c>
      <c r="AT232">
        <f t="shared" si="160"/>
        <v>0</v>
      </c>
      <c r="AU232" s="388" t="str">
        <f>IF(AT232=0,"",IF(AND(AT232=1,M232="F",SUMIF(C2:C258,C232,AS2:AS258)&lt;=1),SUMIF(C2:C258,C232,AS2:AS258),IF(AND(AT232=1,M232="F",SUMIF(C2:C258,C232,AS2:AS258)&gt;1),1,"")))</f>
        <v/>
      </c>
      <c r="AV232" s="388" t="str">
        <f>IF(AT232=0,"",IF(AND(AT232=3,M232="F",SUMIF(C2:C258,C232,AS2:AS258)&lt;=1),SUMIF(C2:C258,C232,AS2:AS258),IF(AND(AT232=3,M232="F",SUMIF(C2:C258,C232,AS2:AS258)&gt;1),1,"")))</f>
        <v/>
      </c>
      <c r="AW232" s="388">
        <f>SUMIF(C2:C258,C232,O2:O258)</f>
        <v>4</v>
      </c>
      <c r="AX232" s="388">
        <f>IF(AND(M232="F",AS232&lt;&gt;0),SUMIF(C2:C258,C232,W2:W258),0)</f>
        <v>0</v>
      </c>
      <c r="AY232" s="388" t="str">
        <f t="shared" si="161"/>
        <v/>
      </c>
      <c r="AZ232" s="388" t="str">
        <f t="shared" si="162"/>
        <v/>
      </c>
      <c r="BA232" s="388">
        <f t="shared" si="163"/>
        <v>0</v>
      </c>
      <c r="BB232" s="388">
        <f t="shared" si="132"/>
        <v>0</v>
      </c>
      <c r="BC232" s="388">
        <f t="shared" si="133"/>
        <v>0</v>
      </c>
      <c r="BD232" s="388">
        <f t="shared" si="134"/>
        <v>0</v>
      </c>
      <c r="BE232" s="388">
        <f t="shared" si="135"/>
        <v>0</v>
      </c>
      <c r="BF232" s="388">
        <f t="shared" si="136"/>
        <v>0</v>
      </c>
      <c r="BG232" s="388">
        <f t="shared" si="137"/>
        <v>0</v>
      </c>
      <c r="BH232" s="388">
        <f t="shared" si="138"/>
        <v>0</v>
      </c>
      <c r="BI232" s="388">
        <f t="shared" si="139"/>
        <v>0</v>
      </c>
      <c r="BJ232" s="388">
        <f t="shared" si="140"/>
        <v>0</v>
      </c>
      <c r="BK232" s="388">
        <f t="shared" si="141"/>
        <v>0</v>
      </c>
      <c r="BL232" s="388">
        <f t="shared" si="164"/>
        <v>0</v>
      </c>
      <c r="BM232" s="388">
        <f t="shared" si="165"/>
        <v>0</v>
      </c>
      <c r="BN232" s="388">
        <f t="shared" si="142"/>
        <v>0</v>
      </c>
      <c r="BO232" s="388">
        <f t="shared" si="143"/>
        <v>0</v>
      </c>
      <c r="BP232" s="388">
        <f t="shared" si="144"/>
        <v>0</v>
      </c>
      <c r="BQ232" s="388">
        <f t="shared" si="145"/>
        <v>0</v>
      </c>
      <c r="BR232" s="388">
        <f t="shared" si="146"/>
        <v>0</v>
      </c>
      <c r="BS232" s="388">
        <f t="shared" si="147"/>
        <v>0</v>
      </c>
      <c r="BT232" s="388">
        <f t="shared" si="148"/>
        <v>0</v>
      </c>
      <c r="BU232" s="388">
        <f t="shared" si="149"/>
        <v>0</v>
      </c>
      <c r="BV232" s="388">
        <f t="shared" si="150"/>
        <v>0</v>
      </c>
      <c r="BW232" s="388">
        <f t="shared" si="151"/>
        <v>0</v>
      </c>
      <c r="BX232" s="388">
        <f t="shared" si="166"/>
        <v>0</v>
      </c>
      <c r="BY232" s="388">
        <f t="shared" si="167"/>
        <v>0</v>
      </c>
      <c r="BZ232" s="388">
        <f t="shared" si="168"/>
        <v>0</v>
      </c>
      <c r="CA232" s="388">
        <f t="shared" si="169"/>
        <v>0</v>
      </c>
      <c r="CB232" s="388">
        <f t="shared" si="170"/>
        <v>0</v>
      </c>
      <c r="CC232" s="388">
        <f t="shared" si="152"/>
        <v>0</v>
      </c>
      <c r="CD232" s="388">
        <f t="shared" si="153"/>
        <v>0</v>
      </c>
      <c r="CE232" s="388">
        <f t="shared" si="154"/>
        <v>0</v>
      </c>
      <c r="CF232" s="388">
        <f t="shared" si="155"/>
        <v>0</v>
      </c>
      <c r="CG232" s="388">
        <f t="shared" si="156"/>
        <v>0</v>
      </c>
      <c r="CH232" s="388">
        <f t="shared" si="157"/>
        <v>0</v>
      </c>
      <c r="CI232" s="388">
        <f t="shared" si="158"/>
        <v>0</v>
      </c>
      <c r="CJ232" s="388">
        <f t="shared" si="171"/>
        <v>0</v>
      </c>
      <c r="CK232" s="388" t="str">
        <f t="shared" si="172"/>
        <v/>
      </c>
      <c r="CL232" s="388" t="str">
        <f t="shared" si="173"/>
        <v/>
      </c>
      <c r="CM232" s="388" t="str">
        <f t="shared" si="174"/>
        <v/>
      </c>
      <c r="CN232" s="388" t="str">
        <f t="shared" si="175"/>
        <v>0345-00</v>
      </c>
    </row>
    <row r="233" spans="1:92" ht="15.75" thickBot="1" x14ac:dyDescent="0.3">
      <c r="A233" s="377" t="s">
        <v>162</v>
      </c>
      <c r="B233" s="377" t="s">
        <v>163</v>
      </c>
      <c r="C233" s="377" t="s">
        <v>616</v>
      </c>
      <c r="D233" s="377" t="s">
        <v>194</v>
      </c>
      <c r="E233" s="377" t="s">
        <v>768</v>
      </c>
      <c r="F233" s="378" t="s">
        <v>167</v>
      </c>
      <c r="G233" s="377" t="s">
        <v>764</v>
      </c>
      <c r="H233" s="379"/>
      <c r="I233" s="379"/>
      <c r="J233" s="377" t="s">
        <v>169</v>
      </c>
      <c r="K233" s="377" t="s">
        <v>226</v>
      </c>
      <c r="L233" s="377" t="s">
        <v>215</v>
      </c>
      <c r="M233" s="377" t="s">
        <v>172</v>
      </c>
      <c r="N233" s="377" t="s">
        <v>173</v>
      </c>
      <c r="O233" s="380">
        <v>1</v>
      </c>
      <c r="P233" s="386">
        <v>0</v>
      </c>
      <c r="Q233" s="386">
        <v>0</v>
      </c>
      <c r="R233" s="381">
        <v>80</v>
      </c>
      <c r="S233" s="386">
        <v>0</v>
      </c>
      <c r="T233" s="381">
        <v>4922.79</v>
      </c>
      <c r="U233" s="381">
        <v>0</v>
      </c>
      <c r="V233" s="381">
        <v>2252.63</v>
      </c>
      <c r="W233" s="381">
        <v>0</v>
      </c>
      <c r="X233" s="381">
        <v>0</v>
      </c>
      <c r="Y233" s="381">
        <v>0</v>
      </c>
      <c r="Z233" s="381">
        <v>0</v>
      </c>
      <c r="AA233" s="377" t="s">
        <v>617</v>
      </c>
      <c r="AB233" s="377" t="s">
        <v>618</v>
      </c>
      <c r="AC233" s="377" t="s">
        <v>619</v>
      </c>
      <c r="AD233" s="377" t="s">
        <v>620</v>
      </c>
      <c r="AE233" s="377" t="s">
        <v>226</v>
      </c>
      <c r="AF233" s="377" t="s">
        <v>231</v>
      </c>
      <c r="AG233" s="377" t="s">
        <v>179</v>
      </c>
      <c r="AH233" s="382">
        <v>26.73</v>
      </c>
      <c r="AI233" s="382">
        <v>12207.9</v>
      </c>
      <c r="AJ233" s="377" t="s">
        <v>180</v>
      </c>
      <c r="AK233" s="377" t="s">
        <v>181</v>
      </c>
      <c r="AL233" s="377" t="s">
        <v>182</v>
      </c>
      <c r="AM233" s="377" t="s">
        <v>183</v>
      </c>
      <c r="AN233" s="377" t="s">
        <v>66</v>
      </c>
      <c r="AO233" s="380">
        <v>80</v>
      </c>
      <c r="AP233" s="386">
        <v>1</v>
      </c>
      <c r="AQ233" s="386">
        <v>0</v>
      </c>
      <c r="AR233" s="384" t="s">
        <v>184</v>
      </c>
      <c r="AS233" s="388">
        <f t="shared" si="159"/>
        <v>0</v>
      </c>
      <c r="AT233">
        <f t="shared" si="160"/>
        <v>0</v>
      </c>
      <c r="AU233" s="388" t="str">
        <f>IF(AT233=0,"",IF(AND(AT233=1,M233="F",SUMIF(C2:C258,C233,AS2:AS258)&lt;=1),SUMIF(C2:C258,C233,AS2:AS258),IF(AND(AT233=1,M233="F",SUMIF(C2:C258,C233,AS2:AS258)&gt;1),1,"")))</f>
        <v/>
      </c>
      <c r="AV233" s="388" t="str">
        <f>IF(AT233=0,"",IF(AND(AT233=3,M233="F",SUMIF(C2:C258,C233,AS2:AS258)&lt;=1),SUMIF(C2:C258,C233,AS2:AS258),IF(AND(AT233=3,M233="F",SUMIF(C2:C258,C233,AS2:AS258)&gt;1),1,"")))</f>
        <v/>
      </c>
      <c r="AW233" s="388">
        <f>SUMIF(C2:C258,C233,O2:O258)</f>
        <v>3</v>
      </c>
      <c r="AX233" s="388">
        <f>IF(AND(M233="F",AS233&lt;&gt;0),SUMIF(C2:C258,C233,W2:W258),0)</f>
        <v>0</v>
      </c>
      <c r="AY233" s="388" t="str">
        <f t="shared" si="161"/>
        <v/>
      </c>
      <c r="AZ233" s="388" t="str">
        <f t="shared" si="162"/>
        <v/>
      </c>
      <c r="BA233" s="388">
        <f t="shared" si="163"/>
        <v>0</v>
      </c>
      <c r="BB233" s="388">
        <f t="shared" si="132"/>
        <v>0</v>
      </c>
      <c r="BC233" s="388">
        <f t="shared" si="133"/>
        <v>0</v>
      </c>
      <c r="BD233" s="388">
        <f t="shared" si="134"/>
        <v>0</v>
      </c>
      <c r="BE233" s="388">
        <f t="shared" si="135"/>
        <v>0</v>
      </c>
      <c r="BF233" s="388">
        <f t="shared" si="136"/>
        <v>0</v>
      </c>
      <c r="BG233" s="388">
        <f t="shared" si="137"/>
        <v>0</v>
      </c>
      <c r="BH233" s="388">
        <f t="shared" si="138"/>
        <v>0</v>
      </c>
      <c r="BI233" s="388">
        <f t="shared" si="139"/>
        <v>0</v>
      </c>
      <c r="BJ233" s="388">
        <f t="shared" si="140"/>
        <v>0</v>
      </c>
      <c r="BK233" s="388">
        <f t="shared" si="141"/>
        <v>0</v>
      </c>
      <c r="BL233" s="388">
        <f t="shared" si="164"/>
        <v>0</v>
      </c>
      <c r="BM233" s="388">
        <f t="shared" si="165"/>
        <v>0</v>
      </c>
      <c r="BN233" s="388">
        <f t="shared" si="142"/>
        <v>0</v>
      </c>
      <c r="BO233" s="388">
        <f t="shared" si="143"/>
        <v>0</v>
      </c>
      <c r="BP233" s="388">
        <f t="shared" si="144"/>
        <v>0</v>
      </c>
      <c r="BQ233" s="388">
        <f t="shared" si="145"/>
        <v>0</v>
      </c>
      <c r="BR233" s="388">
        <f t="shared" si="146"/>
        <v>0</v>
      </c>
      <c r="BS233" s="388">
        <f t="shared" si="147"/>
        <v>0</v>
      </c>
      <c r="BT233" s="388">
        <f t="shared" si="148"/>
        <v>0</v>
      </c>
      <c r="BU233" s="388">
        <f t="shared" si="149"/>
        <v>0</v>
      </c>
      <c r="BV233" s="388">
        <f t="shared" si="150"/>
        <v>0</v>
      </c>
      <c r="BW233" s="388">
        <f t="shared" si="151"/>
        <v>0</v>
      </c>
      <c r="BX233" s="388">
        <f t="shared" si="166"/>
        <v>0</v>
      </c>
      <c r="BY233" s="388">
        <f t="shared" si="167"/>
        <v>0</v>
      </c>
      <c r="BZ233" s="388">
        <f t="shared" si="168"/>
        <v>0</v>
      </c>
      <c r="CA233" s="388">
        <f t="shared" si="169"/>
        <v>0</v>
      </c>
      <c r="CB233" s="388">
        <f t="shared" si="170"/>
        <v>0</v>
      </c>
      <c r="CC233" s="388">
        <f t="shared" si="152"/>
        <v>0</v>
      </c>
      <c r="CD233" s="388">
        <f t="shared" si="153"/>
        <v>0</v>
      </c>
      <c r="CE233" s="388">
        <f t="shared" si="154"/>
        <v>0</v>
      </c>
      <c r="CF233" s="388">
        <f t="shared" si="155"/>
        <v>0</v>
      </c>
      <c r="CG233" s="388">
        <f t="shared" si="156"/>
        <v>0</v>
      </c>
      <c r="CH233" s="388">
        <f t="shared" si="157"/>
        <v>0</v>
      </c>
      <c r="CI233" s="388">
        <f t="shared" si="158"/>
        <v>0</v>
      </c>
      <c r="CJ233" s="388">
        <f t="shared" si="171"/>
        <v>0</v>
      </c>
      <c r="CK233" s="388" t="str">
        <f t="shared" si="172"/>
        <v/>
      </c>
      <c r="CL233" s="388" t="str">
        <f t="shared" si="173"/>
        <v/>
      </c>
      <c r="CM233" s="388" t="str">
        <f t="shared" si="174"/>
        <v/>
      </c>
      <c r="CN233" s="388" t="str">
        <f t="shared" si="175"/>
        <v>0345-00</v>
      </c>
    </row>
    <row r="234" spans="1:92" ht="15.75" thickBot="1" x14ac:dyDescent="0.3">
      <c r="A234" s="377" t="s">
        <v>162</v>
      </c>
      <c r="B234" s="377" t="s">
        <v>163</v>
      </c>
      <c r="C234" s="377" t="s">
        <v>687</v>
      </c>
      <c r="D234" s="377" t="s">
        <v>276</v>
      </c>
      <c r="E234" s="377" t="s">
        <v>768</v>
      </c>
      <c r="F234" s="378" t="s">
        <v>167</v>
      </c>
      <c r="G234" s="377" t="s">
        <v>764</v>
      </c>
      <c r="H234" s="379"/>
      <c r="I234" s="379"/>
      <c r="J234" s="377" t="s">
        <v>613</v>
      </c>
      <c r="K234" s="377" t="s">
        <v>277</v>
      </c>
      <c r="L234" s="377" t="s">
        <v>215</v>
      </c>
      <c r="M234" s="377" t="s">
        <v>172</v>
      </c>
      <c r="N234" s="377" t="s">
        <v>173</v>
      </c>
      <c r="O234" s="380">
        <v>1</v>
      </c>
      <c r="P234" s="386">
        <v>0</v>
      </c>
      <c r="Q234" s="386">
        <v>0</v>
      </c>
      <c r="R234" s="381">
        <v>80</v>
      </c>
      <c r="S234" s="386">
        <v>0</v>
      </c>
      <c r="T234" s="381">
        <v>8745.66</v>
      </c>
      <c r="U234" s="381">
        <v>0</v>
      </c>
      <c r="V234" s="381">
        <v>3944.81</v>
      </c>
      <c r="W234" s="381">
        <v>0</v>
      </c>
      <c r="X234" s="381">
        <v>0</v>
      </c>
      <c r="Y234" s="381">
        <v>0</v>
      </c>
      <c r="Z234" s="381">
        <v>0</v>
      </c>
      <c r="AA234" s="377" t="s">
        <v>688</v>
      </c>
      <c r="AB234" s="377" t="s">
        <v>689</v>
      </c>
      <c r="AC234" s="377" t="s">
        <v>690</v>
      </c>
      <c r="AD234" s="377" t="s">
        <v>181</v>
      </c>
      <c r="AE234" s="377" t="s">
        <v>277</v>
      </c>
      <c r="AF234" s="377" t="s">
        <v>231</v>
      </c>
      <c r="AG234" s="377" t="s">
        <v>179</v>
      </c>
      <c r="AH234" s="382">
        <v>27.15</v>
      </c>
      <c r="AI234" s="382">
        <v>20161.400000000001</v>
      </c>
      <c r="AJ234" s="377" t="s">
        <v>180</v>
      </c>
      <c r="AK234" s="377" t="s">
        <v>181</v>
      </c>
      <c r="AL234" s="377" t="s">
        <v>182</v>
      </c>
      <c r="AM234" s="377" t="s">
        <v>183</v>
      </c>
      <c r="AN234" s="377" t="s">
        <v>66</v>
      </c>
      <c r="AO234" s="380">
        <v>80</v>
      </c>
      <c r="AP234" s="386">
        <v>1</v>
      </c>
      <c r="AQ234" s="386">
        <v>0</v>
      </c>
      <c r="AR234" s="384" t="s">
        <v>184</v>
      </c>
      <c r="AS234" s="388">
        <f t="shared" si="159"/>
        <v>0</v>
      </c>
      <c r="AT234">
        <f t="shared" si="160"/>
        <v>0</v>
      </c>
      <c r="AU234" s="388" t="str">
        <f>IF(AT234=0,"",IF(AND(AT234=1,M234="F",SUMIF(C2:C258,C234,AS2:AS258)&lt;=1),SUMIF(C2:C258,C234,AS2:AS258),IF(AND(AT234=1,M234="F",SUMIF(C2:C258,C234,AS2:AS258)&gt;1),1,"")))</f>
        <v/>
      </c>
      <c r="AV234" s="388" t="str">
        <f>IF(AT234=0,"",IF(AND(AT234=3,M234="F",SUMIF(C2:C258,C234,AS2:AS258)&lt;=1),SUMIF(C2:C258,C234,AS2:AS258),IF(AND(AT234=3,M234="F",SUMIF(C2:C258,C234,AS2:AS258)&gt;1),1,"")))</f>
        <v/>
      </c>
      <c r="AW234" s="388">
        <f>SUMIF(C2:C258,C234,O2:O258)</f>
        <v>3</v>
      </c>
      <c r="AX234" s="388">
        <f>IF(AND(M234="F",AS234&lt;&gt;0),SUMIF(C2:C258,C234,W2:W258),0)</f>
        <v>0</v>
      </c>
      <c r="AY234" s="388" t="str">
        <f t="shared" si="161"/>
        <v/>
      </c>
      <c r="AZ234" s="388" t="str">
        <f t="shared" si="162"/>
        <v/>
      </c>
      <c r="BA234" s="388">
        <f t="shared" si="163"/>
        <v>0</v>
      </c>
      <c r="BB234" s="388">
        <f t="shared" si="132"/>
        <v>0</v>
      </c>
      <c r="BC234" s="388">
        <f t="shared" si="133"/>
        <v>0</v>
      </c>
      <c r="BD234" s="388">
        <f t="shared" si="134"/>
        <v>0</v>
      </c>
      <c r="BE234" s="388">
        <f t="shared" si="135"/>
        <v>0</v>
      </c>
      <c r="BF234" s="388">
        <f t="shared" si="136"/>
        <v>0</v>
      </c>
      <c r="BG234" s="388">
        <f t="shared" si="137"/>
        <v>0</v>
      </c>
      <c r="BH234" s="388">
        <f t="shared" si="138"/>
        <v>0</v>
      </c>
      <c r="BI234" s="388">
        <f t="shared" si="139"/>
        <v>0</v>
      </c>
      <c r="BJ234" s="388">
        <f t="shared" si="140"/>
        <v>0</v>
      </c>
      <c r="BK234" s="388">
        <f t="shared" si="141"/>
        <v>0</v>
      </c>
      <c r="BL234" s="388">
        <f t="shared" si="164"/>
        <v>0</v>
      </c>
      <c r="BM234" s="388">
        <f t="shared" si="165"/>
        <v>0</v>
      </c>
      <c r="BN234" s="388">
        <f t="shared" si="142"/>
        <v>0</v>
      </c>
      <c r="BO234" s="388">
        <f t="shared" si="143"/>
        <v>0</v>
      </c>
      <c r="BP234" s="388">
        <f t="shared" si="144"/>
        <v>0</v>
      </c>
      <c r="BQ234" s="388">
        <f t="shared" si="145"/>
        <v>0</v>
      </c>
      <c r="BR234" s="388">
        <f t="shared" si="146"/>
        <v>0</v>
      </c>
      <c r="BS234" s="388">
        <f t="shared" si="147"/>
        <v>0</v>
      </c>
      <c r="BT234" s="388">
        <f t="shared" si="148"/>
        <v>0</v>
      </c>
      <c r="BU234" s="388">
        <f t="shared" si="149"/>
        <v>0</v>
      </c>
      <c r="BV234" s="388">
        <f t="shared" si="150"/>
        <v>0</v>
      </c>
      <c r="BW234" s="388">
        <f t="shared" si="151"/>
        <v>0</v>
      </c>
      <c r="BX234" s="388">
        <f t="shared" si="166"/>
        <v>0</v>
      </c>
      <c r="BY234" s="388">
        <f t="shared" si="167"/>
        <v>0</v>
      </c>
      <c r="BZ234" s="388">
        <f t="shared" si="168"/>
        <v>0</v>
      </c>
      <c r="CA234" s="388">
        <f t="shared" si="169"/>
        <v>0</v>
      </c>
      <c r="CB234" s="388">
        <f t="shared" si="170"/>
        <v>0</v>
      </c>
      <c r="CC234" s="388">
        <f t="shared" si="152"/>
        <v>0</v>
      </c>
      <c r="CD234" s="388">
        <f t="shared" si="153"/>
        <v>0</v>
      </c>
      <c r="CE234" s="388">
        <f t="shared" si="154"/>
        <v>0</v>
      </c>
      <c r="CF234" s="388">
        <f t="shared" si="155"/>
        <v>0</v>
      </c>
      <c r="CG234" s="388">
        <f t="shared" si="156"/>
        <v>0</v>
      </c>
      <c r="CH234" s="388">
        <f t="shared" si="157"/>
        <v>0</v>
      </c>
      <c r="CI234" s="388">
        <f t="shared" si="158"/>
        <v>0</v>
      </c>
      <c r="CJ234" s="388">
        <f t="shared" si="171"/>
        <v>0</v>
      </c>
      <c r="CK234" s="388" t="str">
        <f t="shared" si="172"/>
        <v/>
      </c>
      <c r="CL234" s="388" t="str">
        <f t="shared" si="173"/>
        <v/>
      </c>
      <c r="CM234" s="388" t="str">
        <f t="shared" si="174"/>
        <v/>
      </c>
      <c r="CN234" s="388" t="str">
        <f t="shared" si="175"/>
        <v>0345-00</v>
      </c>
    </row>
    <row r="235" spans="1:92" ht="15.75" thickBot="1" x14ac:dyDescent="0.3">
      <c r="A235" s="377" t="s">
        <v>162</v>
      </c>
      <c r="B235" s="377" t="s">
        <v>163</v>
      </c>
      <c r="C235" s="377" t="s">
        <v>405</v>
      </c>
      <c r="D235" s="377" t="s">
        <v>251</v>
      </c>
      <c r="E235" s="377" t="s">
        <v>768</v>
      </c>
      <c r="F235" s="378" t="s">
        <v>167</v>
      </c>
      <c r="G235" s="377" t="s">
        <v>764</v>
      </c>
      <c r="H235" s="379"/>
      <c r="I235" s="379"/>
      <c r="J235" s="377" t="s">
        <v>283</v>
      </c>
      <c r="K235" s="377" t="s">
        <v>252</v>
      </c>
      <c r="L235" s="377" t="s">
        <v>179</v>
      </c>
      <c r="M235" s="377" t="s">
        <v>172</v>
      </c>
      <c r="N235" s="377" t="s">
        <v>173</v>
      </c>
      <c r="O235" s="380">
        <v>1</v>
      </c>
      <c r="P235" s="386">
        <v>0</v>
      </c>
      <c r="Q235" s="386">
        <v>0</v>
      </c>
      <c r="R235" s="381">
        <v>80</v>
      </c>
      <c r="S235" s="386">
        <v>0</v>
      </c>
      <c r="T235" s="381">
        <v>166.92</v>
      </c>
      <c r="U235" s="381">
        <v>0</v>
      </c>
      <c r="V235" s="381">
        <v>94.96</v>
      </c>
      <c r="W235" s="381">
        <v>0</v>
      </c>
      <c r="X235" s="381">
        <v>0</v>
      </c>
      <c r="Y235" s="381">
        <v>0</v>
      </c>
      <c r="Z235" s="381">
        <v>0</v>
      </c>
      <c r="AA235" s="377" t="s">
        <v>406</v>
      </c>
      <c r="AB235" s="377" t="s">
        <v>407</v>
      </c>
      <c r="AC235" s="377" t="s">
        <v>408</v>
      </c>
      <c r="AD235" s="377" t="s">
        <v>316</v>
      </c>
      <c r="AE235" s="377" t="s">
        <v>252</v>
      </c>
      <c r="AF235" s="377" t="s">
        <v>257</v>
      </c>
      <c r="AG235" s="377" t="s">
        <v>179</v>
      </c>
      <c r="AH235" s="382">
        <v>17.829999999999998</v>
      </c>
      <c r="AI235" s="380">
        <v>440</v>
      </c>
      <c r="AJ235" s="377" t="s">
        <v>180</v>
      </c>
      <c r="AK235" s="377" t="s">
        <v>181</v>
      </c>
      <c r="AL235" s="377" t="s">
        <v>182</v>
      </c>
      <c r="AM235" s="377" t="s">
        <v>183</v>
      </c>
      <c r="AN235" s="377" t="s">
        <v>66</v>
      </c>
      <c r="AO235" s="380">
        <v>80</v>
      </c>
      <c r="AP235" s="386">
        <v>1</v>
      </c>
      <c r="AQ235" s="386">
        <v>0</v>
      </c>
      <c r="AR235" s="384" t="s">
        <v>184</v>
      </c>
      <c r="AS235" s="388">
        <f t="shared" si="159"/>
        <v>0</v>
      </c>
      <c r="AT235">
        <f t="shared" si="160"/>
        <v>0</v>
      </c>
      <c r="AU235" s="388" t="str">
        <f>IF(AT235=0,"",IF(AND(AT235=1,M235="F",SUMIF(C2:C258,C235,AS2:AS258)&lt;=1),SUMIF(C2:C258,C235,AS2:AS258),IF(AND(AT235=1,M235="F",SUMIF(C2:C258,C235,AS2:AS258)&gt;1),1,"")))</f>
        <v/>
      </c>
      <c r="AV235" s="388" t="str">
        <f>IF(AT235=0,"",IF(AND(AT235=3,M235="F",SUMIF(C2:C258,C235,AS2:AS258)&lt;=1),SUMIF(C2:C258,C235,AS2:AS258),IF(AND(AT235=3,M235="F",SUMIF(C2:C258,C235,AS2:AS258)&gt;1),1,"")))</f>
        <v/>
      </c>
      <c r="AW235" s="388">
        <f>SUMIF(C2:C258,C235,O2:O258)</f>
        <v>6</v>
      </c>
      <c r="AX235" s="388">
        <f>IF(AND(M235="F",AS235&lt;&gt;0),SUMIF(C2:C258,C235,W2:W258),0)</f>
        <v>0</v>
      </c>
      <c r="AY235" s="388" t="str">
        <f t="shared" si="161"/>
        <v/>
      </c>
      <c r="AZ235" s="388" t="str">
        <f t="shared" si="162"/>
        <v/>
      </c>
      <c r="BA235" s="388">
        <f t="shared" si="163"/>
        <v>0</v>
      </c>
      <c r="BB235" s="388">
        <f t="shared" si="132"/>
        <v>0</v>
      </c>
      <c r="BC235" s="388">
        <f t="shared" si="133"/>
        <v>0</v>
      </c>
      <c r="BD235" s="388">
        <f t="shared" si="134"/>
        <v>0</v>
      </c>
      <c r="BE235" s="388">
        <f t="shared" si="135"/>
        <v>0</v>
      </c>
      <c r="BF235" s="388">
        <f t="shared" si="136"/>
        <v>0</v>
      </c>
      <c r="BG235" s="388">
        <f t="shared" si="137"/>
        <v>0</v>
      </c>
      <c r="BH235" s="388">
        <f t="shared" si="138"/>
        <v>0</v>
      </c>
      <c r="BI235" s="388">
        <f t="shared" si="139"/>
        <v>0</v>
      </c>
      <c r="BJ235" s="388">
        <f t="shared" si="140"/>
        <v>0</v>
      </c>
      <c r="BK235" s="388">
        <f t="shared" si="141"/>
        <v>0</v>
      </c>
      <c r="BL235" s="388">
        <f t="shared" si="164"/>
        <v>0</v>
      </c>
      <c r="BM235" s="388">
        <f t="shared" si="165"/>
        <v>0</v>
      </c>
      <c r="BN235" s="388">
        <f t="shared" si="142"/>
        <v>0</v>
      </c>
      <c r="BO235" s="388">
        <f t="shared" si="143"/>
        <v>0</v>
      </c>
      <c r="BP235" s="388">
        <f t="shared" si="144"/>
        <v>0</v>
      </c>
      <c r="BQ235" s="388">
        <f t="shared" si="145"/>
        <v>0</v>
      </c>
      <c r="BR235" s="388">
        <f t="shared" si="146"/>
        <v>0</v>
      </c>
      <c r="BS235" s="388">
        <f t="shared" si="147"/>
        <v>0</v>
      </c>
      <c r="BT235" s="388">
        <f t="shared" si="148"/>
        <v>0</v>
      </c>
      <c r="BU235" s="388">
        <f t="shared" si="149"/>
        <v>0</v>
      </c>
      <c r="BV235" s="388">
        <f t="shared" si="150"/>
        <v>0</v>
      </c>
      <c r="BW235" s="388">
        <f t="shared" si="151"/>
        <v>0</v>
      </c>
      <c r="BX235" s="388">
        <f t="shared" si="166"/>
        <v>0</v>
      </c>
      <c r="BY235" s="388">
        <f t="shared" si="167"/>
        <v>0</v>
      </c>
      <c r="BZ235" s="388">
        <f t="shared" si="168"/>
        <v>0</v>
      </c>
      <c r="CA235" s="388">
        <f t="shared" si="169"/>
        <v>0</v>
      </c>
      <c r="CB235" s="388">
        <f t="shared" si="170"/>
        <v>0</v>
      </c>
      <c r="CC235" s="388">
        <f t="shared" si="152"/>
        <v>0</v>
      </c>
      <c r="CD235" s="388">
        <f t="shared" si="153"/>
        <v>0</v>
      </c>
      <c r="CE235" s="388">
        <f t="shared" si="154"/>
        <v>0</v>
      </c>
      <c r="CF235" s="388">
        <f t="shared" si="155"/>
        <v>0</v>
      </c>
      <c r="CG235" s="388">
        <f t="shared" si="156"/>
        <v>0</v>
      </c>
      <c r="CH235" s="388">
        <f t="shared" si="157"/>
        <v>0</v>
      </c>
      <c r="CI235" s="388">
        <f t="shared" si="158"/>
        <v>0</v>
      </c>
      <c r="CJ235" s="388">
        <f t="shared" si="171"/>
        <v>0</v>
      </c>
      <c r="CK235" s="388" t="str">
        <f t="shared" si="172"/>
        <v/>
      </c>
      <c r="CL235" s="388" t="str">
        <f t="shared" si="173"/>
        <v/>
      </c>
      <c r="CM235" s="388" t="str">
        <f t="shared" si="174"/>
        <v/>
      </c>
      <c r="CN235" s="388" t="str">
        <f t="shared" si="175"/>
        <v>0345-00</v>
      </c>
    </row>
    <row r="236" spans="1:92" ht="15.75" thickBot="1" x14ac:dyDescent="0.3">
      <c r="A236" s="377" t="s">
        <v>162</v>
      </c>
      <c r="B236" s="377" t="s">
        <v>163</v>
      </c>
      <c r="C236" s="377" t="s">
        <v>644</v>
      </c>
      <c r="D236" s="377" t="s">
        <v>276</v>
      </c>
      <c r="E236" s="377" t="s">
        <v>768</v>
      </c>
      <c r="F236" s="378" t="s">
        <v>167</v>
      </c>
      <c r="G236" s="377" t="s">
        <v>764</v>
      </c>
      <c r="H236" s="379"/>
      <c r="I236" s="379"/>
      <c r="J236" s="377" t="s">
        <v>283</v>
      </c>
      <c r="K236" s="377" t="s">
        <v>277</v>
      </c>
      <c r="L236" s="377" t="s">
        <v>215</v>
      </c>
      <c r="M236" s="377" t="s">
        <v>172</v>
      </c>
      <c r="N236" s="377" t="s">
        <v>173</v>
      </c>
      <c r="O236" s="380">
        <v>1</v>
      </c>
      <c r="P236" s="386">
        <v>0.2</v>
      </c>
      <c r="Q236" s="386">
        <v>0.2</v>
      </c>
      <c r="R236" s="381">
        <v>80</v>
      </c>
      <c r="S236" s="386">
        <v>0.2</v>
      </c>
      <c r="T236" s="381">
        <v>6471.6</v>
      </c>
      <c r="U236" s="381">
        <v>0</v>
      </c>
      <c r="V236" s="381">
        <v>2818.44</v>
      </c>
      <c r="W236" s="381">
        <v>9534.7199999999993</v>
      </c>
      <c r="X236" s="381">
        <v>4469.96</v>
      </c>
      <c r="Y236" s="381">
        <v>9534.7199999999993</v>
      </c>
      <c r="Z236" s="381">
        <v>4651.3100000000004</v>
      </c>
      <c r="AA236" s="377" t="s">
        <v>645</v>
      </c>
      <c r="AB236" s="377" t="s">
        <v>646</v>
      </c>
      <c r="AC236" s="377" t="s">
        <v>602</v>
      </c>
      <c r="AD236" s="377" t="s">
        <v>647</v>
      </c>
      <c r="AE236" s="377" t="s">
        <v>277</v>
      </c>
      <c r="AF236" s="377" t="s">
        <v>231</v>
      </c>
      <c r="AG236" s="377" t="s">
        <v>179</v>
      </c>
      <c r="AH236" s="382">
        <v>22.92</v>
      </c>
      <c r="AI236" s="382">
        <v>20672.2</v>
      </c>
      <c r="AJ236" s="377" t="s">
        <v>180</v>
      </c>
      <c r="AK236" s="377" t="s">
        <v>181</v>
      </c>
      <c r="AL236" s="377" t="s">
        <v>182</v>
      </c>
      <c r="AM236" s="377" t="s">
        <v>183</v>
      </c>
      <c r="AN236" s="377" t="s">
        <v>66</v>
      </c>
      <c r="AO236" s="380">
        <v>80</v>
      </c>
      <c r="AP236" s="386">
        <v>1</v>
      </c>
      <c r="AQ236" s="386">
        <v>0.2</v>
      </c>
      <c r="AR236" s="384" t="s">
        <v>184</v>
      </c>
      <c r="AS236" s="388">
        <f t="shared" si="159"/>
        <v>0.2</v>
      </c>
      <c r="AT236">
        <f t="shared" si="160"/>
        <v>1</v>
      </c>
      <c r="AU236" s="388">
        <f>IF(AT236=0,"",IF(AND(AT236=1,M236="F",SUMIF(C2:C258,C236,AS2:AS258)&lt;=1),SUMIF(C2:C258,C236,AS2:AS258),IF(AND(AT236=1,M236="F",SUMIF(C2:C258,C236,AS2:AS258)&gt;1),1,"")))</f>
        <v>1</v>
      </c>
      <c r="AV236" s="388" t="str">
        <f>IF(AT236=0,"",IF(AND(AT236=3,M236="F",SUMIF(C2:C258,C236,AS2:AS258)&lt;=1),SUMIF(C2:C258,C236,AS2:AS258),IF(AND(AT236=3,M236="F",SUMIF(C2:C258,C236,AS2:AS258)&gt;1),1,"")))</f>
        <v/>
      </c>
      <c r="AW236" s="388">
        <f>SUMIF(C2:C258,C236,O2:O258)</f>
        <v>3</v>
      </c>
      <c r="AX236" s="388">
        <f>IF(AND(M236="F",AS236&lt;&gt;0),SUMIF(C2:C258,C236,W2:W258),0)</f>
        <v>47673.599999999999</v>
      </c>
      <c r="AY236" s="388">
        <f t="shared" si="161"/>
        <v>9534.7199999999993</v>
      </c>
      <c r="AZ236" s="388" t="str">
        <f t="shared" si="162"/>
        <v/>
      </c>
      <c r="BA236" s="388">
        <f t="shared" si="163"/>
        <v>0</v>
      </c>
      <c r="BB236" s="388">
        <f t="shared" si="132"/>
        <v>2500</v>
      </c>
      <c r="BC236" s="388">
        <f t="shared" si="133"/>
        <v>0</v>
      </c>
      <c r="BD236" s="388">
        <f t="shared" si="134"/>
        <v>591.15263999999991</v>
      </c>
      <c r="BE236" s="388">
        <f t="shared" si="135"/>
        <v>138.25343999999998</v>
      </c>
      <c r="BF236" s="388">
        <f t="shared" si="136"/>
        <v>1138.4455680000001</v>
      </c>
      <c r="BG236" s="388">
        <f t="shared" si="137"/>
        <v>68.745331199999995</v>
      </c>
      <c r="BH236" s="388">
        <f t="shared" si="138"/>
        <v>0</v>
      </c>
      <c r="BI236" s="388">
        <f t="shared" si="139"/>
        <v>0</v>
      </c>
      <c r="BJ236" s="388">
        <f t="shared" si="140"/>
        <v>33.371519999999997</v>
      </c>
      <c r="BK236" s="388">
        <f t="shared" si="141"/>
        <v>0</v>
      </c>
      <c r="BL236" s="388">
        <f t="shared" si="164"/>
        <v>1969.9684991999998</v>
      </c>
      <c r="BM236" s="388">
        <f t="shared" si="165"/>
        <v>0</v>
      </c>
      <c r="BN236" s="388">
        <f t="shared" si="142"/>
        <v>2750</v>
      </c>
      <c r="BO236" s="388">
        <f t="shared" si="143"/>
        <v>0</v>
      </c>
      <c r="BP236" s="388">
        <f t="shared" si="144"/>
        <v>591.15263999999991</v>
      </c>
      <c r="BQ236" s="388">
        <f t="shared" si="145"/>
        <v>138.25343999999998</v>
      </c>
      <c r="BR236" s="388">
        <f t="shared" si="146"/>
        <v>1065.9816959999998</v>
      </c>
      <c r="BS236" s="388">
        <f t="shared" si="147"/>
        <v>68.745331199999995</v>
      </c>
      <c r="BT236" s="388">
        <f t="shared" si="148"/>
        <v>0</v>
      </c>
      <c r="BU236" s="388">
        <f t="shared" si="149"/>
        <v>0</v>
      </c>
      <c r="BV236" s="388">
        <f t="shared" si="150"/>
        <v>37.185407999999995</v>
      </c>
      <c r="BW236" s="388">
        <f t="shared" si="151"/>
        <v>0</v>
      </c>
      <c r="BX236" s="388">
        <f t="shared" si="166"/>
        <v>1901.3185151999996</v>
      </c>
      <c r="BY236" s="388">
        <f t="shared" si="167"/>
        <v>0</v>
      </c>
      <c r="BZ236" s="388">
        <f t="shared" si="168"/>
        <v>250</v>
      </c>
      <c r="CA236" s="388">
        <f t="shared" si="169"/>
        <v>0</v>
      </c>
      <c r="CB236" s="388">
        <f t="shared" si="170"/>
        <v>0</v>
      </c>
      <c r="CC236" s="388">
        <f t="shared" si="152"/>
        <v>0</v>
      </c>
      <c r="CD236" s="388">
        <f t="shared" si="153"/>
        <v>-72.46387200000008</v>
      </c>
      <c r="CE236" s="388">
        <f t="shared" si="154"/>
        <v>0</v>
      </c>
      <c r="CF236" s="388">
        <f t="shared" si="155"/>
        <v>0</v>
      </c>
      <c r="CG236" s="388">
        <f t="shared" si="156"/>
        <v>0</v>
      </c>
      <c r="CH236" s="388">
        <f t="shared" si="157"/>
        <v>3.8138879999999973</v>
      </c>
      <c r="CI236" s="388">
        <f t="shared" si="158"/>
        <v>0</v>
      </c>
      <c r="CJ236" s="388">
        <f t="shared" si="171"/>
        <v>-68.649984000000089</v>
      </c>
      <c r="CK236" s="388" t="str">
        <f t="shared" si="172"/>
        <v/>
      </c>
      <c r="CL236" s="388" t="str">
        <f t="shared" si="173"/>
        <v/>
      </c>
      <c r="CM236" s="388" t="str">
        <f t="shared" si="174"/>
        <v/>
      </c>
      <c r="CN236" s="388" t="str">
        <f t="shared" si="175"/>
        <v>0345-00</v>
      </c>
    </row>
    <row r="237" spans="1:92" ht="15.75" thickBot="1" x14ac:dyDescent="0.3">
      <c r="A237" s="377" t="s">
        <v>162</v>
      </c>
      <c r="B237" s="377" t="s">
        <v>163</v>
      </c>
      <c r="C237" s="377" t="s">
        <v>648</v>
      </c>
      <c r="D237" s="377" t="s">
        <v>194</v>
      </c>
      <c r="E237" s="377" t="s">
        <v>768</v>
      </c>
      <c r="F237" s="378" t="s">
        <v>167</v>
      </c>
      <c r="G237" s="377" t="s">
        <v>764</v>
      </c>
      <c r="H237" s="379"/>
      <c r="I237" s="379"/>
      <c r="J237" s="377" t="s">
        <v>649</v>
      </c>
      <c r="K237" s="377" t="s">
        <v>639</v>
      </c>
      <c r="L237" s="377" t="s">
        <v>321</v>
      </c>
      <c r="M237" s="377" t="s">
        <v>172</v>
      </c>
      <c r="N237" s="377" t="s">
        <v>173</v>
      </c>
      <c r="O237" s="380">
        <v>1</v>
      </c>
      <c r="P237" s="386">
        <v>0.1</v>
      </c>
      <c r="Q237" s="386">
        <v>0.1</v>
      </c>
      <c r="R237" s="381">
        <v>80</v>
      </c>
      <c r="S237" s="386">
        <v>0.1</v>
      </c>
      <c r="T237" s="381">
        <v>11711.58</v>
      </c>
      <c r="U237" s="381">
        <v>0</v>
      </c>
      <c r="V237" s="381">
        <v>4046.92</v>
      </c>
      <c r="W237" s="381">
        <v>7666.88</v>
      </c>
      <c r="X237" s="381">
        <v>2834.05</v>
      </c>
      <c r="Y237" s="381">
        <v>7666.88</v>
      </c>
      <c r="Z237" s="381">
        <v>2903.85</v>
      </c>
      <c r="AA237" s="377" t="s">
        <v>650</v>
      </c>
      <c r="AB237" s="377" t="s">
        <v>651</v>
      </c>
      <c r="AC237" s="377" t="s">
        <v>652</v>
      </c>
      <c r="AD237" s="377" t="s">
        <v>321</v>
      </c>
      <c r="AE237" s="377" t="s">
        <v>639</v>
      </c>
      <c r="AF237" s="377" t="s">
        <v>207</v>
      </c>
      <c r="AG237" s="377" t="s">
        <v>179</v>
      </c>
      <c r="AH237" s="382">
        <v>36.86</v>
      </c>
      <c r="AI237" s="380">
        <v>26242</v>
      </c>
      <c r="AJ237" s="377" t="s">
        <v>180</v>
      </c>
      <c r="AK237" s="377" t="s">
        <v>181</v>
      </c>
      <c r="AL237" s="377" t="s">
        <v>182</v>
      </c>
      <c r="AM237" s="377" t="s">
        <v>183</v>
      </c>
      <c r="AN237" s="377" t="s">
        <v>66</v>
      </c>
      <c r="AO237" s="380">
        <v>80</v>
      </c>
      <c r="AP237" s="386">
        <v>1</v>
      </c>
      <c r="AQ237" s="386">
        <v>0.1</v>
      </c>
      <c r="AR237" s="384" t="s">
        <v>184</v>
      </c>
      <c r="AS237" s="388">
        <f t="shared" si="159"/>
        <v>0.1</v>
      </c>
      <c r="AT237">
        <f t="shared" si="160"/>
        <v>1</v>
      </c>
      <c r="AU237" s="388">
        <f>IF(AT237=0,"",IF(AND(AT237=1,M237="F",SUMIF(C2:C258,C237,AS2:AS258)&lt;=1),SUMIF(C2:C258,C237,AS2:AS258),IF(AND(AT237=1,M237="F",SUMIF(C2:C258,C237,AS2:AS258)&gt;1),1,"")))</f>
        <v>1</v>
      </c>
      <c r="AV237" s="388" t="str">
        <f>IF(AT237=0,"",IF(AND(AT237=3,M237="F",SUMIF(C2:C258,C237,AS2:AS258)&lt;=1),SUMIF(C2:C258,C237,AS2:AS258),IF(AND(AT237=3,M237="F",SUMIF(C2:C258,C237,AS2:AS258)&gt;1),1,"")))</f>
        <v/>
      </c>
      <c r="AW237" s="388">
        <f>SUMIF(C2:C258,C237,O2:O258)</f>
        <v>4</v>
      </c>
      <c r="AX237" s="388">
        <f>IF(AND(M237="F",AS237&lt;&gt;0),SUMIF(C2:C258,C237,W2:W258),0)</f>
        <v>76668.800000000003</v>
      </c>
      <c r="AY237" s="388">
        <f t="shared" si="161"/>
        <v>7666.88</v>
      </c>
      <c r="AZ237" s="388" t="str">
        <f t="shared" si="162"/>
        <v/>
      </c>
      <c r="BA237" s="388">
        <f t="shared" si="163"/>
        <v>0</v>
      </c>
      <c r="BB237" s="388">
        <f t="shared" si="132"/>
        <v>1250</v>
      </c>
      <c r="BC237" s="388">
        <f t="shared" si="133"/>
        <v>0</v>
      </c>
      <c r="BD237" s="388">
        <f t="shared" si="134"/>
        <v>475.34656000000001</v>
      </c>
      <c r="BE237" s="388">
        <f t="shared" si="135"/>
        <v>111.16976000000001</v>
      </c>
      <c r="BF237" s="388">
        <f t="shared" si="136"/>
        <v>915.42547200000001</v>
      </c>
      <c r="BG237" s="388">
        <f t="shared" si="137"/>
        <v>55.278204800000005</v>
      </c>
      <c r="BH237" s="388">
        <f t="shared" si="138"/>
        <v>0</v>
      </c>
      <c r="BI237" s="388">
        <f t="shared" si="139"/>
        <v>0</v>
      </c>
      <c r="BJ237" s="388">
        <f t="shared" si="140"/>
        <v>26.83408</v>
      </c>
      <c r="BK237" s="388">
        <f t="shared" si="141"/>
        <v>0</v>
      </c>
      <c r="BL237" s="388">
        <f t="shared" si="164"/>
        <v>1584.0540768000001</v>
      </c>
      <c r="BM237" s="388">
        <f t="shared" si="165"/>
        <v>0</v>
      </c>
      <c r="BN237" s="388">
        <f t="shared" si="142"/>
        <v>1375</v>
      </c>
      <c r="BO237" s="388">
        <f t="shared" si="143"/>
        <v>0</v>
      </c>
      <c r="BP237" s="388">
        <f t="shared" si="144"/>
        <v>475.34656000000001</v>
      </c>
      <c r="BQ237" s="388">
        <f t="shared" si="145"/>
        <v>111.16976000000001</v>
      </c>
      <c r="BR237" s="388">
        <f t="shared" si="146"/>
        <v>857.15718400000003</v>
      </c>
      <c r="BS237" s="388">
        <f t="shared" si="147"/>
        <v>55.278204800000005</v>
      </c>
      <c r="BT237" s="388">
        <f t="shared" si="148"/>
        <v>0</v>
      </c>
      <c r="BU237" s="388">
        <f t="shared" si="149"/>
        <v>0</v>
      </c>
      <c r="BV237" s="388">
        <f t="shared" si="150"/>
        <v>29.900831999999998</v>
      </c>
      <c r="BW237" s="388">
        <f t="shared" si="151"/>
        <v>0</v>
      </c>
      <c r="BX237" s="388">
        <f t="shared" si="166"/>
        <v>1528.8525408</v>
      </c>
      <c r="BY237" s="388">
        <f t="shared" si="167"/>
        <v>0</v>
      </c>
      <c r="BZ237" s="388">
        <f t="shared" si="168"/>
        <v>125</v>
      </c>
      <c r="CA237" s="388">
        <f t="shared" si="169"/>
        <v>0</v>
      </c>
      <c r="CB237" s="388">
        <f t="shared" si="170"/>
        <v>0</v>
      </c>
      <c r="CC237" s="388">
        <f t="shared" si="152"/>
        <v>0</v>
      </c>
      <c r="CD237" s="388">
        <f t="shared" si="153"/>
        <v>-58.268288000000076</v>
      </c>
      <c r="CE237" s="388">
        <f t="shared" si="154"/>
        <v>0</v>
      </c>
      <c r="CF237" s="388">
        <f t="shared" si="155"/>
        <v>0</v>
      </c>
      <c r="CG237" s="388">
        <f t="shared" si="156"/>
        <v>0</v>
      </c>
      <c r="CH237" s="388">
        <f t="shared" si="157"/>
        <v>3.0667519999999979</v>
      </c>
      <c r="CI237" s="388">
        <f t="shared" si="158"/>
        <v>0</v>
      </c>
      <c r="CJ237" s="388">
        <f t="shared" si="171"/>
        <v>-55.201536000000075</v>
      </c>
      <c r="CK237" s="388" t="str">
        <f t="shared" si="172"/>
        <v/>
      </c>
      <c r="CL237" s="388" t="str">
        <f t="shared" si="173"/>
        <v/>
      </c>
      <c r="CM237" s="388" t="str">
        <f t="shared" si="174"/>
        <v/>
      </c>
      <c r="CN237" s="388" t="str">
        <f t="shared" si="175"/>
        <v>0345-00</v>
      </c>
    </row>
    <row r="238" spans="1:92" ht="15.75" thickBot="1" x14ac:dyDescent="0.3">
      <c r="A238" s="377" t="s">
        <v>162</v>
      </c>
      <c r="B238" s="377" t="s">
        <v>163</v>
      </c>
      <c r="C238" s="377" t="s">
        <v>245</v>
      </c>
      <c r="D238" s="377" t="s">
        <v>209</v>
      </c>
      <c r="E238" s="377" t="s">
        <v>768</v>
      </c>
      <c r="F238" s="378" t="s">
        <v>167</v>
      </c>
      <c r="G238" s="377" t="s">
        <v>764</v>
      </c>
      <c r="H238" s="379"/>
      <c r="I238" s="379"/>
      <c r="J238" s="377" t="s">
        <v>169</v>
      </c>
      <c r="K238" s="377" t="s">
        <v>210</v>
      </c>
      <c r="L238" s="377" t="s">
        <v>211</v>
      </c>
      <c r="M238" s="377" t="s">
        <v>172</v>
      </c>
      <c r="N238" s="377" t="s">
        <v>173</v>
      </c>
      <c r="O238" s="380">
        <v>1</v>
      </c>
      <c r="P238" s="386">
        <v>0</v>
      </c>
      <c r="Q238" s="386">
        <v>0</v>
      </c>
      <c r="R238" s="381">
        <v>80</v>
      </c>
      <c r="S238" s="386">
        <v>0</v>
      </c>
      <c r="T238" s="381">
        <v>131.88</v>
      </c>
      <c r="U238" s="381">
        <v>0</v>
      </c>
      <c r="V238" s="381">
        <v>63.61</v>
      </c>
      <c r="W238" s="381">
        <v>0</v>
      </c>
      <c r="X238" s="381">
        <v>0</v>
      </c>
      <c r="Y238" s="381">
        <v>0</v>
      </c>
      <c r="Z238" s="381">
        <v>0</v>
      </c>
      <c r="AA238" s="377" t="s">
        <v>246</v>
      </c>
      <c r="AB238" s="377" t="s">
        <v>247</v>
      </c>
      <c r="AC238" s="377" t="s">
        <v>248</v>
      </c>
      <c r="AD238" s="377" t="s">
        <v>249</v>
      </c>
      <c r="AE238" s="377" t="s">
        <v>210</v>
      </c>
      <c r="AF238" s="377" t="s">
        <v>216</v>
      </c>
      <c r="AG238" s="377" t="s">
        <v>179</v>
      </c>
      <c r="AH238" s="382">
        <v>24.93</v>
      </c>
      <c r="AI238" s="382">
        <v>15492.2</v>
      </c>
      <c r="AJ238" s="377" t="s">
        <v>180</v>
      </c>
      <c r="AK238" s="377" t="s">
        <v>181</v>
      </c>
      <c r="AL238" s="377" t="s">
        <v>182</v>
      </c>
      <c r="AM238" s="377" t="s">
        <v>183</v>
      </c>
      <c r="AN238" s="377" t="s">
        <v>66</v>
      </c>
      <c r="AO238" s="380">
        <v>80</v>
      </c>
      <c r="AP238" s="386">
        <v>1</v>
      </c>
      <c r="AQ238" s="386">
        <v>0</v>
      </c>
      <c r="AR238" s="384" t="s">
        <v>184</v>
      </c>
      <c r="AS238" s="388">
        <f t="shared" si="159"/>
        <v>0</v>
      </c>
      <c r="AT238">
        <f t="shared" si="160"/>
        <v>0</v>
      </c>
      <c r="AU238" s="388" t="str">
        <f>IF(AT238=0,"",IF(AND(AT238=1,M238="F",SUMIF(C2:C258,C238,AS2:AS258)&lt;=1),SUMIF(C2:C258,C238,AS2:AS258),IF(AND(AT238=1,M238="F",SUMIF(C2:C258,C238,AS2:AS258)&gt;1),1,"")))</f>
        <v/>
      </c>
      <c r="AV238" s="388" t="str">
        <f>IF(AT238=0,"",IF(AND(AT238=3,M238="F",SUMIF(C2:C258,C238,AS2:AS258)&lt;=1),SUMIF(C2:C258,C238,AS2:AS258),IF(AND(AT238=3,M238="F",SUMIF(C2:C258,C238,AS2:AS258)&gt;1),1,"")))</f>
        <v/>
      </c>
      <c r="AW238" s="388">
        <f>SUMIF(C2:C258,C238,O2:O258)</f>
        <v>3</v>
      </c>
      <c r="AX238" s="388">
        <f>IF(AND(M238="F",AS238&lt;&gt;0),SUMIF(C2:C258,C238,W2:W258),0)</f>
        <v>0</v>
      </c>
      <c r="AY238" s="388" t="str">
        <f t="shared" si="161"/>
        <v/>
      </c>
      <c r="AZ238" s="388" t="str">
        <f t="shared" si="162"/>
        <v/>
      </c>
      <c r="BA238" s="388">
        <f t="shared" si="163"/>
        <v>0</v>
      </c>
      <c r="BB238" s="388">
        <f t="shared" si="132"/>
        <v>0</v>
      </c>
      <c r="BC238" s="388">
        <f t="shared" si="133"/>
        <v>0</v>
      </c>
      <c r="BD238" s="388">
        <f t="shared" si="134"/>
        <v>0</v>
      </c>
      <c r="BE238" s="388">
        <f t="shared" si="135"/>
        <v>0</v>
      </c>
      <c r="BF238" s="388">
        <f t="shared" si="136"/>
        <v>0</v>
      </c>
      <c r="BG238" s="388">
        <f t="shared" si="137"/>
        <v>0</v>
      </c>
      <c r="BH238" s="388">
        <f t="shared" si="138"/>
        <v>0</v>
      </c>
      <c r="BI238" s="388">
        <f t="shared" si="139"/>
        <v>0</v>
      </c>
      <c r="BJ238" s="388">
        <f t="shared" si="140"/>
        <v>0</v>
      </c>
      <c r="BK238" s="388">
        <f t="shared" si="141"/>
        <v>0</v>
      </c>
      <c r="BL238" s="388">
        <f t="shared" si="164"/>
        <v>0</v>
      </c>
      <c r="BM238" s="388">
        <f t="shared" si="165"/>
        <v>0</v>
      </c>
      <c r="BN238" s="388">
        <f t="shared" si="142"/>
        <v>0</v>
      </c>
      <c r="BO238" s="388">
        <f t="shared" si="143"/>
        <v>0</v>
      </c>
      <c r="BP238" s="388">
        <f t="shared" si="144"/>
        <v>0</v>
      </c>
      <c r="BQ238" s="388">
        <f t="shared" si="145"/>
        <v>0</v>
      </c>
      <c r="BR238" s="388">
        <f t="shared" si="146"/>
        <v>0</v>
      </c>
      <c r="BS238" s="388">
        <f t="shared" si="147"/>
        <v>0</v>
      </c>
      <c r="BT238" s="388">
        <f t="shared" si="148"/>
        <v>0</v>
      </c>
      <c r="BU238" s="388">
        <f t="shared" si="149"/>
        <v>0</v>
      </c>
      <c r="BV238" s="388">
        <f t="shared" si="150"/>
        <v>0</v>
      </c>
      <c r="BW238" s="388">
        <f t="shared" si="151"/>
        <v>0</v>
      </c>
      <c r="BX238" s="388">
        <f t="shared" si="166"/>
        <v>0</v>
      </c>
      <c r="BY238" s="388">
        <f t="shared" si="167"/>
        <v>0</v>
      </c>
      <c r="BZ238" s="388">
        <f t="shared" si="168"/>
        <v>0</v>
      </c>
      <c r="CA238" s="388">
        <f t="shared" si="169"/>
        <v>0</v>
      </c>
      <c r="CB238" s="388">
        <f t="shared" si="170"/>
        <v>0</v>
      </c>
      <c r="CC238" s="388">
        <f t="shared" si="152"/>
        <v>0</v>
      </c>
      <c r="CD238" s="388">
        <f t="shared" si="153"/>
        <v>0</v>
      </c>
      <c r="CE238" s="388">
        <f t="shared" si="154"/>
        <v>0</v>
      </c>
      <c r="CF238" s="388">
        <f t="shared" si="155"/>
        <v>0</v>
      </c>
      <c r="CG238" s="388">
        <f t="shared" si="156"/>
        <v>0</v>
      </c>
      <c r="CH238" s="388">
        <f t="shared" si="157"/>
        <v>0</v>
      </c>
      <c r="CI238" s="388">
        <f t="shared" si="158"/>
        <v>0</v>
      </c>
      <c r="CJ238" s="388">
        <f t="shared" si="171"/>
        <v>0</v>
      </c>
      <c r="CK238" s="388" t="str">
        <f t="shared" si="172"/>
        <v/>
      </c>
      <c r="CL238" s="388" t="str">
        <f t="shared" si="173"/>
        <v/>
      </c>
      <c r="CM238" s="388" t="str">
        <f t="shared" si="174"/>
        <v/>
      </c>
      <c r="CN238" s="388" t="str">
        <f t="shared" si="175"/>
        <v>0345-00</v>
      </c>
    </row>
    <row r="239" spans="1:92" ht="15.75" thickBot="1" x14ac:dyDescent="0.3">
      <c r="A239" s="377" t="s">
        <v>162</v>
      </c>
      <c r="B239" s="377" t="s">
        <v>163</v>
      </c>
      <c r="C239" s="377" t="s">
        <v>275</v>
      </c>
      <c r="D239" s="377" t="s">
        <v>276</v>
      </c>
      <c r="E239" s="377" t="s">
        <v>768</v>
      </c>
      <c r="F239" s="378" t="s">
        <v>167</v>
      </c>
      <c r="G239" s="377" t="s">
        <v>764</v>
      </c>
      <c r="H239" s="379"/>
      <c r="I239" s="379"/>
      <c r="J239" s="377" t="s">
        <v>219</v>
      </c>
      <c r="K239" s="377" t="s">
        <v>277</v>
      </c>
      <c r="L239" s="377" t="s">
        <v>215</v>
      </c>
      <c r="M239" s="377" t="s">
        <v>172</v>
      </c>
      <c r="N239" s="377" t="s">
        <v>173</v>
      </c>
      <c r="O239" s="380">
        <v>1</v>
      </c>
      <c r="P239" s="386">
        <v>0</v>
      </c>
      <c r="Q239" s="386">
        <v>0</v>
      </c>
      <c r="R239" s="381">
        <v>80</v>
      </c>
      <c r="S239" s="386">
        <v>0</v>
      </c>
      <c r="T239" s="381">
        <v>228.8</v>
      </c>
      <c r="U239" s="381">
        <v>0</v>
      </c>
      <c r="V239" s="381">
        <v>117.3</v>
      </c>
      <c r="W239" s="381">
        <v>0</v>
      </c>
      <c r="X239" s="381">
        <v>0</v>
      </c>
      <c r="Y239" s="381">
        <v>0</v>
      </c>
      <c r="Z239" s="381">
        <v>0</v>
      </c>
      <c r="AA239" s="377" t="s">
        <v>278</v>
      </c>
      <c r="AB239" s="377" t="s">
        <v>279</v>
      </c>
      <c r="AC239" s="377" t="s">
        <v>280</v>
      </c>
      <c r="AD239" s="377" t="s">
        <v>215</v>
      </c>
      <c r="AE239" s="377" t="s">
        <v>277</v>
      </c>
      <c r="AF239" s="377" t="s">
        <v>231</v>
      </c>
      <c r="AG239" s="377" t="s">
        <v>179</v>
      </c>
      <c r="AH239" s="382">
        <v>27.22</v>
      </c>
      <c r="AI239" s="382">
        <v>5282.7</v>
      </c>
      <c r="AJ239" s="377" t="s">
        <v>180</v>
      </c>
      <c r="AK239" s="377" t="s">
        <v>181</v>
      </c>
      <c r="AL239" s="377" t="s">
        <v>182</v>
      </c>
      <c r="AM239" s="377" t="s">
        <v>183</v>
      </c>
      <c r="AN239" s="377" t="s">
        <v>66</v>
      </c>
      <c r="AO239" s="380">
        <v>80</v>
      </c>
      <c r="AP239" s="386">
        <v>1</v>
      </c>
      <c r="AQ239" s="386">
        <v>0</v>
      </c>
      <c r="AR239" s="384" t="s">
        <v>184</v>
      </c>
      <c r="AS239" s="388">
        <f t="shared" si="159"/>
        <v>0</v>
      </c>
      <c r="AT239">
        <f t="shared" si="160"/>
        <v>0</v>
      </c>
      <c r="AU239" s="388" t="str">
        <f>IF(AT239=0,"",IF(AND(AT239=1,M239="F",SUMIF(C2:C258,C239,AS2:AS258)&lt;=1),SUMIF(C2:C258,C239,AS2:AS258),IF(AND(AT239=1,M239="F",SUMIF(C2:C258,C239,AS2:AS258)&gt;1),1,"")))</f>
        <v/>
      </c>
      <c r="AV239" s="388" t="str">
        <f>IF(AT239=0,"",IF(AND(AT239=3,M239="F",SUMIF(C2:C258,C239,AS2:AS258)&lt;=1),SUMIF(C2:C258,C239,AS2:AS258),IF(AND(AT239=3,M239="F",SUMIF(C2:C258,C239,AS2:AS258)&gt;1),1,"")))</f>
        <v/>
      </c>
      <c r="AW239" s="388">
        <f>SUMIF(C2:C258,C239,O2:O258)</f>
        <v>3</v>
      </c>
      <c r="AX239" s="388">
        <f>IF(AND(M239="F",AS239&lt;&gt;0),SUMIF(C2:C258,C239,W2:W258),0)</f>
        <v>0</v>
      </c>
      <c r="AY239" s="388" t="str">
        <f t="shared" si="161"/>
        <v/>
      </c>
      <c r="AZ239" s="388" t="str">
        <f t="shared" si="162"/>
        <v/>
      </c>
      <c r="BA239" s="388">
        <f t="shared" si="163"/>
        <v>0</v>
      </c>
      <c r="BB239" s="388">
        <f t="shared" si="132"/>
        <v>0</v>
      </c>
      <c r="BC239" s="388">
        <f t="shared" si="133"/>
        <v>0</v>
      </c>
      <c r="BD239" s="388">
        <f t="shared" si="134"/>
        <v>0</v>
      </c>
      <c r="BE239" s="388">
        <f t="shared" si="135"/>
        <v>0</v>
      </c>
      <c r="BF239" s="388">
        <f t="shared" si="136"/>
        <v>0</v>
      </c>
      <c r="BG239" s="388">
        <f t="shared" si="137"/>
        <v>0</v>
      </c>
      <c r="BH239" s="388">
        <f t="shared" si="138"/>
        <v>0</v>
      </c>
      <c r="BI239" s="388">
        <f t="shared" si="139"/>
        <v>0</v>
      </c>
      <c r="BJ239" s="388">
        <f t="shared" si="140"/>
        <v>0</v>
      </c>
      <c r="BK239" s="388">
        <f t="shared" si="141"/>
        <v>0</v>
      </c>
      <c r="BL239" s="388">
        <f t="shared" si="164"/>
        <v>0</v>
      </c>
      <c r="BM239" s="388">
        <f t="shared" si="165"/>
        <v>0</v>
      </c>
      <c r="BN239" s="388">
        <f t="shared" si="142"/>
        <v>0</v>
      </c>
      <c r="BO239" s="388">
        <f t="shared" si="143"/>
        <v>0</v>
      </c>
      <c r="BP239" s="388">
        <f t="shared" si="144"/>
        <v>0</v>
      </c>
      <c r="BQ239" s="388">
        <f t="shared" si="145"/>
        <v>0</v>
      </c>
      <c r="BR239" s="388">
        <f t="shared" si="146"/>
        <v>0</v>
      </c>
      <c r="BS239" s="388">
        <f t="shared" si="147"/>
        <v>0</v>
      </c>
      <c r="BT239" s="388">
        <f t="shared" si="148"/>
        <v>0</v>
      </c>
      <c r="BU239" s="388">
        <f t="shared" si="149"/>
        <v>0</v>
      </c>
      <c r="BV239" s="388">
        <f t="shared" si="150"/>
        <v>0</v>
      </c>
      <c r="BW239" s="388">
        <f t="shared" si="151"/>
        <v>0</v>
      </c>
      <c r="BX239" s="388">
        <f t="shared" si="166"/>
        <v>0</v>
      </c>
      <c r="BY239" s="388">
        <f t="shared" si="167"/>
        <v>0</v>
      </c>
      <c r="BZ239" s="388">
        <f t="shared" si="168"/>
        <v>0</v>
      </c>
      <c r="CA239" s="388">
        <f t="shared" si="169"/>
        <v>0</v>
      </c>
      <c r="CB239" s="388">
        <f t="shared" si="170"/>
        <v>0</v>
      </c>
      <c r="CC239" s="388">
        <f t="shared" si="152"/>
        <v>0</v>
      </c>
      <c r="CD239" s="388">
        <f t="shared" si="153"/>
        <v>0</v>
      </c>
      <c r="CE239" s="388">
        <f t="shared" si="154"/>
        <v>0</v>
      </c>
      <c r="CF239" s="388">
        <f t="shared" si="155"/>
        <v>0</v>
      </c>
      <c r="CG239" s="388">
        <f t="shared" si="156"/>
        <v>0</v>
      </c>
      <c r="CH239" s="388">
        <f t="shared" si="157"/>
        <v>0</v>
      </c>
      <c r="CI239" s="388">
        <f t="shared" si="158"/>
        <v>0</v>
      </c>
      <c r="CJ239" s="388">
        <f t="shared" si="171"/>
        <v>0</v>
      </c>
      <c r="CK239" s="388" t="str">
        <f t="shared" si="172"/>
        <v/>
      </c>
      <c r="CL239" s="388" t="str">
        <f t="shared" si="173"/>
        <v/>
      </c>
      <c r="CM239" s="388" t="str">
        <f t="shared" si="174"/>
        <v/>
      </c>
      <c r="CN239" s="388" t="str">
        <f t="shared" si="175"/>
        <v>0345-00</v>
      </c>
    </row>
    <row r="240" spans="1:92" ht="15.75" thickBot="1" x14ac:dyDescent="0.3">
      <c r="A240" s="377" t="s">
        <v>162</v>
      </c>
      <c r="B240" s="377" t="s">
        <v>163</v>
      </c>
      <c r="C240" s="377" t="s">
        <v>546</v>
      </c>
      <c r="D240" s="377" t="s">
        <v>282</v>
      </c>
      <c r="E240" s="377" t="s">
        <v>768</v>
      </c>
      <c r="F240" s="378" t="s">
        <v>167</v>
      </c>
      <c r="G240" s="377" t="s">
        <v>764</v>
      </c>
      <c r="H240" s="379"/>
      <c r="I240" s="379"/>
      <c r="J240" s="377" t="s">
        <v>547</v>
      </c>
      <c r="K240" s="377" t="s">
        <v>244</v>
      </c>
      <c r="L240" s="377" t="s">
        <v>167</v>
      </c>
      <c r="M240" s="377" t="s">
        <v>172</v>
      </c>
      <c r="N240" s="377" t="s">
        <v>173</v>
      </c>
      <c r="O240" s="380">
        <v>1</v>
      </c>
      <c r="P240" s="386">
        <v>0</v>
      </c>
      <c r="Q240" s="386">
        <v>0</v>
      </c>
      <c r="R240" s="381">
        <v>80</v>
      </c>
      <c r="S240" s="386">
        <v>0</v>
      </c>
      <c r="T240" s="381">
        <v>8358.2099999999991</v>
      </c>
      <c r="U240" s="381">
        <v>0</v>
      </c>
      <c r="V240" s="381">
        <v>2700.56</v>
      </c>
      <c r="W240" s="381">
        <v>0</v>
      </c>
      <c r="X240" s="381">
        <v>0</v>
      </c>
      <c r="Y240" s="381">
        <v>0</v>
      </c>
      <c r="Z240" s="381">
        <v>0</v>
      </c>
      <c r="AA240" s="377" t="s">
        <v>548</v>
      </c>
      <c r="AB240" s="377" t="s">
        <v>549</v>
      </c>
      <c r="AC240" s="377" t="s">
        <v>550</v>
      </c>
      <c r="AD240" s="377" t="s">
        <v>211</v>
      </c>
      <c r="AE240" s="377" t="s">
        <v>244</v>
      </c>
      <c r="AF240" s="377" t="s">
        <v>207</v>
      </c>
      <c r="AG240" s="377" t="s">
        <v>179</v>
      </c>
      <c r="AH240" s="382">
        <v>46.01</v>
      </c>
      <c r="AI240" s="382">
        <v>45530.2</v>
      </c>
      <c r="AJ240" s="377" t="s">
        <v>180</v>
      </c>
      <c r="AK240" s="377" t="s">
        <v>181</v>
      </c>
      <c r="AL240" s="377" t="s">
        <v>182</v>
      </c>
      <c r="AM240" s="377" t="s">
        <v>183</v>
      </c>
      <c r="AN240" s="377" t="s">
        <v>66</v>
      </c>
      <c r="AO240" s="380">
        <v>80</v>
      </c>
      <c r="AP240" s="386">
        <v>1</v>
      </c>
      <c r="AQ240" s="386">
        <v>0</v>
      </c>
      <c r="AR240" s="384" t="s">
        <v>184</v>
      </c>
      <c r="AS240" s="388">
        <f t="shared" si="159"/>
        <v>0</v>
      </c>
      <c r="AT240">
        <f t="shared" si="160"/>
        <v>0</v>
      </c>
      <c r="AU240" s="388" t="str">
        <f>IF(AT240=0,"",IF(AND(AT240=1,M240="F",SUMIF(C2:C258,C240,AS2:AS258)&lt;=1),SUMIF(C2:C258,C240,AS2:AS258),IF(AND(AT240=1,M240="F",SUMIF(C2:C258,C240,AS2:AS258)&gt;1),1,"")))</f>
        <v/>
      </c>
      <c r="AV240" s="388" t="str">
        <f>IF(AT240=0,"",IF(AND(AT240=3,M240="F",SUMIF(C2:C258,C240,AS2:AS258)&lt;=1),SUMIF(C2:C258,C240,AS2:AS258),IF(AND(AT240=3,M240="F",SUMIF(C2:C258,C240,AS2:AS258)&gt;1),1,"")))</f>
        <v/>
      </c>
      <c r="AW240" s="388">
        <f>SUMIF(C2:C258,C240,O2:O258)</f>
        <v>5</v>
      </c>
      <c r="AX240" s="388">
        <f>IF(AND(M240="F",AS240&lt;&gt;0),SUMIF(C2:C258,C240,W2:W258),0)</f>
        <v>0</v>
      </c>
      <c r="AY240" s="388" t="str">
        <f t="shared" si="161"/>
        <v/>
      </c>
      <c r="AZ240" s="388" t="str">
        <f t="shared" si="162"/>
        <v/>
      </c>
      <c r="BA240" s="388">
        <f t="shared" si="163"/>
        <v>0</v>
      </c>
      <c r="BB240" s="388">
        <f t="shared" si="132"/>
        <v>0</v>
      </c>
      <c r="BC240" s="388">
        <f t="shared" si="133"/>
        <v>0</v>
      </c>
      <c r="BD240" s="388">
        <f t="shared" si="134"/>
        <v>0</v>
      </c>
      <c r="BE240" s="388">
        <f t="shared" si="135"/>
        <v>0</v>
      </c>
      <c r="BF240" s="388">
        <f t="shared" si="136"/>
        <v>0</v>
      </c>
      <c r="BG240" s="388">
        <f t="shared" si="137"/>
        <v>0</v>
      </c>
      <c r="BH240" s="388">
        <f t="shared" si="138"/>
        <v>0</v>
      </c>
      <c r="BI240" s="388">
        <f t="shared" si="139"/>
        <v>0</v>
      </c>
      <c r="BJ240" s="388">
        <f t="shared" si="140"/>
        <v>0</v>
      </c>
      <c r="BK240" s="388">
        <f t="shared" si="141"/>
        <v>0</v>
      </c>
      <c r="BL240" s="388">
        <f t="shared" si="164"/>
        <v>0</v>
      </c>
      <c r="BM240" s="388">
        <f t="shared" si="165"/>
        <v>0</v>
      </c>
      <c r="BN240" s="388">
        <f t="shared" si="142"/>
        <v>0</v>
      </c>
      <c r="BO240" s="388">
        <f t="shared" si="143"/>
        <v>0</v>
      </c>
      <c r="BP240" s="388">
        <f t="shared" si="144"/>
        <v>0</v>
      </c>
      <c r="BQ240" s="388">
        <f t="shared" si="145"/>
        <v>0</v>
      </c>
      <c r="BR240" s="388">
        <f t="shared" si="146"/>
        <v>0</v>
      </c>
      <c r="BS240" s="388">
        <f t="shared" si="147"/>
        <v>0</v>
      </c>
      <c r="BT240" s="388">
        <f t="shared" si="148"/>
        <v>0</v>
      </c>
      <c r="BU240" s="388">
        <f t="shared" si="149"/>
        <v>0</v>
      </c>
      <c r="BV240" s="388">
        <f t="shared" si="150"/>
        <v>0</v>
      </c>
      <c r="BW240" s="388">
        <f t="shared" si="151"/>
        <v>0</v>
      </c>
      <c r="BX240" s="388">
        <f t="shared" si="166"/>
        <v>0</v>
      </c>
      <c r="BY240" s="388">
        <f t="shared" si="167"/>
        <v>0</v>
      </c>
      <c r="BZ240" s="388">
        <f t="shared" si="168"/>
        <v>0</v>
      </c>
      <c r="CA240" s="388">
        <f t="shared" si="169"/>
        <v>0</v>
      </c>
      <c r="CB240" s="388">
        <f t="shared" si="170"/>
        <v>0</v>
      </c>
      <c r="CC240" s="388">
        <f t="shared" si="152"/>
        <v>0</v>
      </c>
      <c r="CD240" s="388">
        <f t="shared" si="153"/>
        <v>0</v>
      </c>
      <c r="CE240" s="388">
        <f t="shared" si="154"/>
        <v>0</v>
      </c>
      <c r="CF240" s="388">
        <f t="shared" si="155"/>
        <v>0</v>
      </c>
      <c r="CG240" s="388">
        <f t="shared" si="156"/>
        <v>0</v>
      </c>
      <c r="CH240" s="388">
        <f t="shared" si="157"/>
        <v>0</v>
      </c>
      <c r="CI240" s="388">
        <f t="shared" si="158"/>
        <v>0</v>
      </c>
      <c r="CJ240" s="388">
        <f t="shared" si="171"/>
        <v>0</v>
      </c>
      <c r="CK240" s="388" t="str">
        <f t="shared" si="172"/>
        <v/>
      </c>
      <c r="CL240" s="388" t="str">
        <f t="shared" si="173"/>
        <v/>
      </c>
      <c r="CM240" s="388" t="str">
        <f t="shared" si="174"/>
        <v/>
      </c>
      <c r="CN240" s="388" t="str">
        <f t="shared" si="175"/>
        <v>0345-00</v>
      </c>
    </row>
    <row r="241" spans="1:92" ht="15.75" thickBot="1" x14ac:dyDescent="0.3">
      <c r="A241" s="377" t="s">
        <v>162</v>
      </c>
      <c r="B241" s="377" t="s">
        <v>163</v>
      </c>
      <c r="C241" s="377" t="s">
        <v>678</v>
      </c>
      <c r="D241" s="377" t="s">
        <v>282</v>
      </c>
      <c r="E241" s="377" t="s">
        <v>768</v>
      </c>
      <c r="F241" s="378" t="s">
        <v>167</v>
      </c>
      <c r="G241" s="377" t="s">
        <v>764</v>
      </c>
      <c r="H241" s="379"/>
      <c r="I241" s="379"/>
      <c r="J241" s="377" t="s">
        <v>547</v>
      </c>
      <c r="K241" s="377" t="s">
        <v>244</v>
      </c>
      <c r="L241" s="377" t="s">
        <v>167</v>
      </c>
      <c r="M241" s="377" t="s">
        <v>395</v>
      </c>
      <c r="N241" s="377" t="s">
        <v>173</v>
      </c>
      <c r="O241" s="380">
        <v>0</v>
      </c>
      <c r="P241" s="386">
        <v>0.25</v>
      </c>
      <c r="Q241" s="386">
        <v>0.25</v>
      </c>
      <c r="R241" s="381">
        <v>80</v>
      </c>
      <c r="S241" s="386">
        <v>0.25</v>
      </c>
      <c r="T241" s="381">
        <v>32022.16</v>
      </c>
      <c r="U241" s="381">
        <v>0</v>
      </c>
      <c r="V241" s="381">
        <v>10339.65</v>
      </c>
      <c r="W241" s="381">
        <v>21096.400000000001</v>
      </c>
      <c r="X241" s="381">
        <v>9493.3799999999992</v>
      </c>
      <c r="Y241" s="381">
        <v>21096.400000000001</v>
      </c>
      <c r="Z241" s="381">
        <v>9830.92</v>
      </c>
      <c r="AA241" s="379"/>
      <c r="AB241" s="377" t="s">
        <v>45</v>
      </c>
      <c r="AC241" s="377" t="s">
        <v>45</v>
      </c>
      <c r="AD241" s="379"/>
      <c r="AE241" s="379"/>
      <c r="AF241" s="379"/>
      <c r="AG241" s="379"/>
      <c r="AH241" s="380">
        <v>0</v>
      </c>
      <c r="AI241" s="380">
        <v>0</v>
      </c>
      <c r="AJ241" s="379"/>
      <c r="AK241" s="379"/>
      <c r="AL241" s="377" t="s">
        <v>182</v>
      </c>
      <c r="AM241" s="379"/>
      <c r="AN241" s="379"/>
      <c r="AO241" s="380">
        <v>0</v>
      </c>
      <c r="AP241" s="386">
        <v>0</v>
      </c>
      <c r="AQ241" s="386">
        <v>0</v>
      </c>
      <c r="AR241" s="385"/>
      <c r="AS241" s="388">
        <f t="shared" si="159"/>
        <v>0</v>
      </c>
      <c r="AT241">
        <f t="shared" si="160"/>
        <v>0</v>
      </c>
      <c r="AU241" s="388" t="str">
        <f>IF(AT241=0,"",IF(AND(AT241=1,M241="F",SUMIF(C2:C258,C241,AS2:AS258)&lt;=1),SUMIF(C2:C258,C241,AS2:AS258),IF(AND(AT241=1,M241="F",SUMIF(C2:C258,C241,AS2:AS258)&gt;1),1,"")))</f>
        <v/>
      </c>
      <c r="AV241" s="388" t="str">
        <f>IF(AT241=0,"",IF(AND(AT241=3,M241="F",SUMIF(C2:C258,C241,AS2:AS258)&lt;=1),SUMIF(C2:C258,C241,AS2:AS258),IF(AND(AT241=3,M241="F",SUMIF(C2:C258,C241,AS2:AS258)&gt;1),1,"")))</f>
        <v/>
      </c>
      <c r="AW241" s="388">
        <f>SUMIF(C2:C258,C241,O2:O258)</f>
        <v>0</v>
      </c>
      <c r="AX241" s="388">
        <f>IF(AND(M241="F",AS241&lt;&gt;0),SUMIF(C2:C258,C241,W2:W258),0)</f>
        <v>0</v>
      </c>
      <c r="AY241" s="388" t="str">
        <f t="shared" si="161"/>
        <v/>
      </c>
      <c r="AZ241" s="388" t="str">
        <f t="shared" si="162"/>
        <v/>
      </c>
      <c r="BA241" s="388">
        <f t="shared" si="163"/>
        <v>0</v>
      </c>
      <c r="BB241" s="388">
        <f t="shared" si="132"/>
        <v>0</v>
      </c>
      <c r="BC241" s="388">
        <f t="shared" si="133"/>
        <v>0</v>
      </c>
      <c r="BD241" s="388">
        <f t="shared" si="134"/>
        <v>0</v>
      </c>
      <c r="BE241" s="388">
        <f t="shared" si="135"/>
        <v>0</v>
      </c>
      <c r="BF241" s="388">
        <f t="shared" si="136"/>
        <v>0</v>
      </c>
      <c r="BG241" s="388">
        <f t="shared" si="137"/>
        <v>0</v>
      </c>
      <c r="BH241" s="388">
        <f t="shared" si="138"/>
        <v>0</v>
      </c>
      <c r="BI241" s="388">
        <f t="shared" si="139"/>
        <v>0</v>
      </c>
      <c r="BJ241" s="388">
        <f t="shared" si="140"/>
        <v>0</v>
      </c>
      <c r="BK241" s="388">
        <f t="shared" si="141"/>
        <v>0</v>
      </c>
      <c r="BL241" s="388">
        <f t="shared" si="164"/>
        <v>0</v>
      </c>
      <c r="BM241" s="388">
        <f t="shared" si="165"/>
        <v>0</v>
      </c>
      <c r="BN241" s="388">
        <f t="shared" si="142"/>
        <v>0</v>
      </c>
      <c r="BO241" s="388">
        <f t="shared" si="143"/>
        <v>0</v>
      </c>
      <c r="BP241" s="388">
        <f t="shared" si="144"/>
        <v>0</v>
      </c>
      <c r="BQ241" s="388">
        <f t="shared" si="145"/>
        <v>0</v>
      </c>
      <c r="BR241" s="388">
        <f t="shared" si="146"/>
        <v>0</v>
      </c>
      <c r="BS241" s="388">
        <f t="shared" si="147"/>
        <v>0</v>
      </c>
      <c r="BT241" s="388">
        <f t="shared" si="148"/>
        <v>0</v>
      </c>
      <c r="BU241" s="388">
        <f t="shared" si="149"/>
        <v>0</v>
      </c>
      <c r="BV241" s="388">
        <f t="shared" si="150"/>
        <v>0</v>
      </c>
      <c r="BW241" s="388">
        <f t="shared" si="151"/>
        <v>0</v>
      </c>
      <c r="BX241" s="388">
        <f t="shared" si="166"/>
        <v>0</v>
      </c>
      <c r="BY241" s="388">
        <f t="shared" si="167"/>
        <v>0</v>
      </c>
      <c r="BZ241" s="388">
        <f t="shared" si="168"/>
        <v>0</v>
      </c>
      <c r="CA241" s="388">
        <f t="shared" si="169"/>
        <v>0</v>
      </c>
      <c r="CB241" s="388">
        <f t="shared" si="170"/>
        <v>0</v>
      </c>
      <c r="CC241" s="388">
        <f t="shared" si="152"/>
        <v>0</v>
      </c>
      <c r="CD241" s="388">
        <f t="shared" si="153"/>
        <v>0</v>
      </c>
      <c r="CE241" s="388">
        <f t="shared" si="154"/>
        <v>0</v>
      </c>
      <c r="CF241" s="388">
        <f t="shared" si="155"/>
        <v>0</v>
      </c>
      <c r="CG241" s="388">
        <f t="shared" si="156"/>
        <v>0</v>
      </c>
      <c r="CH241" s="388">
        <f t="shared" si="157"/>
        <v>0</v>
      </c>
      <c r="CI241" s="388">
        <f t="shared" si="158"/>
        <v>0</v>
      </c>
      <c r="CJ241" s="388">
        <f t="shared" si="171"/>
        <v>0</v>
      </c>
      <c r="CK241" s="388" t="str">
        <f t="shared" si="172"/>
        <v/>
      </c>
      <c r="CL241" s="388" t="str">
        <f t="shared" si="173"/>
        <v/>
      </c>
      <c r="CM241" s="388" t="str">
        <f t="shared" si="174"/>
        <v/>
      </c>
      <c r="CN241" s="388" t="str">
        <f t="shared" si="175"/>
        <v>0345-00</v>
      </c>
    </row>
    <row r="242" spans="1:92" ht="15.75" thickBot="1" x14ac:dyDescent="0.3">
      <c r="A242" s="377" t="s">
        <v>162</v>
      </c>
      <c r="B242" s="377" t="s">
        <v>163</v>
      </c>
      <c r="C242" s="377" t="s">
        <v>691</v>
      </c>
      <c r="D242" s="377" t="s">
        <v>300</v>
      </c>
      <c r="E242" s="377" t="s">
        <v>768</v>
      </c>
      <c r="F242" s="378" t="s">
        <v>167</v>
      </c>
      <c r="G242" s="377" t="s">
        <v>764</v>
      </c>
      <c r="H242" s="379"/>
      <c r="I242" s="379"/>
      <c r="J242" s="377" t="s">
        <v>219</v>
      </c>
      <c r="K242" s="377" t="s">
        <v>301</v>
      </c>
      <c r="L242" s="377" t="s">
        <v>167</v>
      </c>
      <c r="M242" s="377" t="s">
        <v>172</v>
      </c>
      <c r="N242" s="377" t="s">
        <v>173</v>
      </c>
      <c r="O242" s="380">
        <v>1</v>
      </c>
      <c r="P242" s="386">
        <v>1</v>
      </c>
      <c r="Q242" s="386">
        <v>1</v>
      </c>
      <c r="R242" s="381">
        <v>80</v>
      </c>
      <c r="S242" s="386">
        <v>1</v>
      </c>
      <c r="T242" s="381">
        <v>35204.89</v>
      </c>
      <c r="U242" s="381">
        <v>0</v>
      </c>
      <c r="V242" s="381">
        <v>12873.51</v>
      </c>
      <c r="W242" s="381">
        <v>70054.399999999994</v>
      </c>
      <c r="X242" s="381">
        <v>26973.919999999998</v>
      </c>
      <c r="Y242" s="381">
        <v>70054.399999999994</v>
      </c>
      <c r="Z242" s="381">
        <v>27719.53</v>
      </c>
      <c r="AA242" s="377" t="s">
        <v>692</v>
      </c>
      <c r="AB242" s="377" t="s">
        <v>364</v>
      </c>
      <c r="AC242" s="377" t="s">
        <v>320</v>
      </c>
      <c r="AD242" s="377" t="s">
        <v>598</v>
      </c>
      <c r="AE242" s="377" t="s">
        <v>301</v>
      </c>
      <c r="AF242" s="377" t="s">
        <v>207</v>
      </c>
      <c r="AG242" s="377" t="s">
        <v>179</v>
      </c>
      <c r="AH242" s="382">
        <v>33.68</v>
      </c>
      <c r="AI242" s="380">
        <v>2560</v>
      </c>
      <c r="AJ242" s="377" t="s">
        <v>180</v>
      </c>
      <c r="AK242" s="377" t="s">
        <v>181</v>
      </c>
      <c r="AL242" s="377" t="s">
        <v>182</v>
      </c>
      <c r="AM242" s="377" t="s">
        <v>183</v>
      </c>
      <c r="AN242" s="377" t="s">
        <v>66</v>
      </c>
      <c r="AO242" s="380">
        <v>80</v>
      </c>
      <c r="AP242" s="386">
        <v>1</v>
      </c>
      <c r="AQ242" s="386">
        <v>1</v>
      </c>
      <c r="AR242" s="384" t="s">
        <v>184</v>
      </c>
      <c r="AS242" s="388">
        <f t="shared" si="159"/>
        <v>1</v>
      </c>
      <c r="AT242">
        <f t="shared" si="160"/>
        <v>1</v>
      </c>
      <c r="AU242" s="388">
        <f>IF(AT242=0,"",IF(AND(AT242=1,M242="F",SUMIF(C2:C258,C242,AS2:AS258)&lt;=1),SUMIF(C2:C258,C242,AS2:AS258),IF(AND(AT242=1,M242="F",SUMIF(C2:C258,C242,AS2:AS258)&gt;1),1,"")))</f>
        <v>1</v>
      </c>
      <c r="AV242" s="388" t="str">
        <f>IF(AT242=0,"",IF(AND(AT242=3,M242="F",SUMIF(C2:C258,C242,AS2:AS258)&lt;=1),SUMIF(C2:C258,C242,AS2:AS258),IF(AND(AT242=3,M242="F",SUMIF(C2:C258,C242,AS2:AS258)&gt;1),1,"")))</f>
        <v/>
      </c>
      <c r="AW242" s="388">
        <f>SUMIF(C2:C258,C242,O2:O258)</f>
        <v>3</v>
      </c>
      <c r="AX242" s="388">
        <f>IF(AND(M242="F",AS242&lt;&gt;0),SUMIF(C2:C258,C242,W2:W258),0)</f>
        <v>70054.399999999994</v>
      </c>
      <c r="AY242" s="388">
        <f t="shared" si="161"/>
        <v>70054.399999999994</v>
      </c>
      <c r="AZ242" s="388" t="str">
        <f t="shared" si="162"/>
        <v/>
      </c>
      <c r="BA242" s="388">
        <f t="shared" si="163"/>
        <v>0</v>
      </c>
      <c r="BB242" s="388">
        <f t="shared" si="132"/>
        <v>12500</v>
      </c>
      <c r="BC242" s="388">
        <f t="shared" si="133"/>
        <v>0</v>
      </c>
      <c r="BD242" s="388">
        <f t="shared" si="134"/>
        <v>4343.3727999999992</v>
      </c>
      <c r="BE242" s="388">
        <f t="shared" si="135"/>
        <v>1015.7887999999999</v>
      </c>
      <c r="BF242" s="388">
        <f t="shared" si="136"/>
        <v>8364.495359999999</v>
      </c>
      <c r="BG242" s="388">
        <f t="shared" si="137"/>
        <v>505.09222399999999</v>
      </c>
      <c r="BH242" s="388">
        <f t="shared" si="138"/>
        <v>0</v>
      </c>
      <c r="BI242" s="388">
        <f t="shared" si="139"/>
        <v>0</v>
      </c>
      <c r="BJ242" s="388">
        <f t="shared" si="140"/>
        <v>245.19039999999998</v>
      </c>
      <c r="BK242" s="388">
        <f t="shared" si="141"/>
        <v>0</v>
      </c>
      <c r="BL242" s="388">
        <f t="shared" si="164"/>
        <v>14473.939583999998</v>
      </c>
      <c r="BM242" s="388">
        <f t="shared" si="165"/>
        <v>0</v>
      </c>
      <c r="BN242" s="388">
        <f t="shared" si="142"/>
        <v>13750</v>
      </c>
      <c r="BO242" s="388">
        <f t="shared" si="143"/>
        <v>0</v>
      </c>
      <c r="BP242" s="388">
        <f t="shared" si="144"/>
        <v>4343.3727999999992</v>
      </c>
      <c r="BQ242" s="388">
        <f t="shared" si="145"/>
        <v>1015.7887999999999</v>
      </c>
      <c r="BR242" s="388">
        <f t="shared" si="146"/>
        <v>7832.0819199999987</v>
      </c>
      <c r="BS242" s="388">
        <f t="shared" si="147"/>
        <v>505.09222399999999</v>
      </c>
      <c r="BT242" s="388">
        <f t="shared" si="148"/>
        <v>0</v>
      </c>
      <c r="BU242" s="388">
        <f t="shared" si="149"/>
        <v>0</v>
      </c>
      <c r="BV242" s="388">
        <f t="shared" si="150"/>
        <v>273.21215999999998</v>
      </c>
      <c r="BW242" s="388">
        <f t="shared" si="151"/>
        <v>0</v>
      </c>
      <c r="BX242" s="388">
        <f t="shared" si="166"/>
        <v>13969.547903999997</v>
      </c>
      <c r="BY242" s="388">
        <f t="shared" si="167"/>
        <v>0</v>
      </c>
      <c r="BZ242" s="388">
        <f t="shared" si="168"/>
        <v>1250</v>
      </c>
      <c r="CA242" s="388">
        <f t="shared" si="169"/>
        <v>0</v>
      </c>
      <c r="CB242" s="388">
        <f t="shared" si="170"/>
        <v>0</v>
      </c>
      <c r="CC242" s="388">
        <f t="shared" si="152"/>
        <v>0</v>
      </c>
      <c r="CD242" s="388">
        <f t="shared" si="153"/>
        <v>-532.41344000000061</v>
      </c>
      <c r="CE242" s="388">
        <f t="shared" si="154"/>
        <v>0</v>
      </c>
      <c r="CF242" s="388">
        <f t="shared" si="155"/>
        <v>0</v>
      </c>
      <c r="CG242" s="388">
        <f t="shared" si="156"/>
        <v>0</v>
      </c>
      <c r="CH242" s="388">
        <f t="shared" si="157"/>
        <v>28.021759999999979</v>
      </c>
      <c r="CI242" s="388">
        <f t="shared" si="158"/>
        <v>0</v>
      </c>
      <c r="CJ242" s="388">
        <f t="shared" si="171"/>
        <v>-504.39168000000063</v>
      </c>
      <c r="CK242" s="388" t="str">
        <f t="shared" si="172"/>
        <v/>
      </c>
      <c r="CL242" s="388" t="str">
        <f t="shared" si="173"/>
        <v/>
      </c>
      <c r="CM242" s="388" t="str">
        <f t="shared" si="174"/>
        <v/>
      </c>
      <c r="CN242" s="388" t="str">
        <f t="shared" si="175"/>
        <v>0345-00</v>
      </c>
    </row>
    <row r="243" spans="1:92" ht="15.75" thickBot="1" x14ac:dyDescent="0.3">
      <c r="A243" s="377" t="s">
        <v>162</v>
      </c>
      <c r="B243" s="377" t="s">
        <v>163</v>
      </c>
      <c r="C243" s="377" t="s">
        <v>693</v>
      </c>
      <c r="D243" s="377" t="s">
        <v>300</v>
      </c>
      <c r="E243" s="377" t="s">
        <v>768</v>
      </c>
      <c r="F243" s="378" t="s">
        <v>167</v>
      </c>
      <c r="G243" s="377" t="s">
        <v>764</v>
      </c>
      <c r="H243" s="379"/>
      <c r="I243" s="379"/>
      <c r="J243" s="377" t="s">
        <v>269</v>
      </c>
      <c r="K243" s="377" t="s">
        <v>301</v>
      </c>
      <c r="L243" s="377" t="s">
        <v>167</v>
      </c>
      <c r="M243" s="377" t="s">
        <v>172</v>
      </c>
      <c r="N243" s="377" t="s">
        <v>173</v>
      </c>
      <c r="O243" s="380">
        <v>1</v>
      </c>
      <c r="P243" s="386">
        <v>0</v>
      </c>
      <c r="Q243" s="386">
        <v>0</v>
      </c>
      <c r="R243" s="381">
        <v>80</v>
      </c>
      <c r="S243" s="386">
        <v>0</v>
      </c>
      <c r="T243" s="381">
        <v>62</v>
      </c>
      <c r="U243" s="381">
        <v>0</v>
      </c>
      <c r="V243" s="381">
        <v>26.18</v>
      </c>
      <c r="W243" s="381">
        <v>0</v>
      </c>
      <c r="X243" s="381">
        <v>0</v>
      </c>
      <c r="Y243" s="381">
        <v>0</v>
      </c>
      <c r="Z243" s="381">
        <v>0</v>
      </c>
      <c r="AA243" s="377" t="s">
        <v>694</v>
      </c>
      <c r="AB243" s="377" t="s">
        <v>695</v>
      </c>
      <c r="AC243" s="377" t="s">
        <v>696</v>
      </c>
      <c r="AD243" s="377" t="s">
        <v>697</v>
      </c>
      <c r="AE243" s="377" t="s">
        <v>301</v>
      </c>
      <c r="AF243" s="377" t="s">
        <v>207</v>
      </c>
      <c r="AG243" s="377" t="s">
        <v>179</v>
      </c>
      <c r="AH243" s="382">
        <v>35.159999999999997</v>
      </c>
      <c r="AI243" s="382">
        <v>5016.5</v>
      </c>
      <c r="AJ243" s="377" t="s">
        <v>180</v>
      </c>
      <c r="AK243" s="377" t="s">
        <v>181</v>
      </c>
      <c r="AL243" s="377" t="s">
        <v>182</v>
      </c>
      <c r="AM243" s="377" t="s">
        <v>183</v>
      </c>
      <c r="AN243" s="377" t="s">
        <v>66</v>
      </c>
      <c r="AO243" s="380">
        <v>80</v>
      </c>
      <c r="AP243" s="386">
        <v>1</v>
      </c>
      <c r="AQ243" s="386">
        <v>0</v>
      </c>
      <c r="AR243" s="384" t="s">
        <v>184</v>
      </c>
      <c r="AS243" s="388">
        <f t="shared" si="159"/>
        <v>0</v>
      </c>
      <c r="AT243">
        <f t="shared" si="160"/>
        <v>0</v>
      </c>
      <c r="AU243" s="388" t="str">
        <f>IF(AT243=0,"",IF(AND(AT243=1,M243="F",SUMIF(C2:C258,C243,AS2:AS258)&lt;=1),SUMIF(C2:C258,C243,AS2:AS258),IF(AND(AT243=1,M243="F",SUMIF(C2:C258,C243,AS2:AS258)&gt;1),1,"")))</f>
        <v/>
      </c>
      <c r="AV243" s="388" t="str">
        <f>IF(AT243=0,"",IF(AND(AT243=3,M243="F",SUMIF(C2:C258,C243,AS2:AS258)&lt;=1),SUMIF(C2:C258,C243,AS2:AS258),IF(AND(AT243=3,M243="F",SUMIF(C2:C258,C243,AS2:AS258)&gt;1),1,"")))</f>
        <v/>
      </c>
      <c r="AW243" s="388">
        <f>SUMIF(C2:C258,C243,O2:O258)</f>
        <v>3</v>
      </c>
      <c r="AX243" s="388">
        <f>IF(AND(M243="F",AS243&lt;&gt;0),SUMIF(C2:C258,C243,W2:W258),0)</f>
        <v>0</v>
      </c>
      <c r="AY243" s="388" t="str">
        <f t="shared" si="161"/>
        <v/>
      </c>
      <c r="AZ243" s="388" t="str">
        <f t="shared" si="162"/>
        <v/>
      </c>
      <c r="BA243" s="388">
        <f t="shared" si="163"/>
        <v>0</v>
      </c>
      <c r="BB243" s="388">
        <f t="shared" si="132"/>
        <v>0</v>
      </c>
      <c r="BC243" s="388">
        <f t="shared" si="133"/>
        <v>0</v>
      </c>
      <c r="BD243" s="388">
        <f t="shared" si="134"/>
        <v>0</v>
      </c>
      <c r="BE243" s="388">
        <f t="shared" si="135"/>
        <v>0</v>
      </c>
      <c r="BF243" s="388">
        <f t="shared" si="136"/>
        <v>0</v>
      </c>
      <c r="BG243" s="388">
        <f t="shared" si="137"/>
        <v>0</v>
      </c>
      <c r="BH243" s="388">
        <f t="shared" si="138"/>
        <v>0</v>
      </c>
      <c r="BI243" s="388">
        <f t="shared" si="139"/>
        <v>0</v>
      </c>
      <c r="BJ243" s="388">
        <f t="shared" si="140"/>
        <v>0</v>
      </c>
      <c r="BK243" s="388">
        <f t="shared" si="141"/>
        <v>0</v>
      </c>
      <c r="BL243" s="388">
        <f t="shared" si="164"/>
        <v>0</v>
      </c>
      <c r="BM243" s="388">
        <f t="shared" si="165"/>
        <v>0</v>
      </c>
      <c r="BN243" s="388">
        <f t="shared" si="142"/>
        <v>0</v>
      </c>
      <c r="BO243" s="388">
        <f t="shared" si="143"/>
        <v>0</v>
      </c>
      <c r="BP243" s="388">
        <f t="shared" si="144"/>
        <v>0</v>
      </c>
      <c r="BQ243" s="388">
        <f t="shared" si="145"/>
        <v>0</v>
      </c>
      <c r="BR243" s="388">
        <f t="shared" si="146"/>
        <v>0</v>
      </c>
      <c r="BS243" s="388">
        <f t="shared" si="147"/>
        <v>0</v>
      </c>
      <c r="BT243" s="388">
        <f t="shared" si="148"/>
        <v>0</v>
      </c>
      <c r="BU243" s="388">
        <f t="shared" si="149"/>
        <v>0</v>
      </c>
      <c r="BV243" s="388">
        <f t="shared" si="150"/>
        <v>0</v>
      </c>
      <c r="BW243" s="388">
        <f t="shared" si="151"/>
        <v>0</v>
      </c>
      <c r="BX243" s="388">
        <f t="shared" si="166"/>
        <v>0</v>
      </c>
      <c r="BY243" s="388">
        <f t="shared" si="167"/>
        <v>0</v>
      </c>
      <c r="BZ243" s="388">
        <f t="shared" si="168"/>
        <v>0</v>
      </c>
      <c r="CA243" s="388">
        <f t="shared" si="169"/>
        <v>0</v>
      </c>
      <c r="CB243" s="388">
        <f t="shared" si="170"/>
        <v>0</v>
      </c>
      <c r="CC243" s="388">
        <f t="shared" si="152"/>
        <v>0</v>
      </c>
      <c r="CD243" s="388">
        <f t="shared" si="153"/>
        <v>0</v>
      </c>
      <c r="CE243" s="388">
        <f t="shared" si="154"/>
        <v>0</v>
      </c>
      <c r="CF243" s="388">
        <f t="shared" si="155"/>
        <v>0</v>
      </c>
      <c r="CG243" s="388">
        <f t="shared" si="156"/>
        <v>0</v>
      </c>
      <c r="CH243" s="388">
        <f t="shared" si="157"/>
        <v>0</v>
      </c>
      <c r="CI243" s="388">
        <f t="shared" si="158"/>
        <v>0</v>
      </c>
      <c r="CJ243" s="388">
        <f t="shared" si="171"/>
        <v>0</v>
      </c>
      <c r="CK243" s="388" t="str">
        <f t="shared" si="172"/>
        <v/>
      </c>
      <c r="CL243" s="388" t="str">
        <f t="shared" si="173"/>
        <v/>
      </c>
      <c r="CM243" s="388" t="str">
        <f t="shared" si="174"/>
        <v/>
      </c>
      <c r="CN243" s="388" t="str">
        <f t="shared" si="175"/>
        <v>0345-00</v>
      </c>
    </row>
    <row r="244" spans="1:92" ht="15.75" thickBot="1" x14ac:dyDescent="0.3">
      <c r="A244" s="377" t="s">
        <v>162</v>
      </c>
      <c r="B244" s="377" t="s">
        <v>163</v>
      </c>
      <c r="C244" s="377" t="s">
        <v>698</v>
      </c>
      <c r="D244" s="377" t="s">
        <v>300</v>
      </c>
      <c r="E244" s="377" t="s">
        <v>768</v>
      </c>
      <c r="F244" s="378" t="s">
        <v>167</v>
      </c>
      <c r="G244" s="377" t="s">
        <v>764</v>
      </c>
      <c r="H244" s="379"/>
      <c r="I244" s="379"/>
      <c r="J244" s="377" t="s">
        <v>169</v>
      </c>
      <c r="K244" s="377" t="s">
        <v>301</v>
      </c>
      <c r="L244" s="377" t="s">
        <v>167</v>
      </c>
      <c r="M244" s="377" t="s">
        <v>172</v>
      </c>
      <c r="N244" s="377" t="s">
        <v>173</v>
      </c>
      <c r="O244" s="380">
        <v>1</v>
      </c>
      <c r="P244" s="386">
        <v>0</v>
      </c>
      <c r="Q244" s="386">
        <v>0</v>
      </c>
      <c r="R244" s="381">
        <v>80</v>
      </c>
      <c r="S244" s="386">
        <v>0</v>
      </c>
      <c r="T244" s="381">
        <v>20122.46</v>
      </c>
      <c r="U244" s="381">
        <v>0</v>
      </c>
      <c r="V244" s="381">
        <v>7338.62</v>
      </c>
      <c r="W244" s="381">
        <v>0</v>
      </c>
      <c r="X244" s="381">
        <v>0</v>
      </c>
      <c r="Y244" s="381">
        <v>0</v>
      </c>
      <c r="Z244" s="381">
        <v>0</v>
      </c>
      <c r="AA244" s="377" t="s">
        <v>699</v>
      </c>
      <c r="AB244" s="377" t="s">
        <v>700</v>
      </c>
      <c r="AC244" s="377" t="s">
        <v>701</v>
      </c>
      <c r="AD244" s="377" t="s">
        <v>702</v>
      </c>
      <c r="AE244" s="377" t="s">
        <v>301</v>
      </c>
      <c r="AF244" s="377" t="s">
        <v>207</v>
      </c>
      <c r="AG244" s="377" t="s">
        <v>179</v>
      </c>
      <c r="AH244" s="382">
        <v>37.450000000000003</v>
      </c>
      <c r="AI244" s="382">
        <v>16282.6</v>
      </c>
      <c r="AJ244" s="377" t="s">
        <v>180</v>
      </c>
      <c r="AK244" s="377" t="s">
        <v>181</v>
      </c>
      <c r="AL244" s="377" t="s">
        <v>182</v>
      </c>
      <c r="AM244" s="377" t="s">
        <v>183</v>
      </c>
      <c r="AN244" s="377" t="s">
        <v>66</v>
      </c>
      <c r="AO244" s="380">
        <v>80</v>
      </c>
      <c r="AP244" s="386">
        <v>1</v>
      </c>
      <c r="AQ244" s="386">
        <v>0</v>
      </c>
      <c r="AR244" s="384" t="s">
        <v>184</v>
      </c>
      <c r="AS244" s="388">
        <f t="shared" si="159"/>
        <v>0</v>
      </c>
      <c r="AT244">
        <f t="shared" si="160"/>
        <v>0</v>
      </c>
      <c r="AU244" s="388" t="str">
        <f>IF(AT244=0,"",IF(AND(AT244=1,M244="F",SUMIF(C2:C258,C244,AS2:AS258)&lt;=1),SUMIF(C2:C258,C244,AS2:AS258),IF(AND(AT244=1,M244="F",SUMIF(C2:C258,C244,AS2:AS258)&gt;1),1,"")))</f>
        <v/>
      </c>
      <c r="AV244" s="388" t="str">
        <f>IF(AT244=0,"",IF(AND(AT244=3,M244="F",SUMIF(C2:C258,C244,AS2:AS258)&lt;=1),SUMIF(C2:C258,C244,AS2:AS258),IF(AND(AT244=3,M244="F",SUMIF(C2:C258,C244,AS2:AS258)&gt;1),1,"")))</f>
        <v/>
      </c>
      <c r="AW244" s="388">
        <f>SUMIF(C2:C258,C244,O2:O258)</f>
        <v>2</v>
      </c>
      <c r="AX244" s="388">
        <f>IF(AND(M244="F",AS244&lt;&gt;0),SUMIF(C2:C258,C244,W2:W258),0)</f>
        <v>0</v>
      </c>
      <c r="AY244" s="388" t="str">
        <f t="shared" si="161"/>
        <v/>
      </c>
      <c r="AZ244" s="388" t="str">
        <f t="shared" si="162"/>
        <v/>
      </c>
      <c r="BA244" s="388">
        <f t="shared" si="163"/>
        <v>0</v>
      </c>
      <c r="BB244" s="388">
        <f t="shared" si="132"/>
        <v>0</v>
      </c>
      <c r="BC244" s="388">
        <f t="shared" si="133"/>
        <v>0</v>
      </c>
      <c r="BD244" s="388">
        <f t="shared" si="134"/>
        <v>0</v>
      </c>
      <c r="BE244" s="388">
        <f t="shared" si="135"/>
        <v>0</v>
      </c>
      <c r="BF244" s="388">
        <f t="shared" si="136"/>
        <v>0</v>
      </c>
      <c r="BG244" s="388">
        <f t="shared" si="137"/>
        <v>0</v>
      </c>
      <c r="BH244" s="388">
        <f t="shared" si="138"/>
        <v>0</v>
      </c>
      <c r="BI244" s="388">
        <f t="shared" si="139"/>
        <v>0</v>
      </c>
      <c r="BJ244" s="388">
        <f t="shared" si="140"/>
        <v>0</v>
      </c>
      <c r="BK244" s="388">
        <f t="shared" si="141"/>
        <v>0</v>
      </c>
      <c r="BL244" s="388">
        <f t="shared" si="164"/>
        <v>0</v>
      </c>
      <c r="BM244" s="388">
        <f t="shared" si="165"/>
        <v>0</v>
      </c>
      <c r="BN244" s="388">
        <f t="shared" si="142"/>
        <v>0</v>
      </c>
      <c r="BO244" s="388">
        <f t="shared" si="143"/>
        <v>0</v>
      </c>
      <c r="BP244" s="388">
        <f t="shared" si="144"/>
        <v>0</v>
      </c>
      <c r="BQ244" s="388">
        <f t="shared" si="145"/>
        <v>0</v>
      </c>
      <c r="BR244" s="388">
        <f t="shared" si="146"/>
        <v>0</v>
      </c>
      <c r="BS244" s="388">
        <f t="shared" si="147"/>
        <v>0</v>
      </c>
      <c r="BT244" s="388">
        <f t="shared" si="148"/>
        <v>0</v>
      </c>
      <c r="BU244" s="388">
        <f t="shared" si="149"/>
        <v>0</v>
      </c>
      <c r="BV244" s="388">
        <f t="shared" si="150"/>
        <v>0</v>
      </c>
      <c r="BW244" s="388">
        <f t="shared" si="151"/>
        <v>0</v>
      </c>
      <c r="BX244" s="388">
        <f t="shared" si="166"/>
        <v>0</v>
      </c>
      <c r="BY244" s="388">
        <f t="shared" si="167"/>
        <v>0</v>
      </c>
      <c r="BZ244" s="388">
        <f t="shared" si="168"/>
        <v>0</v>
      </c>
      <c r="CA244" s="388">
        <f t="shared" si="169"/>
        <v>0</v>
      </c>
      <c r="CB244" s="388">
        <f t="shared" si="170"/>
        <v>0</v>
      </c>
      <c r="CC244" s="388">
        <f t="shared" si="152"/>
        <v>0</v>
      </c>
      <c r="CD244" s="388">
        <f t="shared" si="153"/>
        <v>0</v>
      </c>
      <c r="CE244" s="388">
        <f t="shared" si="154"/>
        <v>0</v>
      </c>
      <c r="CF244" s="388">
        <f t="shared" si="155"/>
        <v>0</v>
      </c>
      <c r="CG244" s="388">
        <f t="shared" si="156"/>
        <v>0</v>
      </c>
      <c r="CH244" s="388">
        <f t="shared" si="157"/>
        <v>0</v>
      </c>
      <c r="CI244" s="388">
        <f t="shared" si="158"/>
        <v>0</v>
      </c>
      <c r="CJ244" s="388">
        <f t="shared" si="171"/>
        <v>0</v>
      </c>
      <c r="CK244" s="388" t="str">
        <f t="shared" si="172"/>
        <v/>
      </c>
      <c r="CL244" s="388" t="str">
        <f t="shared" si="173"/>
        <v/>
      </c>
      <c r="CM244" s="388" t="str">
        <f t="shared" si="174"/>
        <v/>
      </c>
      <c r="CN244" s="388" t="str">
        <f t="shared" si="175"/>
        <v>0345-00</v>
      </c>
    </row>
    <row r="245" spans="1:92" ht="15.75" thickBot="1" x14ac:dyDescent="0.3">
      <c r="A245" s="377" t="s">
        <v>162</v>
      </c>
      <c r="B245" s="377" t="s">
        <v>163</v>
      </c>
      <c r="C245" s="377" t="s">
        <v>394</v>
      </c>
      <c r="D245" s="377" t="s">
        <v>251</v>
      </c>
      <c r="E245" s="377" t="s">
        <v>768</v>
      </c>
      <c r="F245" s="378" t="s">
        <v>167</v>
      </c>
      <c r="G245" s="377" t="s">
        <v>764</v>
      </c>
      <c r="H245" s="379"/>
      <c r="I245" s="379"/>
      <c r="J245" s="377" t="s">
        <v>219</v>
      </c>
      <c r="K245" s="377" t="s">
        <v>252</v>
      </c>
      <c r="L245" s="377" t="s">
        <v>179</v>
      </c>
      <c r="M245" s="377" t="s">
        <v>395</v>
      </c>
      <c r="N245" s="377" t="s">
        <v>173</v>
      </c>
      <c r="O245" s="380">
        <v>0</v>
      </c>
      <c r="P245" s="386">
        <v>0</v>
      </c>
      <c r="Q245" s="386">
        <v>0</v>
      </c>
      <c r="R245" s="381">
        <v>80</v>
      </c>
      <c r="S245" s="386">
        <v>0</v>
      </c>
      <c r="T245" s="381">
        <v>288.58999999999997</v>
      </c>
      <c r="U245" s="381">
        <v>0</v>
      </c>
      <c r="V245" s="381">
        <v>157.47999999999999</v>
      </c>
      <c r="W245" s="381">
        <v>0</v>
      </c>
      <c r="X245" s="381">
        <v>0</v>
      </c>
      <c r="Y245" s="381">
        <v>0</v>
      </c>
      <c r="Z245" s="381">
        <v>0</v>
      </c>
      <c r="AA245" s="379"/>
      <c r="AB245" s="377" t="s">
        <v>45</v>
      </c>
      <c r="AC245" s="377" t="s">
        <v>45</v>
      </c>
      <c r="AD245" s="379"/>
      <c r="AE245" s="379"/>
      <c r="AF245" s="379"/>
      <c r="AG245" s="379"/>
      <c r="AH245" s="380">
        <v>0</v>
      </c>
      <c r="AI245" s="380">
        <v>0</v>
      </c>
      <c r="AJ245" s="379"/>
      <c r="AK245" s="379"/>
      <c r="AL245" s="377" t="s">
        <v>182</v>
      </c>
      <c r="AM245" s="379"/>
      <c r="AN245" s="379"/>
      <c r="AO245" s="380">
        <v>0</v>
      </c>
      <c r="AP245" s="386">
        <v>0</v>
      </c>
      <c r="AQ245" s="386">
        <v>0</v>
      </c>
      <c r="AR245" s="385"/>
      <c r="AS245" s="388">
        <f t="shared" si="159"/>
        <v>0</v>
      </c>
      <c r="AT245">
        <f t="shared" si="160"/>
        <v>0</v>
      </c>
      <c r="AU245" s="388" t="str">
        <f>IF(AT245=0,"",IF(AND(AT245=1,M245="F",SUMIF(C2:C258,C245,AS2:AS258)&lt;=1),SUMIF(C2:C258,C245,AS2:AS258),IF(AND(AT245=1,M245="F",SUMIF(C2:C258,C245,AS2:AS258)&gt;1),1,"")))</f>
        <v/>
      </c>
      <c r="AV245" s="388" t="str">
        <f>IF(AT245=0,"",IF(AND(AT245=3,M245="F",SUMIF(C2:C258,C245,AS2:AS258)&lt;=1),SUMIF(C2:C258,C245,AS2:AS258),IF(AND(AT245=3,M245="F",SUMIF(C2:C258,C245,AS2:AS258)&gt;1),1,"")))</f>
        <v/>
      </c>
      <c r="AW245" s="388">
        <f>SUMIF(C2:C258,C245,O2:O258)</f>
        <v>0</v>
      </c>
      <c r="AX245" s="388">
        <f>IF(AND(M245="F",AS245&lt;&gt;0),SUMIF(C2:C258,C245,W2:W258),0)</f>
        <v>0</v>
      </c>
      <c r="AY245" s="388" t="str">
        <f t="shared" si="161"/>
        <v/>
      </c>
      <c r="AZ245" s="388" t="str">
        <f t="shared" si="162"/>
        <v/>
      </c>
      <c r="BA245" s="388">
        <f t="shared" si="163"/>
        <v>0</v>
      </c>
      <c r="BB245" s="388">
        <f t="shared" si="132"/>
        <v>0</v>
      </c>
      <c r="BC245" s="388">
        <f t="shared" si="133"/>
        <v>0</v>
      </c>
      <c r="BD245" s="388">
        <f t="shared" si="134"/>
        <v>0</v>
      </c>
      <c r="BE245" s="388">
        <f t="shared" si="135"/>
        <v>0</v>
      </c>
      <c r="BF245" s="388">
        <f t="shared" si="136"/>
        <v>0</v>
      </c>
      <c r="BG245" s="388">
        <f t="shared" si="137"/>
        <v>0</v>
      </c>
      <c r="BH245" s="388">
        <f t="shared" si="138"/>
        <v>0</v>
      </c>
      <c r="BI245" s="388">
        <f t="shared" si="139"/>
        <v>0</v>
      </c>
      <c r="BJ245" s="388">
        <f t="shared" si="140"/>
        <v>0</v>
      </c>
      <c r="BK245" s="388">
        <f t="shared" si="141"/>
        <v>0</v>
      </c>
      <c r="BL245" s="388">
        <f t="shared" si="164"/>
        <v>0</v>
      </c>
      <c r="BM245" s="388">
        <f t="shared" si="165"/>
        <v>0</v>
      </c>
      <c r="BN245" s="388">
        <f t="shared" si="142"/>
        <v>0</v>
      </c>
      <c r="BO245" s="388">
        <f t="shared" si="143"/>
        <v>0</v>
      </c>
      <c r="BP245" s="388">
        <f t="shared" si="144"/>
        <v>0</v>
      </c>
      <c r="BQ245" s="388">
        <f t="shared" si="145"/>
        <v>0</v>
      </c>
      <c r="BR245" s="388">
        <f t="shared" si="146"/>
        <v>0</v>
      </c>
      <c r="BS245" s="388">
        <f t="shared" si="147"/>
        <v>0</v>
      </c>
      <c r="BT245" s="388">
        <f t="shared" si="148"/>
        <v>0</v>
      </c>
      <c r="BU245" s="388">
        <f t="shared" si="149"/>
        <v>0</v>
      </c>
      <c r="BV245" s="388">
        <f t="shared" si="150"/>
        <v>0</v>
      </c>
      <c r="BW245" s="388">
        <f t="shared" si="151"/>
        <v>0</v>
      </c>
      <c r="BX245" s="388">
        <f t="shared" si="166"/>
        <v>0</v>
      </c>
      <c r="BY245" s="388">
        <f t="shared" si="167"/>
        <v>0</v>
      </c>
      <c r="BZ245" s="388">
        <f t="shared" si="168"/>
        <v>0</v>
      </c>
      <c r="CA245" s="388">
        <f t="shared" si="169"/>
        <v>0</v>
      </c>
      <c r="CB245" s="388">
        <f t="shared" si="170"/>
        <v>0</v>
      </c>
      <c r="CC245" s="388">
        <f t="shared" si="152"/>
        <v>0</v>
      </c>
      <c r="CD245" s="388">
        <f t="shared" si="153"/>
        <v>0</v>
      </c>
      <c r="CE245" s="388">
        <f t="shared" si="154"/>
        <v>0</v>
      </c>
      <c r="CF245" s="388">
        <f t="shared" si="155"/>
        <v>0</v>
      </c>
      <c r="CG245" s="388">
        <f t="shared" si="156"/>
        <v>0</v>
      </c>
      <c r="CH245" s="388">
        <f t="shared" si="157"/>
        <v>0</v>
      </c>
      <c r="CI245" s="388">
        <f t="shared" si="158"/>
        <v>0</v>
      </c>
      <c r="CJ245" s="388">
        <f t="shared" si="171"/>
        <v>0</v>
      </c>
      <c r="CK245" s="388" t="str">
        <f t="shared" si="172"/>
        <v/>
      </c>
      <c r="CL245" s="388" t="str">
        <f t="shared" si="173"/>
        <v/>
      </c>
      <c r="CM245" s="388" t="str">
        <f t="shared" si="174"/>
        <v/>
      </c>
      <c r="CN245" s="388" t="str">
        <f t="shared" si="175"/>
        <v>0345-00</v>
      </c>
    </row>
    <row r="246" spans="1:92" ht="15.75" thickBot="1" x14ac:dyDescent="0.3">
      <c r="A246" s="377" t="s">
        <v>162</v>
      </c>
      <c r="B246" s="377" t="s">
        <v>163</v>
      </c>
      <c r="C246" s="377" t="s">
        <v>707</v>
      </c>
      <c r="D246" s="377" t="s">
        <v>300</v>
      </c>
      <c r="E246" s="377" t="s">
        <v>768</v>
      </c>
      <c r="F246" s="378" t="s">
        <v>167</v>
      </c>
      <c r="G246" s="377" t="s">
        <v>764</v>
      </c>
      <c r="H246" s="379"/>
      <c r="I246" s="379"/>
      <c r="J246" s="377" t="s">
        <v>169</v>
      </c>
      <c r="K246" s="377" t="s">
        <v>301</v>
      </c>
      <c r="L246" s="377" t="s">
        <v>167</v>
      </c>
      <c r="M246" s="377" t="s">
        <v>172</v>
      </c>
      <c r="N246" s="377" t="s">
        <v>173</v>
      </c>
      <c r="O246" s="380">
        <v>1</v>
      </c>
      <c r="P246" s="386">
        <v>0</v>
      </c>
      <c r="Q246" s="386">
        <v>0</v>
      </c>
      <c r="R246" s="381">
        <v>80</v>
      </c>
      <c r="S246" s="386">
        <v>0</v>
      </c>
      <c r="T246" s="381">
        <v>2605.94</v>
      </c>
      <c r="U246" s="381">
        <v>0</v>
      </c>
      <c r="V246" s="381">
        <v>996.06</v>
      </c>
      <c r="W246" s="381">
        <v>0</v>
      </c>
      <c r="X246" s="381">
        <v>0</v>
      </c>
      <c r="Y246" s="381">
        <v>0</v>
      </c>
      <c r="Z246" s="381">
        <v>0</v>
      </c>
      <c r="AA246" s="377" t="s">
        <v>708</v>
      </c>
      <c r="AB246" s="377" t="s">
        <v>709</v>
      </c>
      <c r="AC246" s="377" t="s">
        <v>710</v>
      </c>
      <c r="AD246" s="377" t="s">
        <v>508</v>
      </c>
      <c r="AE246" s="377" t="s">
        <v>301</v>
      </c>
      <c r="AF246" s="377" t="s">
        <v>207</v>
      </c>
      <c r="AG246" s="377" t="s">
        <v>179</v>
      </c>
      <c r="AH246" s="382">
        <v>36.22</v>
      </c>
      <c r="AI246" s="382">
        <v>9154.6</v>
      </c>
      <c r="AJ246" s="377" t="s">
        <v>180</v>
      </c>
      <c r="AK246" s="377" t="s">
        <v>181</v>
      </c>
      <c r="AL246" s="377" t="s">
        <v>182</v>
      </c>
      <c r="AM246" s="377" t="s">
        <v>183</v>
      </c>
      <c r="AN246" s="377" t="s">
        <v>66</v>
      </c>
      <c r="AO246" s="380">
        <v>80</v>
      </c>
      <c r="AP246" s="386">
        <v>1</v>
      </c>
      <c r="AQ246" s="386">
        <v>0</v>
      </c>
      <c r="AR246" s="384" t="s">
        <v>184</v>
      </c>
      <c r="AS246" s="388">
        <f t="shared" si="159"/>
        <v>0</v>
      </c>
      <c r="AT246">
        <f t="shared" si="160"/>
        <v>0</v>
      </c>
      <c r="AU246" s="388" t="str">
        <f>IF(AT246=0,"",IF(AND(AT246=1,M246="F",SUMIF(C2:C258,C246,AS2:AS258)&lt;=1),SUMIF(C2:C258,C246,AS2:AS258),IF(AND(AT246=1,M246="F",SUMIF(C2:C258,C246,AS2:AS258)&gt;1),1,"")))</f>
        <v/>
      </c>
      <c r="AV246" s="388" t="str">
        <f>IF(AT246=0,"",IF(AND(AT246=3,M246="F",SUMIF(C2:C258,C246,AS2:AS258)&lt;=1),SUMIF(C2:C258,C246,AS2:AS258),IF(AND(AT246=3,M246="F",SUMIF(C2:C258,C246,AS2:AS258)&gt;1),1,"")))</f>
        <v/>
      </c>
      <c r="AW246" s="388">
        <f>SUMIF(C2:C258,C246,O2:O258)</f>
        <v>3</v>
      </c>
      <c r="AX246" s="388">
        <f>IF(AND(M246="F",AS246&lt;&gt;0),SUMIF(C2:C258,C246,W2:W258),0)</f>
        <v>0</v>
      </c>
      <c r="AY246" s="388" t="str">
        <f t="shared" si="161"/>
        <v/>
      </c>
      <c r="AZ246" s="388" t="str">
        <f t="shared" si="162"/>
        <v/>
      </c>
      <c r="BA246" s="388">
        <f t="shared" si="163"/>
        <v>0</v>
      </c>
      <c r="BB246" s="388">
        <f t="shared" si="132"/>
        <v>0</v>
      </c>
      <c r="BC246" s="388">
        <f t="shared" si="133"/>
        <v>0</v>
      </c>
      <c r="BD246" s="388">
        <f t="shared" si="134"/>
        <v>0</v>
      </c>
      <c r="BE246" s="388">
        <f t="shared" si="135"/>
        <v>0</v>
      </c>
      <c r="BF246" s="388">
        <f t="shared" si="136"/>
        <v>0</v>
      </c>
      <c r="BG246" s="388">
        <f t="shared" si="137"/>
        <v>0</v>
      </c>
      <c r="BH246" s="388">
        <f t="shared" si="138"/>
        <v>0</v>
      </c>
      <c r="BI246" s="388">
        <f t="shared" si="139"/>
        <v>0</v>
      </c>
      <c r="BJ246" s="388">
        <f t="shared" si="140"/>
        <v>0</v>
      </c>
      <c r="BK246" s="388">
        <f t="shared" si="141"/>
        <v>0</v>
      </c>
      <c r="BL246" s="388">
        <f t="shared" si="164"/>
        <v>0</v>
      </c>
      <c r="BM246" s="388">
        <f t="shared" si="165"/>
        <v>0</v>
      </c>
      <c r="BN246" s="388">
        <f t="shared" si="142"/>
        <v>0</v>
      </c>
      <c r="BO246" s="388">
        <f t="shared" si="143"/>
        <v>0</v>
      </c>
      <c r="BP246" s="388">
        <f t="shared" si="144"/>
        <v>0</v>
      </c>
      <c r="BQ246" s="388">
        <f t="shared" si="145"/>
        <v>0</v>
      </c>
      <c r="BR246" s="388">
        <f t="shared" si="146"/>
        <v>0</v>
      </c>
      <c r="BS246" s="388">
        <f t="shared" si="147"/>
        <v>0</v>
      </c>
      <c r="BT246" s="388">
        <f t="shared" si="148"/>
        <v>0</v>
      </c>
      <c r="BU246" s="388">
        <f t="shared" si="149"/>
        <v>0</v>
      </c>
      <c r="BV246" s="388">
        <f t="shared" si="150"/>
        <v>0</v>
      </c>
      <c r="BW246" s="388">
        <f t="shared" si="151"/>
        <v>0</v>
      </c>
      <c r="BX246" s="388">
        <f t="shared" si="166"/>
        <v>0</v>
      </c>
      <c r="BY246" s="388">
        <f t="shared" si="167"/>
        <v>0</v>
      </c>
      <c r="BZ246" s="388">
        <f t="shared" si="168"/>
        <v>0</v>
      </c>
      <c r="CA246" s="388">
        <f t="shared" si="169"/>
        <v>0</v>
      </c>
      <c r="CB246" s="388">
        <f t="shared" si="170"/>
        <v>0</v>
      </c>
      <c r="CC246" s="388">
        <f t="shared" si="152"/>
        <v>0</v>
      </c>
      <c r="CD246" s="388">
        <f t="shared" si="153"/>
        <v>0</v>
      </c>
      <c r="CE246" s="388">
        <f t="shared" si="154"/>
        <v>0</v>
      </c>
      <c r="CF246" s="388">
        <f t="shared" si="155"/>
        <v>0</v>
      </c>
      <c r="CG246" s="388">
        <f t="shared" si="156"/>
        <v>0</v>
      </c>
      <c r="CH246" s="388">
        <f t="shared" si="157"/>
        <v>0</v>
      </c>
      <c r="CI246" s="388">
        <f t="shared" si="158"/>
        <v>0</v>
      </c>
      <c r="CJ246" s="388">
        <f t="shared" si="171"/>
        <v>0</v>
      </c>
      <c r="CK246" s="388" t="str">
        <f t="shared" si="172"/>
        <v/>
      </c>
      <c r="CL246" s="388" t="str">
        <f t="shared" si="173"/>
        <v/>
      </c>
      <c r="CM246" s="388" t="str">
        <f t="shared" si="174"/>
        <v/>
      </c>
      <c r="CN246" s="388" t="str">
        <f t="shared" si="175"/>
        <v>0345-00</v>
      </c>
    </row>
    <row r="247" spans="1:92" ht="15.75" thickBot="1" x14ac:dyDescent="0.3">
      <c r="A247" s="377" t="s">
        <v>162</v>
      </c>
      <c r="B247" s="377" t="s">
        <v>163</v>
      </c>
      <c r="C247" s="377" t="s">
        <v>711</v>
      </c>
      <c r="D247" s="377" t="s">
        <v>300</v>
      </c>
      <c r="E247" s="377" t="s">
        <v>768</v>
      </c>
      <c r="F247" s="378" t="s">
        <v>167</v>
      </c>
      <c r="G247" s="377" t="s">
        <v>764</v>
      </c>
      <c r="H247" s="379"/>
      <c r="I247" s="379"/>
      <c r="J247" s="377" t="s">
        <v>169</v>
      </c>
      <c r="K247" s="377" t="s">
        <v>301</v>
      </c>
      <c r="L247" s="377" t="s">
        <v>167</v>
      </c>
      <c r="M247" s="377" t="s">
        <v>172</v>
      </c>
      <c r="N247" s="377" t="s">
        <v>173</v>
      </c>
      <c r="O247" s="380">
        <v>1</v>
      </c>
      <c r="P247" s="386">
        <v>0</v>
      </c>
      <c r="Q247" s="386">
        <v>0</v>
      </c>
      <c r="R247" s="381">
        <v>80</v>
      </c>
      <c r="S247" s="386">
        <v>0</v>
      </c>
      <c r="T247" s="381">
        <v>11045.61</v>
      </c>
      <c r="U247" s="381">
        <v>0</v>
      </c>
      <c r="V247" s="381">
        <v>4469.67</v>
      </c>
      <c r="W247" s="381">
        <v>0</v>
      </c>
      <c r="X247" s="381">
        <v>0</v>
      </c>
      <c r="Y247" s="381">
        <v>0</v>
      </c>
      <c r="Z247" s="381">
        <v>0</v>
      </c>
      <c r="AA247" s="377" t="s">
        <v>712</v>
      </c>
      <c r="AB247" s="377" t="s">
        <v>713</v>
      </c>
      <c r="AC247" s="377" t="s">
        <v>714</v>
      </c>
      <c r="AD247" s="377" t="s">
        <v>715</v>
      </c>
      <c r="AE247" s="377" t="s">
        <v>301</v>
      </c>
      <c r="AF247" s="377" t="s">
        <v>207</v>
      </c>
      <c r="AG247" s="377" t="s">
        <v>179</v>
      </c>
      <c r="AH247" s="382">
        <v>33.17</v>
      </c>
      <c r="AI247" s="382">
        <v>2091.3000000000002</v>
      </c>
      <c r="AJ247" s="377" t="s">
        <v>180</v>
      </c>
      <c r="AK247" s="377" t="s">
        <v>181</v>
      </c>
      <c r="AL247" s="377" t="s">
        <v>182</v>
      </c>
      <c r="AM247" s="377" t="s">
        <v>183</v>
      </c>
      <c r="AN247" s="377" t="s">
        <v>66</v>
      </c>
      <c r="AO247" s="380">
        <v>80</v>
      </c>
      <c r="AP247" s="386">
        <v>1</v>
      </c>
      <c r="AQ247" s="386">
        <v>0</v>
      </c>
      <c r="AR247" s="384" t="s">
        <v>184</v>
      </c>
      <c r="AS247" s="388">
        <f t="shared" si="159"/>
        <v>0</v>
      </c>
      <c r="AT247">
        <f t="shared" si="160"/>
        <v>0</v>
      </c>
      <c r="AU247" s="388" t="str">
        <f>IF(AT247=0,"",IF(AND(AT247=1,M247="F",SUMIF(C2:C258,C247,AS2:AS258)&lt;=1),SUMIF(C2:C258,C247,AS2:AS258),IF(AND(AT247=1,M247="F",SUMIF(C2:C258,C247,AS2:AS258)&gt;1),1,"")))</f>
        <v/>
      </c>
      <c r="AV247" s="388" t="str">
        <f>IF(AT247=0,"",IF(AND(AT247=3,M247="F",SUMIF(C2:C258,C247,AS2:AS258)&lt;=1),SUMIF(C2:C258,C247,AS2:AS258),IF(AND(AT247=3,M247="F",SUMIF(C2:C258,C247,AS2:AS258)&gt;1),1,"")))</f>
        <v/>
      </c>
      <c r="AW247" s="388">
        <f>SUMIF(C2:C258,C247,O2:O258)</f>
        <v>2</v>
      </c>
      <c r="AX247" s="388">
        <f>IF(AND(M247="F",AS247&lt;&gt;0),SUMIF(C2:C258,C247,W2:W258),0)</f>
        <v>0</v>
      </c>
      <c r="AY247" s="388" t="str">
        <f t="shared" si="161"/>
        <v/>
      </c>
      <c r="AZ247" s="388" t="str">
        <f t="shared" si="162"/>
        <v/>
      </c>
      <c r="BA247" s="388">
        <f t="shared" si="163"/>
        <v>0</v>
      </c>
      <c r="BB247" s="388">
        <f t="shared" si="132"/>
        <v>0</v>
      </c>
      <c r="BC247" s="388">
        <f t="shared" si="133"/>
        <v>0</v>
      </c>
      <c r="BD247" s="388">
        <f t="shared" si="134"/>
        <v>0</v>
      </c>
      <c r="BE247" s="388">
        <f t="shared" si="135"/>
        <v>0</v>
      </c>
      <c r="BF247" s="388">
        <f t="shared" si="136"/>
        <v>0</v>
      </c>
      <c r="BG247" s="388">
        <f t="shared" si="137"/>
        <v>0</v>
      </c>
      <c r="BH247" s="388">
        <f t="shared" si="138"/>
        <v>0</v>
      </c>
      <c r="BI247" s="388">
        <f t="shared" si="139"/>
        <v>0</v>
      </c>
      <c r="BJ247" s="388">
        <f t="shared" si="140"/>
        <v>0</v>
      </c>
      <c r="BK247" s="388">
        <f t="shared" si="141"/>
        <v>0</v>
      </c>
      <c r="BL247" s="388">
        <f t="shared" si="164"/>
        <v>0</v>
      </c>
      <c r="BM247" s="388">
        <f t="shared" si="165"/>
        <v>0</v>
      </c>
      <c r="BN247" s="388">
        <f t="shared" si="142"/>
        <v>0</v>
      </c>
      <c r="BO247" s="388">
        <f t="shared" si="143"/>
        <v>0</v>
      </c>
      <c r="BP247" s="388">
        <f t="shared" si="144"/>
        <v>0</v>
      </c>
      <c r="BQ247" s="388">
        <f t="shared" si="145"/>
        <v>0</v>
      </c>
      <c r="BR247" s="388">
        <f t="shared" si="146"/>
        <v>0</v>
      </c>
      <c r="BS247" s="388">
        <f t="shared" si="147"/>
        <v>0</v>
      </c>
      <c r="BT247" s="388">
        <f t="shared" si="148"/>
        <v>0</v>
      </c>
      <c r="BU247" s="388">
        <f t="shared" si="149"/>
        <v>0</v>
      </c>
      <c r="BV247" s="388">
        <f t="shared" si="150"/>
        <v>0</v>
      </c>
      <c r="BW247" s="388">
        <f t="shared" si="151"/>
        <v>0</v>
      </c>
      <c r="BX247" s="388">
        <f t="shared" si="166"/>
        <v>0</v>
      </c>
      <c r="BY247" s="388">
        <f t="shared" si="167"/>
        <v>0</v>
      </c>
      <c r="BZ247" s="388">
        <f t="shared" si="168"/>
        <v>0</v>
      </c>
      <c r="CA247" s="388">
        <f t="shared" si="169"/>
        <v>0</v>
      </c>
      <c r="CB247" s="388">
        <f t="shared" si="170"/>
        <v>0</v>
      </c>
      <c r="CC247" s="388">
        <f t="shared" si="152"/>
        <v>0</v>
      </c>
      <c r="CD247" s="388">
        <f t="shared" si="153"/>
        <v>0</v>
      </c>
      <c r="CE247" s="388">
        <f t="shared" si="154"/>
        <v>0</v>
      </c>
      <c r="CF247" s="388">
        <f t="shared" si="155"/>
        <v>0</v>
      </c>
      <c r="CG247" s="388">
        <f t="shared" si="156"/>
        <v>0</v>
      </c>
      <c r="CH247" s="388">
        <f t="shared" si="157"/>
        <v>0</v>
      </c>
      <c r="CI247" s="388">
        <f t="shared" si="158"/>
        <v>0</v>
      </c>
      <c r="CJ247" s="388">
        <f t="shared" si="171"/>
        <v>0</v>
      </c>
      <c r="CK247" s="388" t="str">
        <f t="shared" si="172"/>
        <v/>
      </c>
      <c r="CL247" s="388" t="str">
        <f t="shared" si="173"/>
        <v/>
      </c>
      <c r="CM247" s="388" t="str">
        <f t="shared" si="174"/>
        <v/>
      </c>
      <c r="CN247" s="388" t="str">
        <f t="shared" si="175"/>
        <v>0345-00</v>
      </c>
    </row>
    <row r="248" spans="1:92" ht="15.75" thickBot="1" x14ac:dyDescent="0.3">
      <c r="A248" s="377" t="s">
        <v>162</v>
      </c>
      <c r="B248" s="377" t="s">
        <v>163</v>
      </c>
      <c r="C248" s="377" t="s">
        <v>667</v>
      </c>
      <c r="D248" s="377" t="s">
        <v>300</v>
      </c>
      <c r="E248" s="377" t="s">
        <v>768</v>
      </c>
      <c r="F248" s="378" t="s">
        <v>167</v>
      </c>
      <c r="G248" s="377" t="s">
        <v>764</v>
      </c>
      <c r="H248" s="379"/>
      <c r="I248" s="379"/>
      <c r="J248" s="377" t="s">
        <v>169</v>
      </c>
      <c r="K248" s="377" t="s">
        <v>301</v>
      </c>
      <c r="L248" s="377" t="s">
        <v>167</v>
      </c>
      <c r="M248" s="377" t="s">
        <v>172</v>
      </c>
      <c r="N248" s="377" t="s">
        <v>173</v>
      </c>
      <c r="O248" s="380">
        <v>1</v>
      </c>
      <c r="P248" s="386">
        <v>0</v>
      </c>
      <c r="Q248" s="386">
        <v>0</v>
      </c>
      <c r="R248" s="381">
        <v>80</v>
      </c>
      <c r="S248" s="386">
        <v>0</v>
      </c>
      <c r="T248" s="381">
        <v>32.5</v>
      </c>
      <c r="U248" s="381">
        <v>0</v>
      </c>
      <c r="V248" s="381">
        <v>12.15</v>
      </c>
      <c r="W248" s="381">
        <v>0</v>
      </c>
      <c r="X248" s="381">
        <v>0</v>
      </c>
      <c r="Y248" s="381">
        <v>0</v>
      </c>
      <c r="Z248" s="381">
        <v>0</v>
      </c>
      <c r="AA248" s="377" t="s">
        <v>668</v>
      </c>
      <c r="AB248" s="377" t="s">
        <v>669</v>
      </c>
      <c r="AC248" s="377" t="s">
        <v>670</v>
      </c>
      <c r="AD248" s="377" t="s">
        <v>211</v>
      </c>
      <c r="AE248" s="377" t="s">
        <v>301</v>
      </c>
      <c r="AF248" s="377" t="s">
        <v>207</v>
      </c>
      <c r="AG248" s="377" t="s">
        <v>179</v>
      </c>
      <c r="AH248" s="382">
        <v>36.86</v>
      </c>
      <c r="AI248" s="380">
        <v>9866</v>
      </c>
      <c r="AJ248" s="377" t="s">
        <v>180</v>
      </c>
      <c r="AK248" s="377" t="s">
        <v>181</v>
      </c>
      <c r="AL248" s="377" t="s">
        <v>182</v>
      </c>
      <c r="AM248" s="377" t="s">
        <v>183</v>
      </c>
      <c r="AN248" s="377" t="s">
        <v>66</v>
      </c>
      <c r="AO248" s="380">
        <v>80</v>
      </c>
      <c r="AP248" s="386">
        <v>1</v>
      </c>
      <c r="AQ248" s="386">
        <v>0</v>
      </c>
      <c r="AR248" s="384" t="s">
        <v>184</v>
      </c>
      <c r="AS248" s="388">
        <f t="shared" si="159"/>
        <v>0</v>
      </c>
      <c r="AT248">
        <f t="shared" si="160"/>
        <v>0</v>
      </c>
      <c r="AU248" s="388" t="str">
        <f>IF(AT248=0,"",IF(AND(AT248=1,M248="F",SUMIF(C2:C258,C248,AS2:AS258)&lt;=1),SUMIF(C2:C258,C248,AS2:AS258),IF(AND(AT248=1,M248="F",SUMIF(C2:C258,C248,AS2:AS258)&gt;1),1,"")))</f>
        <v/>
      </c>
      <c r="AV248" s="388" t="str">
        <f>IF(AT248=0,"",IF(AND(AT248=3,M248="F",SUMIF(C2:C258,C248,AS2:AS258)&lt;=1),SUMIF(C2:C258,C248,AS2:AS258),IF(AND(AT248=3,M248="F",SUMIF(C2:C258,C248,AS2:AS258)&gt;1),1,"")))</f>
        <v/>
      </c>
      <c r="AW248" s="388">
        <f>SUMIF(C2:C258,C248,O2:O258)</f>
        <v>3</v>
      </c>
      <c r="AX248" s="388">
        <f>IF(AND(M248="F",AS248&lt;&gt;0),SUMIF(C2:C258,C248,W2:W258),0)</f>
        <v>0</v>
      </c>
      <c r="AY248" s="388" t="str">
        <f t="shared" si="161"/>
        <v/>
      </c>
      <c r="AZ248" s="388" t="str">
        <f t="shared" si="162"/>
        <v/>
      </c>
      <c r="BA248" s="388">
        <f t="shared" si="163"/>
        <v>0</v>
      </c>
      <c r="BB248" s="388">
        <f t="shared" si="132"/>
        <v>0</v>
      </c>
      <c r="BC248" s="388">
        <f t="shared" si="133"/>
        <v>0</v>
      </c>
      <c r="BD248" s="388">
        <f t="shared" si="134"/>
        <v>0</v>
      </c>
      <c r="BE248" s="388">
        <f t="shared" si="135"/>
        <v>0</v>
      </c>
      <c r="BF248" s="388">
        <f t="shared" si="136"/>
        <v>0</v>
      </c>
      <c r="BG248" s="388">
        <f t="shared" si="137"/>
        <v>0</v>
      </c>
      <c r="BH248" s="388">
        <f t="shared" si="138"/>
        <v>0</v>
      </c>
      <c r="BI248" s="388">
        <f t="shared" si="139"/>
        <v>0</v>
      </c>
      <c r="BJ248" s="388">
        <f t="shared" si="140"/>
        <v>0</v>
      </c>
      <c r="BK248" s="388">
        <f t="shared" si="141"/>
        <v>0</v>
      </c>
      <c r="BL248" s="388">
        <f t="shared" si="164"/>
        <v>0</v>
      </c>
      <c r="BM248" s="388">
        <f t="shared" si="165"/>
        <v>0</v>
      </c>
      <c r="BN248" s="388">
        <f t="shared" si="142"/>
        <v>0</v>
      </c>
      <c r="BO248" s="388">
        <f t="shared" si="143"/>
        <v>0</v>
      </c>
      <c r="BP248" s="388">
        <f t="shared" si="144"/>
        <v>0</v>
      </c>
      <c r="BQ248" s="388">
        <f t="shared" si="145"/>
        <v>0</v>
      </c>
      <c r="BR248" s="388">
        <f t="shared" si="146"/>
        <v>0</v>
      </c>
      <c r="BS248" s="388">
        <f t="shared" si="147"/>
        <v>0</v>
      </c>
      <c r="BT248" s="388">
        <f t="shared" si="148"/>
        <v>0</v>
      </c>
      <c r="BU248" s="388">
        <f t="shared" si="149"/>
        <v>0</v>
      </c>
      <c r="BV248" s="388">
        <f t="shared" si="150"/>
        <v>0</v>
      </c>
      <c r="BW248" s="388">
        <f t="shared" si="151"/>
        <v>0</v>
      </c>
      <c r="BX248" s="388">
        <f t="shared" si="166"/>
        <v>0</v>
      </c>
      <c r="BY248" s="388">
        <f t="shared" si="167"/>
        <v>0</v>
      </c>
      <c r="BZ248" s="388">
        <f t="shared" si="168"/>
        <v>0</v>
      </c>
      <c r="CA248" s="388">
        <f t="shared" si="169"/>
        <v>0</v>
      </c>
      <c r="CB248" s="388">
        <f t="shared" si="170"/>
        <v>0</v>
      </c>
      <c r="CC248" s="388">
        <f t="shared" si="152"/>
        <v>0</v>
      </c>
      <c r="CD248" s="388">
        <f t="shared" si="153"/>
        <v>0</v>
      </c>
      <c r="CE248" s="388">
        <f t="shared" si="154"/>
        <v>0</v>
      </c>
      <c r="CF248" s="388">
        <f t="shared" si="155"/>
        <v>0</v>
      </c>
      <c r="CG248" s="388">
        <f t="shared" si="156"/>
        <v>0</v>
      </c>
      <c r="CH248" s="388">
        <f t="shared" si="157"/>
        <v>0</v>
      </c>
      <c r="CI248" s="388">
        <f t="shared" si="158"/>
        <v>0</v>
      </c>
      <c r="CJ248" s="388">
        <f t="shared" si="171"/>
        <v>0</v>
      </c>
      <c r="CK248" s="388" t="str">
        <f t="shared" si="172"/>
        <v/>
      </c>
      <c r="CL248" s="388" t="str">
        <f t="shared" si="173"/>
        <v/>
      </c>
      <c r="CM248" s="388" t="str">
        <f t="shared" si="174"/>
        <v/>
      </c>
      <c r="CN248" s="388" t="str">
        <f t="shared" si="175"/>
        <v>0345-00</v>
      </c>
    </row>
    <row r="249" spans="1:92" ht="15.75" thickBot="1" x14ac:dyDescent="0.3">
      <c r="A249" s="377" t="s">
        <v>162</v>
      </c>
      <c r="B249" s="377" t="s">
        <v>163</v>
      </c>
      <c r="C249" s="377" t="s">
        <v>599</v>
      </c>
      <c r="D249" s="377" t="s">
        <v>300</v>
      </c>
      <c r="E249" s="377" t="s">
        <v>768</v>
      </c>
      <c r="F249" s="378" t="s">
        <v>167</v>
      </c>
      <c r="G249" s="377" t="s">
        <v>764</v>
      </c>
      <c r="H249" s="379"/>
      <c r="I249" s="379"/>
      <c r="J249" s="377" t="s">
        <v>269</v>
      </c>
      <c r="K249" s="377" t="s">
        <v>301</v>
      </c>
      <c r="L249" s="377" t="s">
        <v>167</v>
      </c>
      <c r="M249" s="377" t="s">
        <v>172</v>
      </c>
      <c r="N249" s="377" t="s">
        <v>173</v>
      </c>
      <c r="O249" s="380">
        <v>1</v>
      </c>
      <c r="P249" s="386">
        <v>0.25</v>
      </c>
      <c r="Q249" s="386">
        <v>0.25</v>
      </c>
      <c r="R249" s="381">
        <v>80</v>
      </c>
      <c r="S249" s="386">
        <v>0.25</v>
      </c>
      <c r="T249" s="381">
        <v>17079.43</v>
      </c>
      <c r="U249" s="381">
        <v>0</v>
      </c>
      <c r="V249" s="381">
        <v>5835.71</v>
      </c>
      <c r="W249" s="381">
        <v>22256</v>
      </c>
      <c r="X249" s="381">
        <v>7723.3</v>
      </c>
      <c r="Y249" s="381">
        <v>22256</v>
      </c>
      <c r="Z249" s="381">
        <v>7875.56</v>
      </c>
      <c r="AA249" s="377" t="s">
        <v>600</v>
      </c>
      <c r="AB249" s="377" t="s">
        <v>601</v>
      </c>
      <c r="AC249" s="377" t="s">
        <v>602</v>
      </c>
      <c r="AD249" s="377" t="s">
        <v>215</v>
      </c>
      <c r="AE249" s="377" t="s">
        <v>301</v>
      </c>
      <c r="AF249" s="377" t="s">
        <v>207</v>
      </c>
      <c r="AG249" s="377" t="s">
        <v>179</v>
      </c>
      <c r="AH249" s="382">
        <v>42.8</v>
      </c>
      <c r="AI249" s="382">
        <v>27350.2</v>
      </c>
      <c r="AJ249" s="377" t="s">
        <v>180</v>
      </c>
      <c r="AK249" s="377" t="s">
        <v>181</v>
      </c>
      <c r="AL249" s="377" t="s">
        <v>182</v>
      </c>
      <c r="AM249" s="377" t="s">
        <v>183</v>
      </c>
      <c r="AN249" s="377" t="s">
        <v>66</v>
      </c>
      <c r="AO249" s="380">
        <v>80</v>
      </c>
      <c r="AP249" s="386">
        <v>1</v>
      </c>
      <c r="AQ249" s="386">
        <v>0.25</v>
      </c>
      <c r="AR249" s="384" t="s">
        <v>184</v>
      </c>
      <c r="AS249" s="388">
        <f t="shared" si="159"/>
        <v>0.25</v>
      </c>
      <c r="AT249">
        <f t="shared" si="160"/>
        <v>1</v>
      </c>
      <c r="AU249" s="388">
        <f>IF(AT249=0,"",IF(AND(AT249=1,M249="F",SUMIF(C2:C258,C249,AS2:AS258)&lt;=1),SUMIF(C2:C258,C249,AS2:AS258),IF(AND(AT249=1,M249="F",SUMIF(C2:C258,C249,AS2:AS258)&gt;1),1,"")))</f>
        <v>1</v>
      </c>
      <c r="AV249" s="388" t="str">
        <f>IF(AT249=0,"",IF(AND(AT249=3,M249="F",SUMIF(C2:C258,C249,AS2:AS258)&lt;=1),SUMIF(C2:C258,C249,AS2:AS258),IF(AND(AT249=3,M249="F",SUMIF(C2:C258,C249,AS2:AS258)&gt;1),1,"")))</f>
        <v/>
      </c>
      <c r="AW249" s="388">
        <f>SUMIF(C2:C258,C249,O2:O258)</f>
        <v>3</v>
      </c>
      <c r="AX249" s="388">
        <f>IF(AND(M249="F",AS249&lt;&gt;0),SUMIF(C2:C258,C249,W2:W258),0)</f>
        <v>89024</v>
      </c>
      <c r="AY249" s="388">
        <f t="shared" si="161"/>
        <v>22256</v>
      </c>
      <c r="AZ249" s="388" t="str">
        <f t="shared" si="162"/>
        <v/>
      </c>
      <c r="BA249" s="388">
        <f t="shared" si="163"/>
        <v>0</v>
      </c>
      <c r="BB249" s="388">
        <f t="shared" si="132"/>
        <v>3125</v>
      </c>
      <c r="BC249" s="388">
        <f t="shared" si="133"/>
        <v>0</v>
      </c>
      <c r="BD249" s="388">
        <f t="shared" si="134"/>
        <v>1379.8720000000001</v>
      </c>
      <c r="BE249" s="388">
        <f t="shared" si="135"/>
        <v>322.71199999999999</v>
      </c>
      <c r="BF249" s="388">
        <f t="shared" si="136"/>
        <v>2657.3664000000003</v>
      </c>
      <c r="BG249" s="388">
        <f t="shared" si="137"/>
        <v>160.46576000000002</v>
      </c>
      <c r="BH249" s="388">
        <f t="shared" si="138"/>
        <v>0</v>
      </c>
      <c r="BI249" s="388">
        <f t="shared" si="139"/>
        <v>0</v>
      </c>
      <c r="BJ249" s="388">
        <f t="shared" si="140"/>
        <v>77.896000000000001</v>
      </c>
      <c r="BK249" s="388">
        <f t="shared" si="141"/>
        <v>0</v>
      </c>
      <c r="BL249" s="388">
        <f t="shared" si="164"/>
        <v>4598.3121600000004</v>
      </c>
      <c r="BM249" s="388">
        <f t="shared" si="165"/>
        <v>0</v>
      </c>
      <c r="BN249" s="388">
        <f t="shared" si="142"/>
        <v>3437.5</v>
      </c>
      <c r="BO249" s="388">
        <f t="shared" si="143"/>
        <v>0</v>
      </c>
      <c r="BP249" s="388">
        <f t="shared" si="144"/>
        <v>1379.8720000000001</v>
      </c>
      <c r="BQ249" s="388">
        <f t="shared" si="145"/>
        <v>322.71199999999999</v>
      </c>
      <c r="BR249" s="388">
        <f t="shared" si="146"/>
        <v>2488.2208000000001</v>
      </c>
      <c r="BS249" s="388">
        <f t="shared" si="147"/>
        <v>160.46576000000002</v>
      </c>
      <c r="BT249" s="388">
        <f t="shared" si="148"/>
        <v>0</v>
      </c>
      <c r="BU249" s="388">
        <f t="shared" si="149"/>
        <v>0</v>
      </c>
      <c r="BV249" s="388">
        <f t="shared" si="150"/>
        <v>86.798400000000001</v>
      </c>
      <c r="BW249" s="388">
        <f t="shared" si="151"/>
        <v>0</v>
      </c>
      <c r="BX249" s="388">
        <f t="shared" si="166"/>
        <v>4438.0689599999996</v>
      </c>
      <c r="BY249" s="388">
        <f t="shared" si="167"/>
        <v>0</v>
      </c>
      <c r="BZ249" s="388">
        <f t="shared" si="168"/>
        <v>312.5</v>
      </c>
      <c r="CA249" s="388">
        <f t="shared" si="169"/>
        <v>0</v>
      </c>
      <c r="CB249" s="388">
        <f t="shared" si="170"/>
        <v>0</v>
      </c>
      <c r="CC249" s="388">
        <f t="shared" si="152"/>
        <v>0</v>
      </c>
      <c r="CD249" s="388">
        <f t="shared" si="153"/>
        <v>-169.1456000000002</v>
      </c>
      <c r="CE249" s="388">
        <f t="shared" si="154"/>
        <v>0</v>
      </c>
      <c r="CF249" s="388">
        <f t="shared" si="155"/>
        <v>0</v>
      </c>
      <c r="CG249" s="388">
        <f t="shared" si="156"/>
        <v>0</v>
      </c>
      <c r="CH249" s="388">
        <f t="shared" si="157"/>
        <v>8.9023999999999948</v>
      </c>
      <c r="CI249" s="388">
        <f t="shared" si="158"/>
        <v>0</v>
      </c>
      <c r="CJ249" s="388">
        <f t="shared" si="171"/>
        <v>-160.2432000000002</v>
      </c>
      <c r="CK249" s="388" t="str">
        <f t="shared" si="172"/>
        <v/>
      </c>
      <c r="CL249" s="388" t="str">
        <f t="shared" si="173"/>
        <v/>
      </c>
      <c r="CM249" s="388" t="str">
        <f t="shared" si="174"/>
        <v/>
      </c>
      <c r="CN249" s="388" t="str">
        <f t="shared" si="175"/>
        <v>0345-00</v>
      </c>
    </row>
    <row r="250" spans="1:92" ht="15.75" thickBot="1" x14ac:dyDescent="0.3">
      <c r="A250" s="377" t="s">
        <v>162</v>
      </c>
      <c r="B250" s="377" t="s">
        <v>163</v>
      </c>
      <c r="C250" s="377" t="s">
        <v>769</v>
      </c>
      <c r="D250" s="377" t="s">
        <v>300</v>
      </c>
      <c r="E250" s="377" t="s">
        <v>768</v>
      </c>
      <c r="F250" s="378" t="s">
        <v>167</v>
      </c>
      <c r="G250" s="377" t="s">
        <v>764</v>
      </c>
      <c r="H250" s="379"/>
      <c r="I250" s="379"/>
      <c r="J250" s="377" t="s">
        <v>219</v>
      </c>
      <c r="K250" s="377" t="s">
        <v>301</v>
      </c>
      <c r="L250" s="377" t="s">
        <v>167</v>
      </c>
      <c r="M250" s="377" t="s">
        <v>172</v>
      </c>
      <c r="N250" s="377" t="s">
        <v>173</v>
      </c>
      <c r="O250" s="380">
        <v>1</v>
      </c>
      <c r="P250" s="386">
        <v>1</v>
      </c>
      <c r="Q250" s="386">
        <v>1</v>
      </c>
      <c r="R250" s="381">
        <v>80</v>
      </c>
      <c r="S250" s="386">
        <v>1</v>
      </c>
      <c r="T250" s="381">
        <v>1308</v>
      </c>
      <c r="U250" s="381">
        <v>0</v>
      </c>
      <c r="V250" s="381">
        <v>827.87</v>
      </c>
      <c r="W250" s="381">
        <v>70054.399999999994</v>
      </c>
      <c r="X250" s="381">
        <v>26973.919999999998</v>
      </c>
      <c r="Y250" s="381">
        <v>70054.399999999994</v>
      </c>
      <c r="Z250" s="381">
        <v>27719.53</v>
      </c>
      <c r="AA250" s="377" t="s">
        <v>770</v>
      </c>
      <c r="AB250" s="377" t="s">
        <v>771</v>
      </c>
      <c r="AC250" s="377" t="s">
        <v>512</v>
      </c>
      <c r="AD250" s="377" t="s">
        <v>171</v>
      </c>
      <c r="AE250" s="377" t="s">
        <v>301</v>
      </c>
      <c r="AF250" s="377" t="s">
        <v>207</v>
      </c>
      <c r="AG250" s="377" t="s">
        <v>179</v>
      </c>
      <c r="AH250" s="382">
        <v>33.68</v>
      </c>
      <c r="AI250" s="380">
        <v>200</v>
      </c>
      <c r="AJ250" s="377" t="s">
        <v>180</v>
      </c>
      <c r="AK250" s="377" t="s">
        <v>181</v>
      </c>
      <c r="AL250" s="377" t="s">
        <v>182</v>
      </c>
      <c r="AM250" s="377" t="s">
        <v>183</v>
      </c>
      <c r="AN250" s="377" t="s">
        <v>66</v>
      </c>
      <c r="AO250" s="380">
        <v>80</v>
      </c>
      <c r="AP250" s="386">
        <v>1</v>
      </c>
      <c r="AQ250" s="386">
        <v>1</v>
      </c>
      <c r="AR250" s="384" t="s">
        <v>184</v>
      </c>
      <c r="AS250" s="388">
        <f t="shared" si="159"/>
        <v>1</v>
      </c>
      <c r="AT250">
        <f t="shared" si="160"/>
        <v>1</v>
      </c>
      <c r="AU250" s="388">
        <f>IF(AT250=0,"",IF(AND(AT250=1,M250="F",SUMIF(C2:C258,C250,AS2:AS258)&lt;=1),SUMIF(C2:C258,C250,AS2:AS258),IF(AND(AT250=1,M250="F",SUMIF(C2:C258,C250,AS2:AS258)&gt;1),1,"")))</f>
        <v>1</v>
      </c>
      <c r="AV250" s="388" t="str">
        <f>IF(AT250=0,"",IF(AND(AT250=3,M250="F",SUMIF(C2:C258,C250,AS2:AS258)&lt;=1),SUMIF(C2:C258,C250,AS2:AS258),IF(AND(AT250=3,M250="F",SUMIF(C2:C258,C250,AS2:AS258)&gt;1),1,"")))</f>
        <v/>
      </c>
      <c r="AW250" s="388">
        <f>SUMIF(C2:C258,C250,O2:O258)</f>
        <v>1</v>
      </c>
      <c r="AX250" s="388">
        <f>IF(AND(M250="F",AS250&lt;&gt;0),SUMIF(C2:C258,C250,W2:W258),0)</f>
        <v>70054.399999999994</v>
      </c>
      <c r="AY250" s="388">
        <f t="shared" si="161"/>
        <v>70054.399999999994</v>
      </c>
      <c r="AZ250" s="388" t="str">
        <f t="shared" si="162"/>
        <v/>
      </c>
      <c r="BA250" s="388">
        <f t="shared" si="163"/>
        <v>0</v>
      </c>
      <c r="BB250" s="388">
        <f t="shared" si="132"/>
        <v>12500</v>
      </c>
      <c r="BC250" s="388">
        <f t="shared" si="133"/>
        <v>0</v>
      </c>
      <c r="BD250" s="388">
        <f t="shared" si="134"/>
        <v>4343.3727999999992</v>
      </c>
      <c r="BE250" s="388">
        <f t="shared" si="135"/>
        <v>1015.7887999999999</v>
      </c>
      <c r="BF250" s="388">
        <f t="shared" si="136"/>
        <v>8364.495359999999</v>
      </c>
      <c r="BG250" s="388">
        <f t="shared" si="137"/>
        <v>505.09222399999999</v>
      </c>
      <c r="BH250" s="388">
        <f t="shared" si="138"/>
        <v>0</v>
      </c>
      <c r="BI250" s="388">
        <f t="shared" si="139"/>
        <v>0</v>
      </c>
      <c r="BJ250" s="388">
        <f t="shared" si="140"/>
        <v>245.19039999999998</v>
      </c>
      <c r="BK250" s="388">
        <f t="shared" si="141"/>
        <v>0</v>
      </c>
      <c r="BL250" s="388">
        <f t="shared" si="164"/>
        <v>14473.939583999998</v>
      </c>
      <c r="BM250" s="388">
        <f t="shared" si="165"/>
        <v>0</v>
      </c>
      <c r="BN250" s="388">
        <f t="shared" si="142"/>
        <v>13750</v>
      </c>
      <c r="BO250" s="388">
        <f t="shared" si="143"/>
        <v>0</v>
      </c>
      <c r="BP250" s="388">
        <f t="shared" si="144"/>
        <v>4343.3727999999992</v>
      </c>
      <c r="BQ250" s="388">
        <f t="shared" si="145"/>
        <v>1015.7887999999999</v>
      </c>
      <c r="BR250" s="388">
        <f t="shared" si="146"/>
        <v>7832.0819199999987</v>
      </c>
      <c r="BS250" s="388">
        <f t="shared" si="147"/>
        <v>505.09222399999999</v>
      </c>
      <c r="BT250" s="388">
        <f t="shared" si="148"/>
        <v>0</v>
      </c>
      <c r="BU250" s="388">
        <f t="shared" si="149"/>
        <v>0</v>
      </c>
      <c r="BV250" s="388">
        <f t="shared" si="150"/>
        <v>273.21215999999998</v>
      </c>
      <c r="BW250" s="388">
        <f t="shared" si="151"/>
        <v>0</v>
      </c>
      <c r="BX250" s="388">
        <f t="shared" si="166"/>
        <v>13969.547903999997</v>
      </c>
      <c r="BY250" s="388">
        <f t="shared" si="167"/>
        <v>0</v>
      </c>
      <c r="BZ250" s="388">
        <f t="shared" si="168"/>
        <v>1250</v>
      </c>
      <c r="CA250" s="388">
        <f t="shared" si="169"/>
        <v>0</v>
      </c>
      <c r="CB250" s="388">
        <f t="shared" si="170"/>
        <v>0</v>
      </c>
      <c r="CC250" s="388">
        <f t="shared" si="152"/>
        <v>0</v>
      </c>
      <c r="CD250" s="388">
        <f t="shared" si="153"/>
        <v>-532.41344000000061</v>
      </c>
      <c r="CE250" s="388">
        <f t="shared" si="154"/>
        <v>0</v>
      </c>
      <c r="CF250" s="388">
        <f t="shared" si="155"/>
        <v>0</v>
      </c>
      <c r="CG250" s="388">
        <f t="shared" si="156"/>
        <v>0</v>
      </c>
      <c r="CH250" s="388">
        <f t="shared" si="157"/>
        <v>28.021759999999979</v>
      </c>
      <c r="CI250" s="388">
        <f t="shared" si="158"/>
        <v>0</v>
      </c>
      <c r="CJ250" s="388">
        <f t="shared" si="171"/>
        <v>-504.39168000000063</v>
      </c>
      <c r="CK250" s="388" t="str">
        <f t="shared" si="172"/>
        <v/>
      </c>
      <c r="CL250" s="388" t="str">
        <f t="shared" si="173"/>
        <v/>
      </c>
      <c r="CM250" s="388" t="str">
        <f t="shared" si="174"/>
        <v/>
      </c>
      <c r="CN250" s="388" t="str">
        <f t="shared" si="175"/>
        <v>0345-00</v>
      </c>
    </row>
    <row r="251" spans="1:92" ht="15.75" thickBot="1" x14ac:dyDescent="0.3">
      <c r="A251" s="377" t="s">
        <v>162</v>
      </c>
      <c r="B251" s="377" t="s">
        <v>163</v>
      </c>
      <c r="C251" s="377" t="s">
        <v>444</v>
      </c>
      <c r="D251" s="377" t="s">
        <v>251</v>
      </c>
      <c r="E251" s="377" t="s">
        <v>768</v>
      </c>
      <c r="F251" s="378" t="s">
        <v>167</v>
      </c>
      <c r="G251" s="377" t="s">
        <v>764</v>
      </c>
      <c r="H251" s="379"/>
      <c r="I251" s="379"/>
      <c r="J251" s="377" t="s">
        <v>169</v>
      </c>
      <c r="K251" s="377" t="s">
        <v>252</v>
      </c>
      <c r="L251" s="377" t="s">
        <v>179</v>
      </c>
      <c r="M251" s="377" t="s">
        <v>395</v>
      </c>
      <c r="N251" s="377" t="s">
        <v>173</v>
      </c>
      <c r="O251" s="380">
        <v>0</v>
      </c>
      <c r="P251" s="386">
        <v>0</v>
      </c>
      <c r="Q251" s="386">
        <v>0</v>
      </c>
      <c r="R251" s="381">
        <v>80</v>
      </c>
      <c r="S251" s="386">
        <v>0</v>
      </c>
      <c r="T251" s="381">
        <v>1155.4100000000001</v>
      </c>
      <c r="U251" s="381">
        <v>0</v>
      </c>
      <c r="V251" s="381">
        <v>358.82</v>
      </c>
      <c r="W251" s="381">
        <v>0</v>
      </c>
      <c r="X251" s="381">
        <v>0</v>
      </c>
      <c r="Y251" s="381">
        <v>0</v>
      </c>
      <c r="Z251" s="381">
        <v>0</v>
      </c>
      <c r="AA251" s="379"/>
      <c r="AB251" s="377" t="s">
        <v>45</v>
      </c>
      <c r="AC251" s="377" t="s">
        <v>45</v>
      </c>
      <c r="AD251" s="379"/>
      <c r="AE251" s="379"/>
      <c r="AF251" s="379"/>
      <c r="AG251" s="379"/>
      <c r="AH251" s="380">
        <v>0</v>
      </c>
      <c r="AI251" s="380">
        <v>0</v>
      </c>
      <c r="AJ251" s="379"/>
      <c r="AK251" s="379"/>
      <c r="AL251" s="377" t="s">
        <v>182</v>
      </c>
      <c r="AM251" s="379"/>
      <c r="AN251" s="379"/>
      <c r="AO251" s="380">
        <v>0</v>
      </c>
      <c r="AP251" s="386">
        <v>0</v>
      </c>
      <c r="AQ251" s="386">
        <v>0</v>
      </c>
      <c r="AR251" s="385"/>
      <c r="AS251" s="388">
        <f t="shared" si="159"/>
        <v>0</v>
      </c>
      <c r="AT251">
        <f t="shared" si="160"/>
        <v>0</v>
      </c>
      <c r="AU251" s="388" t="str">
        <f>IF(AT251=0,"",IF(AND(AT251=1,M251="F",SUMIF(C2:C258,C251,AS2:AS258)&lt;=1),SUMIF(C2:C258,C251,AS2:AS258),IF(AND(AT251=1,M251="F",SUMIF(C2:C258,C251,AS2:AS258)&gt;1),1,"")))</f>
        <v/>
      </c>
      <c r="AV251" s="388" t="str">
        <f>IF(AT251=0,"",IF(AND(AT251=3,M251="F",SUMIF(C2:C258,C251,AS2:AS258)&lt;=1),SUMIF(C2:C258,C251,AS2:AS258),IF(AND(AT251=3,M251="F",SUMIF(C2:C258,C251,AS2:AS258)&gt;1),1,"")))</f>
        <v/>
      </c>
      <c r="AW251" s="388">
        <f>SUMIF(C2:C258,C251,O2:O258)</f>
        <v>0</v>
      </c>
      <c r="AX251" s="388">
        <f>IF(AND(M251="F",AS251&lt;&gt;0),SUMIF(C2:C258,C251,W2:W258),0)</f>
        <v>0</v>
      </c>
      <c r="AY251" s="388" t="str">
        <f t="shared" si="161"/>
        <v/>
      </c>
      <c r="AZ251" s="388" t="str">
        <f t="shared" si="162"/>
        <v/>
      </c>
      <c r="BA251" s="388">
        <f t="shared" si="163"/>
        <v>0</v>
      </c>
      <c r="BB251" s="388">
        <f t="shared" si="132"/>
        <v>0</v>
      </c>
      <c r="BC251" s="388">
        <f t="shared" si="133"/>
        <v>0</v>
      </c>
      <c r="BD251" s="388">
        <f t="shared" si="134"/>
        <v>0</v>
      </c>
      <c r="BE251" s="388">
        <f t="shared" si="135"/>
        <v>0</v>
      </c>
      <c r="BF251" s="388">
        <f t="shared" si="136"/>
        <v>0</v>
      </c>
      <c r="BG251" s="388">
        <f t="shared" si="137"/>
        <v>0</v>
      </c>
      <c r="BH251" s="388">
        <f t="shared" si="138"/>
        <v>0</v>
      </c>
      <c r="BI251" s="388">
        <f t="shared" si="139"/>
        <v>0</v>
      </c>
      <c r="BJ251" s="388">
        <f t="shared" si="140"/>
        <v>0</v>
      </c>
      <c r="BK251" s="388">
        <f t="shared" si="141"/>
        <v>0</v>
      </c>
      <c r="BL251" s="388">
        <f t="shared" si="164"/>
        <v>0</v>
      </c>
      <c r="BM251" s="388">
        <f t="shared" si="165"/>
        <v>0</v>
      </c>
      <c r="BN251" s="388">
        <f t="shared" si="142"/>
        <v>0</v>
      </c>
      <c r="BO251" s="388">
        <f t="shared" si="143"/>
        <v>0</v>
      </c>
      <c r="BP251" s="388">
        <f t="shared" si="144"/>
        <v>0</v>
      </c>
      <c r="BQ251" s="388">
        <f t="shared" si="145"/>
        <v>0</v>
      </c>
      <c r="BR251" s="388">
        <f t="shared" si="146"/>
        <v>0</v>
      </c>
      <c r="BS251" s="388">
        <f t="shared" si="147"/>
        <v>0</v>
      </c>
      <c r="BT251" s="388">
        <f t="shared" si="148"/>
        <v>0</v>
      </c>
      <c r="BU251" s="388">
        <f t="shared" si="149"/>
        <v>0</v>
      </c>
      <c r="BV251" s="388">
        <f t="shared" si="150"/>
        <v>0</v>
      </c>
      <c r="BW251" s="388">
        <f t="shared" si="151"/>
        <v>0</v>
      </c>
      <c r="BX251" s="388">
        <f t="shared" si="166"/>
        <v>0</v>
      </c>
      <c r="BY251" s="388">
        <f t="shared" si="167"/>
        <v>0</v>
      </c>
      <c r="BZ251" s="388">
        <f t="shared" si="168"/>
        <v>0</v>
      </c>
      <c r="CA251" s="388">
        <f t="shared" si="169"/>
        <v>0</v>
      </c>
      <c r="CB251" s="388">
        <f t="shared" si="170"/>
        <v>0</v>
      </c>
      <c r="CC251" s="388">
        <f t="shared" si="152"/>
        <v>0</v>
      </c>
      <c r="CD251" s="388">
        <f t="shared" si="153"/>
        <v>0</v>
      </c>
      <c r="CE251" s="388">
        <f t="shared" si="154"/>
        <v>0</v>
      </c>
      <c r="CF251" s="388">
        <f t="shared" si="155"/>
        <v>0</v>
      </c>
      <c r="CG251" s="388">
        <f t="shared" si="156"/>
        <v>0</v>
      </c>
      <c r="CH251" s="388">
        <f t="shared" si="157"/>
        <v>0</v>
      </c>
      <c r="CI251" s="388">
        <f t="shared" si="158"/>
        <v>0</v>
      </c>
      <c r="CJ251" s="388">
        <f t="shared" si="171"/>
        <v>0</v>
      </c>
      <c r="CK251" s="388" t="str">
        <f t="shared" si="172"/>
        <v/>
      </c>
      <c r="CL251" s="388" t="str">
        <f t="shared" si="173"/>
        <v/>
      </c>
      <c r="CM251" s="388" t="str">
        <f t="shared" si="174"/>
        <v/>
      </c>
      <c r="CN251" s="388" t="str">
        <f t="shared" si="175"/>
        <v>0345-00</v>
      </c>
    </row>
    <row r="252" spans="1:92" ht="15.75" thickBot="1" x14ac:dyDescent="0.3">
      <c r="A252" s="377" t="s">
        <v>162</v>
      </c>
      <c r="B252" s="377" t="s">
        <v>163</v>
      </c>
      <c r="C252" s="377" t="s">
        <v>458</v>
      </c>
      <c r="D252" s="377" t="s">
        <v>300</v>
      </c>
      <c r="E252" s="377" t="s">
        <v>772</v>
      </c>
      <c r="F252" s="383" t="s">
        <v>638</v>
      </c>
      <c r="G252" s="377" t="s">
        <v>764</v>
      </c>
      <c r="H252" s="379"/>
      <c r="I252" s="379"/>
      <c r="J252" s="377" t="s">
        <v>219</v>
      </c>
      <c r="K252" s="377" t="s">
        <v>301</v>
      </c>
      <c r="L252" s="377" t="s">
        <v>167</v>
      </c>
      <c r="M252" s="377" t="s">
        <v>172</v>
      </c>
      <c r="N252" s="377" t="s">
        <v>173</v>
      </c>
      <c r="O252" s="380">
        <v>1</v>
      </c>
      <c r="P252" s="386">
        <v>1</v>
      </c>
      <c r="Q252" s="386">
        <v>1</v>
      </c>
      <c r="R252" s="381">
        <v>80</v>
      </c>
      <c r="S252" s="386">
        <v>1</v>
      </c>
      <c r="T252" s="381">
        <v>56459.44</v>
      </c>
      <c r="U252" s="381">
        <v>0</v>
      </c>
      <c r="V252" s="381">
        <v>21256.52</v>
      </c>
      <c r="W252" s="381">
        <v>72841.600000000006</v>
      </c>
      <c r="X252" s="381">
        <v>27549.77</v>
      </c>
      <c r="Y252" s="381">
        <v>72841.600000000006</v>
      </c>
      <c r="Z252" s="381">
        <v>28275.32</v>
      </c>
      <c r="AA252" s="377" t="s">
        <v>459</v>
      </c>
      <c r="AB252" s="377" t="s">
        <v>460</v>
      </c>
      <c r="AC252" s="377" t="s">
        <v>461</v>
      </c>
      <c r="AD252" s="377" t="s">
        <v>462</v>
      </c>
      <c r="AE252" s="377" t="s">
        <v>301</v>
      </c>
      <c r="AF252" s="377" t="s">
        <v>207</v>
      </c>
      <c r="AG252" s="377" t="s">
        <v>179</v>
      </c>
      <c r="AH252" s="382">
        <v>35.020000000000003</v>
      </c>
      <c r="AI252" s="382">
        <v>429.6</v>
      </c>
      <c r="AJ252" s="377" t="s">
        <v>180</v>
      </c>
      <c r="AK252" s="377" t="s">
        <v>181</v>
      </c>
      <c r="AL252" s="377" t="s">
        <v>182</v>
      </c>
      <c r="AM252" s="377" t="s">
        <v>183</v>
      </c>
      <c r="AN252" s="377" t="s">
        <v>66</v>
      </c>
      <c r="AO252" s="380">
        <v>80</v>
      </c>
      <c r="AP252" s="386">
        <v>1</v>
      </c>
      <c r="AQ252" s="386">
        <v>1</v>
      </c>
      <c r="AR252" s="384" t="s">
        <v>184</v>
      </c>
      <c r="AS252" s="388">
        <f t="shared" si="159"/>
        <v>1</v>
      </c>
      <c r="AT252">
        <f t="shared" si="160"/>
        <v>1</v>
      </c>
      <c r="AU252" s="388">
        <f>IF(AT252=0,"",IF(AND(AT252=1,M252="F",SUMIF(C2:C258,C252,AS2:AS258)&lt;=1),SUMIF(C2:C258,C252,AS2:AS258),IF(AND(AT252=1,M252="F",SUMIF(C2:C258,C252,AS2:AS258)&gt;1),1,"")))</f>
        <v>1</v>
      </c>
      <c r="AV252" s="388" t="str">
        <f>IF(AT252=0,"",IF(AND(AT252=3,M252="F",SUMIF(C2:C258,C252,AS2:AS258)&lt;=1),SUMIF(C2:C258,C252,AS2:AS258),IF(AND(AT252=3,M252="F",SUMIF(C2:C258,C252,AS2:AS258)&gt;1),1,"")))</f>
        <v/>
      </c>
      <c r="AW252" s="388">
        <f>SUMIF(C2:C258,C252,O2:O258)</f>
        <v>2</v>
      </c>
      <c r="AX252" s="388">
        <f>IF(AND(M252="F",AS252&lt;&gt;0),SUMIF(C2:C258,C252,W2:W258),0)</f>
        <v>72841.600000000006</v>
      </c>
      <c r="AY252" s="388">
        <f t="shared" si="161"/>
        <v>72841.600000000006</v>
      </c>
      <c r="AZ252" s="388" t="str">
        <f t="shared" si="162"/>
        <v/>
      </c>
      <c r="BA252" s="388">
        <f t="shared" si="163"/>
        <v>0</v>
      </c>
      <c r="BB252" s="388">
        <f t="shared" si="132"/>
        <v>12500</v>
      </c>
      <c r="BC252" s="388">
        <f t="shared" si="133"/>
        <v>0</v>
      </c>
      <c r="BD252" s="388">
        <f t="shared" si="134"/>
        <v>4516.1792000000005</v>
      </c>
      <c r="BE252" s="388">
        <f t="shared" si="135"/>
        <v>1056.2032000000002</v>
      </c>
      <c r="BF252" s="388">
        <f t="shared" si="136"/>
        <v>8697.2870400000011</v>
      </c>
      <c r="BG252" s="388">
        <f t="shared" si="137"/>
        <v>525.18793600000004</v>
      </c>
      <c r="BH252" s="388">
        <f t="shared" si="138"/>
        <v>0</v>
      </c>
      <c r="BI252" s="388">
        <f t="shared" si="139"/>
        <v>0</v>
      </c>
      <c r="BJ252" s="388">
        <f t="shared" si="140"/>
        <v>254.94560000000001</v>
      </c>
      <c r="BK252" s="388">
        <f t="shared" si="141"/>
        <v>0</v>
      </c>
      <c r="BL252" s="388">
        <f t="shared" si="164"/>
        <v>15049.802976000003</v>
      </c>
      <c r="BM252" s="388">
        <f t="shared" si="165"/>
        <v>0</v>
      </c>
      <c r="BN252" s="388">
        <f t="shared" si="142"/>
        <v>13750</v>
      </c>
      <c r="BO252" s="388">
        <f t="shared" si="143"/>
        <v>0</v>
      </c>
      <c r="BP252" s="388">
        <f t="shared" si="144"/>
        <v>4516.1792000000005</v>
      </c>
      <c r="BQ252" s="388">
        <f t="shared" si="145"/>
        <v>1056.2032000000002</v>
      </c>
      <c r="BR252" s="388">
        <f t="shared" si="146"/>
        <v>8143.6908800000001</v>
      </c>
      <c r="BS252" s="388">
        <f t="shared" si="147"/>
        <v>525.18793600000004</v>
      </c>
      <c r="BT252" s="388">
        <f t="shared" si="148"/>
        <v>0</v>
      </c>
      <c r="BU252" s="388">
        <f t="shared" si="149"/>
        <v>0</v>
      </c>
      <c r="BV252" s="388">
        <f t="shared" si="150"/>
        <v>284.08224000000001</v>
      </c>
      <c r="BW252" s="388">
        <f t="shared" si="151"/>
        <v>0</v>
      </c>
      <c r="BX252" s="388">
        <f t="shared" si="166"/>
        <v>14525.343456000001</v>
      </c>
      <c r="BY252" s="388">
        <f t="shared" si="167"/>
        <v>0</v>
      </c>
      <c r="BZ252" s="388">
        <f t="shared" si="168"/>
        <v>1250</v>
      </c>
      <c r="CA252" s="388">
        <f t="shared" si="169"/>
        <v>0</v>
      </c>
      <c r="CB252" s="388">
        <f t="shared" si="170"/>
        <v>0</v>
      </c>
      <c r="CC252" s="388">
        <f t="shared" si="152"/>
        <v>0</v>
      </c>
      <c r="CD252" s="388">
        <f t="shared" si="153"/>
        <v>-553.59616000000074</v>
      </c>
      <c r="CE252" s="388">
        <f t="shared" si="154"/>
        <v>0</v>
      </c>
      <c r="CF252" s="388">
        <f t="shared" si="155"/>
        <v>0</v>
      </c>
      <c r="CG252" s="388">
        <f t="shared" si="156"/>
        <v>0</v>
      </c>
      <c r="CH252" s="388">
        <f t="shared" si="157"/>
        <v>29.136639999999986</v>
      </c>
      <c r="CI252" s="388">
        <f t="shared" si="158"/>
        <v>0</v>
      </c>
      <c r="CJ252" s="388">
        <f t="shared" si="171"/>
        <v>-524.45952000000079</v>
      </c>
      <c r="CK252" s="388" t="str">
        <f t="shared" si="172"/>
        <v/>
      </c>
      <c r="CL252" s="388" t="str">
        <f t="shared" si="173"/>
        <v/>
      </c>
      <c r="CM252" s="388" t="str">
        <f t="shared" si="174"/>
        <v/>
      </c>
      <c r="CN252" s="388" t="str">
        <f t="shared" si="175"/>
        <v>0481-01</v>
      </c>
    </row>
    <row r="253" spans="1:92" ht="15.75" thickBot="1" x14ac:dyDescent="0.3">
      <c r="A253" s="377" t="s">
        <v>162</v>
      </c>
      <c r="B253" s="377" t="s">
        <v>163</v>
      </c>
      <c r="C253" s="377" t="s">
        <v>237</v>
      </c>
      <c r="D253" s="377" t="s">
        <v>238</v>
      </c>
      <c r="E253" s="377" t="s">
        <v>772</v>
      </c>
      <c r="F253" s="383" t="s">
        <v>773</v>
      </c>
      <c r="G253" s="377" t="s">
        <v>764</v>
      </c>
      <c r="H253" s="379"/>
      <c r="I253" s="379"/>
      <c r="J253" s="377" t="s">
        <v>219</v>
      </c>
      <c r="K253" s="377" t="s">
        <v>239</v>
      </c>
      <c r="L253" s="377" t="s">
        <v>240</v>
      </c>
      <c r="M253" s="377" t="s">
        <v>172</v>
      </c>
      <c r="N253" s="377" t="s">
        <v>173</v>
      </c>
      <c r="O253" s="380">
        <v>1</v>
      </c>
      <c r="P253" s="386">
        <v>0</v>
      </c>
      <c r="Q253" s="386">
        <v>0</v>
      </c>
      <c r="R253" s="381">
        <v>80</v>
      </c>
      <c r="S253" s="386">
        <v>0</v>
      </c>
      <c r="T253" s="381">
        <v>4297.2</v>
      </c>
      <c r="U253" s="381">
        <v>0</v>
      </c>
      <c r="V253" s="381">
        <v>1315.1</v>
      </c>
      <c r="W253" s="381">
        <v>0</v>
      </c>
      <c r="X253" s="381">
        <v>0</v>
      </c>
      <c r="Y253" s="381">
        <v>0</v>
      </c>
      <c r="Z253" s="381">
        <v>0</v>
      </c>
      <c r="AA253" s="377" t="s">
        <v>241</v>
      </c>
      <c r="AB253" s="377" t="s">
        <v>242</v>
      </c>
      <c r="AC253" s="377" t="s">
        <v>243</v>
      </c>
      <c r="AD253" s="377" t="s">
        <v>211</v>
      </c>
      <c r="AE253" s="377" t="s">
        <v>244</v>
      </c>
      <c r="AF253" s="377" t="s">
        <v>207</v>
      </c>
      <c r="AG253" s="377" t="s">
        <v>179</v>
      </c>
      <c r="AH253" s="382">
        <v>47.19</v>
      </c>
      <c r="AI253" s="382">
        <v>6916.8</v>
      </c>
      <c r="AJ253" s="377" t="s">
        <v>180</v>
      </c>
      <c r="AK253" s="377" t="s">
        <v>181</v>
      </c>
      <c r="AL253" s="377" t="s">
        <v>182</v>
      </c>
      <c r="AM253" s="377" t="s">
        <v>183</v>
      </c>
      <c r="AN253" s="377" t="s">
        <v>66</v>
      </c>
      <c r="AO253" s="380">
        <v>80</v>
      </c>
      <c r="AP253" s="386">
        <v>1</v>
      </c>
      <c r="AQ253" s="386">
        <v>0</v>
      </c>
      <c r="AR253" s="384" t="s">
        <v>184</v>
      </c>
      <c r="AS253" s="388">
        <f t="shared" si="159"/>
        <v>0</v>
      </c>
      <c r="AT253">
        <f t="shared" si="160"/>
        <v>0</v>
      </c>
      <c r="AU253" s="388" t="str">
        <f>IF(AT253=0,"",IF(AND(AT253=1,M253="F",SUMIF(C2:C258,C253,AS2:AS258)&lt;=1),SUMIF(C2:C258,C253,AS2:AS258),IF(AND(AT253=1,M253="F",SUMIF(C2:C258,C253,AS2:AS258)&gt;1),1,"")))</f>
        <v/>
      </c>
      <c r="AV253" s="388" t="str">
        <f>IF(AT253=0,"",IF(AND(AT253=3,M253="F",SUMIF(C2:C258,C253,AS2:AS258)&lt;=1),SUMIF(C2:C258,C253,AS2:AS258),IF(AND(AT253=3,M253="F",SUMIF(C2:C258,C253,AS2:AS258)&gt;1),1,"")))</f>
        <v/>
      </c>
      <c r="AW253" s="388">
        <f>SUMIF(C2:C258,C253,O2:O258)</f>
        <v>7</v>
      </c>
      <c r="AX253" s="388">
        <f>IF(AND(M253="F",AS253&lt;&gt;0),SUMIF(C2:C258,C253,W2:W258),0)</f>
        <v>0</v>
      </c>
      <c r="AY253" s="388" t="str">
        <f t="shared" si="161"/>
        <v/>
      </c>
      <c r="AZ253" s="388" t="str">
        <f t="shared" si="162"/>
        <v/>
      </c>
      <c r="BA253" s="388">
        <f t="shared" si="163"/>
        <v>0</v>
      </c>
      <c r="BB253" s="388">
        <f t="shared" si="132"/>
        <v>0</v>
      </c>
      <c r="BC253" s="388">
        <f t="shared" si="133"/>
        <v>0</v>
      </c>
      <c r="BD253" s="388">
        <f t="shared" si="134"/>
        <v>0</v>
      </c>
      <c r="BE253" s="388">
        <f t="shared" si="135"/>
        <v>0</v>
      </c>
      <c r="BF253" s="388">
        <f t="shared" si="136"/>
        <v>0</v>
      </c>
      <c r="BG253" s="388">
        <f t="shared" si="137"/>
        <v>0</v>
      </c>
      <c r="BH253" s="388">
        <f t="shared" si="138"/>
        <v>0</v>
      </c>
      <c r="BI253" s="388">
        <f t="shared" si="139"/>
        <v>0</v>
      </c>
      <c r="BJ253" s="388">
        <f t="shared" si="140"/>
        <v>0</v>
      </c>
      <c r="BK253" s="388">
        <f t="shared" si="141"/>
        <v>0</v>
      </c>
      <c r="BL253" s="388">
        <f t="shared" si="164"/>
        <v>0</v>
      </c>
      <c r="BM253" s="388">
        <f t="shared" si="165"/>
        <v>0</v>
      </c>
      <c r="BN253" s="388">
        <f t="shared" si="142"/>
        <v>0</v>
      </c>
      <c r="BO253" s="388">
        <f t="shared" si="143"/>
        <v>0</v>
      </c>
      <c r="BP253" s="388">
        <f t="shared" si="144"/>
        <v>0</v>
      </c>
      <c r="BQ253" s="388">
        <f t="shared" si="145"/>
        <v>0</v>
      </c>
      <c r="BR253" s="388">
        <f t="shared" si="146"/>
        <v>0</v>
      </c>
      <c r="BS253" s="388">
        <f t="shared" si="147"/>
        <v>0</v>
      </c>
      <c r="BT253" s="388">
        <f t="shared" si="148"/>
        <v>0</v>
      </c>
      <c r="BU253" s="388">
        <f t="shared" si="149"/>
        <v>0</v>
      </c>
      <c r="BV253" s="388">
        <f t="shared" si="150"/>
        <v>0</v>
      </c>
      <c r="BW253" s="388">
        <f t="shared" si="151"/>
        <v>0</v>
      </c>
      <c r="BX253" s="388">
        <f t="shared" si="166"/>
        <v>0</v>
      </c>
      <c r="BY253" s="388">
        <f t="shared" si="167"/>
        <v>0</v>
      </c>
      <c r="BZ253" s="388">
        <f t="shared" si="168"/>
        <v>0</v>
      </c>
      <c r="CA253" s="388">
        <f t="shared" si="169"/>
        <v>0</v>
      </c>
      <c r="CB253" s="388">
        <f t="shared" si="170"/>
        <v>0</v>
      </c>
      <c r="CC253" s="388">
        <f t="shared" si="152"/>
        <v>0</v>
      </c>
      <c r="CD253" s="388">
        <f t="shared" si="153"/>
        <v>0</v>
      </c>
      <c r="CE253" s="388">
        <f t="shared" si="154"/>
        <v>0</v>
      </c>
      <c r="CF253" s="388">
        <f t="shared" si="155"/>
        <v>0</v>
      </c>
      <c r="CG253" s="388">
        <f t="shared" si="156"/>
        <v>0</v>
      </c>
      <c r="CH253" s="388">
        <f t="shared" si="157"/>
        <v>0</v>
      </c>
      <c r="CI253" s="388">
        <f t="shared" si="158"/>
        <v>0</v>
      </c>
      <c r="CJ253" s="388">
        <f t="shared" si="171"/>
        <v>0</v>
      </c>
      <c r="CK253" s="388" t="str">
        <f t="shared" si="172"/>
        <v/>
      </c>
      <c r="CL253" s="388" t="str">
        <f t="shared" si="173"/>
        <v/>
      </c>
      <c r="CM253" s="388" t="str">
        <f t="shared" si="174"/>
        <v/>
      </c>
      <c r="CN253" s="388" t="str">
        <f t="shared" si="175"/>
        <v>0481-54</v>
      </c>
    </row>
    <row r="254" spans="1:92" ht="15.75" thickBot="1" x14ac:dyDescent="0.3">
      <c r="A254" s="377" t="s">
        <v>162</v>
      </c>
      <c r="B254" s="377" t="s">
        <v>163</v>
      </c>
      <c r="C254" s="377" t="s">
        <v>516</v>
      </c>
      <c r="D254" s="377" t="s">
        <v>251</v>
      </c>
      <c r="E254" s="377" t="s">
        <v>772</v>
      </c>
      <c r="F254" s="383" t="s">
        <v>773</v>
      </c>
      <c r="G254" s="377" t="s">
        <v>764</v>
      </c>
      <c r="H254" s="379"/>
      <c r="I254" s="379"/>
      <c r="J254" s="377" t="s">
        <v>517</v>
      </c>
      <c r="K254" s="377" t="s">
        <v>252</v>
      </c>
      <c r="L254" s="377" t="s">
        <v>179</v>
      </c>
      <c r="M254" s="377" t="s">
        <v>172</v>
      </c>
      <c r="N254" s="377" t="s">
        <v>173</v>
      </c>
      <c r="O254" s="380">
        <v>1</v>
      </c>
      <c r="P254" s="386">
        <v>0.09</v>
      </c>
      <c r="Q254" s="386">
        <v>0.09</v>
      </c>
      <c r="R254" s="381">
        <v>80</v>
      </c>
      <c r="S254" s="386">
        <v>0.09</v>
      </c>
      <c r="T254" s="381">
        <v>3009.69</v>
      </c>
      <c r="U254" s="381">
        <v>0</v>
      </c>
      <c r="V254" s="381">
        <v>1514.22</v>
      </c>
      <c r="W254" s="381">
        <v>3466.94</v>
      </c>
      <c r="X254" s="381">
        <v>1841.3</v>
      </c>
      <c r="Y254" s="381">
        <v>3466.94</v>
      </c>
      <c r="Z254" s="381">
        <v>1928.84</v>
      </c>
      <c r="AA254" s="377" t="s">
        <v>518</v>
      </c>
      <c r="AB254" s="377" t="s">
        <v>519</v>
      </c>
      <c r="AC254" s="377" t="s">
        <v>520</v>
      </c>
      <c r="AD254" s="377" t="s">
        <v>211</v>
      </c>
      <c r="AE254" s="377" t="s">
        <v>252</v>
      </c>
      <c r="AF254" s="377" t="s">
        <v>257</v>
      </c>
      <c r="AG254" s="377" t="s">
        <v>179</v>
      </c>
      <c r="AH254" s="382">
        <v>18.52</v>
      </c>
      <c r="AI254" s="382">
        <v>2463.6</v>
      </c>
      <c r="AJ254" s="377" t="s">
        <v>180</v>
      </c>
      <c r="AK254" s="377" t="s">
        <v>181</v>
      </c>
      <c r="AL254" s="377" t="s">
        <v>182</v>
      </c>
      <c r="AM254" s="377" t="s">
        <v>183</v>
      </c>
      <c r="AN254" s="377" t="s">
        <v>66</v>
      </c>
      <c r="AO254" s="380">
        <v>80</v>
      </c>
      <c r="AP254" s="386">
        <v>1</v>
      </c>
      <c r="AQ254" s="386">
        <v>0.09</v>
      </c>
      <c r="AR254" s="384" t="s">
        <v>184</v>
      </c>
      <c r="AS254" s="388">
        <f t="shared" si="159"/>
        <v>0.09</v>
      </c>
      <c r="AT254">
        <f t="shared" si="160"/>
        <v>1</v>
      </c>
      <c r="AU254" s="388">
        <f>IF(AT254=0,"",IF(AND(AT254=1,M254="F",SUMIF(C2:C258,C254,AS2:AS258)&lt;=1),SUMIF(C2:C258,C254,AS2:AS258),IF(AND(AT254=1,M254="F",SUMIF(C2:C258,C254,AS2:AS258)&gt;1),1,"")))</f>
        <v>1</v>
      </c>
      <c r="AV254" s="388" t="str">
        <f>IF(AT254=0,"",IF(AND(AT254=3,M254="F",SUMIF(C2:C258,C254,AS2:AS258)&lt;=1),SUMIF(C2:C258,C254,AS2:AS258),IF(AND(AT254=3,M254="F",SUMIF(C2:C258,C254,AS2:AS258)&gt;1),1,"")))</f>
        <v/>
      </c>
      <c r="AW254" s="388">
        <f>SUMIF(C2:C258,C254,O2:O258)</f>
        <v>6</v>
      </c>
      <c r="AX254" s="388">
        <f>IF(AND(M254="F",AS254&lt;&gt;0),SUMIF(C2:C258,C254,W2:W258),0)</f>
        <v>38521.58</v>
      </c>
      <c r="AY254" s="388">
        <f t="shared" si="161"/>
        <v>3466.94</v>
      </c>
      <c r="AZ254" s="388" t="str">
        <f t="shared" si="162"/>
        <v/>
      </c>
      <c r="BA254" s="388">
        <f t="shared" si="163"/>
        <v>0</v>
      </c>
      <c r="BB254" s="388">
        <f t="shared" si="132"/>
        <v>1125</v>
      </c>
      <c r="BC254" s="388">
        <f t="shared" si="133"/>
        <v>0</v>
      </c>
      <c r="BD254" s="388">
        <f t="shared" si="134"/>
        <v>214.95027999999999</v>
      </c>
      <c r="BE254" s="388">
        <f t="shared" si="135"/>
        <v>50.270630000000004</v>
      </c>
      <c r="BF254" s="388">
        <f t="shared" si="136"/>
        <v>413.95263600000004</v>
      </c>
      <c r="BG254" s="388">
        <f t="shared" si="137"/>
        <v>24.996637400000001</v>
      </c>
      <c r="BH254" s="388">
        <f t="shared" si="138"/>
        <v>0</v>
      </c>
      <c r="BI254" s="388">
        <f t="shared" si="139"/>
        <v>0</v>
      </c>
      <c r="BJ254" s="388">
        <f t="shared" si="140"/>
        <v>12.13429</v>
      </c>
      <c r="BK254" s="388">
        <f t="shared" si="141"/>
        <v>0</v>
      </c>
      <c r="BL254" s="388">
        <f t="shared" si="164"/>
        <v>716.30447340000001</v>
      </c>
      <c r="BM254" s="388">
        <f t="shared" si="165"/>
        <v>0</v>
      </c>
      <c r="BN254" s="388">
        <f t="shared" si="142"/>
        <v>1237.5</v>
      </c>
      <c r="BO254" s="388">
        <f t="shared" si="143"/>
        <v>0</v>
      </c>
      <c r="BP254" s="388">
        <f t="shared" si="144"/>
        <v>214.95027999999999</v>
      </c>
      <c r="BQ254" s="388">
        <f t="shared" si="145"/>
        <v>50.270630000000004</v>
      </c>
      <c r="BR254" s="388">
        <f t="shared" si="146"/>
        <v>387.60389199999997</v>
      </c>
      <c r="BS254" s="388">
        <f t="shared" si="147"/>
        <v>24.996637400000001</v>
      </c>
      <c r="BT254" s="388">
        <f t="shared" si="148"/>
        <v>0</v>
      </c>
      <c r="BU254" s="388">
        <f t="shared" si="149"/>
        <v>0</v>
      </c>
      <c r="BV254" s="388">
        <f t="shared" si="150"/>
        <v>13.521065999999999</v>
      </c>
      <c r="BW254" s="388">
        <f t="shared" si="151"/>
        <v>0</v>
      </c>
      <c r="BX254" s="388">
        <f t="shared" si="166"/>
        <v>691.34250540000005</v>
      </c>
      <c r="BY254" s="388">
        <f t="shared" si="167"/>
        <v>0</v>
      </c>
      <c r="BZ254" s="388">
        <f t="shared" si="168"/>
        <v>112.5</v>
      </c>
      <c r="CA254" s="388">
        <f t="shared" si="169"/>
        <v>0</v>
      </c>
      <c r="CB254" s="388">
        <f t="shared" si="170"/>
        <v>0</v>
      </c>
      <c r="CC254" s="388">
        <f t="shared" si="152"/>
        <v>0</v>
      </c>
      <c r="CD254" s="388">
        <f t="shared" si="153"/>
        <v>-26.348744000000032</v>
      </c>
      <c r="CE254" s="388">
        <f t="shared" si="154"/>
        <v>0</v>
      </c>
      <c r="CF254" s="388">
        <f t="shared" si="155"/>
        <v>0</v>
      </c>
      <c r="CG254" s="388">
        <f t="shared" si="156"/>
        <v>0</v>
      </c>
      <c r="CH254" s="388">
        <f t="shared" si="157"/>
        <v>1.3867759999999991</v>
      </c>
      <c r="CI254" s="388">
        <f t="shared" si="158"/>
        <v>0</v>
      </c>
      <c r="CJ254" s="388">
        <f t="shared" si="171"/>
        <v>-24.961968000000034</v>
      </c>
      <c r="CK254" s="388" t="str">
        <f t="shared" si="172"/>
        <v/>
      </c>
      <c r="CL254" s="388" t="str">
        <f t="shared" si="173"/>
        <v/>
      </c>
      <c r="CM254" s="388" t="str">
        <f t="shared" si="174"/>
        <v/>
      </c>
      <c r="CN254" s="388" t="str">
        <f t="shared" si="175"/>
        <v>0481-54</v>
      </c>
    </row>
    <row r="255" spans="1:92" ht="15.75" thickBot="1" x14ac:dyDescent="0.3">
      <c r="A255" s="377" t="s">
        <v>162</v>
      </c>
      <c r="B255" s="377" t="s">
        <v>163</v>
      </c>
      <c r="C255" s="377" t="s">
        <v>628</v>
      </c>
      <c r="D255" s="377" t="s">
        <v>300</v>
      </c>
      <c r="E255" s="377" t="s">
        <v>772</v>
      </c>
      <c r="F255" s="383" t="s">
        <v>773</v>
      </c>
      <c r="G255" s="377" t="s">
        <v>764</v>
      </c>
      <c r="H255" s="379"/>
      <c r="I255" s="379"/>
      <c r="J255" s="377" t="s">
        <v>283</v>
      </c>
      <c r="K255" s="377" t="s">
        <v>301</v>
      </c>
      <c r="L255" s="377" t="s">
        <v>167</v>
      </c>
      <c r="M255" s="377" t="s">
        <v>172</v>
      </c>
      <c r="N255" s="377" t="s">
        <v>173</v>
      </c>
      <c r="O255" s="380">
        <v>1</v>
      </c>
      <c r="P255" s="386">
        <v>0.11</v>
      </c>
      <c r="Q255" s="386">
        <v>0.11</v>
      </c>
      <c r="R255" s="381">
        <v>80</v>
      </c>
      <c r="S255" s="386">
        <v>0.11</v>
      </c>
      <c r="T255" s="381">
        <v>1600.73</v>
      </c>
      <c r="U255" s="381">
        <v>0</v>
      </c>
      <c r="V255" s="381">
        <v>608.75</v>
      </c>
      <c r="W255" s="381">
        <v>7268.97</v>
      </c>
      <c r="X255" s="381">
        <v>2876.83</v>
      </c>
      <c r="Y255" s="381">
        <v>7268.97</v>
      </c>
      <c r="Z255" s="381">
        <v>2962</v>
      </c>
      <c r="AA255" s="377" t="s">
        <v>629</v>
      </c>
      <c r="AB255" s="377" t="s">
        <v>630</v>
      </c>
      <c r="AC255" s="377" t="s">
        <v>631</v>
      </c>
      <c r="AD255" s="377" t="s">
        <v>199</v>
      </c>
      <c r="AE255" s="377" t="s">
        <v>301</v>
      </c>
      <c r="AF255" s="377" t="s">
        <v>207</v>
      </c>
      <c r="AG255" s="377" t="s">
        <v>179</v>
      </c>
      <c r="AH255" s="382">
        <v>31.77</v>
      </c>
      <c r="AI255" s="382">
        <v>5894.5</v>
      </c>
      <c r="AJ255" s="377" t="s">
        <v>180</v>
      </c>
      <c r="AK255" s="377" t="s">
        <v>181</v>
      </c>
      <c r="AL255" s="377" t="s">
        <v>182</v>
      </c>
      <c r="AM255" s="377" t="s">
        <v>183</v>
      </c>
      <c r="AN255" s="377" t="s">
        <v>66</v>
      </c>
      <c r="AO255" s="380">
        <v>80</v>
      </c>
      <c r="AP255" s="386">
        <v>1</v>
      </c>
      <c r="AQ255" s="386">
        <v>0.11</v>
      </c>
      <c r="AR255" s="384" t="s">
        <v>184</v>
      </c>
      <c r="AS255" s="388">
        <f t="shared" si="159"/>
        <v>0.11</v>
      </c>
      <c r="AT255">
        <f t="shared" si="160"/>
        <v>1</v>
      </c>
      <c r="AU255" s="388">
        <f>IF(AT255=0,"",IF(AND(AT255=1,M255="F",SUMIF(C2:C258,C255,AS2:AS258)&lt;=1),SUMIF(C2:C258,C255,AS2:AS258),IF(AND(AT255=1,M255="F",SUMIF(C2:C258,C255,AS2:AS258)&gt;1),1,"")))</f>
        <v>1</v>
      </c>
      <c r="AV255" s="388" t="str">
        <f>IF(AT255=0,"",IF(AND(AT255=3,M255="F",SUMIF(C2:C258,C255,AS2:AS258)&lt;=1),SUMIF(C2:C258,C255,AS2:AS258),IF(AND(AT255=3,M255="F",SUMIF(C2:C258,C255,AS2:AS258)&gt;1),1,"")))</f>
        <v/>
      </c>
      <c r="AW255" s="388">
        <f>SUMIF(C2:C258,C255,O2:O258)</f>
        <v>3</v>
      </c>
      <c r="AX255" s="388">
        <f>IF(AND(M255="F",AS255&lt;&gt;0),SUMIF(C2:C258,C255,W2:W258),0)</f>
        <v>66081.59</v>
      </c>
      <c r="AY255" s="388">
        <f t="shared" si="161"/>
        <v>7268.97</v>
      </c>
      <c r="AZ255" s="388" t="str">
        <f t="shared" si="162"/>
        <v/>
      </c>
      <c r="BA255" s="388">
        <f t="shared" si="163"/>
        <v>0</v>
      </c>
      <c r="BB255" s="388">
        <f t="shared" si="132"/>
        <v>1375</v>
      </c>
      <c r="BC255" s="388">
        <f t="shared" si="133"/>
        <v>0</v>
      </c>
      <c r="BD255" s="388">
        <f t="shared" si="134"/>
        <v>450.67614000000003</v>
      </c>
      <c r="BE255" s="388">
        <f t="shared" si="135"/>
        <v>105.40006500000001</v>
      </c>
      <c r="BF255" s="388">
        <f t="shared" si="136"/>
        <v>867.91501800000003</v>
      </c>
      <c r="BG255" s="388">
        <f t="shared" si="137"/>
        <v>52.409273700000007</v>
      </c>
      <c r="BH255" s="388">
        <f t="shared" si="138"/>
        <v>0</v>
      </c>
      <c r="BI255" s="388">
        <f t="shared" si="139"/>
        <v>0</v>
      </c>
      <c r="BJ255" s="388">
        <f t="shared" si="140"/>
        <v>25.441395</v>
      </c>
      <c r="BK255" s="388">
        <f t="shared" si="141"/>
        <v>0</v>
      </c>
      <c r="BL255" s="388">
        <f t="shared" si="164"/>
        <v>1501.8418917000001</v>
      </c>
      <c r="BM255" s="388">
        <f t="shared" si="165"/>
        <v>0</v>
      </c>
      <c r="BN255" s="388">
        <f t="shared" si="142"/>
        <v>1512.5</v>
      </c>
      <c r="BO255" s="388">
        <f t="shared" si="143"/>
        <v>0</v>
      </c>
      <c r="BP255" s="388">
        <f t="shared" si="144"/>
        <v>450.67614000000003</v>
      </c>
      <c r="BQ255" s="388">
        <f t="shared" si="145"/>
        <v>105.40006500000001</v>
      </c>
      <c r="BR255" s="388">
        <f t="shared" si="146"/>
        <v>812.67084599999998</v>
      </c>
      <c r="BS255" s="388">
        <f t="shared" si="147"/>
        <v>52.409273700000007</v>
      </c>
      <c r="BT255" s="388">
        <f t="shared" si="148"/>
        <v>0</v>
      </c>
      <c r="BU255" s="388">
        <f t="shared" si="149"/>
        <v>0</v>
      </c>
      <c r="BV255" s="388">
        <f t="shared" si="150"/>
        <v>28.348983</v>
      </c>
      <c r="BW255" s="388">
        <f t="shared" si="151"/>
        <v>0</v>
      </c>
      <c r="BX255" s="388">
        <f t="shared" si="166"/>
        <v>1449.5053077000002</v>
      </c>
      <c r="BY255" s="388">
        <f t="shared" si="167"/>
        <v>0</v>
      </c>
      <c r="BZ255" s="388">
        <f t="shared" si="168"/>
        <v>137.5</v>
      </c>
      <c r="CA255" s="388">
        <f t="shared" si="169"/>
        <v>0</v>
      </c>
      <c r="CB255" s="388">
        <f t="shared" si="170"/>
        <v>0</v>
      </c>
      <c r="CC255" s="388">
        <f t="shared" si="152"/>
        <v>0</v>
      </c>
      <c r="CD255" s="388">
        <f t="shared" si="153"/>
        <v>-55.24417200000007</v>
      </c>
      <c r="CE255" s="388">
        <f t="shared" si="154"/>
        <v>0</v>
      </c>
      <c r="CF255" s="388">
        <f t="shared" si="155"/>
        <v>0</v>
      </c>
      <c r="CG255" s="388">
        <f t="shared" si="156"/>
        <v>0</v>
      </c>
      <c r="CH255" s="388">
        <f t="shared" si="157"/>
        <v>2.9075879999999983</v>
      </c>
      <c r="CI255" s="388">
        <f t="shared" si="158"/>
        <v>0</v>
      </c>
      <c r="CJ255" s="388">
        <f t="shared" si="171"/>
        <v>-52.336584000000073</v>
      </c>
      <c r="CK255" s="388" t="str">
        <f t="shared" si="172"/>
        <v/>
      </c>
      <c r="CL255" s="388" t="str">
        <f t="shared" si="173"/>
        <v/>
      </c>
      <c r="CM255" s="388" t="str">
        <f t="shared" si="174"/>
        <v/>
      </c>
      <c r="CN255" s="388" t="str">
        <f t="shared" si="175"/>
        <v>0481-54</v>
      </c>
    </row>
    <row r="256" spans="1:92" ht="15.75" thickBot="1" x14ac:dyDescent="0.3">
      <c r="A256" s="377" t="s">
        <v>162</v>
      </c>
      <c r="B256" s="377" t="s">
        <v>163</v>
      </c>
      <c r="C256" s="377" t="s">
        <v>521</v>
      </c>
      <c r="D256" s="377" t="s">
        <v>282</v>
      </c>
      <c r="E256" s="377" t="s">
        <v>772</v>
      </c>
      <c r="F256" s="383" t="s">
        <v>773</v>
      </c>
      <c r="G256" s="377" t="s">
        <v>764</v>
      </c>
      <c r="H256" s="379"/>
      <c r="I256" s="379"/>
      <c r="J256" s="377" t="s">
        <v>517</v>
      </c>
      <c r="K256" s="377" t="s">
        <v>244</v>
      </c>
      <c r="L256" s="377" t="s">
        <v>167</v>
      </c>
      <c r="M256" s="377" t="s">
        <v>395</v>
      </c>
      <c r="N256" s="377" t="s">
        <v>173</v>
      </c>
      <c r="O256" s="380">
        <v>0</v>
      </c>
      <c r="P256" s="386">
        <v>0.23</v>
      </c>
      <c r="Q256" s="386">
        <v>0.23</v>
      </c>
      <c r="R256" s="381">
        <v>80</v>
      </c>
      <c r="S256" s="386">
        <v>0.23</v>
      </c>
      <c r="T256" s="381">
        <v>10591.31</v>
      </c>
      <c r="U256" s="381">
        <v>0</v>
      </c>
      <c r="V256" s="381">
        <v>3580.24</v>
      </c>
      <c r="W256" s="381">
        <v>19901.439999999999</v>
      </c>
      <c r="X256" s="381">
        <v>8955.64</v>
      </c>
      <c r="Y256" s="381">
        <v>19901.439999999999</v>
      </c>
      <c r="Z256" s="381">
        <v>9274.06</v>
      </c>
      <c r="AA256" s="379"/>
      <c r="AB256" s="377" t="s">
        <v>45</v>
      </c>
      <c r="AC256" s="377" t="s">
        <v>45</v>
      </c>
      <c r="AD256" s="379"/>
      <c r="AE256" s="379"/>
      <c r="AF256" s="379"/>
      <c r="AG256" s="379"/>
      <c r="AH256" s="380">
        <v>0</v>
      </c>
      <c r="AI256" s="380">
        <v>0</v>
      </c>
      <c r="AJ256" s="379"/>
      <c r="AK256" s="379"/>
      <c r="AL256" s="377" t="s">
        <v>182</v>
      </c>
      <c r="AM256" s="379"/>
      <c r="AN256" s="379"/>
      <c r="AO256" s="380">
        <v>0</v>
      </c>
      <c r="AP256" s="386">
        <v>0</v>
      </c>
      <c r="AQ256" s="386">
        <v>0</v>
      </c>
      <c r="AR256" s="385"/>
      <c r="AS256" s="388">
        <f t="shared" si="159"/>
        <v>0</v>
      </c>
      <c r="AT256">
        <f t="shared" si="160"/>
        <v>0</v>
      </c>
      <c r="AU256" s="388" t="str">
        <f>IF(AT256=0,"",IF(AND(AT256=1,M256="F",SUMIF(C2:C258,C256,AS2:AS258)&lt;=1),SUMIF(C2:C258,C256,AS2:AS258),IF(AND(AT256=1,M256="F",SUMIF(C2:C258,C256,AS2:AS258)&gt;1),1,"")))</f>
        <v/>
      </c>
      <c r="AV256" s="388" t="str">
        <f>IF(AT256=0,"",IF(AND(AT256=3,M256="F",SUMIF(C2:C258,C256,AS2:AS258)&lt;=1),SUMIF(C2:C258,C256,AS2:AS258),IF(AND(AT256=3,M256="F",SUMIF(C2:C258,C256,AS2:AS258)&gt;1),1,"")))</f>
        <v/>
      </c>
      <c r="AW256" s="388">
        <f>SUMIF(C2:C258,C256,O2:O258)</f>
        <v>0</v>
      </c>
      <c r="AX256" s="388">
        <f>IF(AND(M256="F",AS256&lt;&gt;0),SUMIF(C2:C258,C256,W2:W258),0)</f>
        <v>0</v>
      </c>
      <c r="AY256" s="388" t="str">
        <f t="shared" si="161"/>
        <v/>
      </c>
      <c r="AZ256" s="388" t="str">
        <f t="shared" si="162"/>
        <v/>
      </c>
      <c r="BA256" s="388">
        <f t="shared" si="163"/>
        <v>0</v>
      </c>
      <c r="BB256" s="388">
        <f t="shared" si="132"/>
        <v>0</v>
      </c>
      <c r="BC256" s="388">
        <f t="shared" si="133"/>
        <v>0</v>
      </c>
      <c r="BD256" s="388">
        <f t="shared" si="134"/>
        <v>0</v>
      </c>
      <c r="BE256" s="388">
        <f t="shared" si="135"/>
        <v>0</v>
      </c>
      <c r="BF256" s="388">
        <f t="shared" si="136"/>
        <v>0</v>
      </c>
      <c r="BG256" s="388">
        <f t="shared" si="137"/>
        <v>0</v>
      </c>
      <c r="BH256" s="388">
        <f t="shared" si="138"/>
        <v>0</v>
      </c>
      <c r="BI256" s="388">
        <f t="shared" si="139"/>
        <v>0</v>
      </c>
      <c r="BJ256" s="388">
        <f t="shared" si="140"/>
        <v>0</v>
      </c>
      <c r="BK256" s="388">
        <f t="shared" si="141"/>
        <v>0</v>
      </c>
      <c r="BL256" s="388">
        <f t="shared" si="164"/>
        <v>0</v>
      </c>
      <c r="BM256" s="388">
        <f t="shared" si="165"/>
        <v>0</v>
      </c>
      <c r="BN256" s="388">
        <f t="shared" si="142"/>
        <v>0</v>
      </c>
      <c r="BO256" s="388">
        <f t="shared" si="143"/>
        <v>0</v>
      </c>
      <c r="BP256" s="388">
        <f t="shared" si="144"/>
        <v>0</v>
      </c>
      <c r="BQ256" s="388">
        <f t="shared" si="145"/>
        <v>0</v>
      </c>
      <c r="BR256" s="388">
        <f t="shared" si="146"/>
        <v>0</v>
      </c>
      <c r="BS256" s="388">
        <f t="shared" si="147"/>
        <v>0</v>
      </c>
      <c r="BT256" s="388">
        <f t="shared" si="148"/>
        <v>0</v>
      </c>
      <c r="BU256" s="388">
        <f t="shared" si="149"/>
        <v>0</v>
      </c>
      <c r="BV256" s="388">
        <f t="shared" si="150"/>
        <v>0</v>
      </c>
      <c r="BW256" s="388">
        <f t="shared" si="151"/>
        <v>0</v>
      </c>
      <c r="BX256" s="388">
        <f t="shared" si="166"/>
        <v>0</v>
      </c>
      <c r="BY256" s="388">
        <f t="shared" si="167"/>
        <v>0</v>
      </c>
      <c r="BZ256" s="388">
        <f t="shared" si="168"/>
        <v>0</v>
      </c>
      <c r="CA256" s="388">
        <f t="shared" si="169"/>
        <v>0</v>
      </c>
      <c r="CB256" s="388">
        <f t="shared" si="170"/>
        <v>0</v>
      </c>
      <c r="CC256" s="388">
        <f t="shared" si="152"/>
        <v>0</v>
      </c>
      <c r="CD256" s="388">
        <f t="shared" si="153"/>
        <v>0</v>
      </c>
      <c r="CE256" s="388">
        <f t="shared" si="154"/>
        <v>0</v>
      </c>
      <c r="CF256" s="388">
        <f t="shared" si="155"/>
        <v>0</v>
      </c>
      <c r="CG256" s="388">
        <f t="shared" si="156"/>
        <v>0</v>
      </c>
      <c r="CH256" s="388">
        <f t="shared" si="157"/>
        <v>0</v>
      </c>
      <c r="CI256" s="388">
        <f t="shared" si="158"/>
        <v>0</v>
      </c>
      <c r="CJ256" s="388">
        <f t="shared" si="171"/>
        <v>0</v>
      </c>
      <c r="CK256" s="388" t="str">
        <f t="shared" si="172"/>
        <v/>
      </c>
      <c r="CL256" s="388" t="str">
        <f t="shared" si="173"/>
        <v/>
      </c>
      <c r="CM256" s="388" t="str">
        <f t="shared" si="174"/>
        <v/>
      </c>
      <c r="CN256" s="388" t="str">
        <f t="shared" si="175"/>
        <v>0481-54</v>
      </c>
    </row>
    <row r="257" spans="1:92" ht="15.75" thickBot="1" x14ac:dyDescent="0.3">
      <c r="A257" s="377" t="s">
        <v>162</v>
      </c>
      <c r="B257" s="377" t="s">
        <v>163</v>
      </c>
      <c r="C257" s="377" t="s">
        <v>541</v>
      </c>
      <c r="D257" s="377" t="s">
        <v>276</v>
      </c>
      <c r="E257" s="377" t="s">
        <v>772</v>
      </c>
      <c r="F257" s="383" t="s">
        <v>773</v>
      </c>
      <c r="G257" s="377" t="s">
        <v>764</v>
      </c>
      <c r="H257" s="379"/>
      <c r="I257" s="379"/>
      <c r="J257" s="377" t="s">
        <v>283</v>
      </c>
      <c r="K257" s="377" t="s">
        <v>277</v>
      </c>
      <c r="L257" s="377" t="s">
        <v>215</v>
      </c>
      <c r="M257" s="377" t="s">
        <v>395</v>
      </c>
      <c r="N257" s="377" t="s">
        <v>173</v>
      </c>
      <c r="O257" s="380">
        <v>0</v>
      </c>
      <c r="P257" s="386">
        <v>0.05</v>
      </c>
      <c r="Q257" s="386">
        <v>0.05</v>
      </c>
      <c r="R257" s="381">
        <v>80</v>
      </c>
      <c r="S257" s="386">
        <v>0.05</v>
      </c>
      <c r="T257" s="381">
        <v>1036.1600000000001</v>
      </c>
      <c r="U257" s="381">
        <v>0</v>
      </c>
      <c r="V257" s="381">
        <v>437.21</v>
      </c>
      <c r="W257" s="381">
        <v>3557.84</v>
      </c>
      <c r="X257" s="381">
        <v>1601.02</v>
      </c>
      <c r="Y257" s="381">
        <v>3557.84</v>
      </c>
      <c r="Z257" s="381">
        <v>1657.95</v>
      </c>
      <c r="AA257" s="379"/>
      <c r="AB257" s="377" t="s">
        <v>45</v>
      </c>
      <c r="AC257" s="377" t="s">
        <v>45</v>
      </c>
      <c r="AD257" s="379"/>
      <c r="AE257" s="379"/>
      <c r="AF257" s="379"/>
      <c r="AG257" s="379"/>
      <c r="AH257" s="380">
        <v>0</v>
      </c>
      <c r="AI257" s="380">
        <v>0</v>
      </c>
      <c r="AJ257" s="379"/>
      <c r="AK257" s="379"/>
      <c r="AL257" s="377" t="s">
        <v>182</v>
      </c>
      <c r="AM257" s="379"/>
      <c r="AN257" s="379"/>
      <c r="AO257" s="380">
        <v>0</v>
      </c>
      <c r="AP257" s="386">
        <v>0</v>
      </c>
      <c r="AQ257" s="386">
        <v>0</v>
      </c>
      <c r="AR257" s="385"/>
      <c r="AS257" s="388">
        <f t="shared" si="159"/>
        <v>0</v>
      </c>
      <c r="AT257">
        <f t="shared" si="160"/>
        <v>0</v>
      </c>
      <c r="AU257" s="388" t="str">
        <f>IF(AT257=0,"",IF(AND(AT257=1,M257="F",SUMIF(C2:C258,C257,AS2:AS258)&lt;=1),SUMIF(C2:C258,C257,AS2:AS258),IF(AND(AT257=1,M257="F",SUMIF(C2:C258,C257,AS2:AS258)&gt;1),1,"")))</f>
        <v/>
      </c>
      <c r="AV257" s="388" t="str">
        <f>IF(AT257=0,"",IF(AND(AT257=3,M257="F",SUMIF(C2:C258,C257,AS2:AS258)&lt;=1),SUMIF(C2:C258,C257,AS2:AS258),IF(AND(AT257=3,M257="F",SUMIF(C2:C258,C257,AS2:AS258)&gt;1),1,"")))</f>
        <v/>
      </c>
      <c r="AW257" s="388">
        <f>SUMIF(C2:C258,C257,O2:O258)</f>
        <v>0</v>
      </c>
      <c r="AX257" s="388">
        <f>IF(AND(M257="F",AS257&lt;&gt;0),SUMIF(C2:C258,C257,W2:W258),0)</f>
        <v>0</v>
      </c>
      <c r="AY257" s="388" t="str">
        <f t="shared" si="161"/>
        <v/>
      </c>
      <c r="AZ257" s="388" t="str">
        <f t="shared" si="162"/>
        <v/>
      </c>
      <c r="BA257" s="388">
        <f t="shared" si="163"/>
        <v>0</v>
      </c>
      <c r="BB257" s="388">
        <f t="shared" si="132"/>
        <v>0</v>
      </c>
      <c r="BC257" s="388">
        <f t="shared" si="133"/>
        <v>0</v>
      </c>
      <c r="BD257" s="388">
        <f t="shared" si="134"/>
        <v>0</v>
      </c>
      <c r="BE257" s="388">
        <f t="shared" si="135"/>
        <v>0</v>
      </c>
      <c r="BF257" s="388">
        <f t="shared" si="136"/>
        <v>0</v>
      </c>
      <c r="BG257" s="388">
        <f t="shared" si="137"/>
        <v>0</v>
      </c>
      <c r="BH257" s="388">
        <f t="shared" si="138"/>
        <v>0</v>
      </c>
      <c r="BI257" s="388">
        <f t="shared" si="139"/>
        <v>0</v>
      </c>
      <c r="BJ257" s="388">
        <f t="shared" si="140"/>
        <v>0</v>
      </c>
      <c r="BK257" s="388">
        <f t="shared" si="141"/>
        <v>0</v>
      </c>
      <c r="BL257" s="388">
        <f t="shared" si="164"/>
        <v>0</v>
      </c>
      <c r="BM257" s="388">
        <f t="shared" si="165"/>
        <v>0</v>
      </c>
      <c r="BN257" s="388">
        <f t="shared" si="142"/>
        <v>0</v>
      </c>
      <c r="BO257" s="388">
        <f t="shared" si="143"/>
        <v>0</v>
      </c>
      <c r="BP257" s="388">
        <f t="shared" si="144"/>
        <v>0</v>
      </c>
      <c r="BQ257" s="388">
        <f t="shared" si="145"/>
        <v>0</v>
      </c>
      <c r="BR257" s="388">
        <f t="shared" si="146"/>
        <v>0</v>
      </c>
      <c r="BS257" s="388">
        <f t="shared" si="147"/>
        <v>0</v>
      </c>
      <c r="BT257" s="388">
        <f t="shared" si="148"/>
        <v>0</v>
      </c>
      <c r="BU257" s="388">
        <f t="shared" si="149"/>
        <v>0</v>
      </c>
      <c r="BV257" s="388">
        <f t="shared" si="150"/>
        <v>0</v>
      </c>
      <c r="BW257" s="388">
        <f t="shared" si="151"/>
        <v>0</v>
      </c>
      <c r="BX257" s="388">
        <f t="shared" si="166"/>
        <v>0</v>
      </c>
      <c r="BY257" s="388">
        <f t="shared" si="167"/>
        <v>0</v>
      </c>
      <c r="BZ257" s="388">
        <f t="shared" si="168"/>
        <v>0</v>
      </c>
      <c r="CA257" s="388">
        <f t="shared" si="169"/>
        <v>0</v>
      </c>
      <c r="CB257" s="388">
        <f t="shared" si="170"/>
        <v>0</v>
      </c>
      <c r="CC257" s="388">
        <f t="shared" si="152"/>
        <v>0</v>
      </c>
      <c r="CD257" s="388">
        <f t="shared" si="153"/>
        <v>0</v>
      </c>
      <c r="CE257" s="388">
        <f t="shared" si="154"/>
        <v>0</v>
      </c>
      <c r="CF257" s="388">
        <f t="shared" si="155"/>
        <v>0</v>
      </c>
      <c r="CG257" s="388">
        <f t="shared" si="156"/>
        <v>0</v>
      </c>
      <c r="CH257" s="388">
        <f t="shared" si="157"/>
        <v>0</v>
      </c>
      <c r="CI257" s="388">
        <f t="shared" si="158"/>
        <v>0</v>
      </c>
      <c r="CJ257" s="388">
        <f t="shared" si="171"/>
        <v>0</v>
      </c>
      <c r="CK257" s="388" t="str">
        <f t="shared" si="172"/>
        <v/>
      </c>
      <c r="CL257" s="388" t="str">
        <f t="shared" si="173"/>
        <v/>
      </c>
      <c r="CM257" s="388" t="str">
        <f t="shared" si="174"/>
        <v/>
      </c>
      <c r="CN257" s="388" t="str">
        <f t="shared" si="175"/>
        <v>0481-54</v>
      </c>
    </row>
    <row r="258" spans="1:92" ht="15.75" thickBot="1" x14ac:dyDescent="0.3">
      <c r="A258" s="377" t="s">
        <v>162</v>
      </c>
      <c r="B258" s="377" t="s">
        <v>163</v>
      </c>
      <c r="C258" s="377" t="s">
        <v>584</v>
      </c>
      <c r="D258" s="377" t="s">
        <v>276</v>
      </c>
      <c r="E258" s="377" t="s">
        <v>772</v>
      </c>
      <c r="F258" s="383" t="s">
        <v>773</v>
      </c>
      <c r="G258" s="377" t="s">
        <v>764</v>
      </c>
      <c r="H258" s="379"/>
      <c r="I258" s="379"/>
      <c r="J258" s="377" t="s">
        <v>283</v>
      </c>
      <c r="K258" s="377" t="s">
        <v>277</v>
      </c>
      <c r="L258" s="377" t="s">
        <v>215</v>
      </c>
      <c r="M258" s="377" t="s">
        <v>395</v>
      </c>
      <c r="N258" s="377" t="s">
        <v>173</v>
      </c>
      <c r="O258" s="380">
        <v>0</v>
      </c>
      <c r="P258" s="386">
        <v>0.2</v>
      </c>
      <c r="Q258" s="386">
        <v>0.2</v>
      </c>
      <c r="R258" s="381">
        <v>80</v>
      </c>
      <c r="S258" s="386">
        <v>0.2</v>
      </c>
      <c r="T258" s="381">
        <v>8349</v>
      </c>
      <c r="U258" s="381">
        <v>0</v>
      </c>
      <c r="V258" s="381">
        <v>3195.43</v>
      </c>
      <c r="W258" s="381">
        <v>8407.36</v>
      </c>
      <c r="X258" s="381">
        <v>3783.31</v>
      </c>
      <c r="Y258" s="381">
        <v>8407.36</v>
      </c>
      <c r="Z258" s="381">
        <v>3917.82</v>
      </c>
      <c r="AA258" s="379"/>
      <c r="AB258" s="377" t="s">
        <v>45</v>
      </c>
      <c r="AC258" s="377" t="s">
        <v>45</v>
      </c>
      <c r="AD258" s="379"/>
      <c r="AE258" s="379"/>
      <c r="AF258" s="379"/>
      <c r="AG258" s="379"/>
      <c r="AH258" s="380">
        <v>0</v>
      </c>
      <c r="AI258" s="380">
        <v>0</v>
      </c>
      <c r="AJ258" s="379"/>
      <c r="AK258" s="379"/>
      <c r="AL258" s="377" t="s">
        <v>182</v>
      </c>
      <c r="AM258" s="379"/>
      <c r="AN258" s="379"/>
      <c r="AO258" s="380">
        <v>0</v>
      </c>
      <c r="AP258" s="386">
        <v>0</v>
      </c>
      <c r="AQ258" s="386">
        <v>0</v>
      </c>
      <c r="AR258" s="385"/>
      <c r="AS258" s="388">
        <f t="shared" si="159"/>
        <v>0</v>
      </c>
      <c r="AT258">
        <f t="shared" si="160"/>
        <v>0</v>
      </c>
      <c r="AU258" s="388" t="str">
        <f>IF(AT258=0,"",IF(AND(AT258=1,M258="F",SUMIF(C2:C258,C258,AS2:AS258)&lt;=1),SUMIF(C2:C258,C258,AS2:AS258),IF(AND(AT258=1,M258="F",SUMIF(C2:C258,C258,AS2:AS258)&gt;1),1,"")))</f>
        <v/>
      </c>
      <c r="AV258" s="388" t="str">
        <f>IF(AT258=0,"",IF(AND(AT258=3,M258="F",SUMIF(C2:C258,C258,AS2:AS258)&lt;=1),SUMIF(C2:C258,C258,AS2:AS258),IF(AND(AT258=3,M258="F",SUMIF(C2:C258,C258,AS2:AS258)&gt;1),1,"")))</f>
        <v/>
      </c>
      <c r="AW258" s="388">
        <f>SUMIF(C2:C258,C258,O2:O258)</f>
        <v>0</v>
      </c>
      <c r="AX258" s="388">
        <f>IF(AND(M258="F",AS258&lt;&gt;0),SUMIF(C2:C258,C258,W2:W258),0)</f>
        <v>0</v>
      </c>
      <c r="AY258" s="388" t="str">
        <f t="shared" si="161"/>
        <v/>
      </c>
      <c r="AZ258" s="388" t="str">
        <f t="shared" si="162"/>
        <v/>
      </c>
      <c r="BA258" s="388">
        <f t="shared" si="163"/>
        <v>0</v>
      </c>
      <c r="BB258" s="388">
        <f t="shared" si="132"/>
        <v>0</v>
      </c>
      <c r="BC258" s="388">
        <f t="shared" si="133"/>
        <v>0</v>
      </c>
      <c r="BD258" s="388">
        <f t="shared" si="134"/>
        <v>0</v>
      </c>
      <c r="BE258" s="388">
        <f t="shared" si="135"/>
        <v>0</v>
      </c>
      <c r="BF258" s="388">
        <f t="shared" si="136"/>
        <v>0</v>
      </c>
      <c r="BG258" s="388">
        <f t="shared" si="137"/>
        <v>0</v>
      </c>
      <c r="BH258" s="388">
        <f t="shared" si="138"/>
        <v>0</v>
      </c>
      <c r="BI258" s="388">
        <f t="shared" si="139"/>
        <v>0</v>
      </c>
      <c r="BJ258" s="388">
        <f t="shared" si="140"/>
        <v>0</v>
      </c>
      <c r="BK258" s="388">
        <f t="shared" si="141"/>
        <v>0</v>
      </c>
      <c r="BL258" s="388">
        <f t="shared" si="164"/>
        <v>0</v>
      </c>
      <c r="BM258" s="388">
        <f t="shared" si="165"/>
        <v>0</v>
      </c>
      <c r="BN258" s="388">
        <f t="shared" si="142"/>
        <v>0</v>
      </c>
      <c r="BO258" s="388">
        <f t="shared" si="143"/>
        <v>0</v>
      </c>
      <c r="BP258" s="388">
        <f t="shared" si="144"/>
        <v>0</v>
      </c>
      <c r="BQ258" s="388">
        <f t="shared" si="145"/>
        <v>0</v>
      </c>
      <c r="BR258" s="388">
        <f t="shared" si="146"/>
        <v>0</v>
      </c>
      <c r="BS258" s="388">
        <f t="shared" si="147"/>
        <v>0</v>
      </c>
      <c r="BT258" s="388">
        <f t="shared" si="148"/>
        <v>0</v>
      </c>
      <c r="BU258" s="388">
        <f t="shared" si="149"/>
        <v>0</v>
      </c>
      <c r="BV258" s="388">
        <f t="shared" si="150"/>
        <v>0</v>
      </c>
      <c r="BW258" s="388">
        <f t="shared" si="151"/>
        <v>0</v>
      </c>
      <c r="BX258" s="388">
        <f t="shared" si="166"/>
        <v>0</v>
      </c>
      <c r="BY258" s="388">
        <f t="shared" si="167"/>
        <v>0</v>
      </c>
      <c r="BZ258" s="388">
        <f t="shared" si="168"/>
        <v>0</v>
      </c>
      <c r="CA258" s="388">
        <f t="shared" si="169"/>
        <v>0</v>
      </c>
      <c r="CB258" s="388">
        <f t="shared" si="170"/>
        <v>0</v>
      </c>
      <c r="CC258" s="388">
        <f t="shared" si="152"/>
        <v>0</v>
      </c>
      <c r="CD258" s="388">
        <f t="shared" si="153"/>
        <v>0</v>
      </c>
      <c r="CE258" s="388">
        <f t="shared" si="154"/>
        <v>0</v>
      </c>
      <c r="CF258" s="388">
        <f t="shared" si="155"/>
        <v>0</v>
      </c>
      <c r="CG258" s="388">
        <f t="shared" si="156"/>
        <v>0</v>
      </c>
      <c r="CH258" s="388">
        <f t="shared" si="157"/>
        <v>0</v>
      </c>
      <c r="CI258" s="388">
        <f t="shared" si="158"/>
        <v>0</v>
      </c>
      <c r="CJ258" s="388">
        <f t="shared" si="171"/>
        <v>0</v>
      </c>
      <c r="CK258" s="388" t="str">
        <f t="shared" si="172"/>
        <v/>
      </c>
      <c r="CL258" s="388" t="str">
        <f t="shared" si="173"/>
        <v/>
      </c>
      <c r="CM258" s="388" t="str">
        <f t="shared" si="174"/>
        <v/>
      </c>
      <c r="CN258" s="388" t="str">
        <f t="shared" si="175"/>
        <v>0481-54</v>
      </c>
    </row>
    <row r="260" spans="1:92" ht="21" x14ac:dyDescent="0.35">
      <c r="AQ260" s="251" t="s">
        <v>906</v>
      </c>
    </row>
    <row r="261" spans="1:92" ht="15.75" thickBot="1" x14ac:dyDescent="0.3">
      <c r="AR261" t="s">
        <v>822</v>
      </c>
      <c r="AS261" s="388">
        <f>SUMIFS(AS2:AS258,G2:G258,"EDBC",E2:E258,"0125",F2:F258,"00",AT2:AT258,1)</f>
        <v>5.6499999999999995</v>
      </c>
      <c r="AT261" s="388">
        <f>SUMIFS(AS2:AS258,G2:G258,"EDBC",E2:E258,"0125",F2:F258,"00",AT2:AT258,3)</f>
        <v>0</v>
      </c>
      <c r="AU261" s="388">
        <f>SUMIFS(AU2:AU258,G2:G258,"EDBC",E2:E258,"0125",F2:F258,"00")</f>
        <v>11</v>
      </c>
      <c r="AV261" s="388">
        <f>SUMIFS(AV2:AV258,G2:G258,"EDBC",E2:E258,"0125",F2:F258,"00")</f>
        <v>0</v>
      </c>
      <c r="AW261" s="388">
        <f>SUMIFS(AW2:AW258,G2:G258,"EDBC",E2:E258,"0125",F2:F258,"00")</f>
        <v>31</v>
      </c>
      <c r="AX261" s="388">
        <f>SUMIFS(AX2:AX258,G2:G258,"EDBC",E2:E258,"0125",F2:F258,"00")</f>
        <v>805438.34999999986</v>
      </c>
      <c r="AY261" s="388">
        <f>SUMIFS(AY2:AY258,G2:G258,"EDBC",E2:E258,"0125",F2:F258,"00")</f>
        <v>380609.18999999994</v>
      </c>
      <c r="AZ261" s="388">
        <f>SUMIFS(AZ2:AZ258,G2:G258,"EDBC",E2:E258,"0125",F2:F258,"00")</f>
        <v>0</v>
      </c>
      <c r="BA261" s="388">
        <f>SUMIFS(BA2:BA258,G2:G258,"EDBC",E2:E258,"0125",F2:F258,"00")</f>
        <v>0</v>
      </c>
      <c r="BB261" s="388">
        <f>SUMIFS(BB2:BB258,G2:G258,"EDBC",E2:E258,"0125",F2:F258,"00")</f>
        <v>70625</v>
      </c>
      <c r="BC261" s="388">
        <f>SUMIFS(BC2:BC258,G2:G258,"EDBC",E2:E258,"0125",F2:F258,"00")</f>
        <v>0</v>
      </c>
      <c r="BD261" s="388">
        <f>SUMIFS(BD2:BD258,G2:G258,"EDBC",E2:E258,"0125",F2:F258,"00")</f>
        <v>23495.425139999999</v>
      </c>
      <c r="BE261" s="388">
        <f>SUMIFS(BE2:BE258,G2:G258,"EDBC",E2:E258,"0125",F2:F258,"00")</f>
        <v>5518.8332550000005</v>
      </c>
      <c r="BF261" s="388">
        <f>SUMIFS(BF2:BF258,G2:G258,"EDBC",E2:E258,"0125",F2:F258,"00")</f>
        <v>45444.737286000003</v>
      </c>
      <c r="BG261" s="388">
        <f>SUMIFS(BG2:BG258,G2:G258,"EDBC",E2:E258,"0125",F2:F258,"00")</f>
        <v>2744.1922599</v>
      </c>
      <c r="BH261" s="388">
        <f>SUMIFS(BH2:BH258,G2:G258,"EDBC",E2:E258,"0125",F2:F258,"00")</f>
        <v>0</v>
      </c>
      <c r="BI261" s="388">
        <f>SUMIFS(BI2:BI258,G2:G258,"EDBC",E2:E258,"0125",F2:F258,"00")</f>
        <v>0</v>
      </c>
      <c r="BJ261" s="388">
        <f>SUMIFS(BJ2:BJ258,G2:G258,"EDBC",E2:E258,"0125",F2:F258,"00")</f>
        <v>1332.132165</v>
      </c>
      <c r="BK261" s="388">
        <f>SUMIFS(BK2:BK258,G2:G258,"EDBC",E2:E258,"0125",F2:F258,"00")</f>
        <v>0</v>
      </c>
      <c r="BL261" s="388">
        <f>SUMIFS(BL2:BL258,G2:G258,"EDBC",E2:E258,"0125",F2:F258,"00")</f>
        <v>78535.320105899998</v>
      </c>
      <c r="BM261" s="388">
        <f>SUMIFS(BM2:BM258,G2:G258,"EDBC",E2:E258,"0125",F2:F258,"00")</f>
        <v>0</v>
      </c>
      <c r="BN261" s="388">
        <f>SUMIFS(BN2:BN258,G2:G258,"EDBC",E2:E258,"0125",F2:F258,"00")</f>
        <v>77687.5</v>
      </c>
      <c r="BO261" s="388">
        <f>SUMIFS(BO2:BO258,G2:G258,"EDBC",E2:E258,"0125",F2:F258,"00")</f>
        <v>0</v>
      </c>
      <c r="BP261" s="388">
        <f>SUMIFS(BP2:BP258,G2:G258,"EDBC",E2:E258,"0125",F2:F258,"00")</f>
        <v>23521.46514</v>
      </c>
      <c r="BQ261" s="388">
        <f>SUMIFS(BQ2:BQ258,G2:G258,"EDBC",E2:E258,"0125",F2:F258,"00")</f>
        <v>5518.8332550000005</v>
      </c>
      <c r="BR261" s="388">
        <f>SUMIFS(BR2:BR258,G2:G258,"EDBC",E2:E258,"0125",F2:F258,"00")</f>
        <v>42552.107442000008</v>
      </c>
      <c r="BS261" s="388">
        <f>SUMIFS(BS2:BS258,G2:G258,"EDBC",E2:E258,"0125",F2:F258,"00")</f>
        <v>2744.1922599</v>
      </c>
      <c r="BT261" s="388">
        <f>SUMIFS(BT2:BT258,G2:G258,"EDBC",E2:E258,"0125",F2:F258,"00")</f>
        <v>0</v>
      </c>
      <c r="BU261" s="388">
        <f>SUMIFS(BU2:BU258,G2:G258,"EDBC",E2:E258,"0125",F2:F258,"00")</f>
        <v>0</v>
      </c>
      <c r="BV261" s="388">
        <f>SUMIFS(BV2:BV258,G2:G258,"EDBC",E2:E258,"0125",F2:F258,"00")</f>
        <v>1484.375841</v>
      </c>
      <c r="BW261" s="388">
        <f>SUMIFS(BW2:BW258,G2:G258,"EDBC",E2:E258,"0125",F2:F258,"00")</f>
        <v>0</v>
      </c>
      <c r="BX261" s="388">
        <f>SUMIFS(BX2:BX258,G2:G258,"EDBC",E2:E258,"0125",F2:F258,"00")</f>
        <v>75820.973937899995</v>
      </c>
      <c r="BY261" s="388">
        <f>SUMIFS(BY2:BY258,G2:G258,"EDBC",E2:E258,"0125",F2:F258,"00")</f>
        <v>0</v>
      </c>
      <c r="BZ261" s="388">
        <f>SUMIFS(BZ2:BZ258,G2:G258,"EDBC",E2:E258,"0125",F2:F258,"00")</f>
        <v>7062.5</v>
      </c>
      <c r="CA261" s="388">
        <f>SUMIFS(CA2:CA258,G2:G258,"EDBC",E2:E258,"0125",F2:F258,"00")</f>
        <v>0</v>
      </c>
      <c r="CB261" s="388">
        <f>SUMIFS(CB2:CB258,G2:G258,"EDBC",E2:E258,"0125",F2:F258,"00")</f>
        <v>26.039999999999964</v>
      </c>
      <c r="CC261" s="388">
        <f>SUMIFS(CC2:CC258,G2:G258,"EDBC",E2:E258,"0125",F2:F258,"00")</f>
        <v>0</v>
      </c>
      <c r="CD261" s="388">
        <f>SUMIFS(CD2:CD258,G2:G258,"EDBC",E2:E258,"0125",F2:F258,"00")</f>
        <v>-2892.6298440000032</v>
      </c>
      <c r="CE261" s="388">
        <f>SUMIFS(CE2:CE258,G2:G258,"EDBC",E2:E258,"0125",F2:F258,"00")</f>
        <v>0</v>
      </c>
      <c r="CF261" s="388">
        <f>SUMIFS(CF2:CF258,G2:G258,"EDBC",E2:E258,"0125",F2:F258,"00")</f>
        <v>0</v>
      </c>
      <c r="CG261" s="388">
        <f>SUMIFS(CG2:CG258,G2:G258,"EDBC",E2:E258,"0125",F2:F258,"00")</f>
        <v>0</v>
      </c>
      <c r="CH261" s="388">
        <f>SUMIFS(CH2:CH258,G2:G258,"EDBC",E2:E258,"0125",F2:F258,"00")</f>
        <v>152.24367599999991</v>
      </c>
      <c r="CI261" s="388">
        <f>SUMIFS(CI2:CI258,G2:G258,"EDBC",E2:E258,"0125",F2:F258,"00")</f>
        <v>0</v>
      </c>
      <c r="CJ261" s="388">
        <f>SUMIFS(CJ2:CJ258,G2:G258,"EDBC",E2:E258,"0125",F2:F258,"00")</f>
        <v>-2714.3461680000037</v>
      </c>
      <c r="CK261" s="388">
        <f>SUMIFS(CK2:CK258,G2:G258,"EDBC",E2:E258,"0125",F2:F258,"00")</f>
        <v>0</v>
      </c>
      <c r="CL261" s="388">
        <f>SUMIFS(CL2:CL258,G2:G258,"EDBC",E2:E258,"0125",F2:F258,"00")</f>
        <v>0</v>
      </c>
      <c r="CM261" s="388">
        <f>SUMIFS(CM2:CM258,G2:G258,"EDBC",E2:E258,"0125",F2:F258,"00")</f>
        <v>0</v>
      </c>
    </row>
    <row r="262" spans="1:92" ht="18.75" x14ac:dyDescent="0.3">
      <c r="AQ262" s="394" t="s">
        <v>823</v>
      </c>
      <c r="AS262" s="395">
        <f t="shared" ref="AS262:CM262" si="176">SUM(AS261:AS261)</f>
        <v>5.6499999999999995</v>
      </c>
      <c r="AT262" s="395">
        <f t="shared" si="176"/>
        <v>0</v>
      </c>
      <c r="AU262" s="395">
        <f t="shared" si="176"/>
        <v>11</v>
      </c>
      <c r="AV262" s="395">
        <f t="shared" si="176"/>
        <v>0</v>
      </c>
      <c r="AW262" s="395">
        <f t="shared" si="176"/>
        <v>31</v>
      </c>
      <c r="AX262" s="395">
        <f t="shared" si="176"/>
        <v>805438.34999999986</v>
      </c>
      <c r="AY262" s="395">
        <f t="shared" si="176"/>
        <v>380609.18999999994</v>
      </c>
      <c r="AZ262" s="395">
        <f t="shared" si="176"/>
        <v>0</v>
      </c>
      <c r="BA262" s="395">
        <f t="shared" si="176"/>
        <v>0</v>
      </c>
      <c r="BB262" s="395">
        <f t="shared" si="176"/>
        <v>70625</v>
      </c>
      <c r="BC262" s="395">
        <f t="shared" si="176"/>
        <v>0</v>
      </c>
      <c r="BD262" s="395">
        <f t="shared" si="176"/>
        <v>23495.425139999999</v>
      </c>
      <c r="BE262" s="395">
        <f t="shared" si="176"/>
        <v>5518.8332550000005</v>
      </c>
      <c r="BF262" s="395">
        <f t="shared" si="176"/>
        <v>45444.737286000003</v>
      </c>
      <c r="BG262" s="395">
        <f t="shared" si="176"/>
        <v>2744.1922599</v>
      </c>
      <c r="BH262" s="395">
        <f t="shared" si="176"/>
        <v>0</v>
      </c>
      <c r="BI262" s="395">
        <f t="shared" si="176"/>
        <v>0</v>
      </c>
      <c r="BJ262" s="395">
        <f t="shared" si="176"/>
        <v>1332.132165</v>
      </c>
      <c r="BK262" s="395">
        <f t="shared" si="176"/>
        <v>0</v>
      </c>
      <c r="BL262" s="395">
        <f t="shared" si="176"/>
        <v>78535.320105899998</v>
      </c>
      <c r="BM262" s="395">
        <f t="shared" si="176"/>
        <v>0</v>
      </c>
      <c r="BN262" s="395">
        <f t="shared" si="176"/>
        <v>77687.5</v>
      </c>
      <c r="BO262" s="395">
        <f t="shared" si="176"/>
        <v>0</v>
      </c>
      <c r="BP262" s="395">
        <f t="shared" si="176"/>
        <v>23521.46514</v>
      </c>
      <c r="BQ262" s="395">
        <f t="shared" si="176"/>
        <v>5518.8332550000005</v>
      </c>
      <c r="BR262" s="395">
        <f t="shared" si="176"/>
        <v>42552.107442000008</v>
      </c>
      <c r="BS262" s="395">
        <f t="shared" si="176"/>
        <v>2744.1922599</v>
      </c>
      <c r="BT262" s="395">
        <f t="shared" si="176"/>
        <v>0</v>
      </c>
      <c r="BU262" s="395">
        <f t="shared" si="176"/>
        <v>0</v>
      </c>
      <c r="BV262" s="395">
        <f t="shared" si="176"/>
        <v>1484.375841</v>
      </c>
      <c r="BW262" s="395">
        <f t="shared" si="176"/>
        <v>0</v>
      </c>
      <c r="BX262" s="395">
        <f t="shared" si="176"/>
        <v>75820.973937899995</v>
      </c>
      <c r="BY262" s="395">
        <f t="shared" si="176"/>
        <v>0</v>
      </c>
      <c r="BZ262" s="395">
        <f t="shared" si="176"/>
        <v>7062.5</v>
      </c>
      <c r="CA262" s="395">
        <f t="shared" si="176"/>
        <v>0</v>
      </c>
      <c r="CB262" s="395">
        <f t="shared" si="176"/>
        <v>26.039999999999964</v>
      </c>
      <c r="CC262" s="395">
        <f t="shared" si="176"/>
        <v>0</v>
      </c>
      <c r="CD262" s="395">
        <f t="shared" si="176"/>
        <v>-2892.6298440000032</v>
      </c>
      <c r="CE262" s="395">
        <f t="shared" si="176"/>
        <v>0</v>
      </c>
      <c r="CF262" s="395">
        <f t="shared" si="176"/>
        <v>0</v>
      </c>
      <c r="CG262" s="395">
        <f t="shared" si="176"/>
        <v>0</v>
      </c>
      <c r="CH262" s="395">
        <f t="shared" si="176"/>
        <v>152.24367599999991</v>
      </c>
      <c r="CI262" s="395">
        <f t="shared" si="176"/>
        <v>0</v>
      </c>
      <c r="CJ262" s="395">
        <f t="shared" si="176"/>
        <v>-2714.3461680000037</v>
      </c>
      <c r="CK262" s="395">
        <f t="shared" si="176"/>
        <v>0</v>
      </c>
      <c r="CL262" s="395">
        <f t="shared" si="176"/>
        <v>0</v>
      </c>
      <c r="CM262" s="395">
        <f t="shared" si="176"/>
        <v>0</v>
      </c>
    </row>
    <row r="263" spans="1:92" ht="15.75" thickBot="1" x14ac:dyDescent="0.3">
      <c r="AR263" t="s">
        <v>831</v>
      </c>
      <c r="AS263" s="388">
        <f>SUMIFS(AS2:AS258,G2:G258,"EDBD",E2:E258,"0001",F2:F258,"00",AT2:AT258,1)</f>
        <v>24.912500000000001</v>
      </c>
      <c r="AT263" s="388">
        <f>SUMIFS(AS2:AS258,G2:G258,"EDBD",E2:E258,"0001",F2:F258,"00",AT2:AT258,3)</f>
        <v>1</v>
      </c>
      <c r="AU263" s="388">
        <f>SUMIFS(AU2:AU258,G2:G258,"EDBD",E2:E258,"0001",F2:F258,"00")</f>
        <v>31.8125</v>
      </c>
      <c r="AV263" s="388">
        <f>SUMIFS(AV2:AV258,G2:G258,"EDBD",E2:E258,"0001",F2:F258,"00")</f>
        <v>1</v>
      </c>
      <c r="AW263" s="388">
        <f>SUMIFS(AW2:AW258,G2:G258,"EDBD",E2:E258,"0001",F2:F258,"00")</f>
        <v>82</v>
      </c>
      <c r="AX263" s="388">
        <f>SUMIFS(AX2:AX258,G2:G258,"EDBD",E2:E258,"0001",F2:F258,"00")</f>
        <v>2514778.7499999995</v>
      </c>
      <c r="AY263" s="388">
        <f>SUMIFS(AY2:AY258,G2:G258,"EDBD",E2:E258,"0001",F2:F258,"00")</f>
        <v>1807334.7</v>
      </c>
      <c r="AZ263" s="388">
        <f>SUMIFS(AZ2:AZ258,G2:G258,"EDBD",E2:E258,"0001",F2:F258,"00")</f>
        <v>117556.7</v>
      </c>
      <c r="BA263" s="388">
        <f>SUMIFS(BA2:BA258,G2:G258,"EDBD",E2:E258,"0001",F2:F258,"00")</f>
        <v>0</v>
      </c>
      <c r="BB263" s="388">
        <f>SUMIFS(BB2:BB258,G2:G258,"EDBD",E2:E258,"0001",F2:F258,"00")</f>
        <v>313750</v>
      </c>
      <c r="BC263" s="388">
        <f>SUMIFS(BC2:BC258,G2:G258,"EDBD",E2:E258,"0001",F2:F258,"00")</f>
        <v>12500</v>
      </c>
      <c r="BD263" s="388">
        <f>SUMIFS(BD2:BD258,G2:G258,"EDBD",E2:E258,"0001",F2:F258,"00")</f>
        <v>117311.52184</v>
      </c>
      <c r="BE263" s="388">
        <f>SUMIFS(BE2:BE258,G2:G258,"EDBD",E2:E258,"0001",F2:F258,"00")</f>
        <v>27910.925300000003</v>
      </c>
      <c r="BF263" s="388">
        <f>SUMIFS(BF2:BF258,G2:G258,"EDBD",E2:E258,"0001",F2:F258,"00")</f>
        <v>229832.03316000005</v>
      </c>
      <c r="BG263" s="388">
        <f>SUMIFS(BG2:BG258,G2:G258,"EDBD",E2:E258,"0001",F2:F258,"00")</f>
        <v>13878.466994000002</v>
      </c>
      <c r="BH263" s="388">
        <f>SUMIFS(BH2:BH258,G2:G258,"EDBD",E2:E258,"0001",F2:F258,"00")</f>
        <v>0</v>
      </c>
      <c r="BI263" s="388">
        <f>SUMIFS(BI2:BI258,G2:G258,"EDBD",E2:E258,"0001",F2:F258,"00")</f>
        <v>0</v>
      </c>
      <c r="BJ263" s="388">
        <f>SUMIFS(BJ2:BJ258,G2:G258,"EDBD",E2:E258,"0001",F2:F258,"00")</f>
        <v>6737.1199000000006</v>
      </c>
      <c r="BK263" s="388">
        <f>SUMIFS(BK2:BK258,G2:G258,"EDBD",E2:E258,"0001",F2:F258,"00")</f>
        <v>0</v>
      </c>
      <c r="BL263" s="388">
        <f>SUMIFS(BL2:BL258,G2:G258,"EDBD",E2:E258,"0001",F2:F258,"00")</f>
        <v>371381.6774070001</v>
      </c>
      <c r="BM263" s="388">
        <f>SUMIFS(BM2:BM258,G2:G258,"EDBD",E2:E258,"0001",F2:F258,"00")</f>
        <v>24288.389787</v>
      </c>
      <c r="BN263" s="388">
        <f>SUMIFS(BN2:BN258,G2:G258,"EDBD",E2:E258,"0001",F2:F258,"00")</f>
        <v>345125</v>
      </c>
      <c r="BO263" s="388">
        <f>SUMIFS(BO2:BO258,G2:G258,"EDBD",E2:E258,"0001",F2:F258,"00")</f>
        <v>13750</v>
      </c>
      <c r="BP263" s="388">
        <f>SUMIFS(BP2:BP258,G2:G258,"EDBD",E2:E258,"0001",F2:F258,"00")</f>
        <v>118066.68183999999</v>
      </c>
      <c r="BQ263" s="388">
        <f>SUMIFS(BQ2:BQ258,G2:G258,"EDBD",E2:E258,"0001",F2:F258,"00")</f>
        <v>27910.925300000003</v>
      </c>
      <c r="BR263" s="388">
        <f>SUMIFS(BR2:BR258,G2:G258,"EDBD",E2:E258,"0001",F2:F258,"00")</f>
        <v>215202.85851999998</v>
      </c>
      <c r="BS263" s="388">
        <f>SUMIFS(BS2:BS258,G2:G258,"EDBD",E2:E258,"0001",F2:F258,"00")</f>
        <v>13878.466994000002</v>
      </c>
      <c r="BT263" s="388">
        <f>SUMIFS(BT2:BT258,G2:G258,"EDBD",E2:E258,"0001",F2:F258,"00")</f>
        <v>0</v>
      </c>
      <c r="BU263" s="388">
        <f>SUMIFS(BU2:BU258,G2:G258,"EDBD",E2:E258,"0001",F2:F258,"00")</f>
        <v>0</v>
      </c>
      <c r="BV263" s="388">
        <f>SUMIFS(BV2:BV258,G2:G258,"EDBD",E2:E258,"0001",F2:F258,"00")</f>
        <v>7507.0764599999993</v>
      </c>
      <c r="BW263" s="388">
        <f>SUMIFS(BW2:BW258,G2:G258,"EDBD",E2:E258,"0001",F2:F258,"00")</f>
        <v>0</v>
      </c>
      <c r="BX263" s="388">
        <f>SUMIFS(BX2:BX258,G2:G258,"EDBD",E2:E258,"0001",F2:F258,"00")</f>
        <v>359124.02756700001</v>
      </c>
      <c r="BY263" s="388">
        <f>SUMIFS(BY2:BY258,G2:G258,"EDBD",E2:E258,"0001",F2:F258,"00")</f>
        <v>23441.981546999999</v>
      </c>
      <c r="BZ263" s="388">
        <f>SUMIFS(BZ2:BZ258,G2:G258,"EDBD",E2:E258,"0001",F2:F258,"00")</f>
        <v>31375</v>
      </c>
      <c r="CA263" s="388">
        <f>SUMIFS(CA2:CA258,G2:G258,"EDBD",E2:E258,"0001",F2:F258,"00")</f>
        <v>1250</v>
      </c>
      <c r="CB263" s="388">
        <f>SUMIFS(CB2:CB258,G2:G258,"EDBD",E2:E258,"0001",F2:F258,"00")</f>
        <v>755.15999999999894</v>
      </c>
      <c r="CC263" s="388">
        <f>SUMIFS(CC2:CC258,G2:G258,"EDBD",E2:E258,"0001",F2:F258,"00")</f>
        <v>0</v>
      </c>
      <c r="CD263" s="388">
        <f>SUMIFS(CD2:CD258,G2:G258,"EDBD",E2:E258,"0001",F2:F258,"00")</f>
        <v>-14629.174640000016</v>
      </c>
      <c r="CE263" s="388">
        <f>SUMIFS(CE2:CE258,G2:G258,"EDBD",E2:E258,"0001",F2:F258,"00")</f>
        <v>0</v>
      </c>
      <c r="CF263" s="388">
        <f>SUMIFS(CF2:CF258,G2:G258,"EDBD",E2:E258,"0001",F2:F258,"00")</f>
        <v>0</v>
      </c>
      <c r="CG263" s="388">
        <f>SUMIFS(CG2:CG258,G2:G258,"EDBD",E2:E258,"0001",F2:F258,"00")</f>
        <v>0</v>
      </c>
      <c r="CH263" s="388">
        <f>SUMIFS(CH2:CH258,G2:G258,"EDBD",E2:E258,"0001",F2:F258,"00")</f>
        <v>769.95655999999951</v>
      </c>
      <c r="CI263" s="388">
        <f>SUMIFS(CI2:CI258,G2:G258,"EDBD",E2:E258,"0001",F2:F258,"00")</f>
        <v>0</v>
      </c>
      <c r="CJ263" s="388">
        <f>SUMIFS(CJ2:CJ258,G2:G258,"EDBD",E2:E258,"0001",F2:F258,"00")</f>
        <v>-12257.64984000002</v>
      </c>
      <c r="CK263" s="388">
        <f>SUMIFS(CK2:CK258,G2:G258,"EDBD",E2:E258,"0001",F2:F258,"00")</f>
        <v>-846.40824000000123</v>
      </c>
      <c r="CL263" s="388">
        <f>SUMIFS(CL2:CL258,G2:G258,"EDBD",E2:E258,"0001",F2:F258,"00")</f>
        <v>11520</v>
      </c>
      <c r="CM263" s="388">
        <f>SUMIFS(CM2:CM258,G2:G258,"EDBD",E2:E258,"0001",F2:F258,"00")</f>
        <v>1021.61</v>
      </c>
    </row>
    <row r="264" spans="1:92" ht="18.75" x14ac:dyDescent="0.3">
      <c r="AQ264" s="394" t="s">
        <v>832</v>
      </c>
      <c r="AS264" s="395">
        <f t="shared" ref="AS264:CM264" si="177">SUM(AS263:AS263)</f>
        <v>24.912500000000001</v>
      </c>
      <c r="AT264" s="395">
        <f t="shared" si="177"/>
        <v>1</v>
      </c>
      <c r="AU264" s="395">
        <f t="shared" si="177"/>
        <v>31.8125</v>
      </c>
      <c r="AV264" s="395">
        <f t="shared" si="177"/>
        <v>1</v>
      </c>
      <c r="AW264" s="395">
        <f t="shared" si="177"/>
        <v>82</v>
      </c>
      <c r="AX264" s="395">
        <f t="shared" si="177"/>
        <v>2514778.7499999995</v>
      </c>
      <c r="AY264" s="395">
        <f t="shared" si="177"/>
        <v>1807334.7</v>
      </c>
      <c r="AZ264" s="395">
        <f t="shared" si="177"/>
        <v>117556.7</v>
      </c>
      <c r="BA264" s="395">
        <f t="shared" si="177"/>
        <v>0</v>
      </c>
      <c r="BB264" s="395">
        <f t="shared" si="177"/>
        <v>313750</v>
      </c>
      <c r="BC264" s="395">
        <f t="shared" si="177"/>
        <v>12500</v>
      </c>
      <c r="BD264" s="395">
        <f t="shared" si="177"/>
        <v>117311.52184</v>
      </c>
      <c r="BE264" s="395">
        <f t="shared" si="177"/>
        <v>27910.925300000003</v>
      </c>
      <c r="BF264" s="395">
        <f t="shared" si="177"/>
        <v>229832.03316000005</v>
      </c>
      <c r="BG264" s="395">
        <f t="shared" si="177"/>
        <v>13878.466994000002</v>
      </c>
      <c r="BH264" s="395">
        <f t="shared" si="177"/>
        <v>0</v>
      </c>
      <c r="BI264" s="395">
        <f t="shared" si="177"/>
        <v>0</v>
      </c>
      <c r="BJ264" s="395">
        <f t="shared" si="177"/>
        <v>6737.1199000000006</v>
      </c>
      <c r="BK264" s="395">
        <f t="shared" si="177"/>
        <v>0</v>
      </c>
      <c r="BL264" s="395">
        <f t="shared" si="177"/>
        <v>371381.6774070001</v>
      </c>
      <c r="BM264" s="395">
        <f t="shared" si="177"/>
        <v>24288.389787</v>
      </c>
      <c r="BN264" s="395">
        <f t="shared" si="177"/>
        <v>345125</v>
      </c>
      <c r="BO264" s="395">
        <f t="shared" si="177"/>
        <v>13750</v>
      </c>
      <c r="BP264" s="395">
        <f t="shared" si="177"/>
        <v>118066.68183999999</v>
      </c>
      <c r="BQ264" s="395">
        <f t="shared" si="177"/>
        <v>27910.925300000003</v>
      </c>
      <c r="BR264" s="395">
        <f t="shared" si="177"/>
        <v>215202.85851999998</v>
      </c>
      <c r="BS264" s="395">
        <f t="shared" si="177"/>
        <v>13878.466994000002</v>
      </c>
      <c r="BT264" s="395">
        <f t="shared" si="177"/>
        <v>0</v>
      </c>
      <c r="BU264" s="395">
        <f t="shared" si="177"/>
        <v>0</v>
      </c>
      <c r="BV264" s="395">
        <f t="shared" si="177"/>
        <v>7507.0764599999993</v>
      </c>
      <c r="BW264" s="395">
        <f t="shared" si="177"/>
        <v>0</v>
      </c>
      <c r="BX264" s="395">
        <f t="shared" si="177"/>
        <v>359124.02756700001</v>
      </c>
      <c r="BY264" s="395">
        <f t="shared" si="177"/>
        <v>23441.981546999999</v>
      </c>
      <c r="BZ264" s="395">
        <f t="shared" si="177"/>
        <v>31375</v>
      </c>
      <c r="CA264" s="395">
        <f t="shared" si="177"/>
        <v>1250</v>
      </c>
      <c r="CB264" s="395">
        <f t="shared" si="177"/>
        <v>755.15999999999894</v>
      </c>
      <c r="CC264" s="395">
        <f t="shared" si="177"/>
        <v>0</v>
      </c>
      <c r="CD264" s="395">
        <f t="shared" si="177"/>
        <v>-14629.174640000016</v>
      </c>
      <c r="CE264" s="395">
        <f t="shared" si="177"/>
        <v>0</v>
      </c>
      <c r="CF264" s="395">
        <f t="shared" si="177"/>
        <v>0</v>
      </c>
      <c r="CG264" s="395">
        <f t="shared" si="177"/>
        <v>0</v>
      </c>
      <c r="CH264" s="395">
        <f t="shared" si="177"/>
        <v>769.95655999999951</v>
      </c>
      <c r="CI264" s="395">
        <f t="shared" si="177"/>
        <v>0</v>
      </c>
      <c r="CJ264" s="395">
        <f t="shared" si="177"/>
        <v>-12257.64984000002</v>
      </c>
      <c r="CK264" s="395">
        <f t="shared" si="177"/>
        <v>-846.40824000000123</v>
      </c>
      <c r="CL264" s="395">
        <f t="shared" si="177"/>
        <v>11520</v>
      </c>
      <c r="CM264" s="395">
        <f t="shared" si="177"/>
        <v>1021.61</v>
      </c>
    </row>
    <row r="265" spans="1:92" x14ac:dyDescent="0.25">
      <c r="AR265" t="s">
        <v>837</v>
      </c>
      <c r="AS265" s="388">
        <f>SUMIFS(AS2:AS258,G2:G258,"EDBD",E2:E258,"0325",F2:F258,"00",AT2:AT258,1)</f>
        <v>0</v>
      </c>
      <c r="AT265" s="388">
        <f>SUMIFS(AS2:AS258,G2:G258,"EDBD",E2:E258,"0325",F2:F258,"00",AT2:AT258,3)</f>
        <v>0</v>
      </c>
      <c r="AU265" s="388">
        <f>SUMIFS(AU2:AU258,G2:G258,"EDBD",E2:E258,"0325",F2:F258,"00")</f>
        <v>0</v>
      </c>
      <c r="AV265" s="388">
        <f>SUMIFS(AV2:AV258,G2:G258,"EDBD",E2:E258,"0325",F2:F258,"00")</f>
        <v>0</v>
      </c>
      <c r="AW265" s="388">
        <f>SUMIFS(AW2:AW258,G2:G258,"EDBD",E2:E258,"0325",F2:F258,"00")</f>
        <v>0</v>
      </c>
      <c r="AX265" s="388">
        <f>SUMIFS(AX2:AX258,G2:G258,"EDBD",E2:E258,"0325",F2:F258,"00")</f>
        <v>0</v>
      </c>
      <c r="AY265" s="388">
        <f>SUMIFS(AY2:AY258,G2:G258,"EDBD",E2:E258,"0325",F2:F258,"00")</f>
        <v>0</v>
      </c>
      <c r="AZ265" s="388">
        <f>SUMIFS(AZ2:AZ258,G2:G258,"EDBD",E2:E258,"0325",F2:F258,"00")</f>
        <v>0</v>
      </c>
      <c r="BA265" s="388">
        <f>SUMIFS(BA2:BA258,G2:G258,"EDBD",E2:E258,"0325",F2:F258,"00")</f>
        <v>0</v>
      </c>
      <c r="BB265" s="388">
        <f>SUMIFS(BB2:BB258,G2:G258,"EDBD",E2:E258,"0325",F2:F258,"00")</f>
        <v>0</v>
      </c>
      <c r="BC265" s="388">
        <f>SUMIFS(BC2:BC258,G2:G258,"EDBD",E2:E258,"0325",F2:F258,"00")</f>
        <v>0</v>
      </c>
      <c r="BD265" s="388">
        <f>SUMIFS(BD2:BD258,G2:G258,"EDBD",E2:E258,"0325",F2:F258,"00")</f>
        <v>0</v>
      </c>
      <c r="BE265" s="388">
        <f>SUMIFS(BE2:BE258,G2:G258,"EDBD",E2:E258,"0325",F2:F258,"00")</f>
        <v>0</v>
      </c>
      <c r="BF265" s="388">
        <f>SUMIFS(BF2:BF258,G2:G258,"EDBD",E2:E258,"0325",F2:F258,"00")</f>
        <v>0</v>
      </c>
      <c r="BG265" s="388">
        <f>SUMIFS(BG2:BG258,G2:G258,"EDBD",E2:E258,"0325",F2:F258,"00")</f>
        <v>0</v>
      </c>
      <c r="BH265" s="388">
        <f>SUMIFS(BH2:BH258,G2:G258,"EDBD",E2:E258,"0325",F2:F258,"00")</f>
        <v>0</v>
      </c>
      <c r="BI265" s="388">
        <f>SUMIFS(BI2:BI258,G2:G258,"EDBD",E2:E258,"0325",F2:F258,"00")</f>
        <v>0</v>
      </c>
      <c r="BJ265" s="388">
        <f>SUMIFS(BJ2:BJ258,G2:G258,"EDBD",E2:E258,"0325",F2:F258,"00")</f>
        <v>0</v>
      </c>
      <c r="BK265" s="388">
        <f>SUMIFS(BK2:BK258,G2:G258,"EDBD",E2:E258,"0325",F2:F258,"00")</f>
        <v>0</v>
      </c>
      <c r="BL265" s="388">
        <f>SUMIFS(BL2:BL258,G2:G258,"EDBD",E2:E258,"0325",F2:F258,"00")</f>
        <v>0</v>
      </c>
      <c r="BM265" s="388">
        <f>SUMIFS(BM2:BM258,G2:G258,"EDBD",E2:E258,"0325",F2:F258,"00")</f>
        <v>0</v>
      </c>
      <c r="BN265" s="388">
        <f>SUMIFS(BN2:BN258,G2:G258,"EDBD",E2:E258,"0325",F2:F258,"00")</f>
        <v>0</v>
      </c>
      <c r="BO265" s="388">
        <f>SUMIFS(BO2:BO258,G2:G258,"EDBD",E2:E258,"0325",F2:F258,"00")</f>
        <v>0</v>
      </c>
      <c r="BP265" s="388">
        <f>SUMIFS(BP2:BP258,G2:G258,"EDBD",E2:E258,"0325",F2:F258,"00")</f>
        <v>0</v>
      </c>
      <c r="BQ265" s="388">
        <f>SUMIFS(BQ2:BQ258,G2:G258,"EDBD",E2:E258,"0325",F2:F258,"00")</f>
        <v>0</v>
      </c>
      <c r="BR265" s="388">
        <f>SUMIFS(BR2:BR258,G2:G258,"EDBD",E2:E258,"0325",F2:F258,"00")</f>
        <v>0</v>
      </c>
      <c r="BS265" s="388">
        <f>SUMIFS(BS2:BS258,G2:G258,"EDBD",E2:E258,"0325",F2:F258,"00")</f>
        <v>0</v>
      </c>
      <c r="BT265" s="388">
        <f>SUMIFS(BT2:BT258,G2:G258,"EDBD",E2:E258,"0325",F2:F258,"00")</f>
        <v>0</v>
      </c>
      <c r="BU265" s="388">
        <f>SUMIFS(BU2:BU258,G2:G258,"EDBD",E2:E258,"0325",F2:F258,"00")</f>
        <v>0</v>
      </c>
      <c r="BV265" s="388">
        <f>SUMIFS(BV2:BV258,G2:G258,"EDBD",E2:E258,"0325",F2:F258,"00")</f>
        <v>0</v>
      </c>
      <c r="BW265" s="388">
        <f>SUMIFS(BW2:BW258,G2:G258,"EDBD",E2:E258,"0325",F2:F258,"00")</f>
        <v>0</v>
      </c>
      <c r="BX265" s="388">
        <f>SUMIFS(BX2:BX258,G2:G258,"EDBD",E2:E258,"0325",F2:F258,"00")</f>
        <v>0</v>
      </c>
      <c r="BY265" s="388">
        <f>SUMIFS(BY2:BY258,G2:G258,"EDBD",E2:E258,"0325",F2:F258,"00")</f>
        <v>0</v>
      </c>
      <c r="BZ265" s="388">
        <f>SUMIFS(BZ2:BZ258,G2:G258,"EDBD",E2:E258,"0325",F2:F258,"00")</f>
        <v>0</v>
      </c>
      <c r="CA265" s="388">
        <f>SUMIFS(CA2:CA258,G2:G258,"EDBD",E2:E258,"0325",F2:F258,"00")</f>
        <v>0</v>
      </c>
      <c r="CB265" s="388">
        <f>SUMIFS(CB2:CB258,G2:G258,"EDBD",E2:E258,"0325",F2:F258,"00")</f>
        <v>0</v>
      </c>
      <c r="CC265" s="388">
        <f>SUMIFS(CC2:CC258,G2:G258,"EDBD",E2:E258,"0325",F2:F258,"00")</f>
        <v>0</v>
      </c>
      <c r="CD265" s="388">
        <f>SUMIFS(CD2:CD258,G2:G258,"EDBD",E2:E258,"0325",F2:F258,"00")</f>
        <v>0</v>
      </c>
      <c r="CE265" s="388">
        <f>SUMIFS(CE2:CE258,G2:G258,"EDBD",E2:E258,"0325",F2:F258,"00")</f>
        <v>0</v>
      </c>
      <c r="CF265" s="388">
        <f>SUMIFS(CF2:CF258,G2:G258,"EDBD",E2:E258,"0325",F2:F258,"00")</f>
        <v>0</v>
      </c>
      <c r="CG265" s="388">
        <f>SUMIFS(CG2:CG258,G2:G258,"EDBD",E2:E258,"0325",F2:F258,"00")</f>
        <v>0</v>
      </c>
      <c r="CH265" s="388">
        <f>SUMIFS(CH2:CH258,G2:G258,"EDBD",E2:E258,"0325",F2:F258,"00")</f>
        <v>0</v>
      </c>
      <c r="CI265" s="388">
        <f>SUMIFS(CI2:CI258,G2:G258,"EDBD",E2:E258,"0325",F2:F258,"00")</f>
        <v>0</v>
      </c>
      <c r="CJ265" s="388">
        <f>SUMIFS(CJ2:CJ258,G2:G258,"EDBD",E2:E258,"0325",F2:F258,"00")</f>
        <v>0</v>
      </c>
      <c r="CK265" s="388">
        <f>SUMIFS(CK2:CK258,G2:G258,"EDBD",E2:E258,"0325",F2:F258,"00")</f>
        <v>0</v>
      </c>
      <c r="CL265" s="388">
        <f>SUMIFS(CL2:CL258,G2:G258,"EDBD",E2:E258,"0325",F2:F258,"00")</f>
        <v>0</v>
      </c>
      <c r="CM265" s="388">
        <f>SUMIFS(CM2:CM258,G2:G258,"EDBD",E2:E258,"0325",F2:F258,"00")</f>
        <v>0</v>
      </c>
    </row>
    <row r="266" spans="1:92" x14ac:dyDescent="0.25">
      <c r="AR266" t="s">
        <v>838</v>
      </c>
      <c r="AS266" s="388">
        <f>SUMIFS(AS2:AS258,G2:G258,"EDBD",E2:E258,"0325",F2:F258,"03",AT2:AT258,1)</f>
        <v>5.95</v>
      </c>
      <c r="AT266" s="388">
        <f>SUMIFS(AS2:AS258,G2:G258,"EDBD",E2:E258,"0325",F2:F258,"03",AT2:AT258,3)</f>
        <v>0</v>
      </c>
      <c r="AU266" s="388">
        <f>SUMIFS(AU2:AU258,G2:G258,"EDBD",E2:E258,"0325",F2:F258,"03")</f>
        <v>8</v>
      </c>
      <c r="AV266" s="388">
        <f>SUMIFS(AV2:AV258,G2:G258,"EDBD",E2:E258,"0325",F2:F258,"03")</f>
        <v>0</v>
      </c>
      <c r="AW266" s="388">
        <f>SUMIFS(AW2:AW258,G2:G258,"EDBD",E2:E258,"0325",F2:F258,"03")</f>
        <v>16</v>
      </c>
      <c r="AX266" s="388">
        <f>SUMIFS(AX2:AX258,G2:G258,"EDBD",E2:E258,"0325",F2:F258,"03")</f>
        <v>482435.20000000007</v>
      </c>
      <c r="AY266" s="388">
        <f>SUMIFS(AY2:AY258,G2:G258,"EDBD",E2:E258,"0325",F2:F258,"03")</f>
        <v>357095.44</v>
      </c>
      <c r="AZ266" s="388">
        <f>SUMIFS(AZ2:AZ258,G2:G258,"EDBD",E2:E258,"0325",F2:F258,"03")</f>
        <v>0</v>
      </c>
      <c r="BA266" s="388">
        <f>SUMIFS(BA2:BA258,G2:G258,"EDBD",E2:E258,"0325",F2:F258,"03")</f>
        <v>0</v>
      </c>
      <c r="BB266" s="388">
        <f>SUMIFS(BB2:BB258,G2:G258,"EDBD",E2:E258,"0325",F2:F258,"03")</f>
        <v>74375</v>
      </c>
      <c r="BC266" s="388">
        <f>SUMIFS(BC2:BC258,G2:G258,"EDBD",E2:E258,"0325",F2:F258,"03")</f>
        <v>0</v>
      </c>
      <c r="BD266" s="388">
        <f>SUMIFS(BD2:BD258,G2:G258,"EDBD",E2:E258,"0325",F2:F258,"03")</f>
        <v>22139.917280000001</v>
      </c>
      <c r="BE266" s="388">
        <f>SUMIFS(BE2:BE258,G2:G258,"EDBD",E2:E258,"0325",F2:F258,"03")</f>
        <v>5177.8838800000012</v>
      </c>
      <c r="BF266" s="388">
        <f>SUMIFS(BF2:BF258,G2:G258,"EDBD",E2:E258,"0325",F2:F258,"03")</f>
        <v>42637.195535999999</v>
      </c>
      <c r="BG266" s="388">
        <f>SUMIFS(BG2:BG258,G2:G258,"EDBD",E2:E258,"0325",F2:F258,"03")</f>
        <v>2574.6581224000001</v>
      </c>
      <c r="BH266" s="388">
        <f>SUMIFS(BH2:BH258,G2:G258,"EDBD",E2:E258,"0325",F2:F258,"03")</f>
        <v>0</v>
      </c>
      <c r="BI266" s="388">
        <f>SUMIFS(BI2:BI258,G2:G258,"EDBD",E2:E258,"0325",F2:F258,"03")</f>
        <v>0</v>
      </c>
      <c r="BJ266" s="388">
        <f>SUMIFS(BJ2:BJ258,G2:G258,"EDBD",E2:E258,"0325",F2:F258,"03")</f>
        <v>1249.83404</v>
      </c>
      <c r="BK266" s="388">
        <f>SUMIFS(BK2:BK258,G2:G258,"EDBD",E2:E258,"0325",F2:F258,"03")</f>
        <v>0</v>
      </c>
      <c r="BL266" s="388">
        <f>SUMIFS(BL2:BL258,G2:G258,"EDBD",E2:E258,"0325",F2:F258,"03")</f>
        <v>73779.4888584</v>
      </c>
      <c r="BM266" s="388">
        <f>SUMIFS(BM2:BM258,G2:G258,"EDBD",E2:E258,"0325",F2:F258,"03")</f>
        <v>0</v>
      </c>
      <c r="BN266" s="388">
        <f>SUMIFS(BN2:BN258,G2:G258,"EDBD",E2:E258,"0325",F2:F258,"03")</f>
        <v>81812.5</v>
      </c>
      <c r="BO266" s="388">
        <f>SUMIFS(BO2:BO258,G2:G258,"EDBD",E2:E258,"0325",F2:F258,"03")</f>
        <v>0</v>
      </c>
      <c r="BP266" s="388">
        <f>SUMIFS(BP2:BP258,G2:G258,"EDBD",E2:E258,"0325",F2:F258,"03")</f>
        <v>22139.917280000001</v>
      </c>
      <c r="BQ266" s="388">
        <f>SUMIFS(BQ2:BQ258,G2:G258,"EDBD",E2:E258,"0325",F2:F258,"03")</f>
        <v>5177.8838800000012</v>
      </c>
      <c r="BR266" s="388">
        <f>SUMIFS(BR2:BR258,G2:G258,"EDBD",E2:E258,"0325",F2:F258,"03")</f>
        <v>39923.270192000004</v>
      </c>
      <c r="BS266" s="388">
        <f>SUMIFS(BS2:BS258,G2:G258,"EDBD",E2:E258,"0325",F2:F258,"03")</f>
        <v>2574.6581224000001</v>
      </c>
      <c r="BT266" s="388">
        <f>SUMIFS(BT2:BT258,G2:G258,"EDBD",E2:E258,"0325",F2:F258,"03")</f>
        <v>0</v>
      </c>
      <c r="BU266" s="388">
        <f>SUMIFS(BU2:BU258,G2:G258,"EDBD",E2:E258,"0325",F2:F258,"03")</f>
        <v>0</v>
      </c>
      <c r="BV266" s="388">
        <f>SUMIFS(BV2:BV258,G2:G258,"EDBD",E2:E258,"0325",F2:F258,"03")</f>
        <v>1392.6722159999999</v>
      </c>
      <c r="BW266" s="388">
        <f>SUMIFS(BW2:BW258,G2:G258,"EDBD",E2:E258,"0325",F2:F258,"03")</f>
        <v>0</v>
      </c>
      <c r="BX266" s="388">
        <f>SUMIFS(BX2:BX258,G2:G258,"EDBD",E2:E258,"0325",F2:F258,"03")</f>
        <v>71208.401690400002</v>
      </c>
      <c r="BY266" s="388">
        <f>SUMIFS(BY2:BY258,G2:G258,"EDBD",E2:E258,"0325",F2:F258,"03")</f>
        <v>0</v>
      </c>
      <c r="BZ266" s="388">
        <f>SUMIFS(BZ2:BZ258,G2:G258,"EDBD",E2:E258,"0325",F2:F258,"03")</f>
        <v>7437.5</v>
      </c>
      <c r="CA266" s="388">
        <f>SUMIFS(CA2:CA258,G2:G258,"EDBD",E2:E258,"0325",F2:F258,"03")</f>
        <v>0</v>
      </c>
      <c r="CB266" s="388">
        <f>SUMIFS(CB2:CB258,G2:G258,"EDBD",E2:E258,"0325",F2:F258,"03")</f>
        <v>0</v>
      </c>
      <c r="CC266" s="388">
        <f>SUMIFS(CC2:CC258,G2:G258,"EDBD",E2:E258,"0325",F2:F258,"03")</f>
        <v>0</v>
      </c>
      <c r="CD266" s="388">
        <f>SUMIFS(CD2:CD258,G2:G258,"EDBD",E2:E258,"0325",F2:F258,"03")</f>
        <v>-2713.9253440000034</v>
      </c>
      <c r="CE266" s="388">
        <f>SUMIFS(CE2:CE258,G2:G258,"EDBD",E2:E258,"0325",F2:F258,"03")</f>
        <v>0</v>
      </c>
      <c r="CF266" s="388">
        <f>SUMIFS(CF2:CF258,G2:G258,"EDBD",E2:E258,"0325",F2:F258,"03")</f>
        <v>0</v>
      </c>
      <c r="CG266" s="388">
        <f>SUMIFS(CG2:CG258,G2:G258,"EDBD",E2:E258,"0325",F2:F258,"03")</f>
        <v>0</v>
      </c>
      <c r="CH266" s="388">
        <f>SUMIFS(CH2:CH258,G2:G258,"EDBD",E2:E258,"0325",F2:F258,"03")</f>
        <v>142.83817599999992</v>
      </c>
      <c r="CI266" s="388">
        <f>SUMIFS(CI2:CI258,G2:G258,"EDBD",E2:E258,"0325",F2:F258,"03")</f>
        <v>0</v>
      </c>
      <c r="CJ266" s="388">
        <f>SUMIFS(CJ2:CJ258,G2:G258,"EDBD",E2:E258,"0325",F2:F258,"03")</f>
        <v>-2571.0871680000037</v>
      </c>
      <c r="CK266" s="388">
        <f>SUMIFS(CK2:CK258,G2:G258,"EDBD",E2:E258,"0325",F2:F258,"03")</f>
        <v>0</v>
      </c>
      <c r="CL266" s="388">
        <f>SUMIFS(CL2:CL258,G2:G258,"EDBD",E2:E258,"0325",F2:F258,"03")</f>
        <v>0</v>
      </c>
      <c r="CM266" s="388">
        <f>SUMIFS(CM2:CM258,G2:G258,"EDBD",E2:E258,"0325",F2:F258,"03")</f>
        <v>0</v>
      </c>
    </row>
    <row r="267" spans="1:92" ht="15.75" thickBot="1" x14ac:dyDescent="0.3">
      <c r="AR267" t="s">
        <v>839</v>
      </c>
      <c r="AS267" s="388">
        <f>SUMIFS(AS2:AS258,G2:G258,"EDBD",E2:E258,"0325",F2:F258,"04",AT2:AT258,1)</f>
        <v>0.05</v>
      </c>
      <c r="AT267" s="388">
        <f>SUMIFS(AS2:AS258,G2:G258,"EDBD",E2:E258,"0325",F2:F258,"04",AT2:AT258,3)</f>
        <v>0</v>
      </c>
      <c r="AU267" s="388">
        <f>SUMIFS(AU2:AU258,G2:G258,"EDBD",E2:E258,"0325",F2:F258,"04")</f>
        <v>1</v>
      </c>
      <c r="AV267" s="388">
        <f>SUMIFS(AV2:AV258,G2:G258,"EDBD",E2:E258,"0325",F2:F258,"04")</f>
        <v>0</v>
      </c>
      <c r="AW267" s="388">
        <f>SUMIFS(AW2:AW258,G2:G258,"EDBD",E2:E258,"0325",F2:F258,"04")</f>
        <v>4</v>
      </c>
      <c r="AX267" s="388">
        <f>SUMIFS(AX2:AX258,G2:G258,"EDBD",E2:E258,"0325",F2:F258,"04")</f>
        <v>90750.400000000009</v>
      </c>
      <c r="AY267" s="388">
        <f>SUMIFS(AY2:AY258,G2:G258,"EDBD",E2:E258,"0325",F2:F258,"04")</f>
        <v>4537.5200000000004</v>
      </c>
      <c r="AZ267" s="388">
        <f>SUMIFS(AZ2:AZ258,G2:G258,"EDBD",E2:E258,"0325",F2:F258,"04")</f>
        <v>0</v>
      </c>
      <c r="BA267" s="388">
        <f>SUMIFS(BA2:BA258,G2:G258,"EDBD",E2:E258,"0325",F2:F258,"04")</f>
        <v>0</v>
      </c>
      <c r="BB267" s="388">
        <f>SUMIFS(BB2:BB258,G2:G258,"EDBD",E2:E258,"0325",F2:F258,"04")</f>
        <v>625</v>
      </c>
      <c r="BC267" s="388">
        <f>SUMIFS(BC2:BC258,G2:G258,"EDBD",E2:E258,"0325",F2:F258,"04")</f>
        <v>0</v>
      </c>
      <c r="BD267" s="388">
        <f>SUMIFS(BD2:BD258,G2:G258,"EDBD",E2:E258,"0325",F2:F258,"04")</f>
        <v>281.32624000000004</v>
      </c>
      <c r="BE267" s="388">
        <f>SUMIFS(BE2:BE258,G2:G258,"EDBD",E2:E258,"0325",F2:F258,"04")</f>
        <v>65.79404000000001</v>
      </c>
      <c r="BF267" s="388">
        <f>SUMIFS(BF2:BF258,G2:G258,"EDBD",E2:E258,"0325",F2:F258,"04")</f>
        <v>541.77988800000003</v>
      </c>
      <c r="BG267" s="388">
        <f>SUMIFS(BG2:BG258,G2:G258,"EDBD",E2:E258,"0325",F2:F258,"04")</f>
        <v>32.715519200000003</v>
      </c>
      <c r="BH267" s="388">
        <f>SUMIFS(BH2:BH258,G2:G258,"EDBD",E2:E258,"0325",F2:F258,"04")</f>
        <v>0</v>
      </c>
      <c r="BI267" s="388">
        <f>SUMIFS(BI2:BI258,G2:G258,"EDBD",E2:E258,"0325",F2:F258,"04")</f>
        <v>0</v>
      </c>
      <c r="BJ267" s="388">
        <f>SUMIFS(BJ2:BJ258,G2:G258,"EDBD",E2:E258,"0325",F2:F258,"04")</f>
        <v>15.881320000000002</v>
      </c>
      <c r="BK267" s="388">
        <f>SUMIFS(BK2:BK258,G2:G258,"EDBD",E2:E258,"0325",F2:F258,"04")</f>
        <v>0</v>
      </c>
      <c r="BL267" s="388">
        <f>SUMIFS(BL2:BL258,G2:G258,"EDBD",E2:E258,"0325",F2:F258,"04")</f>
        <v>937.4970072000001</v>
      </c>
      <c r="BM267" s="388">
        <f>SUMIFS(BM2:BM258,G2:G258,"EDBD",E2:E258,"0325",F2:F258,"04")</f>
        <v>0</v>
      </c>
      <c r="BN267" s="388">
        <f>SUMIFS(BN2:BN258,G2:G258,"EDBD",E2:E258,"0325",F2:F258,"04")</f>
        <v>687.5</v>
      </c>
      <c r="BO267" s="388">
        <f>SUMIFS(BO2:BO258,G2:G258,"EDBD",E2:E258,"0325",F2:F258,"04")</f>
        <v>0</v>
      </c>
      <c r="BP267" s="388">
        <f>SUMIFS(BP2:BP258,G2:G258,"EDBD",E2:E258,"0325",F2:F258,"04")</f>
        <v>281.32624000000004</v>
      </c>
      <c r="BQ267" s="388">
        <f>SUMIFS(BQ2:BQ258,G2:G258,"EDBD",E2:E258,"0325",F2:F258,"04")</f>
        <v>65.79404000000001</v>
      </c>
      <c r="BR267" s="388">
        <f>SUMIFS(BR2:BR258,G2:G258,"EDBD",E2:E258,"0325",F2:F258,"04")</f>
        <v>507.29473600000006</v>
      </c>
      <c r="BS267" s="388">
        <f>SUMIFS(BS2:BS258,G2:G258,"EDBD",E2:E258,"0325",F2:F258,"04")</f>
        <v>32.715519200000003</v>
      </c>
      <c r="BT267" s="388">
        <f>SUMIFS(BT2:BT258,G2:G258,"EDBD",E2:E258,"0325",F2:F258,"04")</f>
        <v>0</v>
      </c>
      <c r="BU267" s="388">
        <f>SUMIFS(BU2:BU258,G2:G258,"EDBD",E2:E258,"0325",F2:F258,"04")</f>
        <v>0</v>
      </c>
      <c r="BV267" s="388">
        <f>SUMIFS(BV2:BV258,G2:G258,"EDBD",E2:E258,"0325",F2:F258,"04")</f>
        <v>17.696328000000001</v>
      </c>
      <c r="BW267" s="388">
        <f>SUMIFS(BW2:BW258,G2:G258,"EDBD",E2:E258,"0325",F2:F258,"04")</f>
        <v>0</v>
      </c>
      <c r="BX267" s="388">
        <f>SUMIFS(BX2:BX258,G2:G258,"EDBD",E2:E258,"0325",F2:F258,"04")</f>
        <v>904.82686320000016</v>
      </c>
      <c r="BY267" s="388">
        <f>SUMIFS(BY2:BY258,G2:G258,"EDBD",E2:E258,"0325",F2:F258,"04")</f>
        <v>0</v>
      </c>
      <c r="BZ267" s="388">
        <f>SUMIFS(BZ2:BZ258,G2:G258,"EDBD",E2:E258,"0325",F2:F258,"04")</f>
        <v>62.5</v>
      </c>
      <c r="CA267" s="388">
        <f>SUMIFS(CA2:CA258,G2:G258,"EDBD",E2:E258,"0325",F2:F258,"04")</f>
        <v>0</v>
      </c>
      <c r="CB267" s="388">
        <f>SUMIFS(CB2:CB258,G2:G258,"EDBD",E2:E258,"0325",F2:F258,"04")</f>
        <v>0</v>
      </c>
      <c r="CC267" s="388">
        <f>SUMIFS(CC2:CC258,G2:G258,"EDBD",E2:E258,"0325",F2:F258,"04")</f>
        <v>0</v>
      </c>
      <c r="CD267" s="388">
        <f>SUMIFS(CD2:CD258,G2:G258,"EDBD",E2:E258,"0325",F2:F258,"04")</f>
        <v>-34.485152000000049</v>
      </c>
      <c r="CE267" s="388">
        <f>SUMIFS(CE2:CE258,G2:G258,"EDBD",E2:E258,"0325",F2:F258,"04")</f>
        <v>0</v>
      </c>
      <c r="CF267" s="388">
        <f>SUMIFS(CF2:CF258,G2:G258,"EDBD",E2:E258,"0325",F2:F258,"04")</f>
        <v>0</v>
      </c>
      <c r="CG267" s="388">
        <f>SUMIFS(CG2:CG258,G2:G258,"EDBD",E2:E258,"0325",F2:F258,"04")</f>
        <v>0</v>
      </c>
      <c r="CH267" s="388">
        <f>SUMIFS(CH2:CH258,G2:G258,"EDBD",E2:E258,"0325",F2:F258,"04")</f>
        <v>1.8150079999999991</v>
      </c>
      <c r="CI267" s="388">
        <f>SUMIFS(CI2:CI258,G2:G258,"EDBD",E2:E258,"0325",F2:F258,"04")</f>
        <v>0</v>
      </c>
      <c r="CJ267" s="388">
        <f>SUMIFS(CJ2:CJ258,G2:G258,"EDBD",E2:E258,"0325",F2:F258,"04")</f>
        <v>-32.67014400000005</v>
      </c>
      <c r="CK267" s="388">
        <f>SUMIFS(CK2:CK258,G2:G258,"EDBD",E2:E258,"0325",F2:F258,"04")</f>
        <v>0</v>
      </c>
      <c r="CL267" s="388">
        <f>SUMIFS(CL2:CL258,G2:G258,"EDBD",E2:E258,"0325",F2:F258,"04")</f>
        <v>0</v>
      </c>
      <c r="CM267" s="388">
        <f>SUMIFS(CM2:CM258,G2:G258,"EDBD",E2:E258,"0325",F2:F258,"04")</f>
        <v>0</v>
      </c>
    </row>
    <row r="268" spans="1:92" ht="18.75" x14ac:dyDescent="0.3">
      <c r="AQ268" s="394" t="s">
        <v>840</v>
      </c>
      <c r="AS268" s="395">
        <f t="shared" ref="AS268:CM268" si="178">SUM(AS265:AS267)</f>
        <v>6</v>
      </c>
      <c r="AT268" s="395">
        <f t="shared" si="178"/>
        <v>0</v>
      </c>
      <c r="AU268" s="395">
        <f t="shared" si="178"/>
        <v>9</v>
      </c>
      <c r="AV268" s="395">
        <f t="shared" si="178"/>
        <v>0</v>
      </c>
      <c r="AW268" s="395">
        <f t="shared" si="178"/>
        <v>20</v>
      </c>
      <c r="AX268" s="395">
        <f t="shared" si="178"/>
        <v>573185.60000000009</v>
      </c>
      <c r="AY268" s="395">
        <f t="shared" si="178"/>
        <v>361632.96</v>
      </c>
      <c r="AZ268" s="395">
        <f t="shared" si="178"/>
        <v>0</v>
      </c>
      <c r="BA268" s="395">
        <f t="shared" si="178"/>
        <v>0</v>
      </c>
      <c r="BB268" s="395">
        <f t="shared" si="178"/>
        <v>75000</v>
      </c>
      <c r="BC268" s="395">
        <f t="shared" si="178"/>
        <v>0</v>
      </c>
      <c r="BD268" s="395">
        <f t="shared" si="178"/>
        <v>22421.24352</v>
      </c>
      <c r="BE268" s="395">
        <f t="shared" si="178"/>
        <v>5243.677920000001</v>
      </c>
      <c r="BF268" s="395">
        <f t="shared" si="178"/>
        <v>43178.975423999997</v>
      </c>
      <c r="BG268" s="395">
        <f t="shared" si="178"/>
        <v>2607.3736416000002</v>
      </c>
      <c r="BH268" s="395">
        <f t="shared" si="178"/>
        <v>0</v>
      </c>
      <c r="BI268" s="395">
        <f t="shared" si="178"/>
        <v>0</v>
      </c>
      <c r="BJ268" s="395">
        <f t="shared" si="178"/>
        <v>1265.7153599999999</v>
      </c>
      <c r="BK268" s="395">
        <f t="shared" si="178"/>
        <v>0</v>
      </c>
      <c r="BL268" s="395">
        <f t="shared" si="178"/>
        <v>74716.9858656</v>
      </c>
      <c r="BM268" s="395">
        <f t="shared" si="178"/>
        <v>0</v>
      </c>
      <c r="BN268" s="395">
        <f t="shared" si="178"/>
        <v>82500</v>
      </c>
      <c r="BO268" s="395">
        <f t="shared" si="178"/>
        <v>0</v>
      </c>
      <c r="BP268" s="395">
        <f t="shared" si="178"/>
        <v>22421.24352</v>
      </c>
      <c r="BQ268" s="395">
        <f t="shared" si="178"/>
        <v>5243.677920000001</v>
      </c>
      <c r="BR268" s="395">
        <f t="shared" si="178"/>
        <v>40430.564928000007</v>
      </c>
      <c r="BS268" s="395">
        <f t="shared" si="178"/>
        <v>2607.3736416000002</v>
      </c>
      <c r="BT268" s="395">
        <f t="shared" si="178"/>
        <v>0</v>
      </c>
      <c r="BU268" s="395">
        <f t="shared" si="178"/>
        <v>0</v>
      </c>
      <c r="BV268" s="395">
        <f t="shared" si="178"/>
        <v>1410.3685439999999</v>
      </c>
      <c r="BW268" s="395">
        <f t="shared" si="178"/>
        <v>0</v>
      </c>
      <c r="BX268" s="395">
        <f t="shared" si="178"/>
        <v>72113.228553599998</v>
      </c>
      <c r="BY268" s="395">
        <f t="shared" si="178"/>
        <v>0</v>
      </c>
      <c r="BZ268" s="395">
        <f t="shared" si="178"/>
        <v>7500</v>
      </c>
      <c r="CA268" s="395">
        <f t="shared" si="178"/>
        <v>0</v>
      </c>
      <c r="CB268" s="395">
        <f t="shared" si="178"/>
        <v>0</v>
      </c>
      <c r="CC268" s="395">
        <f t="shared" si="178"/>
        <v>0</v>
      </c>
      <c r="CD268" s="395">
        <f t="shared" si="178"/>
        <v>-2748.4104960000036</v>
      </c>
      <c r="CE268" s="395">
        <f t="shared" si="178"/>
        <v>0</v>
      </c>
      <c r="CF268" s="395">
        <f t="shared" si="178"/>
        <v>0</v>
      </c>
      <c r="CG268" s="395">
        <f t="shared" si="178"/>
        <v>0</v>
      </c>
      <c r="CH268" s="395">
        <f t="shared" si="178"/>
        <v>144.65318399999992</v>
      </c>
      <c r="CI268" s="395">
        <f t="shared" si="178"/>
        <v>0</v>
      </c>
      <c r="CJ268" s="395">
        <f t="shared" si="178"/>
        <v>-2603.7573120000038</v>
      </c>
      <c r="CK268" s="395">
        <f t="shared" si="178"/>
        <v>0</v>
      </c>
      <c r="CL268" s="395">
        <f t="shared" si="178"/>
        <v>0</v>
      </c>
      <c r="CM268" s="395">
        <f t="shared" si="178"/>
        <v>0</v>
      </c>
    </row>
    <row r="269" spans="1:92" ht="15.75" thickBot="1" x14ac:dyDescent="0.3">
      <c r="AR269" t="s">
        <v>845</v>
      </c>
      <c r="AS269" s="388">
        <f>SUMIFS(AS2:AS258,G2:G258,"EDBE",E2:E258,"0001",F2:F258,"00",AT2:AT258,1)</f>
        <v>21.98</v>
      </c>
      <c r="AT269" s="388">
        <f>SUMIFS(AS2:AS258,G2:G258,"EDBE",E2:E258,"0001",F2:F258,"00",AT2:AT258,3)</f>
        <v>0</v>
      </c>
      <c r="AU269" s="388">
        <f>SUMIFS(AU2:AU258,G2:G258,"EDBE",E2:E258,"0001",F2:F258,"00")</f>
        <v>31</v>
      </c>
      <c r="AV269" s="388">
        <f>SUMIFS(AV2:AV258,G2:G258,"EDBE",E2:E258,"0001",F2:F258,"00")</f>
        <v>0</v>
      </c>
      <c r="AW269" s="388">
        <f>SUMIFS(AW2:AW258,G2:G258,"EDBE",E2:E258,"0001",F2:F258,"00")</f>
        <v>98</v>
      </c>
      <c r="AX269" s="388">
        <f>SUMIFS(AX2:AX258,G2:G258,"EDBE",E2:E258,"0001",F2:F258,"00")</f>
        <v>2260044.75</v>
      </c>
      <c r="AY269" s="388">
        <f>SUMIFS(AY2:AY258,G2:G258,"EDBE",E2:E258,"0001",F2:F258,"00")</f>
        <v>1616702.04</v>
      </c>
      <c r="AZ269" s="388">
        <f>SUMIFS(AZ2:AZ258,G2:G258,"EDBE",E2:E258,"0001",F2:F258,"00")</f>
        <v>0</v>
      </c>
      <c r="BA269" s="388">
        <f>SUMIFS(BA2:BA258,G2:G258,"EDBE",E2:E258,"0001",F2:F258,"00")</f>
        <v>0</v>
      </c>
      <c r="BB269" s="388">
        <f>SUMIFS(BB2:BB258,G2:G258,"EDBE",E2:E258,"0001",F2:F258,"00")</f>
        <v>274750</v>
      </c>
      <c r="BC269" s="388">
        <f>SUMIFS(BC2:BC258,G2:G258,"EDBE",E2:E258,"0001",F2:F258,"00")</f>
        <v>0</v>
      </c>
      <c r="BD269" s="388">
        <f>SUMIFS(BD2:BD258,G2:G258,"EDBE",E2:E258,"0001",F2:F258,"00")</f>
        <v>100235.52648000001</v>
      </c>
      <c r="BE269" s="388">
        <f>SUMIFS(BE2:BE258,G2:G258,"EDBE",E2:E258,"0001",F2:F258,"00")</f>
        <v>23442.179580000007</v>
      </c>
      <c r="BF269" s="388">
        <f>SUMIFS(BF2:BF258,G2:G258,"EDBE",E2:E258,"0001",F2:F258,"00")</f>
        <v>193034.22357600002</v>
      </c>
      <c r="BG269" s="388">
        <f>SUMIFS(BG2:BG258,G2:G258,"EDBE",E2:E258,"0001",F2:F258,"00")</f>
        <v>11656.421708399997</v>
      </c>
      <c r="BH269" s="388">
        <f>SUMIFS(BH2:BH258,G2:G258,"EDBE",E2:E258,"0001",F2:F258,"00")</f>
        <v>0</v>
      </c>
      <c r="BI269" s="388">
        <f>SUMIFS(BI2:BI258,G2:G258,"EDBE",E2:E258,"0001",F2:F258,"00")</f>
        <v>0</v>
      </c>
      <c r="BJ269" s="388">
        <f>SUMIFS(BJ2:BJ258,G2:G258,"EDBE",E2:E258,"0001",F2:F258,"00")</f>
        <v>5658.4571400000004</v>
      </c>
      <c r="BK269" s="388">
        <f>SUMIFS(BK2:BK258,G2:G258,"EDBE",E2:E258,"0001",F2:F258,"00")</f>
        <v>0</v>
      </c>
      <c r="BL269" s="388">
        <f>SUMIFS(BL2:BL258,G2:G258,"EDBE",E2:E258,"0001",F2:F258,"00")</f>
        <v>334026.80848439992</v>
      </c>
      <c r="BM269" s="388">
        <f>SUMIFS(BM2:BM258,G2:G258,"EDBE",E2:E258,"0001",F2:F258,"00")</f>
        <v>0</v>
      </c>
      <c r="BN269" s="388">
        <f>SUMIFS(BN2:BN258,G2:G258,"EDBE",E2:E258,"0001",F2:F258,"00")</f>
        <v>302225</v>
      </c>
      <c r="BO269" s="388">
        <f>SUMIFS(BO2:BO258,G2:G258,"EDBE",E2:E258,"0001",F2:F258,"00")</f>
        <v>0</v>
      </c>
      <c r="BP269" s="388">
        <f>SUMIFS(BP2:BP258,G2:G258,"EDBE",E2:E258,"0001",F2:F258,"00")</f>
        <v>100235.52648000001</v>
      </c>
      <c r="BQ269" s="388">
        <f>SUMIFS(BQ2:BQ258,G2:G258,"EDBE",E2:E258,"0001",F2:F258,"00")</f>
        <v>23442.179580000007</v>
      </c>
      <c r="BR269" s="388">
        <f>SUMIFS(BR2:BR258,G2:G258,"EDBE",E2:E258,"0001",F2:F258,"00")</f>
        <v>180747.28807200002</v>
      </c>
      <c r="BS269" s="388">
        <f>SUMIFS(BS2:BS258,G2:G258,"EDBE",E2:E258,"0001",F2:F258,"00")</f>
        <v>11656.421708399997</v>
      </c>
      <c r="BT269" s="388">
        <f>SUMIFS(BT2:BT258,G2:G258,"EDBE",E2:E258,"0001",F2:F258,"00")</f>
        <v>0</v>
      </c>
      <c r="BU269" s="388">
        <f>SUMIFS(BU2:BU258,G2:G258,"EDBE",E2:E258,"0001",F2:F258,"00")</f>
        <v>0</v>
      </c>
      <c r="BV269" s="388">
        <f>SUMIFS(BV2:BV258,G2:G258,"EDBE",E2:E258,"0001",F2:F258,"00")</f>
        <v>6305.1379559999987</v>
      </c>
      <c r="BW269" s="388">
        <f>SUMIFS(BW2:BW258,G2:G258,"EDBE",E2:E258,"0001",F2:F258,"00")</f>
        <v>0</v>
      </c>
      <c r="BX269" s="388">
        <f>SUMIFS(BX2:BX258,G2:G258,"EDBE",E2:E258,"0001",F2:F258,"00")</f>
        <v>322386.55379640008</v>
      </c>
      <c r="BY269" s="388">
        <f>SUMIFS(BY2:BY258,G2:G258,"EDBE",E2:E258,"0001",F2:F258,"00")</f>
        <v>0</v>
      </c>
      <c r="BZ269" s="388">
        <f>SUMIFS(BZ2:BZ258,G2:G258,"EDBE",E2:E258,"0001",F2:F258,"00")</f>
        <v>27475</v>
      </c>
      <c r="CA269" s="388">
        <f>SUMIFS(CA2:CA258,G2:G258,"EDBE",E2:E258,"0001",F2:F258,"00")</f>
        <v>0</v>
      </c>
      <c r="CB269" s="388">
        <f>SUMIFS(CB2:CB258,G2:G258,"EDBE",E2:E258,"0001",F2:F258,"00")</f>
        <v>0</v>
      </c>
      <c r="CC269" s="388">
        <f>SUMIFS(CC2:CC258,G2:G258,"EDBE",E2:E258,"0001",F2:F258,"00")</f>
        <v>0</v>
      </c>
      <c r="CD269" s="388">
        <f>SUMIFS(CD2:CD258,G2:G258,"EDBE",E2:E258,"0001",F2:F258,"00")</f>
        <v>-12286.935504000017</v>
      </c>
      <c r="CE269" s="388">
        <f>SUMIFS(CE2:CE258,G2:G258,"EDBE",E2:E258,"0001",F2:F258,"00")</f>
        <v>0</v>
      </c>
      <c r="CF269" s="388">
        <f>SUMIFS(CF2:CF258,G2:G258,"EDBE",E2:E258,"0001",F2:F258,"00")</f>
        <v>0</v>
      </c>
      <c r="CG269" s="388">
        <f>SUMIFS(CG2:CG258,G2:G258,"EDBE",E2:E258,"0001",F2:F258,"00")</f>
        <v>0</v>
      </c>
      <c r="CH269" s="388">
        <f>SUMIFS(CH2:CH258,G2:G258,"EDBE",E2:E258,"0001",F2:F258,"00")</f>
        <v>646.68081599999948</v>
      </c>
      <c r="CI269" s="388">
        <f>SUMIFS(CI2:CI258,G2:G258,"EDBE",E2:E258,"0001",F2:F258,"00")</f>
        <v>0</v>
      </c>
      <c r="CJ269" s="388">
        <f>SUMIFS(CJ2:CJ258,G2:G258,"EDBE",E2:E258,"0001",F2:F258,"00")</f>
        <v>-11640.254688000017</v>
      </c>
      <c r="CK269" s="388">
        <f>SUMIFS(CK2:CK258,G2:G258,"EDBE",E2:E258,"0001",F2:F258,"00")</f>
        <v>0</v>
      </c>
      <c r="CL269" s="388">
        <f>SUMIFS(CL2:CL258,G2:G258,"EDBE",E2:E258,"0001",F2:F258,"00")</f>
        <v>0</v>
      </c>
      <c r="CM269" s="388">
        <f>SUMIFS(CM2:CM258,G2:G258,"EDBE",E2:E258,"0001",F2:F258,"00")</f>
        <v>0</v>
      </c>
    </row>
    <row r="270" spans="1:92" ht="18.75" x14ac:dyDescent="0.3">
      <c r="AQ270" s="394" t="s">
        <v>846</v>
      </c>
      <c r="AS270" s="395">
        <f t="shared" ref="AS270:CM270" si="179">SUM(AS269:AS269)</f>
        <v>21.98</v>
      </c>
      <c r="AT270" s="395">
        <f t="shared" si="179"/>
        <v>0</v>
      </c>
      <c r="AU270" s="395">
        <f t="shared" si="179"/>
        <v>31</v>
      </c>
      <c r="AV270" s="395">
        <f t="shared" si="179"/>
        <v>0</v>
      </c>
      <c r="AW270" s="395">
        <f t="shared" si="179"/>
        <v>98</v>
      </c>
      <c r="AX270" s="395">
        <f t="shared" si="179"/>
        <v>2260044.75</v>
      </c>
      <c r="AY270" s="395">
        <f t="shared" si="179"/>
        <v>1616702.04</v>
      </c>
      <c r="AZ270" s="395">
        <f t="shared" si="179"/>
        <v>0</v>
      </c>
      <c r="BA270" s="395">
        <f t="shared" si="179"/>
        <v>0</v>
      </c>
      <c r="BB270" s="395">
        <f t="shared" si="179"/>
        <v>274750</v>
      </c>
      <c r="BC270" s="395">
        <f t="shared" si="179"/>
        <v>0</v>
      </c>
      <c r="BD270" s="395">
        <f t="shared" si="179"/>
        <v>100235.52648000001</v>
      </c>
      <c r="BE270" s="395">
        <f t="shared" si="179"/>
        <v>23442.179580000007</v>
      </c>
      <c r="BF270" s="395">
        <f t="shared" si="179"/>
        <v>193034.22357600002</v>
      </c>
      <c r="BG270" s="395">
        <f t="shared" si="179"/>
        <v>11656.421708399997</v>
      </c>
      <c r="BH270" s="395">
        <f t="shared" si="179"/>
        <v>0</v>
      </c>
      <c r="BI270" s="395">
        <f t="shared" si="179"/>
        <v>0</v>
      </c>
      <c r="BJ270" s="395">
        <f t="shared" si="179"/>
        <v>5658.4571400000004</v>
      </c>
      <c r="BK270" s="395">
        <f t="shared" si="179"/>
        <v>0</v>
      </c>
      <c r="BL270" s="395">
        <f t="shared" si="179"/>
        <v>334026.80848439992</v>
      </c>
      <c r="BM270" s="395">
        <f t="shared" si="179"/>
        <v>0</v>
      </c>
      <c r="BN270" s="395">
        <f t="shared" si="179"/>
        <v>302225</v>
      </c>
      <c r="BO270" s="395">
        <f t="shared" si="179"/>
        <v>0</v>
      </c>
      <c r="BP270" s="395">
        <f t="shared" si="179"/>
        <v>100235.52648000001</v>
      </c>
      <c r="BQ270" s="395">
        <f t="shared" si="179"/>
        <v>23442.179580000007</v>
      </c>
      <c r="BR270" s="395">
        <f t="shared" si="179"/>
        <v>180747.28807200002</v>
      </c>
      <c r="BS270" s="395">
        <f t="shared" si="179"/>
        <v>11656.421708399997</v>
      </c>
      <c r="BT270" s="395">
        <f t="shared" si="179"/>
        <v>0</v>
      </c>
      <c r="BU270" s="395">
        <f t="shared" si="179"/>
        <v>0</v>
      </c>
      <c r="BV270" s="395">
        <f t="shared" si="179"/>
        <v>6305.1379559999987</v>
      </c>
      <c r="BW270" s="395">
        <f t="shared" si="179"/>
        <v>0</v>
      </c>
      <c r="BX270" s="395">
        <f t="shared" si="179"/>
        <v>322386.55379640008</v>
      </c>
      <c r="BY270" s="395">
        <f t="shared" si="179"/>
        <v>0</v>
      </c>
      <c r="BZ270" s="395">
        <f t="shared" si="179"/>
        <v>27475</v>
      </c>
      <c r="CA270" s="395">
        <f t="shared" si="179"/>
        <v>0</v>
      </c>
      <c r="CB270" s="395">
        <f t="shared" si="179"/>
        <v>0</v>
      </c>
      <c r="CC270" s="395">
        <f t="shared" si="179"/>
        <v>0</v>
      </c>
      <c r="CD270" s="395">
        <f t="shared" si="179"/>
        <v>-12286.935504000017</v>
      </c>
      <c r="CE270" s="395">
        <f t="shared" si="179"/>
        <v>0</v>
      </c>
      <c r="CF270" s="395">
        <f t="shared" si="179"/>
        <v>0</v>
      </c>
      <c r="CG270" s="395">
        <f t="shared" si="179"/>
        <v>0</v>
      </c>
      <c r="CH270" s="395">
        <f t="shared" si="179"/>
        <v>646.68081599999948</v>
      </c>
      <c r="CI270" s="395">
        <f t="shared" si="179"/>
        <v>0</v>
      </c>
      <c r="CJ270" s="395">
        <f t="shared" si="179"/>
        <v>-11640.254688000017</v>
      </c>
      <c r="CK270" s="395">
        <f t="shared" si="179"/>
        <v>0</v>
      </c>
      <c r="CL270" s="395">
        <f t="shared" si="179"/>
        <v>0</v>
      </c>
      <c r="CM270" s="395">
        <f t="shared" si="179"/>
        <v>0</v>
      </c>
    </row>
    <row r="271" spans="1:92" x14ac:dyDescent="0.25">
      <c r="AR271" t="s">
        <v>849</v>
      </c>
      <c r="AS271" s="388">
        <f>SUMIFS(AS2:AS258,G2:G258,"EDBE",E2:E258,"0325",F2:F258,"00",AT2:AT258,1)</f>
        <v>0</v>
      </c>
      <c r="AT271" s="388">
        <f>SUMIFS(AS2:AS258,G2:G258,"EDBE",E2:E258,"0325",F2:F258,"00",AT2:AT258,3)</f>
        <v>0</v>
      </c>
      <c r="AU271" s="388">
        <f>SUMIFS(AU2:AU258,G2:G258,"EDBE",E2:E258,"0325",F2:F258,"00")</f>
        <v>0</v>
      </c>
      <c r="AV271" s="388">
        <f>SUMIFS(AV2:AV258,G2:G258,"EDBE",E2:E258,"0325",F2:F258,"00")</f>
        <v>0</v>
      </c>
      <c r="AW271" s="388">
        <f>SUMIFS(AW2:AW258,G2:G258,"EDBE",E2:E258,"0325",F2:F258,"00")</f>
        <v>0</v>
      </c>
      <c r="AX271" s="388">
        <f>SUMIFS(AX2:AX258,G2:G258,"EDBE",E2:E258,"0325",F2:F258,"00")</f>
        <v>0</v>
      </c>
      <c r="AY271" s="388">
        <f>SUMIFS(AY2:AY258,G2:G258,"EDBE",E2:E258,"0325",F2:F258,"00")</f>
        <v>0</v>
      </c>
      <c r="AZ271" s="388">
        <f>SUMIFS(AZ2:AZ258,G2:G258,"EDBE",E2:E258,"0325",F2:F258,"00")</f>
        <v>0</v>
      </c>
      <c r="BA271" s="388">
        <f>SUMIFS(BA2:BA258,G2:G258,"EDBE",E2:E258,"0325",F2:F258,"00")</f>
        <v>0</v>
      </c>
      <c r="BB271" s="388">
        <f>SUMIFS(BB2:BB258,G2:G258,"EDBE",E2:E258,"0325",F2:F258,"00")</f>
        <v>0</v>
      </c>
      <c r="BC271" s="388">
        <f>SUMIFS(BC2:BC258,G2:G258,"EDBE",E2:E258,"0325",F2:F258,"00")</f>
        <v>0</v>
      </c>
      <c r="BD271" s="388">
        <f>SUMIFS(BD2:BD258,G2:G258,"EDBE",E2:E258,"0325",F2:F258,"00")</f>
        <v>0</v>
      </c>
      <c r="BE271" s="388">
        <f>SUMIFS(BE2:BE258,G2:G258,"EDBE",E2:E258,"0325",F2:F258,"00")</f>
        <v>0</v>
      </c>
      <c r="BF271" s="388">
        <f>SUMIFS(BF2:BF258,G2:G258,"EDBE",E2:E258,"0325",F2:F258,"00")</f>
        <v>0</v>
      </c>
      <c r="BG271" s="388">
        <f>SUMIFS(BG2:BG258,G2:G258,"EDBE",E2:E258,"0325",F2:F258,"00")</f>
        <v>0</v>
      </c>
      <c r="BH271" s="388">
        <f>SUMIFS(BH2:BH258,G2:G258,"EDBE",E2:E258,"0325",F2:F258,"00")</f>
        <v>0</v>
      </c>
      <c r="BI271" s="388">
        <f>SUMIFS(BI2:BI258,G2:G258,"EDBE",E2:E258,"0325",F2:F258,"00")</f>
        <v>0</v>
      </c>
      <c r="BJ271" s="388">
        <f>SUMIFS(BJ2:BJ258,G2:G258,"EDBE",E2:E258,"0325",F2:F258,"00")</f>
        <v>0</v>
      </c>
      <c r="BK271" s="388">
        <f>SUMIFS(BK2:BK258,G2:G258,"EDBE",E2:E258,"0325",F2:F258,"00")</f>
        <v>0</v>
      </c>
      <c r="BL271" s="388">
        <f>SUMIFS(BL2:BL258,G2:G258,"EDBE",E2:E258,"0325",F2:F258,"00")</f>
        <v>0</v>
      </c>
      <c r="BM271" s="388">
        <f>SUMIFS(BM2:BM258,G2:G258,"EDBE",E2:E258,"0325",F2:F258,"00")</f>
        <v>0</v>
      </c>
      <c r="BN271" s="388">
        <f>SUMIFS(BN2:BN258,G2:G258,"EDBE",E2:E258,"0325",F2:F258,"00")</f>
        <v>0</v>
      </c>
      <c r="BO271" s="388">
        <f>SUMIFS(BO2:BO258,G2:G258,"EDBE",E2:E258,"0325",F2:F258,"00")</f>
        <v>0</v>
      </c>
      <c r="BP271" s="388">
        <f>SUMIFS(BP2:BP258,G2:G258,"EDBE",E2:E258,"0325",F2:F258,"00")</f>
        <v>0</v>
      </c>
      <c r="BQ271" s="388">
        <f>SUMIFS(BQ2:BQ258,G2:G258,"EDBE",E2:E258,"0325",F2:F258,"00")</f>
        <v>0</v>
      </c>
      <c r="BR271" s="388">
        <f>SUMIFS(BR2:BR258,G2:G258,"EDBE",E2:E258,"0325",F2:F258,"00")</f>
        <v>0</v>
      </c>
      <c r="BS271" s="388">
        <f>SUMIFS(BS2:BS258,G2:G258,"EDBE",E2:E258,"0325",F2:F258,"00")</f>
        <v>0</v>
      </c>
      <c r="BT271" s="388">
        <f>SUMIFS(BT2:BT258,G2:G258,"EDBE",E2:E258,"0325",F2:F258,"00")</f>
        <v>0</v>
      </c>
      <c r="BU271" s="388">
        <f>SUMIFS(BU2:BU258,G2:G258,"EDBE",E2:E258,"0325",F2:F258,"00")</f>
        <v>0</v>
      </c>
      <c r="BV271" s="388">
        <f>SUMIFS(BV2:BV258,G2:G258,"EDBE",E2:E258,"0325",F2:F258,"00")</f>
        <v>0</v>
      </c>
      <c r="BW271" s="388">
        <f>SUMIFS(BW2:BW258,G2:G258,"EDBE",E2:E258,"0325",F2:F258,"00")</f>
        <v>0</v>
      </c>
      <c r="BX271" s="388">
        <f>SUMIFS(BX2:BX258,G2:G258,"EDBE",E2:E258,"0325",F2:F258,"00")</f>
        <v>0</v>
      </c>
      <c r="BY271" s="388">
        <f>SUMIFS(BY2:BY258,G2:G258,"EDBE",E2:E258,"0325",F2:F258,"00")</f>
        <v>0</v>
      </c>
      <c r="BZ271" s="388">
        <f>SUMIFS(BZ2:BZ258,G2:G258,"EDBE",E2:E258,"0325",F2:F258,"00")</f>
        <v>0</v>
      </c>
      <c r="CA271" s="388">
        <f>SUMIFS(CA2:CA258,G2:G258,"EDBE",E2:E258,"0325",F2:F258,"00")</f>
        <v>0</v>
      </c>
      <c r="CB271" s="388">
        <f>SUMIFS(CB2:CB258,G2:G258,"EDBE",E2:E258,"0325",F2:F258,"00")</f>
        <v>0</v>
      </c>
      <c r="CC271" s="388">
        <f>SUMIFS(CC2:CC258,G2:G258,"EDBE",E2:E258,"0325",F2:F258,"00")</f>
        <v>0</v>
      </c>
      <c r="CD271" s="388">
        <f>SUMIFS(CD2:CD258,G2:G258,"EDBE",E2:E258,"0325",F2:F258,"00")</f>
        <v>0</v>
      </c>
      <c r="CE271" s="388">
        <f>SUMIFS(CE2:CE258,G2:G258,"EDBE",E2:E258,"0325",F2:F258,"00")</f>
        <v>0</v>
      </c>
      <c r="CF271" s="388">
        <f>SUMIFS(CF2:CF258,G2:G258,"EDBE",E2:E258,"0325",F2:F258,"00")</f>
        <v>0</v>
      </c>
      <c r="CG271" s="388">
        <f>SUMIFS(CG2:CG258,G2:G258,"EDBE",E2:E258,"0325",F2:F258,"00")</f>
        <v>0</v>
      </c>
      <c r="CH271" s="388">
        <f>SUMIFS(CH2:CH258,G2:G258,"EDBE",E2:E258,"0325",F2:F258,"00")</f>
        <v>0</v>
      </c>
      <c r="CI271" s="388">
        <f>SUMIFS(CI2:CI258,G2:G258,"EDBE",E2:E258,"0325",F2:F258,"00")</f>
        <v>0</v>
      </c>
      <c r="CJ271" s="388">
        <f>SUMIFS(CJ2:CJ258,G2:G258,"EDBE",E2:E258,"0325",F2:F258,"00")</f>
        <v>0</v>
      </c>
      <c r="CK271" s="388">
        <f>SUMIFS(CK2:CK258,G2:G258,"EDBE",E2:E258,"0325",F2:F258,"00")</f>
        <v>0</v>
      </c>
      <c r="CL271" s="388">
        <f>SUMIFS(CL2:CL258,G2:G258,"EDBE",E2:E258,"0325",F2:F258,"00")</f>
        <v>0</v>
      </c>
      <c r="CM271" s="388">
        <f>SUMIFS(CM2:CM258,G2:G258,"EDBE",E2:E258,"0325",F2:F258,"00")</f>
        <v>0</v>
      </c>
    </row>
    <row r="272" spans="1:92" x14ac:dyDescent="0.25">
      <c r="AR272" t="s">
        <v>850</v>
      </c>
      <c r="AS272" s="388">
        <f>SUMIFS(AS2:AS258,G2:G258,"EDBE",E2:E258,"0325",F2:F258,"05",AT2:AT258,1)</f>
        <v>0</v>
      </c>
      <c r="AT272" s="388">
        <f>SUMIFS(AS2:AS258,G2:G258,"EDBE",E2:E258,"0325",F2:F258,"05",AT2:AT258,3)</f>
        <v>0</v>
      </c>
      <c r="AU272" s="388">
        <f>SUMIFS(AU2:AU258,G2:G258,"EDBE",E2:E258,"0325",F2:F258,"05")</f>
        <v>0</v>
      </c>
      <c r="AV272" s="388">
        <f>SUMIFS(AV2:AV258,G2:G258,"EDBE",E2:E258,"0325",F2:F258,"05")</f>
        <v>0</v>
      </c>
      <c r="AW272" s="388">
        <f>SUMIFS(AW2:AW258,G2:G258,"EDBE",E2:E258,"0325",F2:F258,"05")</f>
        <v>23</v>
      </c>
      <c r="AX272" s="388">
        <f>SUMIFS(AX2:AX258,G2:G258,"EDBE",E2:E258,"0325",F2:F258,"05")</f>
        <v>0</v>
      </c>
      <c r="AY272" s="388">
        <f>SUMIFS(AY2:AY258,G2:G258,"EDBE",E2:E258,"0325",F2:F258,"05")</f>
        <v>0</v>
      </c>
      <c r="AZ272" s="388">
        <f>SUMIFS(AZ2:AZ258,G2:G258,"EDBE",E2:E258,"0325",F2:F258,"05")</f>
        <v>0</v>
      </c>
      <c r="BA272" s="388">
        <f>SUMIFS(BA2:BA258,G2:G258,"EDBE",E2:E258,"0325",F2:F258,"05")</f>
        <v>0</v>
      </c>
      <c r="BB272" s="388">
        <f>SUMIFS(BB2:BB258,G2:G258,"EDBE",E2:E258,"0325",F2:F258,"05")</f>
        <v>0</v>
      </c>
      <c r="BC272" s="388">
        <f>SUMIFS(BC2:BC258,G2:G258,"EDBE",E2:E258,"0325",F2:F258,"05")</f>
        <v>0</v>
      </c>
      <c r="BD272" s="388">
        <f>SUMIFS(BD2:BD258,G2:G258,"EDBE",E2:E258,"0325",F2:F258,"05")</f>
        <v>0</v>
      </c>
      <c r="BE272" s="388">
        <f>SUMIFS(BE2:BE258,G2:G258,"EDBE",E2:E258,"0325",F2:F258,"05")</f>
        <v>0</v>
      </c>
      <c r="BF272" s="388">
        <f>SUMIFS(BF2:BF258,G2:G258,"EDBE",E2:E258,"0325",F2:F258,"05")</f>
        <v>0</v>
      </c>
      <c r="BG272" s="388">
        <f>SUMIFS(BG2:BG258,G2:G258,"EDBE",E2:E258,"0325",F2:F258,"05")</f>
        <v>0</v>
      </c>
      <c r="BH272" s="388">
        <f>SUMIFS(BH2:BH258,G2:G258,"EDBE",E2:E258,"0325",F2:F258,"05")</f>
        <v>0</v>
      </c>
      <c r="BI272" s="388">
        <f>SUMIFS(BI2:BI258,G2:G258,"EDBE",E2:E258,"0325",F2:F258,"05")</f>
        <v>0</v>
      </c>
      <c r="BJ272" s="388">
        <f>SUMIFS(BJ2:BJ258,G2:G258,"EDBE",E2:E258,"0325",F2:F258,"05")</f>
        <v>0</v>
      </c>
      <c r="BK272" s="388">
        <f>SUMIFS(BK2:BK258,G2:G258,"EDBE",E2:E258,"0325",F2:F258,"05")</f>
        <v>0</v>
      </c>
      <c r="BL272" s="388">
        <f>SUMIFS(BL2:BL258,G2:G258,"EDBE",E2:E258,"0325",F2:F258,"05")</f>
        <v>0</v>
      </c>
      <c r="BM272" s="388">
        <f>SUMIFS(BM2:BM258,G2:G258,"EDBE",E2:E258,"0325",F2:F258,"05")</f>
        <v>0</v>
      </c>
      <c r="BN272" s="388">
        <f>SUMIFS(BN2:BN258,G2:G258,"EDBE",E2:E258,"0325",F2:F258,"05")</f>
        <v>0</v>
      </c>
      <c r="BO272" s="388">
        <f>SUMIFS(BO2:BO258,G2:G258,"EDBE",E2:E258,"0325",F2:F258,"05")</f>
        <v>0</v>
      </c>
      <c r="BP272" s="388">
        <f>SUMIFS(BP2:BP258,G2:G258,"EDBE",E2:E258,"0325",F2:F258,"05")</f>
        <v>0</v>
      </c>
      <c r="BQ272" s="388">
        <f>SUMIFS(BQ2:BQ258,G2:G258,"EDBE",E2:E258,"0325",F2:F258,"05")</f>
        <v>0</v>
      </c>
      <c r="BR272" s="388">
        <f>SUMIFS(BR2:BR258,G2:G258,"EDBE",E2:E258,"0325",F2:F258,"05")</f>
        <v>0</v>
      </c>
      <c r="BS272" s="388">
        <f>SUMIFS(BS2:BS258,G2:G258,"EDBE",E2:E258,"0325",F2:F258,"05")</f>
        <v>0</v>
      </c>
      <c r="BT272" s="388">
        <f>SUMIFS(BT2:BT258,G2:G258,"EDBE",E2:E258,"0325",F2:F258,"05")</f>
        <v>0</v>
      </c>
      <c r="BU272" s="388">
        <f>SUMIFS(BU2:BU258,G2:G258,"EDBE",E2:E258,"0325",F2:F258,"05")</f>
        <v>0</v>
      </c>
      <c r="BV272" s="388">
        <f>SUMIFS(BV2:BV258,G2:G258,"EDBE",E2:E258,"0325",F2:F258,"05")</f>
        <v>0</v>
      </c>
      <c r="BW272" s="388">
        <f>SUMIFS(BW2:BW258,G2:G258,"EDBE",E2:E258,"0325",F2:F258,"05")</f>
        <v>0</v>
      </c>
      <c r="BX272" s="388">
        <f>SUMIFS(BX2:BX258,G2:G258,"EDBE",E2:E258,"0325",F2:F258,"05")</f>
        <v>0</v>
      </c>
      <c r="BY272" s="388">
        <f>SUMIFS(BY2:BY258,G2:G258,"EDBE",E2:E258,"0325",F2:F258,"05")</f>
        <v>0</v>
      </c>
      <c r="BZ272" s="388">
        <f>SUMIFS(BZ2:BZ258,G2:G258,"EDBE",E2:E258,"0325",F2:F258,"05")</f>
        <v>0</v>
      </c>
      <c r="CA272" s="388">
        <f>SUMIFS(CA2:CA258,G2:G258,"EDBE",E2:E258,"0325",F2:F258,"05")</f>
        <v>0</v>
      </c>
      <c r="CB272" s="388">
        <f>SUMIFS(CB2:CB258,G2:G258,"EDBE",E2:E258,"0325",F2:F258,"05")</f>
        <v>0</v>
      </c>
      <c r="CC272" s="388">
        <f>SUMIFS(CC2:CC258,G2:G258,"EDBE",E2:E258,"0325",F2:F258,"05")</f>
        <v>0</v>
      </c>
      <c r="CD272" s="388">
        <f>SUMIFS(CD2:CD258,G2:G258,"EDBE",E2:E258,"0325",F2:F258,"05")</f>
        <v>0</v>
      </c>
      <c r="CE272" s="388">
        <f>SUMIFS(CE2:CE258,G2:G258,"EDBE",E2:E258,"0325",F2:F258,"05")</f>
        <v>0</v>
      </c>
      <c r="CF272" s="388">
        <f>SUMIFS(CF2:CF258,G2:G258,"EDBE",E2:E258,"0325",F2:F258,"05")</f>
        <v>0</v>
      </c>
      <c r="CG272" s="388">
        <f>SUMIFS(CG2:CG258,G2:G258,"EDBE",E2:E258,"0325",F2:F258,"05")</f>
        <v>0</v>
      </c>
      <c r="CH272" s="388">
        <f>SUMIFS(CH2:CH258,G2:G258,"EDBE",E2:E258,"0325",F2:F258,"05")</f>
        <v>0</v>
      </c>
      <c r="CI272" s="388">
        <f>SUMIFS(CI2:CI258,G2:G258,"EDBE",E2:E258,"0325",F2:F258,"05")</f>
        <v>0</v>
      </c>
      <c r="CJ272" s="388">
        <f>SUMIFS(CJ2:CJ258,G2:G258,"EDBE",E2:E258,"0325",F2:F258,"05")</f>
        <v>0</v>
      </c>
      <c r="CK272" s="388">
        <f>SUMIFS(CK2:CK258,G2:G258,"EDBE",E2:E258,"0325",F2:F258,"05")</f>
        <v>0</v>
      </c>
      <c r="CL272" s="388">
        <f>SUMIFS(CL2:CL258,G2:G258,"EDBE",E2:E258,"0325",F2:F258,"05")</f>
        <v>0</v>
      </c>
      <c r="CM272" s="388">
        <f>SUMIFS(CM2:CM258,G2:G258,"EDBE",E2:E258,"0325",F2:F258,"05")</f>
        <v>0</v>
      </c>
    </row>
    <row r="273" spans="43:91" x14ac:dyDescent="0.25">
      <c r="AR273" t="s">
        <v>851</v>
      </c>
      <c r="AS273" s="388">
        <f>SUMIFS(AS2:AS258,G2:G258,"EDBE",E2:E258,"0325",F2:F258,"11",AT2:AT258,1)</f>
        <v>0.6</v>
      </c>
      <c r="AT273" s="388">
        <f>SUMIFS(AS2:AS258,G2:G258,"EDBE",E2:E258,"0325",F2:F258,"11",AT2:AT258,3)</f>
        <v>0</v>
      </c>
      <c r="AU273" s="388">
        <f>SUMIFS(AU2:AU258,G2:G258,"EDBE",E2:E258,"0325",F2:F258,"11")</f>
        <v>1</v>
      </c>
      <c r="AV273" s="388">
        <f>SUMIFS(AV2:AV258,G2:G258,"EDBE",E2:E258,"0325",F2:F258,"11")</f>
        <v>0</v>
      </c>
      <c r="AW273" s="388">
        <f>SUMIFS(AW2:AW258,G2:G258,"EDBE",E2:E258,"0325",F2:F258,"11")</f>
        <v>2</v>
      </c>
      <c r="AX273" s="388">
        <f>SUMIFS(AX2:AX258,G2:G258,"EDBE",E2:E258,"0325",F2:F258,"11")</f>
        <v>47673.599999999999</v>
      </c>
      <c r="AY273" s="388">
        <f>SUMIFS(AY2:AY258,G2:G258,"EDBE",E2:E258,"0325",F2:F258,"11")</f>
        <v>28604.16</v>
      </c>
      <c r="AZ273" s="388">
        <f>SUMIFS(AZ2:AZ258,G2:G258,"EDBE",E2:E258,"0325",F2:F258,"11")</f>
        <v>0</v>
      </c>
      <c r="BA273" s="388">
        <f>SUMIFS(BA2:BA258,G2:G258,"EDBE",E2:E258,"0325",F2:F258,"11")</f>
        <v>0</v>
      </c>
      <c r="BB273" s="388">
        <f>SUMIFS(BB2:BB258,G2:G258,"EDBE",E2:E258,"0325",F2:F258,"11")</f>
        <v>7500</v>
      </c>
      <c r="BC273" s="388">
        <f>SUMIFS(BC2:BC258,G2:G258,"EDBE",E2:E258,"0325",F2:F258,"11")</f>
        <v>0</v>
      </c>
      <c r="BD273" s="388">
        <f>SUMIFS(BD2:BD258,G2:G258,"EDBE",E2:E258,"0325",F2:F258,"11")</f>
        <v>1773.4579200000001</v>
      </c>
      <c r="BE273" s="388">
        <f>SUMIFS(BE2:BE258,G2:G258,"EDBE",E2:E258,"0325",F2:F258,"11")</f>
        <v>414.76032000000004</v>
      </c>
      <c r="BF273" s="388">
        <f>SUMIFS(BF2:BF258,G2:G258,"EDBE",E2:E258,"0325",F2:F258,"11")</f>
        <v>3415.3367040000003</v>
      </c>
      <c r="BG273" s="388">
        <f>SUMIFS(BG2:BG258,G2:G258,"EDBE",E2:E258,"0325",F2:F258,"11")</f>
        <v>206.2359936</v>
      </c>
      <c r="BH273" s="388">
        <f>SUMIFS(BH2:BH258,G2:G258,"EDBE",E2:E258,"0325",F2:F258,"11")</f>
        <v>0</v>
      </c>
      <c r="BI273" s="388">
        <f>SUMIFS(BI2:BI258,G2:G258,"EDBE",E2:E258,"0325",F2:F258,"11")</f>
        <v>0</v>
      </c>
      <c r="BJ273" s="388">
        <f>SUMIFS(BJ2:BJ258,G2:G258,"EDBE",E2:E258,"0325",F2:F258,"11")</f>
        <v>100.11456</v>
      </c>
      <c r="BK273" s="388">
        <f>SUMIFS(BK2:BK258,G2:G258,"EDBE",E2:E258,"0325",F2:F258,"11")</f>
        <v>0</v>
      </c>
      <c r="BL273" s="388">
        <f>SUMIFS(BL2:BL258,G2:G258,"EDBE",E2:E258,"0325",F2:F258,"11")</f>
        <v>5909.9054976000007</v>
      </c>
      <c r="BM273" s="388">
        <f>SUMIFS(BM2:BM258,G2:G258,"EDBE",E2:E258,"0325",F2:F258,"11")</f>
        <v>0</v>
      </c>
      <c r="BN273" s="388">
        <f>SUMIFS(BN2:BN258,G2:G258,"EDBE",E2:E258,"0325",F2:F258,"11")</f>
        <v>8250</v>
      </c>
      <c r="BO273" s="388">
        <f>SUMIFS(BO2:BO258,G2:G258,"EDBE",E2:E258,"0325",F2:F258,"11")</f>
        <v>0</v>
      </c>
      <c r="BP273" s="388">
        <f>SUMIFS(BP2:BP258,G2:G258,"EDBE",E2:E258,"0325",F2:F258,"11")</f>
        <v>1773.4579200000001</v>
      </c>
      <c r="BQ273" s="388">
        <f>SUMIFS(BQ2:BQ258,G2:G258,"EDBE",E2:E258,"0325",F2:F258,"11")</f>
        <v>414.76032000000004</v>
      </c>
      <c r="BR273" s="388">
        <f>SUMIFS(BR2:BR258,G2:G258,"EDBE",E2:E258,"0325",F2:F258,"11")</f>
        <v>3197.9450879999999</v>
      </c>
      <c r="BS273" s="388">
        <f>SUMIFS(BS2:BS258,G2:G258,"EDBE",E2:E258,"0325",F2:F258,"11")</f>
        <v>206.2359936</v>
      </c>
      <c r="BT273" s="388">
        <f>SUMIFS(BT2:BT258,G2:G258,"EDBE",E2:E258,"0325",F2:F258,"11")</f>
        <v>0</v>
      </c>
      <c r="BU273" s="388">
        <f>SUMIFS(BU2:BU258,G2:G258,"EDBE",E2:E258,"0325",F2:F258,"11")</f>
        <v>0</v>
      </c>
      <c r="BV273" s="388">
        <f>SUMIFS(BV2:BV258,G2:G258,"EDBE",E2:E258,"0325",F2:F258,"11")</f>
        <v>111.556224</v>
      </c>
      <c r="BW273" s="388">
        <f>SUMIFS(BW2:BW258,G2:G258,"EDBE",E2:E258,"0325",F2:F258,"11")</f>
        <v>0</v>
      </c>
      <c r="BX273" s="388">
        <f>SUMIFS(BX2:BX258,G2:G258,"EDBE",E2:E258,"0325",F2:F258,"11")</f>
        <v>5703.9555456000007</v>
      </c>
      <c r="BY273" s="388">
        <f>SUMIFS(BY2:BY258,G2:G258,"EDBE",E2:E258,"0325",F2:F258,"11")</f>
        <v>0</v>
      </c>
      <c r="BZ273" s="388">
        <f>SUMIFS(BZ2:BZ258,G2:G258,"EDBE",E2:E258,"0325",F2:F258,"11")</f>
        <v>750</v>
      </c>
      <c r="CA273" s="388">
        <f>SUMIFS(CA2:CA258,G2:G258,"EDBE",E2:E258,"0325",F2:F258,"11")</f>
        <v>0</v>
      </c>
      <c r="CB273" s="388">
        <f>SUMIFS(CB2:CB258,G2:G258,"EDBE",E2:E258,"0325",F2:F258,"11")</f>
        <v>0</v>
      </c>
      <c r="CC273" s="388">
        <f>SUMIFS(CC2:CC258,G2:G258,"EDBE",E2:E258,"0325",F2:F258,"11")</f>
        <v>0</v>
      </c>
      <c r="CD273" s="388">
        <f>SUMIFS(CD2:CD258,G2:G258,"EDBE",E2:E258,"0325",F2:F258,"11")</f>
        <v>-217.39161600000028</v>
      </c>
      <c r="CE273" s="388">
        <f>SUMIFS(CE2:CE258,G2:G258,"EDBE",E2:E258,"0325",F2:F258,"11")</f>
        <v>0</v>
      </c>
      <c r="CF273" s="388">
        <f>SUMIFS(CF2:CF258,G2:G258,"EDBE",E2:E258,"0325",F2:F258,"11")</f>
        <v>0</v>
      </c>
      <c r="CG273" s="388">
        <f>SUMIFS(CG2:CG258,G2:G258,"EDBE",E2:E258,"0325",F2:F258,"11")</f>
        <v>0</v>
      </c>
      <c r="CH273" s="388">
        <f>SUMIFS(CH2:CH258,G2:G258,"EDBE",E2:E258,"0325",F2:F258,"11")</f>
        <v>11.441663999999992</v>
      </c>
      <c r="CI273" s="388">
        <f>SUMIFS(CI2:CI258,G2:G258,"EDBE",E2:E258,"0325",F2:F258,"11")</f>
        <v>0</v>
      </c>
      <c r="CJ273" s="388">
        <f>SUMIFS(CJ2:CJ258,G2:G258,"EDBE",E2:E258,"0325",F2:F258,"11")</f>
        <v>-205.94995200000028</v>
      </c>
      <c r="CK273" s="388">
        <f>SUMIFS(CK2:CK258,G2:G258,"EDBE",E2:E258,"0325",F2:F258,"11")</f>
        <v>0</v>
      </c>
      <c r="CL273" s="388">
        <f>SUMIFS(CL2:CL258,G2:G258,"EDBE",E2:E258,"0325",F2:F258,"11")</f>
        <v>0</v>
      </c>
      <c r="CM273" s="388">
        <f>SUMIFS(CM2:CM258,G2:G258,"EDBE",E2:E258,"0325",F2:F258,"11")</f>
        <v>0</v>
      </c>
    </row>
    <row r="274" spans="43:91" x14ac:dyDescent="0.25">
      <c r="AR274" t="s">
        <v>852</v>
      </c>
      <c r="AS274" s="388">
        <f>SUMIFS(AS2:AS258,G2:G258,"EDBE",E2:E258,"0325",F2:F258,"19",AT2:AT258,1)</f>
        <v>0</v>
      </c>
      <c r="AT274" s="388">
        <f>SUMIFS(AS2:AS258,G2:G258,"EDBE",E2:E258,"0325",F2:F258,"19",AT2:AT258,3)</f>
        <v>0</v>
      </c>
      <c r="AU274" s="388">
        <f>SUMIFS(AU2:AU258,G2:G258,"EDBE",E2:E258,"0325",F2:F258,"19")</f>
        <v>0</v>
      </c>
      <c r="AV274" s="388">
        <f>SUMIFS(AV2:AV258,G2:G258,"EDBE",E2:E258,"0325",F2:F258,"19")</f>
        <v>0</v>
      </c>
      <c r="AW274" s="388">
        <f>SUMIFS(AW2:AW258,G2:G258,"EDBE",E2:E258,"0325",F2:F258,"19")</f>
        <v>12</v>
      </c>
      <c r="AX274" s="388">
        <f>SUMIFS(AX2:AX258,G2:G258,"EDBE",E2:E258,"0325",F2:F258,"19")</f>
        <v>0</v>
      </c>
      <c r="AY274" s="388">
        <f>SUMIFS(AY2:AY258,G2:G258,"EDBE",E2:E258,"0325",F2:F258,"19")</f>
        <v>0</v>
      </c>
      <c r="AZ274" s="388">
        <f>SUMIFS(AZ2:AZ258,G2:G258,"EDBE",E2:E258,"0325",F2:F258,"19")</f>
        <v>0</v>
      </c>
      <c r="BA274" s="388">
        <f>SUMIFS(BA2:BA258,G2:G258,"EDBE",E2:E258,"0325",F2:F258,"19")</f>
        <v>0</v>
      </c>
      <c r="BB274" s="388">
        <f>SUMIFS(BB2:BB258,G2:G258,"EDBE",E2:E258,"0325",F2:F258,"19")</f>
        <v>0</v>
      </c>
      <c r="BC274" s="388">
        <f>SUMIFS(BC2:BC258,G2:G258,"EDBE",E2:E258,"0325",F2:F258,"19")</f>
        <v>0</v>
      </c>
      <c r="BD274" s="388">
        <f>SUMIFS(BD2:BD258,G2:G258,"EDBE",E2:E258,"0325",F2:F258,"19")</f>
        <v>0</v>
      </c>
      <c r="BE274" s="388">
        <f>SUMIFS(BE2:BE258,G2:G258,"EDBE",E2:E258,"0325",F2:F258,"19")</f>
        <v>0</v>
      </c>
      <c r="BF274" s="388">
        <f>SUMIFS(BF2:BF258,G2:G258,"EDBE",E2:E258,"0325",F2:F258,"19")</f>
        <v>0</v>
      </c>
      <c r="BG274" s="388">
        <f>SUMIFS(BG2:BG258,G2:G258,"EDBE",E2:E258,"0325",F2:F258,"19")</f>
        <v>0</v>
      </c>
      <c r="BH274" s="388">
        <f>SUMIFS(BH2:BH258,G2:G258,"EDBE",E2:E258,"0325",F2:F258,"19")</f>
        <v>0</v>
      </c>
      <c r="BI274" s="388">
        <f>SUMIFS(BI2:BI258,G2:G258,"EDBE",E2:E258,"0325",F2:F258,"19")</f>
        <v>0</v>
      </c>
      <c r="BJ274" s="388">
        <f>SUMIFS(BJ2:BJ258,G2:G258,"EDBE",E2:E258,"0325",F2:F258,"19")</f>
        <v>0</v>
      </c>
      <c r="BK274" s="388">
        <f>SUMIFS(BK2:BK258,G2:G258,"EDBE",E2:E258,"0325",F2:F258,"19")</f>
        <v>0</v>
      </c>
      <c r="BL274" s="388">
        <f>SUMIFS(BL2:BL258,G2:G258,"EDBE",E2:E258,"0325",F2:F258,"19")</f>
        <v>0</v>
      </c>
      <c r="BM274" s="388">
        <f>SUMIFS(BM2:BM258,G2:G258,"EDBE",E2:E258,"0325",F2:F258,"19")</f>
        <v>0</v>
      </c>
      <c r="BN274" s="388">
        <f>SUMIFS(BN2:BN258,G2:G258,"EDBE",E2:E258,"0325",F2:F258,"19")</f>
        <v>0</v>
      </c>
      <c r="BO274" s="388">
        <f>SUMIFS(BO2:BO258,G2:G258,"EDBE",E2:E258,"0325",F2:F258,"19")</f>
        <v>0</v>
      </c>
      <c r="BP274" s="388">
        <f>SUMIFS(BP2:BP258,G2:G258,"EDBE",E2:E258,"0325",F2:F258,"19")</f>
        <v>0</v>
      </c>
      <c r="BQ274" s="388">
        <f>SUMIFS(BQ2:BQ258,G2:G258,"EDBE",E2:E258,"0325",F2:F258,"19")</f>
        <v>0</v>
      </c>
      <c r="BR274" s="388">
        <f>SUMIFS(BR2:BR258,G2:G258,"EDBE",E2:E258,"0325",F2:F258,"19")</f>
        <v>0</v>
      </c>
      <c r="BS274" s="388">
        <f>SUMIFS(BS2:BS258,G2:G258,"EDBE",E2:E258,"0325",F2:F258,"19")</f>
        <v>0</v>
      </c>
      <c r="BT274" s="388">
        <f>SUMIFS(BT2:BT258,G2:G258,"EDBE",E2:E258,"0325",F2:F258,"19")</f>
        <v>0</v>
      </c>
      <c r="BU274" s="388">
        <f>SUMIFS(BU2:BU258,G2:G258,"EDBE",E2:E258,"0325",F2:F258,"19")</f>
        <v>0</v>
      </c>
      <c r="BV274" s="388">
        <f>SUMIFS(BV2:BV258,G2:G258,"EDBE",E2:E258,"0325",F2:F258,"19")</f>
        <v>0</v>
      </c>
      <c r="BW274" s="388">
        <f>SUMIFS(BW2:BW258,G2:G258,"EDBE",E2:E258,"0325",F2:F258,"19")</f>
        <v>0</v>
      </c>
      <c r="BX274" s="388">
        <f>SUMIFS(BX2:BX258,G2:G258,"EDBE",E2:E258,"0325",F2:F258,"19")</f>
        <v>0</v>
      </c>
      <c r="BY274" s="388">
        <f>SUMIFS(BY2:BY258,G2:G258,"EDBE",E2:E258,"0325",F2:F258,"19")</f>
        <v>0</v>
      </c>
      <c r="BZ274" s="388">
        <f>SUMIFS(BZ2:BZ258,G2:G258,"EDBE",E2:E258,"0325",F2:F258,"19")</f>
        <v>0</v>
      </c>
      <c r="CA274" s="388">
        <f>SUMIFS(CA2:CA258,G2:G258,"EDBE",E2:E258,"0325",F2:F258,"19")</f>
        <v>0</v>
      </c>
      <c r="CB274" s="388">
        <f>SUMIFS(CB2:CB258,G2:G258,"EDBE",E2:E258,"0325",F2:F258,"19")</f>
        <v>0</v>
      </c>
      <c r="CC274" s="388">
        <f>SUMIFS(CC2:CC258,G2:G258,"EDBE",E2:E258,"0325",F2:F258,"19")</f>
        <v>0</v>
      </c>
      <c r="CD274" s="388">
        <f>SUMIFS(CD2:CD258,G2:G258,"EDBE",E2:E258,"0325",F2:F258,"19")</f>
        <v>0</v>
      </c>
      <c r="CE274" s="388">
        <f>SUMIFS(CE2:CE258,G2:G258,"EDBE",E2:E258,"0325",F2:F258,"19")</f>
        <v>0</v>
      </c>
      <c r="CF274" s="388">
        <f>SUMIFS(CF2:CF258,G2:G258,"EDBE",E2:E258,"0325",F2:F258,"19")</f>
        <v>0</v>
      </c>
      <c r="CG274" s="388">
        <f>SUMIFS(CG2:CG258,G2:G258,"EDBE",E2:E258,"0325",F2:F258,"19")</f>
        <v>0</v>
      </c>
      <c r="CH274" s="388">
        <f>SUMIFS(CH2:CH258,G2:G258,"EDBE",E2:E258,"0325",F2:F258,"19")</f>
        <v>0</v>
      </c>
      <c r="CI274" s="388">
        <f>SUMIFS(CI2:CI258,G2:G258,"EDBE",E2:E258,"0325",F2:F258,"19")</f>
        <v>0</v>
      </c>
      <c r="CJ274" s="388">
        <f>SUMIFS(CJ2:CJ258,G2:G258,"EDBE",E2:E258,"0325",F2:F258,"19")</f>
        <v>0</v>
      </c>
      <c r="CK274" s="388">
        <f>SUMIFS(CK2:CK258,G2:G258,"EDBE",E2:E258,"0325",F2:F258,"19")</f>
        <v>0</v>
      </c>
      <c r="CL274" s="388">
        <f>SUMIFS(CL2:CL258,G2:G258,"EDBE",E2:E258,"0325",F2:F258,"19")</f>
        <v>0</v>
      </c>
      <c r="CM274" s="388">
        <f>SUMIFS(CM2:CM258,G2:G258,"EDBE",E2:E258,"0325",F2:F258,"19")</f>
        <v>0</v>
      </c>
    </row>
    <row r="275" spans="43:91" ht="15.75" thickBot="1" x14ac:dyDescent="0.3">
      <c r="AR275" t="s">
        <v>853</v>
      </c>
      <c r="AS275" s="388">
        <f>SUMIFS(AS2:AS258,G2:G258,"EDBE",E2:E258,"0325",F2:F258,"22",AT2:AT258,1)</f>
        <v>1.03</v>
      </c>
      <c r="AT275" s="388">
        <f>SUMIFS(AS2:AS258,G2:G258,"EDBE",E2:E258,"0325",F2:F258,"22",AT2:AT258,3)</f>
        <v>0</v>
      </c>
      <c r="AU275" s="388">
        <f>SUMIFS(AU2:AU258,G2:G258,"EDBE",E2:E258,"0325",F2:F258,"22")</f>
        <v>3</v>
      </c>
      <c r="AV275" s="388">
        <f>SUMIFS(AV2:AV258,G2:G258,"EDBE",E2:E258,"0325",F2:F258,"22")</f>
        <v>0</v>
      </c>
      <c r="AW275" s="388">
        <f>SUMIFS(AW2:AW258,G2:G258,"EDBE",E2:E258,"0325",F2:F258,"22")</f>
        <v>10</v>
      </c>
      <c r="AX275" s="388">
        <f>SUMIFS(AX2:AX258,G2:G258,"EDBE",E2:E258,"0325",F2:F258,"22")</f>
        <v>174033.57</v>
      </c>
      <c r="AY275" s="388">
        <f>SUMIFS(AY2:AY258,G2:G258,"EDBE",E2:E258,"0325",F2:F258,"22")</f>
        <v>71137.239999999991</v>
      </c>
      <c r="AZ275" s="388">
        <f>SUMIFS(AZ2:AZ258,G2:G258,"EDBE",E2:E258,"0325",F2:F258,"22")</f>
        <v>0</v>
      </c>
      <c r="BA275" s="388">
        <f>SUMIFS(BA2:BA258,G2:G258,"EDBE",E2:E258,"0325",F2:F258,"22")</f>
        <v>0</v>
      </c>
      <c r="BB275" s="388">
        <f>SUMIFS(BB2:BB258,G2:G258,"EDBE",E2:E258,"0325",F2:F258,"22")</f>
        <v>12875</v>
      </c>
      <c r="BC275" s="388">
        <f>SUMIFS(BC2:BC258,G2:G258,"EDBE",E2:E258,"0325",F2:F258,"22")</f>
        <v>0</v>
      </c>
      <c r="BD275" s="388">
        <f>SUMIFS(BD2:BD258,G2:G258,"EDBE",E2:E258,"0325",F2:F258,"22")</f>
        <v>4410.5088800000003</v>
      </c>
      <c r="BE275" s="388">
        <f>SUMIFS(BE2:BE258,G2:G258,"EDBE",E2:E258,"0325",F2:F258,"22")</f>
        <v>1031.4899799999998</v>
      </c>
      <c r="BF275" s="388">
        <f>SUMIFS(BF2:BF258,G2:G258,"EDBE",E2:E258,"0325",F2:F258,"22")</f>
        <v>8493.7864559999998</v>
      </c>
      <c r="BG275" s="388">
        <f>SUMIFS(BG2:BG258,G2:G258,"EDBE",E2:E258,"0325",F2:F258,"22")</f>
        <v>512.89950039999997</v>
      </c>
      <c r="BH275" s="388">
        <f>SUMIFS(BH2:BH258,G2:G258,"EDBE",E2:E258,"0325",F2:F258,"22")</f>
        <v>0</v>
      </c>
      <c r="BI275" s="388">
        <f>SUMIFS(BI2:BI258,G2:G258,"EDBE",E2:E258,"0325",F2:F258,"22")</f>
        <v>0</v>
      </c>
      <c r="BJ275" s="388">
        <f>SUMIFS(BJ2:BJ258,G2:G258,"EDBE",E2:E258,"0325",F2:F258,"22")</f>
        <v>248.98033999999998</v>
      </c>
      <c r="BK275" s="388">
        <f>SUMIFS(BK2:BK258,G2:G258,"EDBE",E2:E258,"0325",F2:F258,"22")</f>
        <v>0</v>
      </c>
      <c r="BL275" s="388">
        <f>SUMIFS(BL2:BL258,G2:G258,"EDBE",E2:E258,"0325",F2:F258,"22")</f>
        <v>14697.665156399999</v>
      </c>
      <c r="BM275" s="388">
        <f>SUMIFS(BM2:BM258,G2:G258,"EDBE",E2:E258,"0325",F2:F258,"22")</f>
        <v>0</v>
      </c>
      <c r="BN275" s="388">
        <f>SUMIFS(BN2:BN258,G2:G258,"EDBE",E2:E258,"0325",F2:F258,"22")</f>
        <v>14162.5</v>
      </c>
      <c r="BO275" s="388">
        <f>SUMIFS(BO2:BO258,G2:G258,"EDBE",E2:E258,"0325",F2:F258,"22")</f>
        <v>0</v>
      </c>
      <c r="BP275" s="388">
        <f>SUMIFS(BP2:BP258,G2:G258,"EDBE",E2:E258,"0325",F2:F258,"22")</f>
        <v>4410.5088800000003</v>
      </c>
      <c r="BQ275" s="388">
        <f>SUMIFS(BQ2:BQ258,G2:G258,"EDBE",E2:E258,"0325",F2:F258,"22")</f>
        <v>1031.4899799999998</v>
      </c>
      <c r="BR275" s="388">
        <f>SUMIFS(BR2:BR258,G2:G258,"EDBE",E2:E258,"0325",F2:F258,"22")</f>
        <v>7953.1434319999989</v>
      </c>
      <c r="BS275" s="388">
        <f>SUMIFS(BS2:BS258,G2:G258,"EDBE",E2:E258,"0325",F2:F258,"22")</f>
        <v>512.89950039999997</v>
      </c>
      <c r="BT275" s="388">
        <f>SUMIFS(BT2:BT258,G2:G258,"EDBE",E2:E258,"0325",F2:F258,"22")</f>
        <v>0</v>
      </c>
      <c r="BU275" s="388">
        <f>SUMIFS(BU2:BU258,G2:G258,"EDBE",E2:E258,"0325",F2:F258,"22")</f>
        <v>0</v>
      </c>
      <c r="BV275" s="388">
        <f>SUMIFS(BV2:BV258,G2:G258,"EDBE",E2:E258,"0325",F2:F258,"22")</f>
        <v>277.43523599999997</v>
      </c>
      <c r="BW275" s="388">
        <f>SUMIFS(BW2:BW258,G2:G258,"EDBE",E2:E258,"0325",F2:F258,"22")</f>
        <v>0</v>
      </c>
      <c r="BX275" s="388">
        <f>SUMIFS(BX2:BX258,G2:G258,"EDBE",E2:E258,"0325",F2:F258,"22")</f>
        <v>14185.477028399999</v>
      </c>
      <c r="BY275" s="388">
        <f>SUMIFS(BY2:BY258,G2:G258,"EDBE",E2:E258,"0325",F2:F258,"22")</f>
        <v>0</v>
      </c>
      <c r="BZ275" s="388">
        <f>SUMIFS(BZ2:BZ258,G2:G258,"EDBE",E2:E258,"0325",F2:F258,"22")</f>
        <v>1287.5</v>
      </c>
      <c r="CA275" s="388">
        <f>SUMIFS(CA2:CA258,G2:G258,"EDBE",E2:E258,"0325",F2:F258,"22")</f>
        <v>0</v>
      </c>
      <c r="CB275" s="388">
        <f>SUMIFS(CB2:CB258,G2:G258,"EDBE",E2:E258,"0325",F2:F258,"22")</f>
        <v>0</v>
      </c>
      <c r="CC275" s="388">
        <f>SUMIFS(CC2:CC258,G2:G258,"EDBE",E2:E258,"0325",F2:F258,"22")</f>
        <v>0</v>
      </c>
      <c r="CD275" s="388">
        <f>SUMIFS(CD2:CD258,G2:G258,"EDBE",E2:E258,"0325",F2:F258,"22")</f>
        <v>-540.64302400000065</v>
      </c>
      <c r="CE275" s="388">
        <f>SUMIFS(CE2:CE258,G2:G258,"EDBE",E2:E258,"0325",F2:F258,"22")</f>
        <v>0</v>
      </c>
      <c r="CF275" s="388">
        <f>SUMIFS(CF2:CF258,G2:G258,"EDBE",E2:E258,"0325",F2:F258,"22")</f>
        <v>0</v>
      </c>
      <c r="CG275" s="388">
        <f>SUMIFS(CG2:CG258,G2:G258,"EDBE",E2:E258,"0325",F2:F258,"22")</f>
        <v>0</v>
      </c>
      <c r="CH275" s="388">
        <f>SUMIFS(CH2:CH258,G2:G258,"EDBE",E2:E258,"0325",F2:F258,"22")</f>
        <v>28.45489599999998</v>
      </c>
      <c r="CI275" s="388">
        <f>SUMIFS(CI2:CI258,G2:G258,"EDBE",E2:E258,"0325",F2:F258,"22")</f>
        <v>0</v>
      </c>
      <c r="CJ275" s="388">
        <f>SUMIFS(CJ2:CJ258,G2:G258,"EDBE",E2:E258,"0325",F2:F258,"22")</f>
        <v>-512.18812800000069</v>
      </c>
      <c r="CK275" s="388">
        <f>SUMIFS(CK2:CK258,G2:G258,"EDBE",E2:E258,"0325",F2:F258,"22")</f>
        <v>0</v>
      </c>
      <c r="CL275" s="388">
        <f>SUMIFS(CL2:CL258,G2:G258,"EDBE",E2:E258,"0325",F2:F258,"22")</f>
        <v>0</v>
      </c>
      <c r="CM275" s="388">
        <f>SUMIFS(CM2:CM258,G2:G258,"EDBE",E2:E258,"0325",F2:F258,"22")</f>
        <v>0</v>
      </c>
    </row>
    <row r="276" spans="43:91" ht="18.75" x14ac:dyDescent="0.3">
      <c r="AQ276" s="394" t="s">
        <v>854</v>
      </c>
      <c r="AS276" s="395">
        <f t="shared" ref="AS276:CM276" si="180">SUM(AS271:AS275)</f>
        <v>1.63</v>
      </c>
      <c r="AT276" s="395">
        <f t="shared" si="180"/>
        <v>0</v>
      </c>
      <c r="AU276" s="395">
        <f t="shared" si="180"/>
        <v>4</v>
      </c>
      <c r="AV276" s="395">
        <f t="shared" si="180"/>
        <v>0</v>
      </c>
      <c r="AW276" s="395">
        <f t="shared" si="180"/>
        <v>47</v>
      </c>
      <c r="AX276" s="395">
        <f t="shared" si="180"/>
        <v>221707.17</v>
      </c>
      <c r="AY276" s="395">
        <f t="shared" si="180"/>
        <v>99741.4</v>
      </c>
      <c r="AZ276" s="395">
        <f t="shared" si="180"/>
        <v>0</v>
      </c>
      <c r="BA276" s="395">
        <f t="shared" si="180"/>
        <v>0</v>
      </c>
      <c r="BB276" s="395">
        <f t="shared" si="180"/>
        <v>20375</v>
      </c>
      <c r="BC276" s="395">
        <f t="shared" si="180"/>
        <v>0</v>
      </c>
      <c r="BD276" s="395">
        <f t="shared" si="180"/>
        <v>6183.9668000000001</v>
      </c>
      <c r="BE276" s="395">
        <f t="shared" si="180"/>
        <v>1446.2502999999999</v>
      </c>
      <c r="BF276" s="395">
        <f t="shared" si="180"/>
        <v>11909.123159999999</v>
      </c>
      <c r="BG276" s="395">
        <f t="shared" si="180"/>
        <v>719.13549399999999</v>
      </c>
      <c r="BH276" s="395">
        <f t="shared" si="180"/>
        <v>0</v>
      </c>
      <c r="BI276" s="395">
        <f t="shared" si="180"/>
        <v>0</v>
      </c>
      <c r="BJ276" s="395">
        <f t="shared" si="180"/>
        <v>349.0949</v>
      </c>
      <c r="BK276" s="395">
        <f t="shared" si="180"/>
        <v>0</v>
      </c>
      <c r="BL276" s="395">
        <f t="shared" si="180"/>
        <v>20607.570653999999</v>
      </c>
      <c r="BM276" s="395">
        <f t="shared" si="180"/>
        <v>0</v>
      </c>
      <c r="BN276" s="395">
        <f t="shared" si="180"/>
        <v>22412.5</v>
      </c>
      <c r="BO276" s="395">
        <f t="shared" si="180"/>
        <v>0</v>
      </c>
      <c r="BP276" s="395">
        <f t="shared" si="180"/>
        <v>6183.9668000000001</v>
      </c>
      <c r="BQ276" s="395">
        <f t="shared" si="180"/>
        <v>1446.2502999999999</v>
      </c>
      <c r="BR276" s="395">
        <f t="shared" si="180"/>
        <v>11151.088519999999</v>
      </c>
      <c r="BS276" s="395">
        <f t="shared" si="180"/>
        <v>719.13549399999999</v>
      </c>
      <c r="BT276" s="395">
        <f t="shared" si="180"/>
        <v>0</v>
      </c>
      <c r="BU276" s="395">
        <f t="shared" si="180"/>
        <v>0</v>
      </c>
      <c r="BV276" s="395">
        <f t="shared" si="180"/>
        <v>388.99145999999996</v>
      </c>
      <c r="BW276" s="395">
        <f t="shared" si="180"/>
        <v>0</v>
      </c>
      <c r="BX276" s="395">
        <f t="shared" si="180"/>
        <v>19889.432573999999</v>
      </c>
      <c r="BY276" s="395">
        <f t="shared" si="180"/>
        <v>0</v>
      </c>
      <c r="BZ276" s="395">
        <f t="shared" si="180"/>
        <v>2037.5</v>
      </c>
      <c r="CA276" s="395">
        <f t="shared" si="180"/>
        <v>0</v>
      </c>
      <c r="CB276" s="395">
        <f t="shared" si="180"/>
        <v>0</v>
      </c>
      <c r="CC276" s="395">
        <f t="shared" si="180"/>
        <v>0</v>
      </c>
      <c r="CD276" s="395">
        <f t="shared" si="180"/>
        <v>-758.03464000000099</v>
      </c>
      <c r="CE276" s="395">
        <f t="shared" si="180"/>
        <v>0</v>
      </c>
      <c r="CF276" s="395">
        <f t="shared" si="180"/>
        <v>0</v>
      </c>
      <c r="CG276" s="395">
        <f t="shared" si="180"/>
        <v>0</v>
      </c>
      <c r="CH276" s="395">
        <f t="shared" si="180"/>
        <v>39.896559999999972</v>
      </c>
      <c r="CI276" s="395">
        <f t="shared" si="180"/>
        <v>0</v>
      </c>
      <c r="CJ276" s="395">
        <f t="shared" si="180"/>
        <v>-718.13808000000097</v>
      </c>
      <c r="CK276" s="395">
        <f t="shared" si="180"/>
        <v>0</v>
      </c>
      <c r="CL276" s="395">
        <f t="shared" si="180"/>
        <v>0</v>
      </c>
      <c r="CM276" s="395">
        <f t="shared" si="180"/>
        <v>0</v>
      </c>
    </row>
    <row r="277" spans="43:91" ht="15.75" thickBot="1" x14ac:dyDescent="0.3">
      <c r="AR277" t="s">
        <v>856</v>
      </c>
      <c r="AS277" s="388">
        <f>SUMIFS(AS2:AS258,G2:G258,"EDBE",E2:E258,"0344",F2:F258,"00",AT2:AT258,1)</f>
        <v>0</v>
      </c>
      <c r="AT277" s="388">
        <f>SUMIFS(AS2:AS258,G2:G258,"EDBE",E2:E258,"0344",F2:F258,"00",AT2:AT258,3)</f>
        <v>0</v>
      </c>
      <c r="AU277" s="388">
        <f>SUMIFS(AU2:AU258,G2:G258,"EDBE",E2:E258,"0344",F2:F258,"00")</f>
        <v>0</v>
      </c>
      <c r="AV277" s="388">
        <f>SUMIFS(AV2:AV258,G2:G258,"EDBE",E2:E258,"0344",F2:F258,"00")</f>
        <v>0</v>
      </c>
      <c r="AW277" s="388">
        <f>SUMIFS(AW2:AW258,G2:G258,"EDBE",E2:E258,"0344",F2:F258,"00")</f>
        <v>0</v>
      </c>
      <c r="AX277" s="388">
        <f>SUMIFS(AX2:AX258,G2:G258,"EDBE",E2:E258,"0344",F2:F258,"00")</f>
        <v>0</v>
      </c>
      <c r="AY277" s="388">
        <f>SUMIFS(AY2:AY258,G2:G258,"EDBE",E2:E258,"0344",F2:F258,"00")</f>
        <v>0</v>
      </c>
      <c r="AZ277" s="388">
        <f>SUMIFS(AZ2:AZ258,G2:G258,"EDBE",E2:E258,"0344",F2:F258,"00")</f>
        <v>0</v>
      </c>
      <c r="BA277" s="388">
        <f>SUMIFS(BA2:BA258,G2:G258,"EDBE",E2:E258,"0344",F2:F258,"00")</f>
        <v>0</v>
      </c>
      <c r="BB277" s="388">
        <f>SUMIFS(BB2:BB258,G2:G258,"EDBE",E2:E258,"0344",F2:F258,"00")</f>
        <v>0</v>
      </c>
      <c r="BC277" s="388">
        <f>SUMIFS(BC2:BC258,G2:G258,"EDBE",E2:E258,"0344",F2:F258,"00")</f>
        <v>0</v>
      </c>
      <c r="BD277" s="388">
        <f>SUMIFS(BD2:BD258,G2:G258,"EDBE",E2:E258,"0344",F2:F258,"00")</f>
        <v>0</v>
      </c>
      <c r="BE277" s="388">
        <f>SUMIFS(BE2:BE258,G2:G258,"EDBE",E2:E258,"0344",F2:F258,"00")</f>
        <v>0</v>
      </c>
      <c r="BF277" s="388">
        <f>SUMIFS(BF2:BF258,G2:G258,"EDBE",E2:E258,"0344",F2:F258,"00")</f>
        <v>0</v>
      </c>
      <c r="BG277" s="388">
        <f>SUMIFS(BG2:BG258,G2:G258,"EDBE",E2:E258,"0344",F2:F258,"00")</f>
        <v>0</v>
      </c>
      <c r="BH277" s="388">
        <f>SUMIFS(BH2:BH258,G2:G258,"EDBE",E2:E258,"0344",F2:F258,"00")</f>
        <v>0</v>
      </c>
      <c r="BI277" s="388">
        <f>SUMIFS(BI2:BI258,G2:G258,"EDBE",E2:E258,"0344",F2:F258,"00")</f>
        <v>0</v>
      </c>
      <c r="BJ277" s="388">
        <f>SUMIFS(BJ2:BJ258,G2:G258,"EDBE",E2:E258,"0344",F2:F258,"00")</f>
        <v>0</v>
      </c>
      <c r="BK277" s="388">
        <f>SUMIFS(BK2:BK258,G2:G258,"EDBE",E2:E258,"0344",F2:F258,"00")</f>
        <v>0</v>
      </c>
      <c r="BL277" s="388">
        <f>SUMIFS(BL2:BL258,G2:G258,"EDBE",E2:E258,"0344",F2:F258,"00")</f>
        <v>0</v>
      </c>
      <c r="BM277" s="388">
        <f>SUMIFS(BM2:BM258,G2:G258,"EDBE",E2:E258,"0344",F2:F258,"00")</f>
        <v>0</v>
      </c>
      <c r="BN277" s="388">
        <f>SUMIFS(BN2:BN258,G2:G258,"EDBE",E2:E258,"0344",F2:F258,"00")</f>
        <v>0</v>
      </c>
      <c r="BO277" s="388">
        <f>SUMIFS(BO2:BO258,G2:G258,"EDBE",E2:E258,"0344",F2:F258,"00")</f>
        <v>0</v>
      </c>
      <c r="BP277" s="388">
        <f>SUMIFS(BP2:BP258,G2:G258,"EDBE",E2:E258,"0344",F2:F258,"00")</f>
        <v>0</v>
      </c>
      <c r="BQ277" s="388">
        <f>SUMIFS(BQ2:BQ258,G2:G258,"EDBE",E2:E258,"0344",F2:F258,"00")</f>
        <v>0</v>
      </c>
      <c r="BR277" s="388">
        <f>SUMIFS(BR2:BR258,G2:G258,"EDBE",E2:E258,"0344",F2:F258,"00")</f>
        <v>0</v>
      </c>
      <c r="BS277" s="388">
        <f>SUMIFS(BS2:BS258,G2:G258,"EDBE",E2:E258,"0344",F2:F258,"00")</f>
        <v>0</v>
      </c>
      <c r="BT277" s="388">
        <f>SUMIFS(BT2:BT258,G2:G258,"EDBE",E2:E258,"0344",F2:F258,"00")</f>
        <v>0</v>
      </c>
      <c r="BU277" s="388">
        <f>SUMIFS(BU2:BU258,G2:G258,"EDBE",E2:E258,"0344",F2:F258,"00")</f>
        <v>0</v>
      </c>
      <c r="BV277" s="388">
        <f>SUMIFS(BV2:BV258,G2:G258,"EDBE",E2:E258,"0344",F2:F258,"00")</f>
        <v>0</v>
      </c>
      <c r="BW277" s="388">
        <f>SUMIFS(BW2:BW258,G2:G258,"EDBE",E2:E258,"0344",F2:F258,"00")</f>
        <v>0</v>
      </c>
      <c r="BX277" s="388">
        <f>SUMIFS(BX2:BX258,G2:G258,"EDBE",E2:E258,"0344",F2:F258,"00")</f>
        <v>0</v>
      </c>
      <c r="BY277" s="388">
        <f>SUMIFS(BY2:BY258,G2:G258,"EDBE",E2:E258,"0344",F2:F258,"00")</f>
        <v>0</v>
      </c>
      <c r="BZ277" s="388">
        <f>SUMIFS(BZ2:BZ258,G2:G258,"EDBE",E2:E258,"0344",F2:F258,"00")</f>
        <v>0</v>
      </c>
      <c r="CA277" s="388">
        <f>SUMIFS(CA2:CA258,G2:G258,"EDBE",E2:E258,"0344",F2:F258,"00")</f>
        <v>0</v>
      </c>
      <c r="CB277" s="388">
        <f>SUMIFS(CB2:CB258,G2:G258,"EDBE",E2:E258,"0344",F2:F258,"00")</f>
        <v>0</v>
      </c>
      <c r="CC277" s="388">
        <f>SUMIFS(CC2:CC258,G2:G258,"EDBE",E2:E258,"0344",F2:F258,"00")</f>
        <v>0</v>
      </c>
      <c r="CD277" s="388">
        <f>SUMIFS(CD2:CD258,G2:G258,"EDBE",E2:E258,"0344",F2:F258,"00")</f>
        <v>0</v>
      </c>
      <c r="CE277" s="388">
        <f>SUMIFS(CE2:CE258,G2:G258,"EDBE",E2:E258,"0344",F2:F258,"00")</f>
        <v>0</v>
      </c>
      <c r="CF277" s="388">
        <f>SUMIFS(CF2:CF258,G2:G258,"EDBE",E2:E258,"0344",F2:F258,"00")</f>
        <v>0</v>
      </c>
      <c r="CG277" s="388">
        <f>SUMIFS(CG2:CG258,G2:G258,"EDBE",E2:E258,"0344",F2:F258,"00")</f>
        <v>0</v>
      </c>
      <c r="CH277" s="388">
        <f>SUMIFS(CH2:CH258,G2:G258,"EDBE",E2:E258,"0344",F2:F258,"00")</f>
        <v>0</v>
      </c>
      <c r="CI277" s="388">
        <f>SUMIFS(CI2:CI258,G2:G258,"EDBE",E2:E258,"0344",F2:F258,"00")</f>
        <v>0</v>
      </c>
      <c r="CJ277" s="388">
        <f>SUMIFS(CJ2:CJ258,G2:G258,"EDBE",E2:E258,"0344",F2:F258,"00")</f>
        <v>0</v>
      </c>
      <c r="CK277" s="388">
        <f>SUMIFS(CK2:CK258,G2:G258,"EDBE",E2:E258,"0344",F2:F258,"00")</f>
        <v>0</v>
      </c>
      <c r="CL277" s="388">
        <f>SUMIFS(CL2:CL258,G2:G258,"EDBE",E2:E258,"0344",F2:F258,"00")</f>
        <v>0</v>
      </c>
      <c r="CM277" s="388">
        <f>SUMIFS(CM2:CM258,G2:G258,"EDBE",E2:E258,"0344",F2:F258,"00")</f>
        <v>0</v>
      </c>
    </row>
    <row r="278" spans="43:91" ht="18.75" x14ac:dyDescent="0.3">
      <c r="AQ278" s="394" t="s">
        <v>857</v>
      </c>
      <c r="AS278" s="395">
        <f t="shared" ref="AS278:CM278" si="181">SUM(AS277:AS277)</f>
        <v>0</v>
      </c>
      <c r="AT278" s="395">
        <f t="shared" si="181"/>
        <v>0</v>
      </c>
      <c r="AU278" s="395">
        <f t="shared" si="181"/>
        <v>0</v>
      </c>
      <c r="AV278" s="395">
        <f t="shared" si="181"/>
        <v>0</v>
      </c>
      <c r="AW278" s="395">
        <f t="shared" si="181"/>
        <v>0</v>
      </c>
      <c r="AX278" s="395">
        <f t="shared" si="181"/>
        <v>0</v>
      </c>
      <c r="AY278" s="395">
        <f t="shared" si="181"/>
        <v>0</v>
      </c>
      <c r="AZ278" s="395">
        <f t="shared" si="181"/>
        <v>0</v>
      </c>
      <c r="BA278" s="395">
        <f t="shared" si="181"/>
        <v>0</v>
      </c>
      <c r="BB278" s="395">
        <f t="shared" si="181"/>
        <v>0</v>
      </c>
      <c r="BC278" s="395">
        <f t="shared" si="181"/>
        <v>0</v>
      </c>
      <c r="BD278" s="395">
        <f t="shared" si="181"/>
        <v>0</v>
      </c>
      <c r="BE278" s="395">
        <f t="shared" si="181"/>
        <v>0</v>
      </c>
      <c r="BF278" s="395">
        <f t="shared" si="181"/>
        <v>0</v>
      </c>
      <c r="BG278" s="395">
        <f t="shared" si="181"/>
        <v>0</v>
      </c>
      <c r="BH278" s="395">
        <f t="shared" si="181"/>
        <v>0</v>
      </c>
      <c r="BI278" s="395">
        <f t="shared" si="181"/>
        <v>0</v>
      </c>
      <c r="BJ278" s="395">
        <f t="shared" si="181"/>
        <v>0</v>
      </c>
      <c r="BK278" s="395">
        <f t="shared" si="181"/>
        <v>0</v>
      </c>
      <c r="BL278" s="395">
        <f t="shared" si="181"/>
        <v>0</v>
      </c>
      <c r="BM278" s="395">
        <f t="shared" si="181"/>
        <v>0</v>
      </c>
      <c r="BN278" s="395">
        <f t="shared" si="181"/>
        <v>0</v>
      </c>
      <c r="BO278" s="395">
        <f t="shared" si="181"/>
        <v>0</v>
      </c>
      <c r="BP278" s="395">
        <f t="shared" si="181"/>
        <v>0</v>
      </c>
      <c r="BQ278" s="395">
        <f t="shared" si="181"/>
        <v>0</v>
      </c>
      <c r="BR278" s="395">
        <f t="shared" si="181"/>
        <v>0</v>
      </c>
      <c r="BS278" s="395">
        <f t="shared" si="181"/>
        <v>0</v>
      </c>
      <c r="BT278" s="395">
        <f t="shared" si="181"/>
        <v>0</v>
      </c>
      <c r="BU278" s="395">
        <f t="shared" si="181"/>
        <v>0</v>
      </c>
      <c r="BV278" s="395">
        <f t="shared" si="181"/>
        <v>0</v>
      </c>
      <c r="BW278" s="395">
        <f t="shared" si="181"/>
        <v>0</v>
      </c>
      <c r="BX278" s="395">
        <f t="shared" si="181"/>
        <v>0</v>
      </c>
      <c r="BY278" s="395">
        <f t="shared" si="181"/>
        <v>0</v>
      </c>
      <c r="BZ278" s="395">
        <f t="shared" si="181"/>
        <v>0</v>
      </c>
      <c r="CA278" s="395">
        <f t="shared" si="181"/>
        <v>0</v>
      </c>
      <c r="CB278" s="395">
        <f t="shared" si="181"/>
        <v>0</v>
      </c>
      <c r="CC278" s="395">
        <f t="shared" si="181"/>
        <v>0</v>
      </c>
      <c r="CD278" s="395">
        <f t="shared" si="181"/>
        <v>0</v>
      </c>
      <c r="CE278" s="395">
        <f t="shared" si="181"/>
        <v>0</v>
      </c>
      <c r="CF278" s="395">
        <f t="shared" si="181"/>
        <v>0</v>
      </c>
      <c r="CG278" s="395">
        <f t="shared" si="181"/>
        <v>0</v>
      </c>
      <c r="CH278" s="395">
        <f t="shared" si="181"/>
        <v>0</v>
      </c>
      <c r="CI278" s="395">
        <f t="shared" si="181"/>
        <v>0</v>
      </c>
      <c r="CJ278" s="395">
        <f t="shared" si="181"/>
        <v>0</v>
      </c>
      <c r="CK278" s="395">
        <f t="shared" si="181"/>
        <v>0</v>
      </c>
      <c r="CL278" s="395">
        <f t="shared" si="181"/>
        <v>0</v>
      </c>
      <c r="CM278" s="395">
        <f t="shared" si="181"/>
        <v>0</v>
      </c>
    </row>
    <row r="279" spans="43:91" x14ac:dyDescent="0.25">
      <c r="AR279" t="s">
        <v>862</v>
      </c>
      <c r="AS279" s="388">
        <f>SUMIFS(AS2:AS258,G2:G258,"EDBE",E2:E258,"0348",F2:F258,"00",AT2:AT258,1)</f>
        <v>0</v>
      </c>
      <c r="AT279" s="388">
        <f>SUMIFS(AS2:AS258,G2:G258,"EDBE",E2:E258,"0348",F2:F258,"00",AT2:AT258,3)</f>
        <v>0</v>
      </c>
      <c r="AU279" s="388">
        <f>SUMIFS(AU2:AU258,G2:G258,"EDBE",E2:E258,"0348",F2:F258,"00")</f>
        <v>0</v>
      </c>
      <c r="AV279" s="388">
        <f>SUMIFS(AV2:AV258,G2:G258,"EDBE",E2:E258,"0348",F2:F258,"00")</f>
        <v>0</v>
      </c>
      <c r="AW279" s="388">
        <f>SUMIFS(AW2:AW258,G2:G258,"EDBE",E2:E258,"0348",F2:F258,"00")</f>
        <v>0</v>
      </c>
      <c r="AX279" s="388">
        <f>SUMIFS(AX2:AX258,G2:G258,"EDBE",E2:E258,"0348",F2:F258,"00")</f>
        <v>0</v>
      </c>
      <c r="AY279" s="388">
        <f>SUMIFS(AY2:AY258,G2:G258,"EDBE",E2:E258,"0348",F2:F258,"00")</f>
        <v>0</v>
      </c>
      <c r="AZ279" s="388">
        <f>SUMIFS(AZ2:AZ258,G2:G258,"EDBE",E2:E258,"0348",F2:F258,"00")</f>
        <v>0</v>
      </c>
      <c r="BA279" s="388">
        <f>SUMIFS(BA2:BA258,G2:G258,"EDBE",E2:E258,"0348",F2:F258,"00")</f>
        <v>0</v>
      </c>
      <c r="BB279" s="388">
        <f>SUMIFS(BB2:BB258,G2:G258,"EDBE",E2:E258,"0348",F2:F258,"00")</f>
        <v>0</v>
      </c>
      <c r="BC279" s="388">
        <f>SUMIFS(BC2:BC258,G2:G258,"EDBE",E2:E258,"0348",F2:F258,"00")</f>
        <v>0</v>
      </c>
      <c r="BD279" s="388">
        <f>SUMIFS(BD2:BD258,G2:G258,"EDBE",E2:E258,"0348",F2:F258,"00")</f>
        <v>0</v>
      </c>
      <c r="BE279" s="388">
        <f>SUMIFS(BE2:BE258,G2:G258,"EDBE",E2:E258,"0348",F2:F258,"00")</f>
        <v>0</v>
      </c>
      <c r="BF279" s="388">
        <f>SUMIFS(BF2:BF258,G2:G258,"EDBE",E2:E258,"0348",F2:F258,"00")</f>
        <v>0</v>
      </c>
      <c r="BG279" s="388">
        <f>SUMIFS(BG2:BG258,G2:G258,"EDBE",E2:E258,"0348",F2:F258,"00")</f>
        <v>0</v>
      </c>
      <c r="BH279" s="388">
        <f>SUMIFS(BH2:BH258,G2:G258,"EDBE",E2:E258,"0348",F2:F258,"00")</f>
        <v>0</v>
      </c>
      <c r="BI279" s="388">
        <f>SUMIFS(BI2:BI258,G2:G258,"EDBE",E2:E258,"0348",F2:F258,"00")</f>
        <v>0</v>
      </c>
      <c r="BJ279" s="388">
        <f>SUMIFS(BJ2:BJ258,G2:G258,"EDBE",E2:E258,"0348",F2:F258,"00")</f>
        <v>0</v>
      </c>
      <c r="BK279" s="388">
        <f>SUMIFS(BK2:BK258,G2:G258,"EDBE",E2:E258,"0348",F2:F258,"00")</f>
        <v>0</v>
      </c>
      <c r="BL279" s="388">
        <f>SUMIFS(BL2:BL258,G2:G258,"EDBE",E2:E258,"0348",F2:F258,"00")</f>
        <v>0</v>
      </c>
      <c r="BM279" s="388">
        <f>SUMIFS(BM2:BM258,G2:G258,"EDBE",E2:E258,"0348",F2:F258,"00")</f>
        <v>0</v>
      </c>
      <c r="BN279" s="388">
        <f>SUMIFS(BN2:BN258,G2:G258,"EDBE",E2:E258,"0348",F2:F258,"00")</f>
        <v>0</v>
      </c>
      <c r="BO279" s="388">
        <f>SUMIFS(BO2:BO258,G2:G258,"EDBE",E2:E258,"0348",F2:F258,"00")</f>
        <v>0</v>
      </c>
      <c r="BP279" s="388">
        <f>SUMIFS(BP2:BP258,G2:G258,"EDBE",E2:E258,"0348",F2:F258,"00")</f>
        <v>0</v>
      </c>
      <c r="BQ279" s="388">
        <f>SUMIFS(BQ2:BQ258,G2:G258,"EDBE",E2:E258,"0348",F2:F258,"00")</f>
        <v>0</v>
      </c>
      <c r="BR279" s="388">
        <f>SUMIFS(BR2:BR258,G2:G258,"EDBE",E2:E258,"0348",F2:F258,"00")</f>
        <v>0</v>
      </c>
      <c r="BS279" s="388">
        <f>SUMIFS(BS2:BS258,G2:G258,"EDBE",E2:E258,"0348",F2:F258,"00")</f>
        <v>0</v>
      </c>
      <c r="BT279" s="388">
        <f>SUMIFS(BT2:BT258,G2:G258,"EDBE",E2:E258,"0348",F2:F258,"00")</f>
        <v>0</v>
      </c>
      <c r="BU279" s="388">
        <f>SUMIFS(BU2:BU258,G2:G258,"EDBE",E2:E258,"0348",F2:F258,"00")</f>
        <v>0</v>
      </c>
      <c r="BV279" s="388">
        <f>SUMIFS(BV2:BV258,G2:G258,"EDBE",E2:E258,"0348",F2:F258,"00")</f>
        <v>0</v>
      </c>
      <c r="BW279" s="388">
        <f>SUMIFS(BW2:BW258,G2:G258,"EDBE",E2:E258,"0348",F2:F258,"00")</f>
        <v>0</v>
      </c>
      <c r="BX279" s="388">
        <f>SUMIFS(BX2:BX258,G2:G258,"EDBE",E2:E258,"0348",F2:F258,"00")</f>
        <v>0</v>
      </c>
      <c r="BY279" s="388">
        <f>SUMIFS(BY2:BY258,G2:G258,"EDBE",E2:E258,"0348",F2:F258,"00")</f>
        <v>0</v>
      </c>
      <c r="BZ279" s="388">
        <f>SUMIFS(BZ2:BZ258,G2:G258,"EDBE",E2:E258,"0348",F2:F258,"00")</f>
        <v>0</v>
      </c>
      <c r="CA279" s="388">
        <f>SUMIFS(CA2:CA258,G2:G258,"EDBE",E2:E258,"0348",F2:F258,"00")</f>
        <v>0</v>
      </c>
      <c r="CB279" s="388">
        <f>SUMIFS(CB2:CB258,G2:G258,"EDBE",E2:E258,"0348",F2:F258,"00")</f>
        <v>0</v>
      </c>
      <c r="CC279" s="388">
        <f>SUMIFS(CC2:CC258,G2:G258,"EDBE",E2:E258,"0348",F2:F258,"00")</f>
        <v>0</v>
      </c>
      <c r="CD279" s="388">
        <f>SUMIFS(CD2:CD258,G2:G258,"EDBE",E2:E258,"0348",F2:F258,"00")</f>
        <v>0</v>
      </c>
      <c r="CE279" s="388">
        <f>SUMIFS(CE2:CE258,G2:G258,"EDBE",E2:E258,"0348",F2:F258,"00")</f>
        <v>0</v>
      </c>
      <c r="CF279" s="388">
        <f>SUMIFS(CF2:CF258,G2:G258,"EDBE",E2:E258,"0348",F2:F258,"00")</f>
        <v>0</v>
      </c>
      <c r="CG279" s="388">
        <f>SUMIFS(CG2:CG258,G2:G258,"EDBE",E2:E258,"0348",F2:F258,"00")</f>
        <v>0</v>
      </c>
      <c r="CH279" s="388">
        <f>SUMIFS(CH2:CH258,G2:G258,"EDBE",E2:E258,"0348",F2:F258,"00")</f>
        <v>0</v>
      </c>
      <c r="CI279" s="388">
        <f>SUMIFS(CI2:CI258,G2:G258,"EDBE",E2:E258,"0348",F2:F258,"00")</f>
        <v>0</v>
      </c>
      <c r="CJ279" s="388">
        <f>SUMIFS(CJ2:CJ258,G2:G258,"EDBE",E2:E258,"0348",F2:F258,"00")</f>
        <v>0</v>
      </c>
      <c r="CK279" s="388">
        <f>SUMIFS(CK2:CK258,G2:G258,"EDBE",E2:E258,"0348",F2:F258,"00")</f>
        <v>0</v>
      </c>
      <c r="CL279" s="388">
        <f>SUMIFS(CL2:CL258,G2:G258,"EDBE",E2:E258,"0348",F2:F258,"00")</f>
        <v>0</v>
      </c>
      <c r="CM279" s="388">
        <f>SUMIFS(CM2:CM258,G2:G258,"EDBE",E2:E258,"0348",F2:F258,"00")</f>
        <v>0</v>
      </c>
    </row>
    <row r="280" spans="43:91" x14ac:dyDescent="0.25">
      <c r="AR280" t="s">
        <v>863</v>
      </c>
      <c r="AS280" s="388">
        <f>SUMIFS(AS2:AS258,G2:G258,"EDBE",E2:E258,"0348",F2:F258,"01",AT2:AT258,1)</f>
        <v>9.7200000000000006</v>
      </c>
      <c r="AT280" s="388">
        <f>SUMIFS(AS2:AS258,G2:G258,"EDBE",E2:E258,"0348",F2:F258,"01",AT2:AT258,3)</f>
        <v>0</v>
      </c>
      <c r="AU280" s="388">
        <f>SUMIFS(AU2:AU258,G2:G258,"EDBE",E2:E258,"0348",F2:F258,"01")</f>
        <v>20</v>
      </c>
      <c r="AV280" s="388">
        <f>SUMIFS(AV2:AV258,G2:G258,"EDBE",E2:E258,"0348",F2:F258,"01")</f>
        <v>0</v>
      </c>
      <c r="AW280" s="388">
        <f>SUMIFS(AW2:AW258,G2:G258,"EDBE",E2:E258,"0348",F2:F258,"01")</f>
        <v>58</v>
      </c>
      <c r="AX280" s="388">
        <f>SUMIFS(AX2:AX258,G2:G258,"EDBE",E2:E258,"0348",F2:F258,"01")</f>
        <v>1397447.9599999997</v>
      </c>
      <c r="AY280" s="388">
        <f>SUMIFS(AY2:AY258,G2:G258,"EDBE",E2:E258,"0348",F2:F258,"01")</f>
        <v>670327.63</v>
      </c>
      <c r="AZ280" s="388">
        <f>SUMIFS(AZ2:AZ258,G2:G258,"EDBE",E2:E258,"0348",F2:F258,"01")</f>
        <v>0</v>
      </c>
      <c r="BA280" s="388">
        <f>SUMIFS(BA2:BA258,G2:G258,"EDBE",E2:E258,"0348",F2:F258,"01")</f>
        <v>0</v>
      </c>
      <c r="BB280" s="388">
        <f>SUMIFS(BB2:BB258,G2:G258,"EDBE",E2:E258,"0348",F2:F258,"01")</f>
        <v>121500</v>
      </c>
      <c r="BC280" s="388">
        <f>SUMIFS(BC2:BC258,G2:G258,"EDBE",E2:E258,"0348",F2:F258,"01")</f>
        <v>0</v>
      </c>
      <c r="BD280" s="388">
        <f>SUMIFS(BD2:BD258,G2:G258,"EDBE",E2:E258,"0348",F2:F258,"01")</f>
        <v>41560.313059999993</v>
      </c>
      <c r="BE280" s="388">
        <f>SUMIFS(BE2:BE258,G2:G258,"EDBE",E2:E258,"0348",F2:F258,"01")</f>
        <v>9719.7506350000003</v>
      </c>
      <c r="BF280" s="388">
        <f>SUMIFS(BF2:BF258,G2:G258,"EDBE",E2:E258,"0348",F2:F258,"01")</f>
        <v>80037.119021999999</v>
      </c>
      <c r="BG280" s="388">
        <f>SUMIFS(BG2:BG258,G2:G258,"EDBE",E2:E258,"0348",F2:F258,"01")</f>
        <v>4833.0622122999994</v>
      </c>
      <c r="BH280" s="388">
        <f>SUMIFS(BH2:BH258,G2:G258,"EDBE",E2:E258,"0348",F2:F258,"01")</f>
        <v>0</v>
      </c>
      <c r="BI280" s="388">
        <f>SUMIFS(BI2:BI258,G2:G258,"EDBE",E2:E258,"0348",F2:F258,"01")</f>
        <v>0</v>
      </c>
      <c r="BJ280" s="388">
        <f>SUMIFS(BJ2:BJ258,G2:G258,"EDBE",E2:E258,"0348",F2:F258,"01")</f>
        <v>2346.1467050000001</v>
      </c>
      <c r="BK280" s="388">
        <f>SUMIFS(BK2:BK258,G2:G258,"EDBE",E2:E258,"0348",F2:F258,"01")</f>
        <v>0</v>
      </c>
      <c r="BL280" s="388">
        <f>SUMIFS(BL2:BL258,G2:G258,"EDBE",E2:E258,"0348",F2:F258,"01")</f>
        <v>138496.3916343</v>
      </c>
      <c r="BM280" s="388">
        <f>SUMIFS(BM2:BM258,G2:G258,"EDBE",E2:E258,"0348",F2:F258,"01")</f>
        <v>0</v>
      </c>
      <c r="BN280" s="388">
        <f>SUMIFS(BN2:BN258,G2:G258,"EDBE",E2:E258,"0348",F2:F258,"01")</f>
        <v>133650</v>
      </c>
      <c r="BO280" s="388">
        <f>SUMIFS(BO2:BO258,G2:G258,"EDBE",E2:E258,"0348",F2:F258,"01")</f>
        <v>0</v>
      </c>
      <c r="BP280" s="388">
        <f>SUMIFS(BP2:BP258,G2:G258,"EDBE",E2:E258,"0348",F2:F258,"01")</f>
        <v>41560.313059999993</v>
      </c>
      <c r="BQ280" s="388">
        <f>SUMIFS(BQ2:BQ258,G2:G258,"EDBE",E2:E258,"0348",F2:F258,"01")</f>
        <v>9719.7506350000003</v>
      </c>
      <c r="BR280" s="388">
        <f>SUMIFS(BR2:BR258,G2:G258,"EDBE",E2:E258,"0348",F2:F258,"01")</f>
        <v>74942.629033999998</v>
      </c>
      <c r="BS280" s="388">
        <f>SUMIFS(BS2:BS258,G2:G258,"EDBE",E2:E258,"0348",F2:F258,"01")</f>
        <v>4833.0622122999994</v>
      </c>
      <c r="BT280" s="388">
        <f>SUMIFS(BT2:BT258,G2:G258,"EDBE",E2:E258,"0348",F2:F258,"01")</f>
        <v>0</v>
      </c>
      <c r="BU280" s="388">
        <f>SUMIFS(BU2:BU258,G2:G258,"EDBE",E2:E258,"0348",F2:F258,"01")</f>
        <v>0</v>
      </c>
      <c r="BV280" s="388">
        <f>SUMIFS(BV2:BV258,G2:G258,"EDBE",E2:E258,"0348",F2:F258,"01")</f>
        <v>2614.2777569999994</v>
      </c>
      <c r="BW280" s="388">
        <f>SUMIFS(BW2:BW258,G2:G258,"EDBE",E2:E258,"0348",F2:F258,"01")</f>
        <v>0</v>
      </c>
      <c r="BX280" s="388">
        <f>SUMIFS(BX2:BX258,G2:G258,"EDBE",E2:E258,"0348",F2:F258,"01")</f>
        <v>133670.0326983</v>
      </c>
      <c r="BY280" s="388">
        <f>SUMIFS(BY2:BY258,G2:G258,"EDBE",E2:E258,"0348",F2:F258,"01")</f>
        <v>0</v>
      </c>
      <c r="BZ280" s="388">
        <f>SUMIFS(BZ2:BZ258,G2:G258,"EDBE",E2:E258,"0348",F2:F258,"01")</f>
        <v>12150</v>
      </c>
      <c r="CA280" s="388">
        <f>SUMIFS(CA2:CA258,G2:G258,"EDBE",E2:E258,"0348",F2:F258,"01")</f>
        <v>0</v>
      </c>
      <c r="CB280" s="388">
        <f>SUMIFS(CB2:CB258,G2:G258,"EDBE",E2:E258,"0348",F2:F258,"01")</f>
        <v>0</v>
      </c>
      <c r="CC280" s="388">
        <f>SUMIFS(CC2:CC258,G2:G258,"EDBE",E2:E258,"0348",F2:F258,"01")</f>
        <v>0</v>
      </c>
      <c r="CD280" s="388">
        <f>SUMIFS(CD2:CD258,G2:G258,"EDBE",E2:E258,"0348",F2:F258,"01")</f>
        <v>-5094.4899880000066</v>
      </c>
      <c r="CE280" s="388">
        <f>SUMIFS(CE2:CE258,G2:G258,"EDBE",E2:E258,"0348",F2:F258,"01")</f>
        <v>0</v>
      </c>
      <c r="CF280" s="388">
        <f>SUMIFS(CF2:CF258,G2:G258,"EDBE",E2:E258,"0348",F2:F258,"01")</f>
        <v>0</v>
      </c>
      <c r="CG280" s="388">
        <f>SUMIFS(CG2:CG258,G2:G258,"EDBE",E2:E258,"0348",F2:F258,"01")</f>
        <v>0</v>
      </c>
      <c r="CH280" s="388">
        <f>SUMIFS(CH2:CH258,G2:G258,"EDBE",E2:E258,"0348",F2:F258,"01")</f>
        <v>268.13105199999978</v>
      </c>
      <c r="CI280" s="388">
        <f>SUMIFS(CI2:CI258,G2:G258,"EDBE",E2:E258,"0348",F2:F258,"01")</f>
        <v>0</v>
      </c>
      <c r="CJ280" s="388">
        <f>SUMIFS(CJ2:CJ258,G2:G258,"EDBE",E2:E258,"0348",F2:F258,"01")</f>
        <v>-4826.3589360000069</v>
      </c>
      <c r="CK280" s="388">
        <f>SUMIFS(CK2:CK258,G2:G258,"EDBE",E2:E258,"0348",F2:F258,"01")</f>
        <v>0</v>
      </c>
      <c r="CL280" s="388">
        <f>SUMIFS(CL2:CL258,G2:G258,"EDBE",E2:E258,"0348",F2:F258,"01")</f>
        <v>0</v>
      </c>
      <c r="CM280" s="388">
        <f>SUMIFS(CM2:CM258,G2:G258,"EDBE",E2:E258,"0348",F2:F258,"01")</f>
        <v>0</v>
      </c>
    </row>
    <row r="281" spans="43:91" x14ac:dyDescent="0.25">
      <c r="AR281" t="s">
        <v>864</v>
      </c>
      <c r="AS281" s="388">
        <f>SUMIFS(AS2:AS258,G2:G258,"EDBE",E2:E258,"0348",F2:F258,"03",AT2:AT258,1)</f>
        <v>12.4</v>
      </c>
      <c r="AT281" s="388">
        <f>SUMIFS(AS2:AS258,G2:G258,"EDBE",E2:E258,"0348",F2:F258,"03",AT2:AT258,3)</f>
        <v>0</v>
      </c>
      <c r="AU281" s="388">
        <f>SUMIFS(AU2:AU258,G2:G258,"EDBE",E2:E258,"0348",F2:F258,"03")</f>
        <v>14</v>
      </c>
      <c r="AV281" s="388">
        <f>SUMIFS(AV2:AV258,G2:G258,"EDBE",E2:E258,"0348",F2:F258,"03")</f>
        <v>0</v>
      </c>
      <c r="AW281" s="388">
        <f>SUMIFS(AW2:AW258,G2:G258,"EDBE",E2:E258,"0348",F2:F258,"03")</f>
        <v>44</v>
      </c>
      <c r="AX281" s="388">
        <f>SUMIFS(AX2:AX258,G2:G258,"EDBE",E2:E258,"0348",F2:F258,"03")</f>
        <v>945089.57</v>
      </c>
      <c r="AY281" s="388">
        <f>SUMIFS(AY2:AY258,G2:G258,"EDBE",E2:E258,"0348",F2:F258,"03")</f>
        <v>824883.25</v>
      </c>
      <c r="AZ281" s="388">
        <f>SUMIFS(AZ2:AZ258,G2:G258,"EDBE",E2:E258,"0348",F2:F258,"03")</f>
        <v>0</v>
      </c>
      <c r="BA281" s="388">
        <f>SUMIFS(BA2:BA258,G2:G258,"EDBE",E2:E258,"0348",F2:F258,"03")</f>
        <v>0</v>
      </c>
      <c r="BB281" s="388">
        <f>SUMIFS(BB2:BB258,G2:G258,"EDBE",E2:E258,"0348",F2:F258,"03")</f>
        <v>155000</v>
      </c>
      <c r="BC281" s="388">
        <f>SUMIFS(BC2:BC258,G2:G258,"EDBE",E2:E258,"0348",F2:F258,"03")</f>
        <v>0</v>
      </c>
      <c r="BD281" s="388">
        <f>SUMIFS(BD2:BD258,G2:G258,"EDBE",E2:E258,"0348",F2:F258,"03")</f>
        <v>51142.761500000001</v>
      </c>
      <c r="BE281" s="388">
        <f>SUMIFS(BE2:BE258,G2:G258,"EDBE",E2:E258,"0348",F2:F258,"03")</f>
        <v>11960.807125000001</v>
      </c>
      <c r="BF281" s="388">
        <f>SUMIFS(BF2:BF258,G2:G258,"EDBE",E2:E258,"0348",F2:F258,"03")</f>
        <v>98491.06005</v>
      </c>
      <c r="BG281" s="388">
        <f>SUMIFS(BG2:BG258,G2:G258,"EDBE",E2:E258,"0348",F2:F258,"03")</f>
        <v>5947.4082324999999</v>
      </c>
      <c r="BH281" s="388">
        <f>SUMIFS(BH2:BH258,G2:G258,"EDBE",E2:E258,"0348",F2:F258,"03")</f>
        <v>0</v>
      </c>
      <c r="BI281" s="388">
        <f>SUMIFS(BI2:BI258,G2:G258,"EDBE",E2:E258,"0348",F2:F258,"03")</f>
        <v>0</v>
      </c>
      <c r="BJ281" s="388">
        <f>SUMIFS(BJ2:BJ258,G2:G258,"EDBE",E2:E258,"0348",F2:F258,"03")</f>
        <v>2887.0913750000009</v>
      </c>
      <c r="BK281" s="388">
        <f>SUMIFS(BK2:BK258,G2:G258,"EDBE",E2:E258,"0348",F2:F258,"03")</f>
        <v>0</v>
      </c>
      <c r="BL281" s="388">
        <f>SUMIFS(BL2:BL258,G2:G258,"EDBE",E2:E258,"0348",F2:F258,"03")</f>
        <v>170429.12828250002</v>
      </c>
      <c r="BM281" s="388">
        <f>SUMIFS(BM2:BM258,G2:G258,"EDBE",E2:E258,"0348",F2:F258,"03")</f>
        <v>0</v>
      </c>
      <c r="BN281" s="388">
        <f>SUMIFS(BN2:BN258,G2:G258,"EDBE",E2:E258,"0348",F2:F258,"03")</f>
        <v>170500</v>
      </c>
      <c r="BO281" s="388">
        <f>SUMIFS(BO2:BO258,G2:G258,"EDBE",E2:E258,"0348",F2:F258,"03")</f>
        <v>0</v>
      </c>
      <c r="BP281" s="388">
        <f>SUMIFS(BP2:BP258,G2:G258,"EDBE",E2:E258,"0348",F2:F258,"03")</f>
        <v>51142.761500000001</v>
      </c>
      <c r="BQ281" s="388">
        <f>SUMIFS(BQ2:BQ258,G2:G258,"EDBE",E2:E258,"0348",F2:F258,"03")</f>
        <v>11960.807125000001</v>
      </c>
      <c r="BR281" s="388">
        <f>SUMIFS(BR2:BR258,G2:G258,"EDBE",E2:E258,"0348",F2:F258,"03")</f>
        <v>92221.947349999988</v>
      </c>
      <c r="BS281" s="388">
        <f>SUMIFS(BS2:BS258,G2:G258,"EDBE",E2:E258,"0348",F2:F258,"03")</f>
        <v>5947.4082324999999</v>
      </c>
      <c r="BT281" s="388">
        <f>SUMIFS(BT2:BT258,G2:G258,"EDBE",E2:E258,"0348",F2:F258,"03")</f>
        <v>0</v>
      </c>
      <c r="BU281" s="388">
        <f>SUMIFS(BU2:BU258,G2:G258,"EDBE",E2:E258,"0348",F2:F258,"03")</f>
        <v>0</v>
      </c>
      <c r="BV281" s="388">
        <f>SUMIFS(BV2:BV258,G2:G258,"EDBE",E2:E258,"0348",F2:F258,"03")</f>
        <v>3217.0446750000006</v>
      </c>
      <c r="BW281" s="388">
        <f>SUMIFS(BW2:BW258,G2:G258,"EDBE",E2:E258,"0348",F2:F258,"03")</f>
        <v>0</v>
      </c>
      <c r="BX281" s="388">
        <f>SUMIFS(BX2:BX258,G2:G258,"EDBE",E2:E258,"0348",F2:F258,"03")</f>
        <v>164489.96888250002</v>
      </c>
      <c r="BY281" s="388">
        <f>SUMIFS(BY2:BY258,G2:G258,"EDBE",E2:E258,"0348",F2:F258,"03")</f>
        <v>0</v>
      </c>
      <c r="BZ281" s="388">
        <f>SUMIFS(BZ2:BZ258,G2:G258,"EDBE",E2:E258,"0348",F2:F258,"03")</f>
        <v>15500</v>
      </c>
      <c r="CA281" s="388">
        <f>SUMIFS(CA2:CA258,G2:G258,"EDBE",E2:E258,"0348",F2:F258,"03")</f>
        <v>0</v>
      </c>
      <c r="CB281" s="388">
        <f>SUMIFS(CB2:CB258,G2:G258,"EDBE",E2:E258,"0348",F2:F258,"03")</f>
        <v>0</v>
      </c>
      <c r="CC281" s="388">
        <f>SUMIFS(CC2:CC258,G2:G258,"EDBE",E2:E258,"0348",F2:F258,"03")</f>
        <v>0</v>
      </c>
      <c r="CD281" s="388">
        <f>SUMIFS(CD2:CD258,G2:G258,"EDBE",E2:E258,"0348",F2:F258,"03")</f>
        <v>-6269.1127000000088</v>
      </c>
      <c r="CE281" s="388">
        <f>SUMIFS(CE2:CE258,G2:G258,"EDBE",E2:E258,"0348",F2:F258,"03")</f>
        <v>0</v>
      </c>
      <c r="CF281" s="388">
        <f>SUMIFS(CF2:CF258,G2:G258,"EDBE",E2:E258,"0348",F2:F258,"03")</f>
        <v>0</v>
      </c>
      <c r="CG281" s="388">
        <f>SUMIFS(CG2:CG258,G2:G258,"EDBE",E2:E258,"0348",F2:F258,"03")</f>
        <v>0</v>
      </c>
      <c r="CH281" s="388">
        <f>SUMIFS(CH2:CH258,G2:G258,"EDBE",E2:E258,"0348",F2:F258,"03")</f>
        <v>329.95329999999979</v>
      </c>
      <c r="CI281" s="388">
        <f>SUMIFS(CI2:CI258,G2:G258,"EDBE",E2:E258,"0348",F2:F258,"03")</f>
        <v>0</v>
      </c>
      <c r="CJ281" s="388">
        <f>SUMIFS(CJ2:CJ258,G2:G258,"EDBE",E2:E258,"0348",F2:F258,"03")</f>
        <v>-5939.1594000000086</v>
      </c>
      <c r="CK281" s="388">
        <f>SUMIFS(CK2:CK258,G2:G258,"EDBE",E2:E258,"0348",F2:F258,"03")</f>
        <v>0</v>
      </c>
      <c r="CL281" s="388">
        <f>SUMIFS(CL2:CL258,G2:G258,"EDBE",E2:E258,"0348",F2:F258,"03")</f>
        <v>0</v>
      </c>
      <c r="CM281" s="388">
        <f>SUMIFS(CM2:CM258,G2:G258,"EDBE",E2:E258,"0348",F2:F258,"03")</f>
        <v>0</v>
      </c>
    </row>
    <row r="282" spans="43:91" x14ac:dyDescent="0.25">
      <c r="AR282" t="s">
        <v>865</v>
      </c>
      <c r="AS282" s="388">
        <f>SUMIFS(AS2:AS258,G2:G258,"EDBE",E2:E258,"0348",F2:F258,"13",AT2:AT258,1)</f>
        <v>0.4</v>
      </c>
      <c r="AT282" s="388">
        <f>SUMIFS(AS2:AS258,G2:G258,"EDBE",E2:E258,"0348",F2:F258,"13",AT2:AT258,3)</f>
        <v>0</v>
      </c>
      <c r="AU282" s="388">
        <f>SUMIFS(AU2:AU258,G2:G258,"EDBE",E2:E258,"0348",F2:F258,"13")</f>
        <v>1</v>
      </c>
      <c r="AV282" s="388">
        <f>SUMIFS(AV2:AV258,G2:G258,"EDBE",E2:E258,"0348",F2:F258,"13")</f>
        <v>0</v>
      </c>
      <c r="AW282" s="388">
        <f>SUMIFS(AW2:AW258,G2:G258,"EDBE",E2:E258,"0348",F2:F258,"13")</f>
        <v>13</v>
      </c>
      <c r="AX282" s="388">
        <f>SUMIFS(AX2:AX258,G2:G258,"EDBE",E2:E258,"0348",F2:F258,"13")</f>
        <v>38521.58</v>
      </c>
      <c r="AY282" s="388">
        <f>SUMIFS(AY2:AY258,G2:G258,"EDBE",E2:E258,"0348",F2:F258,"13")</f>
        <v>15408.64</v>
      </c>
      <c r="AZ282" s="388">
        <f>SUMIFS(AZ2:AZ258,G2:G258,"EDBE",E2:E258,"0348",F2:F258,"13")</f>
        <v>0</v>
      </c>
      <c r="BA282" s="388">
        <f>SUMIFS(BA2:BA258,G2:G258,"EDBE",E2:E258,"0348",F2:F258,"13")</f>
        <v>0</v>
      </c>
      <c r="BB282" s="388">
        <f>SUMIFS(BB2:BB258,G2:G258,"EDBE",E2:E258,"0348",F2:F258,"13")</f>
        <v>5000</v>
      </c>
      <c r="BC282" s="388">
        <f>SUMIFS(BC2:BC258,G2:G258,"EDBE",E2:E258,"0348",F2:F258,"13")</f>
        <v>0</v>
      </c>
      <c r="BD282" s="388">
        <f>SUMIFS(BD2:BD258,G2:G258,"EDBE",E2:E258,"0348",F2:F258,"13")</f>
        <v>955.33567999999991</v>
      </c>
      <c r="BE282" s="388">
        <f>SUMIFS(BE2:BE258,G2:G258,"EDBE",E2:E258,"0348",F2:F258,"13")</f>
        <v>223.42528000000001</v>
      </c>
      <c r="BF282" s="388">
        <f>SUMIFS(BF2:BF258,G2:G258,"EDBE",E2:E258,"0348",F2:F258,"13")</f>
        <v>1839.791616</v>
      </c>
      <c r="BG282" s="388">
        <f>SUMIFS(BG2:BG258,G2:G258,"EDBE",E2:E258,"0348",F2:F258,"13")</f>
        <v>111.0962944</v>
      </c>
      <c r="BH282" s="388">
        <f>SUMIFS(BH2:BH258,G2:G258,"EDBE",E2:E258,"0348",F2:F258,"13")</f>
        <v>0</v>
      </c>
      <c r="BI282" s="388">
        <f>SUMIFS(BI2:BI258,G2:G258,"EDBE",E2:E258,"0348",F2:F258,"13")</f>
        <v>0</v>
      </c>
      <c r="BJ282" s="388">
        <f>SUMIFS(BJ2:BJ258,G2:G258,"EDBE",E2:E258,"0348",F2:F258,"13")</f>
        <v>53.930239999999998</v>
      </c>
      <c r="BK282" s="388">
        <f>SUMIFS(BK2:BK258,G2:G258,"EDBE",E2:E258,"0348",F2:F258,"13")</f>
        <v>0</v>
      </c>
      <c r="BL282" s="388">
        <f>SUMIFS(BL2:BL258,G2:G258,"EDBE",E2:E258,"0348",F2:F258,"13")</f>
        <v>3183.5791104</v>
      </c>
      <c r="BM282" s="388">
        <f>SUMIFS(BM2:BM258,G2:G258,"EDBE",E2:E258,"0348",F2:F258,"13")</f>
        <v>0</v>
      </c>
      <c r="BN282" s="388">
        <f>SUMIFS(BN2:BN258,G2:G258,"EDBE",E2:E258,"0348",F2:F258,"13")</f>
        <v>5500</v>
      </c>
      <c r="BO282" s="388">
        <f>SUMIFS(BO2:BO258,G2:G258,"EDBE",E2:E258,"0348",F2:F258,"13")</f>
        <v>0</v>
      </c>
      <c r="BP282" s="388">
        <f>SUMIFS(BP2:BP258,G2:G258,"EDBE",E2:E258,"0348",F2:F258,"13")</f>
        <v>955.33567999999991</v>
      </c>
      <c r="BQ282" s="388">
        <f>SUMIFS(BQ2:BQ258,G2:G258,"EDBE",E2:E258,"0348",F2:F258,"13")</f>
        <v>223.42528000000001</v>
      </c>
      <c r="BR282" s="388">
        <f>SUMIFS(BR2:BR258,G2:G258,"EDBE",E2:E258,"0348",F2:F258,"13")</f>
        <v>1722.6859519999998</v>
      </c>
      <c r="BS282" s="388">
        <f>SUMIFS(BS2:BS258,G2:G258,"EDBE",E2:E258,"0348",F2:F258,"13")</f>
        <v>111.0962944</v>
      </c>
      <c r="BT282" s="388">
        <f>SUMIFS(BT2:BT258,G2:G258,"EDBE",E2:E258,"0348",F2:F258,"13")</f>
        <v>0</v>
      </c>
      <c r="BU282" s="388">
        <f>SUMIFS(BU2:BU258,G2:G258,"EDBE",E2:E258,"0348",F2:F258,"13")</f>
        <v>0</v>
      </c>
      <c r="BV282" s="388">
        <f>SUMIFS(BV2:BV258,G2:G258,"EDBE",E2:E258,"0348",F2:F258,"13")</f>
        <v>60.093695999999994</v>
      </c>
      <c r="BW282" s="388">
        <f>SUMIFS(BW2:BW258,G2:G258,"EDBE",E2:E258,"0348",F2:F258,"13")</f>
        <v>0</v>
      </c>
      <c r="BX282" s="388">
        <f>SUMIFS(BX2:BX258,G2:G258,"EDBE",E2:E258,"0348",F2:F258,"13")</f>
        <v>3072.6369023999991</v>
      </c>
      <c r="BY282" s="388">
        <f>SUMIFS(BY2:BY258,G2:G258,"EDBE",E2:E258,"0348",F2:F258,"13")</f>
        <v>0</v>
      </c>
      <c r="BZ282" s="388">
        <f>SUMIFS(BZ2:BZ258,G2:G258,"EDBE",E2:E258,"0348",F2:F258,"13")</f>
        <v>500</v>
      </c>
      <c r="CA282" s="388">
        <f>SUMIFS(CA2:CA258,G2:G258,"EDBE",E2:E258,"0348",F2:F258,"13")</f>
        <v>0</v>
      </c>
      <c r="CB282" s="388">
        <f>SUMIFS(CB2:CB258,G2:G258,"EDBE",E2:E258,"0348",F2:F258,"13")</f>
        <v>0</v>
      </c>
      <c r="CC282" s="388">
        <f>SUMIFS(CC2:CC258,G2:G258,"EDBE",E2:E258,"0348",F2:F258,"13")</f>
        <v>0</v>
      </c>
      <c r="CD282" s="388">
        <f>SUMIFS(CD2:CD258,G2:G258,"EDBE",E2:E258,"0348",F2:F258,"13")</f>
        <v>-117.10566400000015</v>
      </c>
      <c r="CE282" s="388">
        <f>SUMIFS(CE2:CE258,G2:G258,"EDBE",E2:E258,"0348",F2:F258,"13")</f>
        <v>0</v>
      </c>
      <c r="CF282" s="388">
        <f>SUMIFS(CF2:CF258,G2:G258,"EDBE",E2:E258,"0348",F2:F258,"13")</f>
        <v>0</v>
      </c>
      <c r="CG282" s="388">
        <f>SUMIFS(CG2:CG258,G2:G258,"EDBE",E2:E258,"0348",F2:F258,"13")</f>
        <v>0</v>
      </c>
      <c r="CH282" s="388">
        <f>SUMIFS(CH2:CH258,G2:G258,"EDBE",E2:E258,"0348",F2:F258,"13")</f>
        <v>6.1634559999999956</v>
      </c>
      <c r="CI282" s="388">
        <f>SUMIFS(CI2:CI258,G2:G258,"EDBE",E2:E258,"0348",F2:F258,"13")</f>
        <v>0</v>
      </c>
      <c r="CJ282" s="388">
        <f>SUMIFS(CJ2:CJ258,G2:G258,"EDBE",E2:E258,"0348",F2:F258,"13")</f>
        <v>-110.94220800000015</v>
      </c>
      <c r="CK282" s="388">
        <f>SUMIFS(CK2:CK258,G2:G258,"EDBE",E2:E258,"0348",F2:F258,"13")</f>
        <v>0</v>
      </c>
      <c r="CL282" s="388">
        <f>SUMIFS(CL2:CL258,G2:G258,"EDBE",E2:E258,"0348",F2:F258,"13")</f>
        <v>0</v>
      </c>
      <c r="CM282" s="388">
        <f>SUMIFS(CM2:CM258,G2:G258,"EDBE",E2:E258,"0348",F2:F258,"13")</f>
        <v>0</v>
      </c>
    </row>
    <row r="283" spans="43:91" x14ac:dyDescent="0.25">
      <c r="AR283" t="s">
        <v>866</v>
      </c>
      <c r="AS283" s="388">
        <f>SUMIFS(AS2:AS258,G2:G258,"EDBE",E2:E258,"0348",F2:F258,"14",AT2:AT258,1)</f>
        <v>1</v>
      </c>
      <c r="AT283" s="388">
        <f>SUMIFS(AS2:AS258,G2:G258,"EDBE",E2:E258,"0348",F2:F258,"14",AT2:AT258,3)</f>
        <v>0</v>
      </c>
      <c r="AU283" s="388">
        <f>SUMIFS(AU2:AU258,G2:G258,"EDBE",E2:E258,"0348",F2:F258,"14")</f>
        <v>1</v>
      </c>
      <c r="AV283" s="388">
        <f>SUMIFS(AV2:AV258,G2:G258,"EDBE",E2:E258,"0348",F2:F258,"14")</f>
        <v>0</v>
      </c>
      <c r="AW283" s="388">
        <f>SUMIFS(AW2:AW258,G2:G258,"EDBE",E2:E258,"0348",F2:F258,"14")</f>
        <v>1</v>
      </c>
      <c r="AX283" s="388">
        <f>SUMIFS(AX2:AX258,G2:G258,"EDBE",E2:E258,"0348",F2:F258,"14")</f>
        <v>73756.800000000003</v>
      </c>
      <c r="AY283" s="388">
        <f>SUMIFS(AY2:AY258,G2:G258,"EDBE",E2:E258,"0348",F2:F258,"14")</f>
        <v>73756.800000000003</v>
      </c>
      <c r="AZ283" s="388">
        <f>SUMIFS(AZ2:AZ258,G2:G258,"EDBE",E2:E258,"0348",F2:F258,"14")</f>
        <v>0</v>
      </c>
      <c r="BA283" s="388">
        <f>SUMIFS(BA2:BA258,G2:G258,"EDBE",E2:E258,"0348",F2:F258,"14")</f>
        <v>0</v>
      </c>
      <c r="BB283" s="388">
        <f>SUMIFS(BB2:BB258,G2:G258,"EDBE",E2:E258,"0348",F2:F258,"14")</f>
        <v>12500</v>
      </c>
      <c r="BC283" s="388">
        <f>SUMIFS(BC2:BC258,G2:G258,"EDBE",E2:E258,"0348",F2:F258,"14")</f>
        <v>0</v>
      </c>
      <c r="BD283" s="388">
        <f>SUMIFS(BD2:BD258,G2:G258,"EDBE",E2:E258,"0348",F2:F258,"14")</f>
        <v>4572.9216000000006</v>
      </c>
      <c r="BE283" s="388">
        <f>SUMIFS(BE2:BE258,G2:G258,"EDBE",E2:E258,"0348",F2:F258,"14")</f>
        <v>1069.4736</v>
      </c>
      <c r="BF283" s="388">
        <f>SUMIFS(BF2:BF258,G2:G258,"EDBE",E2:E258,"0348",F2:F258,"14")</f>
        <v>8806.5619200000001</v>
      </c>
      <c r="BG283" s="388">
        <f>SUMIFS(BG2:BG258,G2:G258,"EDBE",E2:E258,"0348",F2:F258,"14")</f>
        <v>531.78652800000009</v>
      </c>
      <c r="BH283" s="388">
        <f>SUMIFS(BH2:BH258,G2:G258,"EDBE",E2:E258,"0348",F2:F258,"14")</f>
        <v>0</v>
      </c>
      <c r="BI283" s="388">
        <f>SUMIFS(BI2:BI258,G2:G258,"EDBE",E2:E258,"0348",F2:F258,"14")</f>
        <v>0</v>
      </c>
      <c r="BJ283" s="388">
        <f>SUMIFS(BJ2:BJ258,G2:G258,"EDBE",E2:E258,"0348",F2:F258,"14")</f>
        <v>258.14879999999999</v>
      </c>
      <c r="BK283" s="388">
        <f>SUMIFS(BK2:BK258,G2:G258,"EDBE",E2:E258,"0348",F2:F258,"14")</f>
        <v>0</v>
      </c>
      <c r="BL283" s="388">
        <f>SUMIFS(BL2:BL258,G2:G258,"EDBE",E2:E258,"0348",F2:F258,"14")</f>
        <v>15238.892448000002</v>
      </c>
      <c r="BM283" s="388">
        <f>SUMIFS(BM2:BM258,G2:G258,"EDBE",E2:E258,"0348",F2:F258,"14")</f>
        <v>0</v>
      </c>
      <c r="BN283" s="388">
        <f>SUMIFS(BN2:BN258,G2:G258,"EDBE",E2:E258,"0348",F2:F258,"14")</f>
        <v>13750</v>
      </c>
      <c r="BO283" s="388">
        <f>SUMIFS(BO2:BO258,G2:G258,"EDBE",E2:E258,"0348",F2:F258,"14")</f>
        <v>0</v>
      </c>
      <c r="BP283" s="388">
        <f>SUMIFS(BP2:BP258,G2:G258,"EDBE",E2:E258,"0348",F2:F258,"14")</f>
        <v>4572.9216000000006</v>
      </c>
      <c r="BQ283" s="388">
        <f>SUMIFS(BQ2:BQ258,G2:G258,"EDBE",E2:E258,"0348",F2:F258,"14")</f>
        <v>1069.4736</v>
      </c>
      <c r="BR283" s="388">
        <f>SUMIFS(BR2:BR258,G2:G258,"EDBE",E2:E258,"0348",F2:F258,"14")</f>
        <v>8246.0102399999996</v>
      </c>
      <c r="BS283" s="388">
        <f>SUMIFS(BS2:BS258,G2:G258,"EDBE",E2:E258,"0348",F2:F258,"14")</f>
        <v>531.78652800000009</v>
      </c>
      <c r="BT283" s="388">
        <f>SUMIFS(BT2:BT258,G2:G258,"EDBE",E2:E258,"0348",F2:F258,"14")</f>
        <v>0</v>
      </c>
      <c r="BU283" s="388">
        <f>SUMIFS(BU2:BU258,G2:G258,"EDBE",E2:E258,"0348",F2:F258,"14")</f>
        <v>0</v>
      </c>
      <c r="BV283" s="388">
        <f>SUMIFS(BV2:BV258,G2:G258,"EDBE",E2:E258,"0348",F2:F258,"14")</f>
        <v>287.65152</v>
      </c>
      <c r="BW283" s="388">
        <f>SUMIFS(BW2:BW258,G2:G258,"EDBE",E2:E258,"0348",F2:F258,"14")</f>
        <v>0</v>
      </c>
      <c r="BX283" s="388">
        <f>SUMIFS(BX2:BX258,G2:G258,"EDBE",E2:E258,"0348",F2:F258,"14")</f>
        <v>14707.843488</v>
      </c>
      <c r="BY283" s="388">
        <f>SUMIFS(BY2:BY258,G2:G258,"EDBE",E2:E258,"0348",F2:F258,"14")</f>
        <v>0</v>
      </c>
      <c r="BZ283" s="388">
        <f>SUMIFS(BZ2:BZ258,G2:G258,"EDBE",E2:E258,"0348",F2:F258,"14")</f>
        <v>1250</v>
      </c>
      <c r="CA283" s="388">
        <f>SUMIFS(CA2:CA258,G2:G258,"EDBE",E2:E258,"0348",F2:F258,"14")</f>
        <v>0</v>
      </c>
      <c r="CB283" s="388">
        <f>SUMIFS(CB2:CB258,G2:G258,"EDBE",E2:E258,"0348",F2:F258,"14")</f>
        <v>0</v>
      </c>
      <c r="CC283" s="388">
        <f>SUMIFS(CC2:CC258,G2:G258,"EDBE",E2:E258,"0348",F2:F258,"14")</f>
        <v>0</v>
      </c>
      <c r="CD283" s="388">
        <f>SUMIFS(CD2:CD258,G2:G258,"EDBE",E2:E258,"0348",F2:F258,"14")</f>
        <v>-560.55168000000072</v>
      </c>
      <c r="CE283" s="388">
        <f>SUMIFS(CE2:CE258,G2:G258,"EDBE",E2:E258,"0348",F2:F258,"14")</f>
        <v>0</v>
      </c>
      <c r="CF283" s="388">
        <f>SUMIFS(CF2:CF258,G2:G258,"EDBE",E2:E258,"0348",F2:F258,"14")</f>
        <v>0</v>
      </c>
      <c r="CG283" s="388">
        <f>SUMIFS(CG2:CG258,G2:G258,"EDBE",E2:E258,"0348",F2:F258,"14")</f>
        <v>0</v>
      </c>
      <c r="CH283" s="388">
        <f>SUMIFS(CH2:CH258,G2:G258,"EDBE",E2:E258,"0348",F2:F258,"14")</f>
        <v>29.502719999999982</v>
      </c>
      <c r="CI283" s="388">
        <f>SUMIFS(CI2:CI258,G2:G258,"EDBE",E2:E258,"0348",F2:F258,"14")</f>
        <v>0</v>
      </c>
      <c r="CJ283" s="388">
        <f>SUMIFS(CJ2:CJ258,G2:G258,"EDBE",E2:E258,"0348",F2:F258,"14")</f>
        <v>-531.04896000000076</v>
      </c>
      <c r="CK283" s="388">
        <f>SUMIFS(CK2:CK258,G2:G258,"EDBE",E2:E258,"0348",F2:F258,"14")</f>
        <v>0</v>
      </c>
      <c r="CL283" s="388">
        <f>SUMIFS(CL2:CL258,G2:G258,"EDBE",E2:E258,"0348",F2:F258,"14")</f>
        <v>0</v>
      </c>
      <c r="CM283" s="388">
        <f>SUMIFS(CM2:CM258,G2:G258,"EDBE",E2:E258,"0348",F2:F258,"14")</f>
        <v>0</v>
      </c>
    </row>
    <row r="284" spans="43:91" ht="15.75" thickBot="1" x14ac:dyDescent="0.3">
      <c r="AR284" t="s">
        <v>867</v>
      </c>
      <c r="AS284" s="388">
        <f>SUMIFS(AS2:AS258,G2:G258,"EDBE",E2:E258,"0348",F2:F258,"95",AT2:AT258,1)</f>
        <v>17.7</v>
      </c>
      <c r="AT284" s="388">
        <f>SUMIFS(AS2:AS258,G2:G258,"EDBE",E2:E258,"0348",F2:F258,"95",AT2:AT258,3)</f>
        <v>0</v>
      </c>
      <c r="AU284" s="388">
        <f>SUMIFS(AU2:AU258,G2:G258,"EDBE",E2:E258,"0348",F2:F258,"95")</f>
        <v>27</v>
      </c>
      <c r="AV284" s="388">
        <f>SUMIFS(AV2:AV258,G2:G258,"EDBE",E2:E258,"0348",F2:F258,"95")</f>
        <v>0</v>
      </c>
      <c r="AW284" s="388">
        <f>SUMIFS(AW2:AW258,G2:G258,"EDBE",E2:E258,"0348",F2:F258,"95")</f>
        <v>82</v>
      </c>
      <c r="AX284" s="388">
        <f>SUMIFS(AX2:AX258,G2:G258,"EDBE",E2:E258,"0348",F2:F258,"95")</f>
        <v>2079126.38</v>
      </c>
      <c r="AY284" s="388">
        <f>SUMIFS(AY2:AY258,G2:G258,"EDBE",E2:E258,"0348",F2:F258,"95")</f>
        <v>1332347.0999999999</v>
      </c>
      <c r="AZ284" s="388">
        <f>SUMIFS(AZ2:AZ258,G2:G258,"EDBE",E2:E258,"0348",F2:F258,"95")</f>
        <v>0</v>
      </c>
      <c r="BA284" s="388">
        <f>SUMIFS(BA2:BA258,G2:G258,"EDBE",E2:E258,"0348",F2:F258,"95")</f>
        <v>0</v>
      </c>
      <c r="BB284" s="388">
        <f>SUMIFS(BB2:BB258,G2:G258,"EDBE",E2:E258,"0348",F2:F258,"95")</f>
        <v>221250</v>
      </c>
      <c r="BC284" s="388">
        <f>SUMIFS(BC2:BC258,G2:G258,"EDBE",E2:E258,"0348",F2:F258,"95")</f>
        <v>0</v>
      </c>
      <c r="BD284" s="388">
        <f>SUMIFS(BD2:BD258,G2:G258,"EDBE",E2:E258,"0348",F2:F258,"95")</f>
        <v>82605.520200000014</v>
      </c>
      <c r="BE284" s="388">
        <f>SUMIFS(BE2:BE258,G2:G258,"EDBE",E2:E258,"0348",F2:F258,"95")</f>
        <v>19319.032950000001</v>
      </c>
      <c r="BF284" s="388">
        <f>SUMIFS(BF2:BF258,G2:G258,"EDBE",E2:E258,"0348",F2:F258,"95")</f>
        <v>159082.24373999995</v>
      </c>
      <c r="BG284" s="388">
        <f>SUMIFS(BG2:BG258,G2:G258,"EDBE",E2:E258,"0348",F2:F258,"95")</f>
        <v>9606.2225910000016</v>
      </c>
      <c r="BH284" s="388">
        <f>SUMIFS(BH2:BH258,G2:G258,"EDBE",E2:E258,"0348",F2:F258,"95")</f>
        <v>0</v>
      </c>
      <c r="BI284" s="388">
        <f>SUMIFS(BI2:BI258,G2:G258,"EDBE",E2:E258,"0348",F2:F258,"95")</f>
        <v>0</v>
      </c>
      <c r="BJ284" s="388">
        <f>SUMIFS(BJ2:BJ258,G2:G258,"EDBE",E2:E258,"0348",F2:F258,"95")</f>
        <v>4663.2148499999994</v>
      </c>
      <c r="BK284" s="388">
        <f>SUMIFS(BK2:BK258,G2:G258,"EDBE",E2:E258,"0348",F2:F258,"95")</f>
        <v>0</v>
      </c>
      <c r="BL284" s="388">
        <f>SUMIFS(BL2:BL258,G2:G258,"EDBE",E2:E258,"0348",F2:F258,"95")</f>
        <v>275276.23433099996</v>
      </c>
      <c r="BM284" s="388">
        <f>SUMIFS(BM2:BM258,G2:G258,"EDBE",E2:E258,"0348",F2:F258,"95")</f>
        <v>0</v>
      </c>
      <c r="BN284" s="388">
        <f>SUMIFS(BN2:BN258,G2:G258,"EDBE",E2:E258,"0348",F2:F258,"95")</f>
        <v>243375</v>
      </c>
      <c r="BO284" s="388">
        <f>SUMIFS(BO2:BO258,G2:G258,"EDBE",E2:E258,"0348",F2:F258,"95")</f>
        <v>0</v>
      </c>
      <c r="BP284" s="388">
        <f>SUMIFS(BP2:BP258,G2:G258,"EDBE",E2:E258,"0348",F2:F258,"95")</f>
        <v>82605.520200000014</v>
      </c>
      <c r="BQ284" s="388">
        <f>SUMIFS(BQ2:BQ258,G2:G258,"EDBE",E2:E258,"0348",F2:F258,"95")</f>
        <v>19319.032950000001</v>
      </c>
      <c r="BR284" s="388">
        <f>SUMIFS(BR2:BR258,G2:G258,"EDBE",E2:E258,"0348",F2:F258,"95")</f>
        <v>148956.40578000003</v>
      </c>
      <c r="BS284" s="388">
        <f>SUMIFS(BS2:BS258,G2:G258,"EDBE",E2:E258,"0348",F2:F258,"95")</f>
        <v>9606.2225910000016</v>
      </c>
      <c r="BT284" s="388">
        <f>SUMIFS(BT2:BT258,G2:G258,"EDBE",E2:E258,"0348",F2:F258,"95")</f>
        <v>0</v>
      </c>
      <c r="BU284" s="388">
        <f>SUMIFS(BU2:BU258,G2:G258,"EDBE",E2:E258,"0348",F2:F258,"95")</f>
        <v>0</v>
      </c>
      <c r="BV284" s="388">
        <f>SUMIFS(BV2:BV258,G2:G258,"EDBE",E2:E258,"0348",F2:F258,"95")</f>
        <v>5196.1536899999983</v>
      </c>
      <c r="BW284" s="388">
        <f>SUMIFS(BW2:BW258,G2:G258,"EDBE",E2:E258,"0348",F2:F258,"95")</f>
        <v>0</v>
      </c>
      <c r="BX284" s="388">
        <f>SUMIFS(BX2:BX258,G2:G258,"EDBE",E2:E258,"0348",F2:F258,"95")</f>
        <v>265683.33521099994</v>
      </c>
      <c r="BY284" s="388">
        <f>SUMIFS(BY2:BY258,G2:G258,"EDBE",E2:E258,"0348",F2:F258,"95")</f>
        <v>0</v>
      </c>
      <c r="BZ284" s="388">
        <f>SUMIFS(BZ2:BZ258,G2:G258,"EDBE",E2:E258,"0348",F2:F258,"95")</f>
        <v>22125</v>
      </c>
      <c r="CA284" s="388">
        <f>SUMIFS(CA2:CA258,G2:G258,"EDBE",E2:E258,"0348",F2:F258,"95")</f>
        <v>0</v>
      </c>
      <c r="CB284" s="388">
        <f>SUMIFS(CB2:CB258,G2:G258,"EDBE",E2:E258,"0348",F2:F258,"95")</f>
        <v>0</v>
      </c>
      <c r="CC284" s="388">
        <f>SUMIFS(CC2:CC258,G2:G258,"EDBE",E2:E258,"0348",F2:F258,"95")</f>
        <v>0</v>
      </c>
      <c r="CD284" s="388">
        <f>SUMIFS(CD2:CD258,G2:G258,"EDBE",E2:E258,"0348",F2:F258,"95")</f>
        <v>-10125.837960000015</v>
      </c>
      <c r="CE284" s="388">
        <f>SUMIFS(CE2:CE258,G2:G258,"EDBE",E2:E258,"0348",F2:F258,"95")</f>
        <v>0</v>
      </c>
      <c r="CF284" s="388">
        <f>SUMIFS(CF2:CF258,G2:G258,"EDBE",E2:E258,"0348",F2:F258,"95")</f>
        <v>0</v>
      </c>
      <c r="CG284" s="388">
        <f>SUMIFS(CG2:CG258,G2:G258,"EDBE",E2:E258,"0348",F2:F258,"95")</f>
        <v>0</v>
      </c>
      <c r="CH284" s="388">
        <f>SUMIFS(CH2:CH258,G2:G258,"EDBE",E2:E258,"0348",F2:F258,"95")</f>
        <v>532.93883999999969</v>
      </c>
      <c r="CI284" s="388">
        <f>SUMIFS(CI2:CI258,G2:G258,"EDBE",E2:E258,"0348",F2:F258,"95")</f>
        <v>0</v>
      </c>
      <c r="CJ284" s="388">
        <f>SUMIFS(CJ2:CJ258,G2:G258,"EDBE",E2:E258,"0348",F2:F258,"95")</f>
        <v>-9592.8991200000146</v>
      </c>
      <c r="CK284" s="388">
        <f>SUMIFS(CK2:CK258,G2:G258,"EDBE",E2:E258,"0348",F2:F258,"95")</f>
        <v>0</v>
      </c>
      <c r="CL284" s="388">
        <f>SUMIFS(CL2:CL258,G2:G258,"EDBE",E2:E258,"0348",F2:F258,"95")</f>
        <v>0</v>
      </c>
      <c r="CM284" s="388">
        <f>SUMIFS(CM2:CM258,G2:G258,"EDBE",E2:E258,"0348",F2:F258,"95")</f>
        <v>0</v>
      </c>
    </row>
    <row r="285" spans="43:91" ht="18.75" x14ac:dyDescent="0.3">
      <c r="AQ285" s="394" t="s">
        <v>868</v>
      </c>
      <c r="AS285" s="395">
        <f t="shared" ref="AS285:CM285" si="182">SUM(AS279:AS284)</f>
        <v>41.22</v>
      </c>
      <c r="AT285" s="395">
        <f t="shared" si="182"/>
        <v>0</v>
      </c>
      <c r="AU285" s="395">
        <f t="shared" si="182"/>
        <v>63</v>
      </c>
      <c r="AV285" s="395">
        <f t="shared" si="182"/>
        <v>0</v>
      </c>
      <c r="AW285" s="395">
        <f t="shared" si="182"/>
        <v>198</v>
      </c>
      <c r="AX285" s="395">
        <f t="shared" si="182"/>
        <v>4533942.2899999991</v>
      </c>
      <c r="AY285" s="395">
        <f t="shared" si="182"/>
        <v>2916723.42</v>
      </c>
      <c r="AZ285" s="395">
        <f t="shared" si="182"/>
        <v>0</v>
      </c>
      <c r="BA285" s="395">
        <f t="shared" si="182"/>
        <v>0</v>
      </c>
      <c r="BB285" s="395">
        <f t="shared" si="182"/>
        <v>515250</v>
      </c>
      <c r="BC285" s="395">
        <f t="shared" si="182"/>
        <v>0</v>
      </c>
      <c r="BD285" s="395">
        <f t="shared" si="182"/>
        <v>180836.85204000003</v>
      </c>
      <c r="BE285" s="395">
        <f t="shared" si="182"/>
        <v>42292.489590000005</v>
      </c>
      <c r="BF285" s="395">
        <f t="shared" si="182"/>
        <v>348256.77634799993</v>
      </c>
      <c r="BG285" s="395">
        <f t="shared" si="182"/>
        <v>21029.575858200002</v>
      </c>
      <c r="BH285" s="395">
        <f t="shared" si="182"/>
        <v>0</v>
      </c>
      <c r="BI285" s="395">
        <f t="shared" si="182"/>
        <v>0</v>
      </c>
      <c r="BJ285" s="395">
        <f t="shared" si="182"/>
        <v>10208.53197</v>
      </c>
      <c r="BK285" s="395">
        <f t="shared" si="182"/>
        <v>0</v>
      </c>
      <c r="BL285" s="395">
        <f t="shared" si="182"/>
        <v>602624.22580619995</v>
      </c>
      <c r="BM285" s="395">
        <f t="shared" si="182"/>
        <v>0</v>
      </c>
      <c r="BN285" s="395">
        <f t="shared" si="182"/>
        <v>566775</v>
      </c>
      <c r="BO285" s="395">
        <f t="shared" si="182"/>
        <v>0</v>
      </c>
      <c r="BP285" s="395">
        <f t="shared" si="182"/>
        <v>180836.85204000003</v>
      </c>
      <c r="BQ285" s="395">
        <f t="shared" si="182"/>
        <v>42292.489590000005</v>
      </c>
      <c r="BR285" s="395">
        <f t="shared" si="182"/>
        <v>326089.67835599999</v>
      </c>
      <c r="BS285" s="395">
        <f t="shared" si="182"/>
        <v>21029.575858200002</v>
      </c>
      <c r="BT285" s="395">
        <f t="shared" si="182"/>
        <v>0</v>
      </c>
      <c r="BU285" s="395">
        <f t="shared" si="182"/>
        <v>0</v>
      </c>
      <c r="BV285" s="395">
        <f t="shared" si="182"/>
        <v>11375.221337999999</v>
      </c>
      <c r="BW285" s="395">
        <f t="shared" si="182"/>
        <v>0</v>
      </c>
      <c r="BX285" s="395">
        <f t="shared" si="182"/>
        <v>581623.81718220003</v>
      </c>
      <c r="BY285" s="395">
        <f t="shared" si="182"/>
        <v>0</v>
      </c>
      <c r="BZ285" s="395">
        <f t="shared" si="182"/>
        <v>51525</v>
      </c>
      <c r="CA285" s="395">
        <f t="shared" si="182"/>
        <v>0</v>
      </c>
      <c r="CB285" s="395">
        <f t="shared" si="182"/>
        <v>0</v>
      </c>
      <c r="CC285" s="395">
        <f t="shared" si="182"/>
        <v>0</v>
      </c>
      <c r="CD285" s="395">
        <f t="shared" si="182"/>
        <v>-22167.097992000032</v>
      </c>
      <c r="CE285" s="395">
        <f t="shared" si="182"/>
        <v>0</v>
      </c>
      <c r="CF285" s="395">
        <f t="shared" si="182"/>
        <v>0</v>
      </c>
      <c r="CG285" s="395">
        <f t="shared" si="182"/>
        <v>0</v>
      </c>
      <c r="CH285" s="395">
        <f t="shared" si="182"/>
        <v>1166.6893679999994</v>
      </c>
      <c r="CI285" s="395">
        <f t="shared" si="182"/>
        <v>0</v>
      </c>
      <c r="CJ285" s="395">
        <f t="shared" si="182"/>
        <v>-21000.408624000032</v>
      </c>
      <c r="CK285" s="395">
        <f t="shared" si="182"/>
        <v>0</v>
      </c>
      <c r="CL285" s="395">
        <f t="shared" si="182"/>
        <v>0</v>
      </c>
      <c r="CM285" s="395">
        <f t="shared" si="182"/>
        <v>0</v>
      </c>
    </row>
    <row r="286" spans="43:91" ht="15.75" thickBot="1" x14ac:dyDescent="0.3">
      <c r="AR286" t="s">
        <v>873</v>
      </c>
      <c r="AS286" s="388">
        <f>SUMIFS(AS2:AS258,G2:G258,"EDBE",E2:E258,"0349",F2:F258,"00",AT2:AT258,1)</f>
        <v>2.5</v>
      </c>
      <c r="AT286" s="388">
        <f>SUMIFS(AS2:AS258,G2:G258,"EDBE",E2:E258,"0349",F2:F258,"00",AT2:AT258,3)</f>
        <v>0</v>
      </c>
      <c r="AU286" s="388">
        <f>SUMIFS(AU2:AU258,G2:G258,"EDBE",E2:E258,"0349",F2:F258,"00")</f>
        <v>4</v>
      </c>
      <c r="AV286" s="388">
        <f>SUMIFS(AV2:AV258,G2:G258,"EDBE",E2:E258,"0349",F2:F258,"00")</f>
        <v>0</v>
      </c>
      <c r="AW286" s="388">
        <f>SUMIFS(AW2:AW258,G2:G258,"EDBE",E2:E258,"0349",F2:F258,"00")</f>
        <v>19</v>
      </c>
      <c r="AX286" s="388">
        <f>SUMIFS(AX2:AX258,G2:G258,"EDBE",E2:E258,"0349",F2:F258,"00")</f>
        <v>279240</v>
      </c>
      <c r="AY286" s="388">
        <f>SUMIFS(AY2:AY258,G2:G258,"EDBE",E2:E258,"0349",F2:F258,"00")</f>
        <v>173406.48</v>
      </c>
      <c r="AZ286" s="388">
        <f>SUMIFS(AZ2:AZ258,G2:G258,"EDBE",E2:E258,"0349",F2:F258,"00")</f>
        <v>0</v>
      </c>
      <c r="BA286" s="388">
        <f>SUMIFS(BA2:BA258,G2:G258,"EDBE",E2:E258,"0349",F2:F258,"00")</f>
        <v>0</v>
      </c>
      <c r="BB286" s="388">
        <f>SUMIFS(BB2:BB258,G2:G258,"EDBE",E2:E258,"0349",F2:F258,"00")</f>
        <v>31250</v>
      </c>
      <c r="BC286" s="388">
        <f>SUMIFS(BC2:BC258,G2:G258,"EDBE",E2:E258,"0349",F2:F258,"00")</f>
        <v>0</v>
      </c>
      <c r="BD286" s="388">
        <f>SUMIFS(BD2:BD258,G2:G258,"EDBE",E2:E258,"0349",F2:F258,"00")</f>
        <v>10751.20176</v>
      </c>
      <c r="BE286" s="388">
        <f>SUMIFS(BE2:BE258,G2:G258,"EDBE",E2:E258,"0349",F2:F258,"00")</f>
        <v>2514.3939600000003</v>
      </c>
      <c r="BF286" s="388">
        <f>SUMIFS(BF2:BF258,G2:G258,"EDBE",E2:E258,"0349",F2:F258,"00")</f>
        <v>20704.733712000001</v>
      </c>
      <c r="BG286" s="388">
        <f>SUMIFS(BG2:BG258,G2:G258,"EDBE",E2:E258,"0349",F2:F258,"00")</f>
        <v>1250.2607207999999</v>
      </c>
      <c r="BH286" s="388">
        <f>SUMIFS(BH2:BH258,G2:G258,"EDBE",E2:E258,"0349",F2:F258,"00")</f>
        <v>0</v>
      </c>
      <c r="BI286" s="388">
        <f>SUMIFS(BI2:BI258,G2:G258,"EDBE",E2:E258,"0349",F2:F258,"00")</f>
        <v>0</v>
      </c>
      <c r="BJ286" s="388">
        <f>SUMIFS(BJ2:BJ258,G2:G258,"EDBE",E2:E258,"0349",F2:F258,"00")</f>
        <v>606.9226799999999</v>
      </c>
      <c r="BK286" s="388">
        <f>SUMIFS(BK2:BK258,G2:G258,"EDBE",E2:E258,"0349",F2:F258,"00")</f>
        <v>0</v>
      </c>
      <c r="BL286" s="388">
        <f>SUMIFS(BL2:BL258,G2:G258,"EDBE",E2:E258,"0349",F2:F258,"00")</f>
        <v>35827.512832799999</v>
      </c>
      <c r="BM286" s="388">
        <f>SUMIFS(BM2:BM258,G2:G258,"EDBE",E2:E258,"0349",F2:F258,"00")</f>
        <v>0</v>
      </c>
      <c r="BN286" s="388">
        <f>SUMIFS(BN2:BN258,G2:G258,"EDBE",E2:E258,"0349",F2:F258,"00")</f>
        <v>34375</v>
      </c>
      <c r="BO286" s="388">
        <f>SUMIFS(BO2:BO258,G2:G258,"EDBE",E2:E258,"0349",F2:F258,"00")</f>
        <v>0</v>
      </c>
      <c r="BP286" s="388">
        <f>SUMIFS(BP2:BP258,G2:G258,"EDBE",E2:E258,"0349",F2:F258,"00")</f>
        <v>10751.20176</v>
      </c>
      <c r="BQ286" s="388">
        <f>SUMIFS(BQ2:BQ258,G2:G258,"EDBE",E2:E258,"0349",F2:F258,"00")</f>
        <v>2514.3939600000003</v>
      </c>
      <c r="BR286" s="388">
        <f>SUMIFS(BR2:BR258,G2:G258,"EDBE",E2:E258,"0349",F2:F258,"00")</f>
        <v>19386.844463999998</v>
      </c>
      <c r="BS286" s="388">
        <f>SUMIFS(BS2:BS258,G2:G258,"EDBE",E2:E258,"0349",F2:F258,"00")</f>
        <v>1250.2607207999999</v>
      </c>
      <c r="BT286" s="388">
        <f>SUMIFS(BT2:BT258,G2:G258,"EDBE",E2:E258,"0349",F2:F258,"00")</f>
        <v>0</v>
      </c>
      <c r="BU286" s="388">
        <f>SUMIFS(BU2:BU258,G2:G258,"EDBE",E2:E258,"0349",F2:F258,"00")</f>
        <v>0</v>
      </c>
      <c r="BV286" s="388">
        <f>SUMIFS(BV2:BV258,G2:G258,"EDBE",E2:E258,"0349",F2:F258,"00")</f>
        <v>676.28527199999996</v>
      </c>
      <c r="BW286" s="388">
        <f>SUMIFS(BW2:BW258,G2:G258,"EDBE",E2:E258,"0349",F2:F258,"00")</f>
        <v>0</v>
      </c>
      <c r="BX286" s="388">
        <f>SUMIFS(BX2:BX258,G2:G258,"EDBE",E2:E258,"0349",F2:F258,"00")</f>
        <v>34578.986176799997</v>
      </c>
      <c r="BY286" s="388">
        <f>SUMIFS(BY2:BY258,G2:G258,"EDBE",E2:E258,"0349",F2:F258,"00")</f>
        <v>0</v>
      </c>
      <c r="BZ286" s="388">
        <f>SUMIFS(BZ2:BZ258,G2:G258,"EDBE",E2:E258,"0349",F2:F258,"00")</f>
        <v>3125</v>
      </c>
      <c r="CA286" s="388">
        <f>SUMIFS(CA2:CA258,G2:G258,"EDBE",E2:E258,"0349",F2:F258,"00")</f>
        <v>0</v>
      </c>
      <c r="CB286" s="388">
        <f>SUMIFS(CB2:CB258,G2:G258,"EDBE",E2:E258,"0349",F2:F258,"00")</f>
        <v>0</v>
      </c>
      <c r="CC286" s="388">
        <f>SUMIFS(CC2:CC258,G2:G258,"EDBE",E2:E258,"0349",F2:F258,"00")</f>
        <v>0</v>
      </c>
      <c r="CD286" s="388">
        <f>SUMIFS(CD2:CD258,G2:G258,"EDBE",E2:E258,"0349",F2:F258,"00")</f>
        <v>-1317.8892480000015</v>
      </c>
      <c r="CE286" s="388">
        <f>SUMIFS(CE2:CE258,G2:G258,"EDBE",E2:E258,"0349",F2:F258,"00")</f>
        <v>0</v>
      </c>
      <c r="CF286" s="388">
        <f>SUMIFS(CF2:CF258,G2:G258,"EDBE",E2:E258,"0349",F2:F258,"00")</f>
        <v>0</v>
      </c>
      <c r="CG286" s="388">
        <f>SUMIFS(CG2:CG258,G2:G258,"EDBE",E2:E258,"0349",F2:F258,"00")</f>
        <v>0</v>
      </c>
      <c r="CH286" s="388">
        <f>SUMIFS(CH2:CH258,G2:G258,"EDBE",E2:E258,"0349",F2:F258,"00")</f>
        <v>69.36259199999995</v>
      </c>
      <c r="CI286" s="388">
        <f>SUMIFS(CI2:CI258,G2:G258,"EDBE",E2:E258,"0349",F2:F258,"00")</f>
        <v>0</v>
      </c>
      <c r="CJ286" s="388">
        <f>SUMIFS(CJ2:CJ258,G2:G258,"EDBE",E2:E258,"0349",F2:F258,"00")</f>
        <v>-1248.5266560000018</v>
      </c>
      <c r="CK286" s="388">
        <f>SUMIFS(CK2:CK258,G2:G258,"EDBE",E2:E258,"0349",F2:F258,"00")</f>
        <v>0</v>
      </c>
      <c r="CL286" s="388">
        <f>SUMIFS(CL2:CL258,G2:G258,"EDBE",E2:E258,"0349",F2:F258,"00")</f>
        <v>0</v>
      </c>
      <c r="CM286" s="388">
        <f>SUMIFS(CM2:CM258,G2:G258,"EDBE",E2:E258,"0349",F2:F258,"00")</f>
        <v>0</v>
      </c>
    </row>
    <row r="287" spans="43:91" ht="18.75" x14ac:dyDescent="0.3">
      <c r="AQ287" s="394" t="s">
        <v>874</v>
      </c>
      <c r="AS287" s="395">
        <f t="shared" ref="AS287:CM287" si="183">SUM(AS286:AS286)</f>
        <v>2.5</v>
      </c>
      <c r="AT287" s="395">
        <f t="shared" si="183"/>
        <v>0</v>
      </c>
      <c r="AU287" s="395">
        <f t="shared" si="183"/>
        <v>4</v>
      </c>
      <c r="AV287" s="395">
        <f t="shared" si="183"/>
        <v>0</v>
      </c>
      <c r="AW287" s="395">
        <f t="shared" si="183"/>
        <v>19</v>
      </c>
      <c r="AX287" s="395">
        <f t="shared" si="183"/>
        <v>279240</v>
      </c>
      <c r="AY287" s="395">
        <f t="shared" si="183"/>
        <v>173406.48</v>
      </c>
      <c r="AZ287" s="395">
        <f t="shared" si="183"/>
        <v>0</v>
      </c>
      <c r="BA287" s="395">
        <f t="shared" si="183"/>
        <v>0</v>
      </c>
      <c r="BB287" s="395">
        <f t="shared" si="183"/>
        <v>31250</v>
      </c>
      <c r="BC287" s="395">
        <f t="shared" si="183"/>
        <v>0</v>
      </c>
      <c r="BD287" s="395">
        <f t="shared" si="183"/>
        <v>10751.20176</v>
      </c>
      <c r="BE287" s="395">
        <f t="shared" si="183"/>
        <v>2514.3939600000003</v>
      </c>
      <c r="BF287" s="395">
        <f t="shared" si="183"/>
        <v>20704.733712000001</v>
      </c>
      <c r="BG287" s="395">
        <f t="shared" si="183"/>
        <v>1250.2607207999999</v>
      </c>
      <c r="BH287" s="395">
        <f t="shared" si="183"/>
        <v>0</v>
      </c>
      <c r="BI287" s="395">
        <f t="shared" si="183"/>
        <v>0</v>
      </c>
      <c r="BJ287" s="395">
        <f t="shared" si="183"/>
        <v>606.9226799999999</v>
      </c>
      <c r="BK287" s="395">
        <f t="shared" si="183"/>
        <v>0</v>
      </c>
      <c r="BL287" s="395">
        <f t="shared" si="183"/>
        <v>35827.512832799999</v>
      </c>
      <c r="BM287" s="395">
        <f t="shared" si="183"/>
        <v>0</v>
      </c>
      <c r="BN287" s="395">
        <f t="shared" si="183"/>
        <v>34375</v>
      </c>
      <c r="BO287" s="395">
        <f t="shared" si="183"/>
        <v>0</v>
      </c>
      <c r="BP287" s="395">
        <f t="shared" si="183"/>
        <v>10751.20176</v>
      </c>
      <c r="BQ287" s="395">
        <f t="shared" si="183"/>
        <v>2514.3939600000003</v>
      </c>
      <c r="BR287" s="395">
        <f t="shared" si="183"/>
        <v>19386.844463999998</v>
      </c>
      <c r="BS287" s="395">
        <f t="shared" si="183"/>
        <v>1250.2607207999999</v>
      </c>
      <c r="BT287" s="395">
        <f t="shared" si="183"/>
        <v>0</v>
      </c>
      <c r="BU287" s="395">
        <f t="shared" si="183"/>
        <v>0</v>
      </c>
      <c r="BV287" s="395">
        <f t="shared" si="183"/>
        <v>676.28527199999996</v>
      </c>
      <c r="BW287" s="395">
        <f t="shared" si="183"/>
        <v>0</v>
      </c>
      <c r="BX287" s="395">
        <f t="shared" si="183"/>
        <v>34578.986176799997</v>
      </c>
      <c r="BY287" s="395">
        <f t="shared" si="183"/>
        <v>0</v>
      </c>
      <c r="BZ287" s="395">
        <f t="shared" si="183"/>
        <v>3125</v>
      </c>
      <c r="CA287" s="395">
        <f t="shared" si="183"/>
        <v>0</v>
      </c>
      <c r="CB287" s="395">
        <f t="shared" si="183"/>
        <v>0</v>
      </c>
      <c r="CC287" s="395">
        <f t="shared" si="183"/>
        <v>0</v>
      </c>
      <c r="CD287" s="395">
        <f t="shared" si="183"/>
        <v>-1317.8892480000015</v>
      </c>
      <c r="CE287" s="395">
        <f t="shared" si="183"/>
        <v>0</v>
      </c>
      <c r="CF287" s="395">
        <f t="shared" si="183"/>
        <v>0</v>
      </c>
      <c r="CG287" s="395">
        <f t="shared" si="183"/>
        <v>0</v>
      </c>
      <c r="CH287" s="395">
        <f t="shared" si="183"/>
        <v>69.36259199999995</v>
      </c>
      <c r="CI287" s="395">
        <f t="shared" si="183"/>
        <v>0</v>
      </c>
      <c r="CJ287" s="395">
        <f t="shared" si="183"/>
        <v>-1248.5266560000018</v>
      </c>
      <c r="CK287" s="395">
        <f t="shared" si="183"/>
        <v>0</v>
      </c>
      <c r="CL287" s="395">
        <f t="shared" si="183"/>
        <v>0</v>
      </c>
      <c r="CM287" s="395">
        <f t="shared" si="183"/>
        <v>0</v>
      </c>
    </row>
    <row r="288" spans="43:91" ht="15.75" thickBot="1" x14ac:dyDescent="0.3">
      <c r="AR288" t="s">
        <v>879</v>
      </c>
      <c r="AS288" s="388">
        <f>SUMIFS(AS2:AS258,G2:G258,"EDBG",E2:E258,"0125",F2:F258,"00",AT2:AT258,1)</f>
        <v>1</v>
      </c>
      <c r="AT288" s="388">
        <f>SUMIFS(AS2:AS258,G2:G258,"EDBG",E2:E258,"0125",F2:F258,"00",AT2:AT258,3)</f>
        <v>0</v>
      </c>
      <c r="AU288" s="388">
        <f>SUMIFS(AU2:AU258,G2:G258,"EDBG",E2:E258,"0125",F2:F258,"00")</f>
        <v>1</v>
      </c>
      <c r="AV288" s="388">
        <f>SUMIFS(AV2:AV258,G2:G258,"EDBG",E2:E258,"0125",F2:F258,"00")</f>
        <v>0</v>
      </c>
      <c r="AW288" s="388">
        <f>SUMIFS(AW2:AW258,G2:G258,"EDBG",E2:E258,"0125",F2:F258,"00")</f>
        <v>2</v>
      </c>
      <c r="AX288" s="388">
        <f>SUMIFS(AX2:AX258,G2:G258,"EDBG",E2:E258,"0125",F2:F258,"00")</f>
        <v>80433.600000000006</v>
      </c>
      <c r="AY288" s="388">
        <f>SUMIFS(AY2:AY258,G2:G258,"EDBG",E2:E258,"0125",F2:F258,"00")</f>
        <v>80433.600000000006</v>
      </c>
      <c r="AZ288" s="388">
        <f>SUMIFS(AZ2:AZ258,G2:G258,"EDBG",E2:E258,"0125",F2:F258,"00")</f>
        <v>0</v>
      </c>
      <c r="BA288" s="388">
        <f>SUMIFS(BA2:BA258,G2:G258,"EDBG",E2:E258,"0125",F2:F258,"00")</f>
        <v>0</v>
      </c>
      <c r="BB288" s="388">
        <f>SUMIFS(BB2:BB258,G2:G258,"EDBG",E2:E258,"0125",F2:F258,"00")</f>
        <v>12500</v>
      </c>
      <c r="BC288" s="388">
        <f>SUMIFS(BC2:BC258,G2:G258,"EDBG",E2:E258,"0125",F2:F258,"00")</f>
        <v>0</v>
      </c>
      <c r="BD288" s="388">
        <f>SUMIFS(BD2:BD258,G2:G258,"EDBG",E2:E258,"0125",F2:F258,"00")</f>
        <v>4986.8832000000002</v>
      </c>
      <c r="BE288" s="388">
        <f>SUMIFS(BE2:BE258,G2:G258,"EDBG",E2:E258,"0125",F2:F258,"00")</f>
        <v>1166.2872000000002</v>
      </c>
      <c r="BF288" s="388">
        <f>SUMIFS(BF2:BF258,G2:G258,"EDBG",E2:E258,"0125",F2:F258,"00")</f>
        <v>9603.7718400000012</v>
      </c>
      <c r="BG288" s="388">
        <f>SUMIFS(BG2:BG258,G2:G258,"EDBG",E2:E258,"0125",F2:F258,"00")</f>
        <v>579.92625600000008</v>
      </c>
      <c r="BH288" s="388">
        <f>SUMIFS(BH2:BH258,G2:G258,"EDBG",E2:E258,"0125",F2:F258,"00")</f>
        <v>0</v>
      </c>
      <c r="BI288" s="388">
        <f>SUMIFS(BI2:BI258,G2:G258,"EDBG",E2:E258,"0125",F2:F258,"00")</f>
        <v>0</v>
      </c>
      <c r="BJ288" s="388">
        <f>SUMIFS(BJ2:BJ258,G2:G258,"EDBG",E2:E258,"0125",F2:F258,"00")</f>
        <v>281.51760000000002</v>
      </c>
      <c r="BK288" s="388">
        <f>SUMIFS(BK2:BK258,G2:G258,"EDBG",E2:E258,"0125",F2:F258,"00")</f>
        <v>0</v>
      </c>
      <c r="BL288" s="388">
        <f>SUMIFS(BL2:BL258,G2:G258,"EDBG",E2:E258,"0125",F2:F258,"00")</f>
        <v>16618.386096000002</v>
      </c>
      <c r="BM288" s="388">
        <f>SUMIFS(BM2:BM258,G2:G258,"EDBG",E2:E258,"0125",F2:F258,"00")</f>
        <v>0</v>
      </c>
      <c r="BN288" s="388">
        <f>SUMIFS(BN2:BN258,G2:G258,"EDBG",E2:E258,"0125",F2:F258,"00")</f>
        <v>13750</v>
      </c>
      <c r="BO288" s="388">
        <f>SUMIFS(BO2:BO258,G2:G258,"EDBG",E2:E258,"0125",F2:F258,"00")</f>
        <v>0</v>
      </c>
      <c r="BP288" s="388">
        <f>SUMIFS(BP2:BP258,G2:G258,"EDBG",E2:E258,"0125",F2:F258,"00")</f>
        <v>4986.8832000000002</v>
      </c>
      <c r="BQ288" s="388">
        <f>SUMIFS(BQ2:BQ258,G2:G258,"EDBG",E2:E258,"0125",F2:F258,"00")</f>
        <v>1166.2872000000002</v>
      </c>
      <c r="BR288" s="388">
        <f>SUMIFS(BR2:BR258,G2:G258,"EDBG",E2:E258,"0125",F2:F258,"00")</f>
        <v>8992.4764800000012</v>
      </c>
      <c r="BS288" s="388">
        <f>SUMIFS(BS2:BS258,G2:G258,"EDBG",E2:E258,"0125",F2:F258,"00")</f>
        <v>579.92625600000008</v>
      </c>
      <c r="BT288" s="388">
        <f>SUMIFS(BT2:BT258,G2:G258,"EDBG",E2:E258,"0125",F2:F258,"00")</f>
        <v>0</v>
      </c>
      <c r="BU288" s="388">
        <f>SUMIFS(BU2:BU258,G2:G258,"EDBG",E2:E258,"0125",F2:F258,"00")</f>
        <v>0</v>
      </c>
      <c r="BV288" s="388">
        <f>SUMIFS(BV2:BV258,G2:G258,"EDBG",E2:E258,"0125",F2:F258,"00")</f>
        <v>313.69103999999999</v>
      </c>
      <c r="BW288" s="388">
        <f>SUMIFS(BW2:BW258,G2:G258,"EDBG",E2:E258,"0125",F2:F258,"00")</f>
        <v>0</v>
      </c>
      <c r="BX288" s="388">
        <f>SUMIFS(BX2:BX258,G2:G258,"EDBG",E2:E258,"0125",F2:F258,"00")</f>
        <v>16039.264176000002</v>
      </c>
      <c r="BY288" s="388">
        <f>SUMIFS(BY2:BY258,G2:G258,"EDBG",E2:E258,"0125",F2:F258,"00")</f>
        <v>0</v>
      </c>
      <c r="BZ288" s="388">
        <f>SUMIFS(BZ2:BZ258,G2:G258,"EDBG",E2:E258,"0125",F2:F258,"00")</f>
        <v>1250</v>
      </c>
      <c r="CA288" s="388">
        <f>SUMIFS(CA2:CA258,G2:G258,"EDBG",E2:E258,"0125",F2:F258,"00")</f>
        <v>0</v>
      </c>
      <c r="CB288" s="388">
        <f>SUMIFS(CB2:CB258,G2:G258,"EDBG",E2:E258,"0125",F2:F258,"00")</f>
        <v>0</v>
      </c>
      <c r="CC288" s="388">
        <f>SUMIFS(CC2:CC258,G2:G258,"EDBG",E2:E258,"0125",F2:F258,"00")</f>
        <v>0</v>
      </c>
      <c r="CD288" s="388">
        <f>SUMIFS(CD2:CD258,G2:G258,"EDBG",E2:E258,"0125",F2:F258,"00")</f>
        <v>-611.29536000000076</v>
      </c>
      <c r="CE288" s="388">
        <f>SUMIFS(CE2:CE258,G2:G258,"EDBG",E2:E258,"0125",F2:F258,"00")</f>
        <v>0</v>
      </c>
      <c r="CF288" s="388">
        <f>SUMIFS(CF2:CF258,G2:G258,"EDBG",E2:E258,"0125",F2:F258,"00")</f>
        <v>0</v>
      </c>
      <c r="CG288" s="388">
        <f>SUMIFS(CG2:CG258,G2:G258,"EDBG",E2:E258,"0125",F2:F258,"00")</f>
        <v>0</v>
      </c>
      <c r="CH288" s="388">
        <f>SUMIFS(CH2:CH258,G2:G258,"EDBG",E2:E258,"0125",F2:F258,"00")</f>
        <v>32.173439999999985</v>
      </c>
      <c r="CI288" s="388">
        <f>SUMIFS(CI2:CI258,G2:G258,"EDBG",E2:E258,"0125",F2:F258,"00")</f>
        <v>0</v>
      </c>
      <c r="CJ288" s="388">
        <f>SUMIFS(CJ2:CJ258,G2:G258,"EDBG",E2:E258,"0125",F2:F258,"00")</f>
        <v>-579.12192000000073</v>
      </c>
      <c r="CK288" s="388">
        <f>SUMIFS(CK2:CK258,G2:G258,"EDBG",E2:E258,"0125",F2:F258,"00")</f>
        <v>0</v>
      </c>
      <c r="CL288" s="388">
        <f>SUMIFS(CL2:CL258,G2:G258,"EDBG",E2:E258,"0125",F2:F258,"00")</f>
        <v>0</v>
      </c>
      <c r="CM288" s="388">
        <f>SUMIFS(CM2:CM258,G2:G258,"EDBG",E2:E258,"0125",F2:F258,"00")</f>
        <v>0</v>
      </c>
    </row>
    <row r="289" spans="41:91" ht="18.75" x14ac:dyDescent="0.3">
      <c r="AQ289" s="394" t="s">
        <v>880</v>
      </c>
      <c r="AS289" s="395">
        <f t="shared" ref="AS289:CM289" si="184">SUM(AS288:AS288)</f>
        <v>1</v>
      </c>
      <c r="AT289" s="395">
        <f t="shared" si="184"/>
        <v>0</v>
      </c>
      <c r="AU289" s="395">
        <f t="shared" si="184"/>
        <v>1</v>
      </c>
      <c r="AV289" s="395">
        <f t="shared" si="184"/>
        <v>0</v>
      </c>
      <c r="AW289" s="395">
        <f t="shared" si="184"/>
        <v>2</v>
      </c>
      <c r="AX289" s="395">
        <f t="shared" si="184"/>
        <v>80433.600000000006</v>
      </c>
      <c r="AY289" s="395">
        <f t="shared" si="184"/>
        <v>80433.600000000006</v>
      </c>
      <c r="AZ289" s="395">
        <f t="shared" si="184"/>
        <v>0</v>
      </c>
      <c r="BA289" s="395">
        <f t="shared" si="184"/>
        <v>0</v>
      </c>
      <c r="BB289" s="395">
        <f t="shared" si="184"/>
        <v>12500</v>
      </c>
      <c r="BC289" s="395">
        <f t="shared" si="184"/>
        <v>0</v>
      </c>
      <c r="BD289" s="395">
        <f t="shared" si="184"/>
        <v>4986.8832000000002</v>
      </c>
      <c r="BE289" s="395">
        <f t="shared" si="184"/>
        <v>1166.2872000000002</v>
      </c>
      <c r="BF289" s="395">
        <f t="shared" si="184"/>
        <v>9603.7718400000012</v>
      </c>
      <c r="BG289" s="395">
        <f t="shared" si="184"/>
        <v>579.92625600000008</v>
      </c>
      <c r="BH289" s="395">
        <f t="shared" si="184"/>
        <v>0</v>
      </c>
      <c r="BI289" s="395">
        <f t="shared" si="184"/>
        <v>0</v>
      </c>
      <c r="BJ289" s="395">
        <f t="shared" si="184"/>
        <v>281.51760000000002</v>
      </c>
      <c r="BK289" s="395">
        <f t="shared" si="184"/>
        <v>0</v>
      </c>
      <c r="BL289" s="395">
        <f t="shared" si="184"/>
        <v>16618.386096000002</v>
      </c>
      <c r="BM289" s="395">
        <f t="shared" si="184"/>
        <v>0</v>
      </c>
      <c r="BN289" s="395">
        <f t="shared" si="184"/>
        <v>13750</v>
      </c>
      <c r="BO289" s="395">
        <f t="shared" si="184"/>
        <v>0</v>
      </c>
      <c r="BP289" s="395">
        <f t="shared" si="184"/>
        <v>4986.8832000000002</v>
      </c>
      <c r="BQ289" s="395">
        <f t="shared" si="184"/>
        <v>1166.2872000000002</v>
      </c>
      <c r="BR289" s="395">
        <f t="shared" si="184"/>
        <v>8992.4764800000012</v>
      </c>
      <c r="BS289" s="395">
        <f t="shared" si="184"/>
        <v>579.92625600000008</v>
      </c>
      <c r="BT289" s="395">
        <f t="shared" si="184"/>
        <v>0</v>
      </c>
      <c r="BU289" s="395">
        <f t="shared" si="184"/>
        <v>0</v>
      </c>
      <c r="BV289" s="395">
        <f t="shared" si="184"/>
        <v>313.69103999999999</v>
      </c>
      <c r="BW289" s="395">
        <f t="shared" si="184"/>
        <v>0</v>
      </c>
      <c r="BX289" s="395">
        <f t="shared" si="184"/>
        <v>16039.264176000002</v>
      </c>
      <c r="BY289" s="395">
        <f t="shared" si="184"/>
        <v>0</v>
      </c>
      <c r="BZ289" s="395">
        <f t="shared" si="184"/>
        <v>1250</v>
      </c>
      <c r="CA289" s="395">
        <f t="shared" si="184"/>
        <v>0</v>
      </c>
      <c r="CB289" s="395">
        <f t="shared" si="184"/>
        <v>0</v>
      </c>
      <c r="CC289" s="395">
        <f t="shared" si="184"/>
        <v>0</v>
      </c>
      <c r="CD289" s="395">
        <f t="shared" si="184"/>
        <v>-611.29536000000076</v>
      </c>
      <c r="CE289" s="395">
        <f t="shared" si="184"/>
        <v>0</v>
      </c>
      <c r="CF289" s="395">
        <f t="shared" si="184"/>
        <v>0</v>
      </c>
      <c r="CG289" s="395">
        <f t="shared" si="184"/>
        <v>0</v>
      </c>
      <c r="CH289" s="395">
        <f t="shared" si="184"/>
        <v>32.173439999999985</v>
      </c>
      <c r="CI289" s="395">
        <f t="shared" si="184"/>
        <v>0</v>
      </c>
      <c r="CJ289" s="395">
        <f t="shared" si="184"/>
        <v>-579.12192000000073</v>
      </c>
      <c r="CK289" s="395">
        <f t="shared" si="184"/>
        <v>0</v>
      </c>
      <c r="CL289" s="395">
        <f t="shared" si="184"/>
        <v>0</v>
      </c>
      <c r="CM289" s="395">
        <f t="shared" si="184"/>
        <v>0</v>
      </c>
    </row>
    <row r="290" spans="41:91" ht="15.75" thickBot="1" x14ac:dyDescent="0.3">
      <c r="AR290" t="s">
        <v>882</v>
      </c>
      <c r="AS290" s="388">
        <f>SUMIFS(AS2:AS258,G2:G258,"EDBG",E2:E258,"0319",F2:F258,"00",AT2:AT258,1)</f>
        <v>1.17</v>
      </c>
      <c r="AT290" s="388">
        <f>SUMIFS(AS2:AS258,G2:G258,"EDBG",E2:E258,"0319",F2:F258,"00",AT2:AT258,3)</f>
        <v>0</v>
      </c>
      <c r="AU290" s="388">
        <f>SUMIFS(AU2:AU258,G2:G258,"EDBG",E2:E258,"0319",F2:F258,"00")</f>
        <v>2</v>
      </c>
      <c r="AV290" s="388">
        <f>SUMIFS(AV2:AV258,G2:G258,"EDBG",E2:E258,"0319",F2:F258,"00")</f>
        <v>0</v>
      </c>
      <c r="AW290" s="388">
        <f>SUMIFS(AW2:AW258,G2:G258,"EDBG",E2:E258,"0319",F2:F258,"00")</f>
        <v>14</v>
      </c>
      <c r="AX290" s="388">
        <f>SUMIFS(AX2:AX258,G2:G258,"EDBG",E2:E258,"0319",F2:F258,"00")</f>
        <v>102980.78</v>
      </c>
      <c r="AY290" s="388">
        <f>SUMIFS(AY2:AY258,G2:G258,"EDBG",E2:E258,"0319",F2:F258,"00")</f>
        <v>71007.87</v>
      </c>
      <c r="AZ290" s="388">
        <f>SUMIFS(AZ2:AZ258,G2:G258,"EDBG",E2:E258,"0319",F2:F258,"00")</f>
        <v>0</v>
      </c>
      <c r="BA290" s="388">
        <f>SUMIFS(BA2:BA258,G2:G258,"EDBG",E2:E258,"0319",F2:F258,"00")</f>
        <v>0</v>
      </c>
      <c r="BB290" s="388">
        <f>SUMIFS(BB2:BB258,G2:G258,"EDBG",E2:E258,"0319",F2:F258,"00")</f>
        <v>14625</v>
      </c>
      <c r="BC290" s="388">
        <f>SUMIFS(BC2:BC258,G2:G258,"EDBG",E2:E258,"0319",F2:F258,"00")</f>
        <v>0</v>
      </c>
      <c r="BD290" s="388">
        <f>SUMIFS(BD2:BD258,G2:G258,"EDBG",E2:E258,"0319",F2:F258,"00")</f>
        <v>4402.48794</v>
      </c>
      <c r="BE290" s="388">
        <f>SUMIFS(BE2:BE258,G2:G258,"EDBG",E2:E258,"0319",F2:F258,"00")</f>
        <v>1029.6141150000001</v>
      </c>
      <c r="BF290" s="388">
        <f>SUMIFS(BF2:BF258,G2:G258,"EDBG",E2:E258,"0319",F2:F258,"00")</f>
        <v>8478.3396780000003</v>
      </c>
      <c r="BG290" s="388">
        <f>SUMIFS(BG2:BG258,G2:G258,"EDBG",E2:E258,"0319",F2:F258,"00")</f>
        <v>511.9667427</v>
      </c>
      <c r="BH290" s="388">
        <f>SUMIFS(BH2:BH258,G2:G258,"EDBG",E2:E258,"0319",F2:F258,"00")</f>
        <v>0</v>
      </c>
      <c r="BI290" s="388">
        <f>SUMIFS(BI2:BI258,G2:G258,"EDBG",E2:E258,"0319",F2:F258,"00")</f>
        <v>0</v>
      </c>
      <c r="BJ290" s="388">
        <f>SUMIFS(BJ2:BJ258,G2:G258,"EDBG",E2:E258,"0319",F2:F258,"00")</f>
        <v>248.527545</v>
      </c>
      <c r="BK290" s="388">
        <f>SUMIFS(BK2:BK258,G2:G258,"EDBG",E2:E258,"0319",F2:F258,"00")</f>
        <v>0</v>
      </c>
      <c r="BL290" s="388">
        <f>SUMIFS(BL2:BL258,G2:G258,"EDBG",E2:E258,"0319",F2:F258,"00")</f>
        <v>14670.936020700001</v>
      </c>
      <c r="BM290" s="388">
        <f>SUMIFS(BM2:BM258,G2:G258,"EDBG",E2:E258,"0319",F2:F258,"00")</f>
        <v>0</v>
      </c>
      <c r="BN290" s="388">
        <f>SUMIFS(BN2:BN258,G2:G258,"EDBG",E2:E258,"0319",F2:F258,"00")</f>
        <v>16087.5</v>
      </c>
      <c r="BO290" s="388">
        <f>SUMIFS(BO2:BO258,G2:G258,"EDBG",E2:E258,"0319",F2:F258,"00")</f>
        <v>0</v>
      </c>
      <c r="BP290" s="388">
        <f>SUMIFS(BP2:BP258,G2:G258,"EDBG",E2:E258,"0319",F2:F258,"00")</f>
        <v>4402.48794</v>
      </c>
      <c r="BQ290" s="388">
        <f>SUMIFS(BQ2:BQ258,G2:G258,"EDBG",E2:E258,"0319",F2:F258,"00")</f>
        <v>1029.6141150000001</v>
      </c>
      <c r="BR290" s="388">
        <f>SUMIFS(BR2:BR258,G2:G258,"EDBG",E2:E258,"0319",F2:F258,"00")</f>
        <v>7938.6798659999986</v>
      </c>
      <c r="BS290" s="388">
        <f>SUMIFS(BS2:BS258,G2:G258,"EDBG",E2:E258,"0319",F2:F258,"00")</f>
        <v>511.9667427</v>
      </c>
      <c r="BT290" s="388">
        <f>SUMIFS(BT2:BT258,G2:G258,"EDBG",E2:E258,"0319",F2:F258,"00")</f>
        <v>0</v>
      </c>
      <c r="BU290" s="388">
        <f>SUMIFS(BU2:BU258,G2:G258,"EDBG",E2:E258,"0319",F2:F258,"00")</f>
        <v>0</v>
      </c>
      <c r="BV290" s="388">
        <f>SUMIFS(BV2:BV258,G2:G258,"EDBG",E2:E258,"0319",F2:F258,"00")</f>
        <v>276.93069299999996</v>
      </c>
      <c r="BW290" s="388">
        <f>SUMIFS(BW2:BW258,G2:G258,"EDBG",E2:E258,"0319",F2:F258,"00")</f>
        <v>0</v>
      </c>
      <c r="BX290" s="388">
        <f>SUMIFS(BX2:BX258,G2:G258,"EDBG",E2:E258,"0319",F2:F258,"00")</f>
        <v>14159.6793567</v>
      </c>
      <c r="BY290" s="388">
        <f>SUMIFS(BY2:BY258,G2:G258,"EDBG",E2:E258,"0319",F2:F258,"00")</f>
        <v>0</v>
      </c>
      <c r="BZ290" s="388">
        <f>SUMIFS(BZ2:BZ258,G2:G258,"EDBG",E2:E258,"0319",F2:F258,"00")</f>
        <v>1462.5</v>
      </c>
      <c r="CA290" s="388">
        <f>SUMIFS(CA2:CA258,G2:G258,"EDBG",E2:E258,"0319",F2:F258,"00")</f>
        <v>0</v>
      </c>
      <c r="CB290" s="388">
        <f>SUMIFS(CB2:CB258,G2:G258,"EDBG",E2:E258,"0319",F2:F258,"00")</f>
        <v>0</v>
      </c>
      <c r="CC290" s="388">
        <f>SUMIFS(CC2:CC258,G2:G258,"EDBG",E2:E258,"0319",F2:F258,"00")</f>
        <v>0</v>
      </c>
      <c r="CD290" s="388">
        <f>SUMIFS(CD2:CD258,G2:G258,"EDBG",E2:E258,"0319",F2:F258,"00")</f>
        <v>-539.65981200000067</v>
      </c>
      <c r="CE290" s="388">
        <f>SUMIFS(CE2:CE258,G2:G258,"EDBG",E2:E258,"0319",F2:F258,"00")</f>
        <v>0</v>
      </c>
      <c r="CF290" s="388">
        <f>SUMIFS(CF2:CF258,G2:G258,"EDBG",E2:E258,"0319",F2:F258,"00")</f>
        <v>0</v>
      </c>
      <c r="CG290" s="388">
        <f>SUMIFS(CG2:CG258,G2:G258,"EDBG",E2:E258,"0319",F2:F258,"00")</f>
        <v>0</v>
      </c>
      <c r="CH290" s="388">
        <f>SUMIFS(CH2:CH258,G2:G258,"EDBG",E2:E258,"0319",F2:F258,"00")</f>
        <v>28.40314799999998</v>
      </c>
      <c r="CI290" s="388">
        <f>SUMIFS(CI2:CI258,G2:G258,"EDBG",E2:E258,"0319",F2:F258,"00")</f>
        <v>0</v>
      </c>
      <c r="CJ290" s="388">
        <f>SUMIFS(CJ2:CJ258,G2:G258,"EDBG",E2:E258,"0319",F2:F258,"00")</f>
        <v>-511.25666400000063</v>
      </c>
      <c r="CK290" s="388">
        <f>SUMIFS(CK2:CK258,G2:G258,"EDBG",E2:E258,"0319",F2:F258,"00")</f>
        <v>0</v>
      </c>
      <c r="CL290" s="388">
        <f>SUMIFS(CL2:CL258,G2:G258,"EDBG",E2:E258,"0319",F2:F258,"00")</f>
        <v>0</v>
      </c>
      <c r="CM290" s="388">
        <f>SUMIFS(CM2:CM258,G2:G258,"EDBG",E2:E258,"0319",F2:F258,"00")</f>
        <v>0</v>
      </c>
    </row>
    <row r="291" spans="41:91" ht="18.75" x14ac:dyDescent="0.3">
      <c r="AQ291" s="394" t="s">
        <v>883</v>
      </c>
      <c r="AS291" s="395">
        <f t="shared" ref="AS291:CM291" si="185">SUM(AS290:AS290)</f>
        <v>1.17</v>
      </c>
      <c r="AT291" s="395">
        <f t="shared" si="185"/>
        <v>0</v>
      </c>
      <c r="AU291" s="395">
        <f t="shared" si="185"/>
        <v>2</v>
      </c>
      <c r="AV291" s="395">
        <f t="shared" si="185"/>
        <v>0</v>
      </c>
      <c r="AW291" s="395">
        <f t="shared" si="185"/>
        <v>14</v>
      </c>
      <c r="AX291" s="395">
        <f t="shared" si="185"/>
        <v>102980.78</v>
      </c>
      <c r="AY291" s="395">
        <f t="shared" si="185"/>
        <v>71007.87</v>
      </c>
      <c r="AZ291" s="395">
        <f t="shared" si="185"/>
        <v>0</v>
      </c>
      <c r="BA291" s="395">
        <f t="shared" si="185"/>
        <v>0</v>
      </c>
      <c r="BB291" s="395">
        <f t="shared" si="185"/>
        <v>14625</v>
      </c>
      <c r="BC291" s="395">
        <f t="shared" si="185"/>
        <v>0</v>
      </c>
      <c r="BD291" s="395">
        <f t="shared" si="185"/>
        <v>4402.48794</v>
      </c>
      <c r="BE291" s="395">
        <f t="shared" si="185"/>
        <v>1029.6141150000001</v>
      </c>
      <c r="BF291" s="395">
        <f t="shared" si="185"/>
        <v>8478.3396780000003</v>
      </c>
      <c r="BG291" s="395">
        <f t="shared" si="185"/>
        <v>511.9667427</v>
      </c>
      <c r="BH291" s="395">
        <f t="shared" si="185"/>
        <v>0</v>
      </c>
      <c r="BI291" s="395">
        <f t="shared" si="185"/>
        <v>0</v>
      </c>
      <c r="BJ291" s="395">
        <f t="shared" si="185"/>
        <v>248.527545</v>
      </c>
      <c r="BK291" s="395">
        <f t="shared" si="185"/>
        <v>0</v>
      </c>
      <c r="BL291" s="395">
        <f t="shared" si="185"/>
        <v>14670.936020700001</v>
      </c>
      <c r="BM291" s="395">
        <f t="shared" si="185"/>
        <v>0</v>
      </c>
      <c r="BN291" s="395">
        <f t="shared" si="185"/>
        <v>16087.5</v>
      </c>
      <c r="BO291" s="395">
        <f t="shared" si="185"/>
        <v>0</v>
      </c>
      <c r="BP291" s="395">
        <f t="shared" si="185"/>
        <v>4402.48794</v>
      </c>
      <c r="BQ291" s="395">
        <f t="shared" si="185"/>
        <v>1029.6141150000001</v>
      </c>
      <c r="BR291" s="395">
        <f t="shared" si="185"/>
        <v>7938.6798659999986</v>
      </c>
      <c r="BS291" s="395">
        <f t="shared" si="185"/>
        <v>511.9667427</v>
      </c>
      <c r="BT291" s="395">
        <f t="shared" si="185"/>
        <v>0</v>
      </c>
      <c r="BU291" s="395">
        <f t="shared" si="185"/>
        <v>0</v>
      </c>
      <c r="BV291" s="395">
        <f t="shared" si="185"/>
        <v>276.93069299999996</v>
      </c>
      <c r="BW291" s="395">
        <f t="shared" si="185"/>
        <v>0</v>
      </c>
      <c r="BX291" s="395">
        <f t="shared" si="185"/>
        <v>14159.6793567</v>
      </c>
      <c r="BY291" s="395">
        <f t="shared" si="185"/>
        <v>0</v>
      </c>
      <c r="BZ291" s="395">
        <f t="shared" si="185"/>
        <v>1462.5</v>
      </c>
      <c r="CA291" s="395">
        <f t="shared" si="185"/>
        <v>0</v>
      </c>
      <c r="CB291" s="395">
        <f t="shared" si="185"/>
        <v>0</v>
      </c>
      <c r="CC291" s="395">
        <f t="shared" si="185"/>
        <v>0</v>
      </c>
      <c r="CD291" s="395">
        <f t="shared" si="185"/>
        <v>-539.65981200000067</v>
      </c>
      <c r="CE291" s="395">
        <f t="shared" si="185"/>
        <v>0</v>
      </c>
      <c r="CF291" s="395">
        <f t="shared" si="185"/>
        <v>0</v>
      </c>
      <c r="CG291" s="395">
        <f t="shared" si="185"/>
        <v>0</v>
      </c>
      <c r="CH291" s="395">
        <f t="shared" si="185"/>
        <v>28.40314799999998</v>
      </c>
      <c r="CI291" s="395">
        <f t="shared" si="185"/>
        <v>0</v>
      </c>
      <c r="CJ291" s="395">
        <f t="shared" si="185"/>
        <v>-511.25666400000063</v>
      </c>
      <c r="CK291" s="395">
        <f t="shared" si="185"/>
        <v>0</v>
      </c>
      <c r="CL291" s="395">
        <f t="shared" si="185"/>
        <v>0</v>
      </c>
      <c r="CM291" s="395">
        <f t="shared" si="185"/>
        <v>0</v>
      </c>
    </row>
    <row r="292" spans="41:91" ht="15.75" thickBot="1" x14ac:dyDescent="0.3">
      <c r="AR292" t="s">
        <v>888</v>
      </c>
      <c r="AS292" s="388">
        <f>SUMIFS(AS2:AS258,G2:G258,"EDBG",E2:E258,"0345",F2:F258,"00",AT2:AT258,1)</f>
        <v>3.55</v>
      </c>
      <c r="AT292" s="388">
        <f>SUMIFS(AS2:AS258,G2:G258,"EDBG",E2:E258,"0345",F2:F258,"00",AT2:AT258,3)</f>
        <v>0</v>
      </c>
      <c r="AU292" s="388">
        <f>SUMIFS(AU2:AU258,G2:G258,"EDBG",E2:E258,"0345",F2:F258,"00")</f>
        <v>6</v>
      </c>
      <c r="AV292" s="388">
        <f>SUMIFS(AV2:AV258,G2:G258,"EDBG",E2:E258,"0345",F2:F258,"00")</f>
        <v>0</v>
      </c>
      <c r="AW292" s="388">
        <f>SUMIFS(AW2:AW258,G2:G258,"EDBG",E2:E258,"0345",F2:F258,"00")</f>
        <v>62</v>
      </c>
      <c r="AX292" s="388">
        <f>SUMIFS(AX2:AX258,G2:G258,"EDBG",E2:E258,"0345",F2:F258,"00")</f>
        <v>416041.6</v>
      </c>
      <c r="AY292" s="388">
        <f>SUMIFS(AY2:AY258,G2:G258,"EDBG",E2:E258,"0345",F2:F258,"00")</f>
        <v>242132.8</v>
      </c>
      <c r="AZ292" s="388">
        <f>SUMIFS(AZ2:AZ258,G2:G258,"EDBG",E2:E258,"0345",F2:F258,"00")</f>
        <v>0</v>
      </c>
      <c r="BA292" s="388">
        <f>SUMIFS(BA2:BA258,G2:G258,"EDBG",E2:E258,"0345",F2:F258,"00")</f>
        <v>0</v>
      </c>
      <c r="BB292" s="388">
        <f>SUMIFS(BB2:BB258,G2:G258,"EDBG",E2:E258,"0345",F2:F258,"00")</f>
        <v>44375</v>
      </c>
      <c r="BC292" s="388">
        <f>SUMIFS(BC2:BC258,G2:G258,"EDBG",E2:E258,"0345",F2:F258,"00")</f>
        <v>0</v>
      </c>
      <c r="BD292" s="388">
        <f>SUMIFS(BD2:BD258,G2:G258,"EDBG",E2:E258,"0345",F2:F258,"00")</f>
        <v>15012.233599999998</v>
      </c>
      <c r="BE292" s="388">
        <f>SUMIFS(BE2:BE258,G2:G258,"EDBG",E2:E258,"0345",F2:F258,"00")</f>
        <v>3510.9255999999996</v>
      </c>
      <c r="BF292" s="388">
        <f>SUMIFS(BF2:BF258,G2:G258,"EDBG",E2:E258,"0345",F2:F258,"00")</f>
        <v>28910.656320000002</v>
      </c>
      <c r="BG292" s="388">
        <f>SUMIFS(BG2:BG258,G2:G258,"EDBG",E2:E258,"0345",F2:F258,"00")</f>
        <v>1745.7774880000002</v>
      </c>
      <c r="BH292" s="388">
        <f>SUMIFS(BH2:BH258,G2:G258,"EDBG",E2:E258,"0345",F2:F258,"00")</f>
        <v>0</v>
      </c>
      <c r="BI292" s="388">
        <f>SUMIFS(BI2:BI258,G2:G258,"EDBG",E2:E258,"0345",F2:F258,"00")</f>
        <v>0</v>
      </c>
      <c r="BJ292" s="388">
        <f>SUMIFS(BJ2:BJ258,G2:G258,"EDBG",E2:E258,"0345",F2:F258,"00")</f>
        <v>847.46479999999985</v>
      </c>
      <c r="BK292" s="388">
        <f>SUMIFS(BK2:BK258,G2:G258,"EDBG",E2:E258,"0345",F2:F258,"00")</f>
        <v>0</v>
      </c>
      <c r="BL292" s="388">
        <f>SUMIFS(BL2:BL258,G2:G258,"EDBG",E2:E258,"0345",F2:F258,"00")</f>
        <v>50027.057807999998</v>
      </c>
      <c r="BM292" s="388">
        <f>SUMIFS(BM2:BM258,G2:G258,"EDBG",E2:E258,"0345",F2:F258,"00")</f>
        <v>0</v>
      </c>
      <c r="BN292" s="388">
        <f>SUMIFS(BN2:BN258,G2:G258,"EDBG",E2:E258,"0345",F2:F258,"00")</f>
        <v>48812.5</v>
      </c>
      <c r="BO292" s="388">
        <f>SUMIFS(BO2:BO258,G2:G258,"EDBG",E2:E258,"0345",F2:F258,"00")</f>
        <v>0</v>
      </c>
      <c r="BP292" s="388">
        <f>SUMIFS(BP2:BP258,G2:G258,"EDBG",E2:E258,"0345",F2:F258,"00")</f>
        <v>15012.233599999998</v>
      </c>
      <c r="BQ292" s="388">
        <f>SUMIFS(BQ2:BQ258,G2:G258,"EDBG",E2:E258,"0345",F2:F258,"00")</f>
        <v>3510.9255999999996</v>
      </c>
      <c r="BR292" s="388">
        <f>SUMIFS(BR2:BR258,G2:G258,"EDBG",E2:E258,"0345",F2:F258,"00")</f>
        <v>27070.447039999999</v>
      </c>
      <c r="BS292" s="388">
        <f>SUMIFS(BS2:BS258,G2:G258,"EDBG",E2:E258,"0345",F2:F258,"00")</f>
        <v>1745.7774880000002</v>
      </c>
      <c r="BT292" s="388">
        <f>SUMIFS(BT2:BT258,G2:G258,"EDBG",E2:E258,"0345",F2:F258,"00")</f>
        <v>0</v>
      </c>
      <c r="BU292" s="388">
        <f>SUMIFS(BU2:BU258,G2:G258,"EDBG",E2:E258,"0345",F2:F258,"00")</f>
        <v>0</v>
      </c>
      <c r="BV292" s="388">
        <f>SUMIFS(BV2:BV258,G2:G258,"EDBG",E2:E258,"0345",F2:F258,"00")</f>
        <v>944.31791999999996</v>
      </c>
      <c r="BW292" s="388">
        <f>SUMIFS(BW2:BW258,G2:G258,"EDBG",E2:E258,"0345",F2:F258,"00")</f>
        <v>0</v>
      </c>
      <c r="BX292" s="388">
        <f>SUMIFS(BX2:BX258,G2:G258,"EDBG",E2:E258,"0345",F2:F258,"00")</f>
        <v>48283.701647999995</v>
      </c>
      <c r="BY292" s="388">
        <f>SUMIFS(BY2:BY258,G2:G258,"EDBG",E2:E258,"0345",F2:F258,"00")</f>
        <v>0</v>
      </c>
      <c r="BZ292" s="388">
        <f>SUMIFS(BZ2:BZ258,G2:G258,"EDBG",E2:E258,"0345",F2:F258,"00")</f>
        <v>4437.5</v>
      </c>
      <c r="CA292" s="388">
        <f>SUMIFS(CA2:CA258,G2:G258,"EDBG",E2:E258,"0345",F2:F258,"00")</f>
        <v>0</v>
      </c>
      <c r="CB292" s="388">
        <f>SUMIFS(CB2:CB258,G2:G258,"EDBG",E2:E258,"0345",F2:F258,"00")</f>
        <v>0</v>
      </c>
      <c r="CC292" s="388">
        <f>SUMIFS(CC2:CC258,G2:G258,"EDBG",E2:E258,"0345",F2:F258,"00")</f>
        <v>0</v>
      </c>
      <c r="CD292" s="388">
        <f>SUMIFS(CD2:CD258,G2:G258,"EDBG",E2:E258,"0345",F2:F258,"00")</f>
        <v>-1840.2092800000023</v>
      </c>
      <c r="CE292" s="388">
        <f>SUMIFS(CE2:CE258,G2:G258,"EDBG",E2:E258,"0345",F2:F258,"00")</f>
        <v>0</v>
      </c>
      <c r="CF292" s="388">
        <f>SUMIFS(CF2:CF258,G2:G258,"EDBG",E2:E258,"0345",F2:F258,"00")</f>
        <v>0</v>
      </c>
      <c r="CG292" s="388">
        <f>SUMIFS(CG2:CG258,G2:G258,"EDBG",E2:E258,"0345",F2:F258,"00")</f>
        <v>0</v>
      </c>
      <c r="CH292" s="388">
        <f>SUMIFS(CH2:CH258,G2:G258,"EDBG",E2:E258,"0345",F2:F258,"00")</f>
        <v>96.853119999999933</v>
      </c>
      <c r="CI292" s="388">
        <f>SUMIFS(CI2:CI258,G2:G258,"EDBG",E2:E258,"0345",F2:F258,"00")</f>
        <v>0</v>
      </c>
      <c r="CJ292" s="388">
        <f>SUMIFS(CJ2:CJ258,G2:G258,"EDBG",E2:E258,"0345",F2:F258,"00")</f>
        <v>-1743.3561600000023</v>
      </c>
      <c r="CK292" s="388">
        <f>SUMIFS(CK2:CK258,G2:G258,"EDBG",E2:E258,"0345",F2:F258,"00")</f>
        <v>0</v>
      </c>
      <c r="CL292" s="388">
        <f>SUMIFS(CL2:CL258,G2:G258,"EDBG",E2:E258,"0345",F2:F258,"00")</f>
        <v>0</v>
      </c>
      <c r="CM292" s="388">
        <f>SUMIFS(CM2:CM258,G2:G258,"EDBG",E2:E258,"0345",F2:F258,"00")</f>
        <v>0</v>
      </c>
    </row>
    <row r="293" spans="41:91" ht="18.75" x14ac:dyDescent="0.3">
      <c r="AQ293" s="394" t="s">
        <v>889</v>
      </c>
      <c r="AS293" s="395">
        <f t="shared" ref="AS293:CM293" si="186">SUM(AS292:AS292)</f>
        <v>3.55</v>
      </c>
      <c r="AT293" s="395">
        <f t="shared" si="186"/>
        <v>0</v>
      </c>
      <c r="AU293" s="395">
        <f t="shared" si="186"/>
        <v>6</v>
      </c>
      <c r="AV293" s="395">
        <f t="shared" si="186"/>
        <v>0</v>
      </c>
      <c r="AW293" s="395">
        <f t="shared" si="186"/>
        <v>62</v>
      </c>
      <c r="AX293" s="395">
        <f t="shared" si="186"/>
        <v>416041.6</v>
      </c>
      <c r="AY293" s="395">
        <f t="shared" si="186"/>
        <v>242132.8</v>
      </c>
      <c r="AZ293" s="395">
        <f t="shared" si="186"/>
        <v>0</v>
      </c>
      <c r="BA293" s="395">
        <f t="shared" si="186"/>
        <v>0</v>
      </c>
      <c r="BB293" s="395">
        <f t="shared" si="186"/>
        <v>44375</v>
      </c>
      <c r="BC293" s="395">
        <f t="shared" si="186"/>
        <v>0</v>
      </c>
      <c r="BD293" s="395">
        <f t="shared" si="186"/>
        <v>15012.233599999998</v>
      </c>
      <c r="BE293" s="395">
        <f t="shared" si="186"/>
        <v>3510.9255999999996</v>
      </c>
      <c r="BF293" s="395">
        <f t="shared" si="186"/>
        <v>28910.656320000002</v>
      </c>
      <c r="BG293" s="395">
        <f t="shared" si="186"/>
        <v>1745.7774880000002</v>
      </c>
      <c r="BH293" s="395">
        <f t="shared" si="186"/>
        <v>0</v>
      </c>
      <c r="BI293" s="395">
        <f t="shared" si="186"/>
        <v>0</v>
      </c>
      <c r="BJ293" s="395">
        <f t="shared" si="186"/>
        <v>847.46479999999985</v>
      </c>
      <c r="BK293" s="395">
        <f t="shared" si="186"/>
        <v>0</v>
      </c>
      <c r="BL293" s="395">
        <f t="shared" si="186"/>
        <v>50027.057807999998</v>
      </c>
      <c r="BM293" s="395">
        <f t="shared" si="186"/>
        <v>0</v>
      </c>
      <c r="BN293" s="395">
        <f t="shared" si="186"/>
        <v>48812.5</v>
      </c>
      <c r="BO293" s="395">
        <f t="shared" si="186"/>
        <v>0</v>
      </c>
      <c r="BP293" s="395">
        <f t="shared" si="186"/>
        <v>15012.233599999998</v>
      </c>
      <c r="BQ293" s="395">
        <f t="shared" si="186"/>
        <v>3510.9255999999996</v>
      </c>
      <c r="BR293" s="395">
        <f t="shared" si="186"/>
        <v>27070.447039999999</v>
      </c>
      <c r="BS293" s="395">
        <f t="shared" si="186"/>
        <v>1745.7774880000002</v>
      </c>
      <c r="BT293" s="395">
        <f t="shared" si="186"/>
        <v>0</v>
      </c>
      <c r="BU293" s="395">
        <f t="shared" si="186"/>
        <v>0</v>
      </c>
      <c r="BV293" s="395">
        <f t="shared" si="186"/>
        <v>944.31791999999996</v>
      </c>
      <c r="BW293" s="395">
        <f t="shared" si="186"/>
        <v>0</v>
      </c>
      <c r="BX293" s="395">
        <f t="shared" si="186"/>
        <v>48283.701647999995</v>
      </c>
      <c r="BY293" s="395">
        <f t="shared" si="186"/>
        <v>0</v>
      </c>
      <c r="BZ293" s="395">
        <f t="shared" si="186"/>
        <v>4437.5</v>
      </c>
      <c r="CA293" s="395">
        <f t="shared" si="186"/>
        <v>0</v>
      </c>
      <c r="CB293" s="395">
        <f t="shared" si="186"/>
        <v>0</v>
      </c>
      <c r="CC293" s="395">
        <f t="shared" si="186"/>
        <v>0</v>
      </c>
      <c r="CD293" s="395">
        <f t="shared" si="186"/>
        <v>-1840.2092800000023</v>
      </c>
      <c r="CE293" s="395">
        <f t="shared" si="186"/>
        <v>0</v>
      </c>
      <c r="CF293" s="395">
        <f t="shared" si="186"/>
        <v>0</v>
      </c>
      <c r="CG293" s="395">
        <f t="shared" si="186"/>
        <v>0</v>
      </c>
      <c r="CH293" s="395">
        <f t="shared" si="186"/>
        <v>96.853119999999933</v>
      </c>
      <c r="CI293" s="395">
        <f t="shared" si="186"/>
        <v>0</v>
      </c>
      <c r="CJ293" s="395">
        <f t="shared" si="186"/>
        <v>-1743.3561600000023</v>
      </c>
      <c r="CK293" s="395">
        <f t="shared" si="186"/>
        <v>0</v>
      </c>
      <c r="CL293" s="395">
        <f t="shared" si="186"/>
        <v>0</v>
      </c>
      <c r="CM293" s="395">
        <f t="shared" si="186"/>
        <v>0</v>
      </c>
    </row>
    <row r="294" spans="41:91" ht="15.75" thickBot="1" x14ac:dyDescent="0.3">
      <c r="AR294" t="s">
        <v>894</v>
      </c>
      <c r="AS294" s="388">
        <f>SUMIFS(AS2:AS258,G2:G258,"EDBG",E2:E258,"0481",F2:F258,"01",AT2:AT258,1)</f>
        <v>1</v>
      </c>
      <c r="AT294" s="388">
        <f>SUMIFS(AS2:AS258,G2:G258,"EDBG",E2:E258,"0481",F2:F258,"01",AT2:AT258,3)</f>
        <v>0</v>
      </c>
      <c r="AU294" s="388">
        <f>SUMIFS(AU2:AU258,G2:G258,"EDBG",E2:E258,"0481",F2:F258,"01")</f>
        <v>1</v>
      </c>
      <c r="AV294" s="388">
        <f>SUMIFS(AV2:AV258,G2:G258,"EDBG",E2:E258,"0481",F2:F258,"01")</f>
        <v>0</v>
      </c>
      <c r="AW294" s="388">
        <f>SUMIFS(AW2:AW258,G2:G258,"EDBG",E2:E258,"0481",F2:F258,"01")</f>
        <v>2</v>
      </c>
      <c r="AX294" s="388">
        <f>SUMIFS(AX2:AX258,G2:G258,"EDBG",E2:E258,"0481",F2:F258,"01")</f>
        <v>72841.600000000006</v>
      </c>
      <c r="AY294" s="388">
        <f>SUMIFS(AY2:AY258,G2:G258,"EDBG",E2:E258,"0481",F2:F258,"01")</f>
        <v>72841.600000000006</v>
      </c>
      <c r="AZ294" s="388">
        <f>SUMIFS(AZ2:AZ258,G2:G258,"EDBG",E2:E258,"0481",F2:F258,"01")</f>
        <v>0</v>
      </c>
      <c r="BA294" s="388">
        <f>SUMIFS(BA2:BA258,G2:G258,"EDBG",E2:E258,"0481",F2:F258,"01")</f>
        <v>0</v>
      </c>
      <c r="BB294" s="388">
        <f>SUMIFS(BB2:BB258,G2:G258,"EDBG",E2:E258,"0481",F2:F258,"01")</f>
        <v>12500</v>
      </c>
      <c r="BC294" s="388">
        <f>SUMIFS(BC2:BC258,G2:G258,"EDBG",E2:E258,"0481",F2:F258,"01")</f>
        <v>0</v>
      </c>
      <c r="BD294" s="388">
        <f>SUMIFS(BD2:BD258,G2:G258,"EDBG",E2:E258,"0481",F2:F258,"01")</f>
        <v>4516.1792000000005</v>
      </c>
      <c r="BE294" s="388">
        <f>SUMIFS(BE2:BE258,G2:G258,"EDBG",E2:E258,"0481",F2:F258,"01")</f>
        <v>1056.2032000000002</v>
      </c>
      <c r="BF294" s="388">
        <f>SUMIFS(BF2:BF258,G2:G258,"EDBG",E2:E258,"0481",F2:F258,"01")</f>
        <v>8697.2870400000011</v>
      </c>
      <c r="BG294" s="388">
        <f>SUMIFS(BG2:BG258,G2:G258,"EDBG",E2:E258,"0481",F2:F258,"01")</f>
        <v>525.18793600000004</v>
      </c>
      <c r="BH294" s="388">
        <f>SUMIFS(BH2:BH258,G2:G258,"EDBG",E2:E258,"0481",F2:F258,"01")</f>
        <v>0</v>
      </c>
      <c r="BI294" s="388">
        <f>SUMIFS(BI2:BI258,G2:G258,"EDBG",E2:E258,"0481",F2:F258,"01")</f>
        <v>0</v>
      </c>
      <c r="BJ294" s="388">
        <f>SUMIFS(BJ2:BJ258,G2:G258,"EDBG",E2:E258,"0481",F2:F258,"01")</f>
        <v>254.94560000000001</v>
      </c>
      <c r="BK294" s="388">
        <f>SUMIFS(BK2:BK258,G2:G258,"EDBG",E2:E258,"0481",F2:F258,"01")</f>
        <v>0</v>
      </c>
      <c r="BL294" s="388">
        <f>SUMIFS(BL2:BL258,G2:G258,"EDBG",E2:E258,"0481",F2:F258,"01")</f>
        <v>15049.802976000003</v>
      </c>
      <c r="BM294" s="388">
        <f>SUMIFS(BM2:BM258,G2:G258,"EDBG",E2:E258,"0481",F2:F258,"01")</f>
        <v>0</v>
      </c>
      <c r="BN294" s="388">
        <f>SUMIFS(BN2:BN258,G2:G258,"EDBG",E2:E258,"0481",F2:F258,"01")</f>
        <v>13750</v>
      </c>
      <c r="BO294" s="388">
        <f>SUMIFS(BO2:BO258,G2:G258,"EDBG",E2:E258,"0481",F2:F258,"01")</f>
        <v>0</v>
      </c>
      <c r="BP294" s="388">
        <f>SUMIFS(BP2:BP258,G2:G258,"EDBG",E2:E258,"0481",F2:F258,"01")</f>
        <v>4516.1792000000005</v>
      </c>
      <c r="BQ294" s="388">
        <f>SUMIFS(BQ2:BQ258,G2:G258,"EDBG",E2:E258,"0481",F2:F258,"01")</f>
        <v>1056.2032000000002</v>
      </c>
      <c r="BR294" s="388">
        <f>SUMIFS(BR2:BR258,G2:G258,"EDBG",E2:E258,"0481",F2:F258,"01")</f>
        <v>8143.6908800000001</v>
      </c>
      <c r="BS294" s="388">
        <f>SUMIFS(BS2:BS258,G2:G258,"EDBG",E2:E258,"0481",F2:F258,"01")</f>
        <v>525.18793600000004</v>
      </c>
      <c r="BT294" s="388">
        <f>SUMIFS(BT2:BT258,G2:G258,"EDBG",E2:E258,"0481",F2:F258,"01")</f>
        <v>0</v>
      </c>
      <c r="BU294" s="388">
        <f>SUMIFS(BU2:BU258,G2:G258,"EDBG",E2:E258,"0481",F2:F258,"01")</f>
        <v>0</v>
      </c>
      <c r="BV294" s="388">
        <f>SUMIFS(BV2:BV258,G2:G258,"EDBG",E2:E258,"0481",F2:F258,"01")</f>
        <v>284.08224000000001</v>
      </c>
      <c r="BW294" s="388">
        <f>SUMIFS(BW2:BW258,G2:G258,"EDBG",E2:E258,"0481",F2:F258,"01")</f>
        <v>0</v>
      </c>
      <c r="BX294" s="388">
        <f>SUMIFS(BX2:BX258,G2:G258,"EDBG",E2:E258,"0481",F2:F258,"01")</f>
        <v>14525.343456000001</v>
      </c>
      <c r="BY294" s="388">
        <f>SUMIFS(BY2:BY258,G2:G258,"EDBG",E2:E258,"0481",F2:F258,"01")</f>
        <v>0</v>
      </c>
      <c r="BZ294" s="388">
        <f>SUMIFS(BZ2:BZ258,G2:G258,"EDBG",E2:E258,"0481",F2:F258,"01")</f>
        <v>1250</v>
      </c>
      <c r="CA294" s="388">
        <f>SUMIFS(CA2:CA258,G2:G258,"EDBG",E2:E258,"0481",F2:F258,"01")</f>
        <v>0</v>
      </c>
      <c r="CB294" s="388">
        <f>SUMIFS(CB2:CB258,G2:G258,"EDBG",E2:E258,"0481",F2:F258,"01")</f>
        <v>0</v>
      </c>
      <c r="CC294" s="388">
        <f>SUMIFS(CC2:CC258,G2:G258,"EDBG",E2:E258,"0481",F2:F258,"01")</f>
        <v>0</v>
      </c>
      <c r="CD294" s="388">
        <f>SUMIFS(CD2:CD258,G2:G258,"EDBG",E2:E258,"0481",F2:F258,"01")</f>
        <v>-553.59616000000074</v>
      </c>
      <c r="CE294" s="388">
        <f>SUMIFS(CE2:CE258,G2:G258,"EDBG",E2:E258,"0481",F2:F258,"01")</f>
        <v>0</v>
      </c>
      <c r="CF294" s="388">
        <f>SUMIFS(CF2:CF258,G2:G258,"EDBG",E2:E258,"0481",F2:F258,"01")</f>
        <v>0</v>
      </c>
      <c r="CG294" s="388">
        <f>SUMIFS(CG2:CG258,G2:G258,"EDBG",E2:E258,"0481",F2:F258,"01")</f>
        <v>0</v>
      </c>
      <c r="CH294" s="388">
        <f>SUMIFS(CH2:CH258,G2:G258,"EDBG",E2:E258,"0481",F2:F258,"01")</f>
        <v>29.136639999999986</v>
      </c>
      <c r="CI294" s="388">
        <f>SUMIFS(CI2:CI258,G2:G258,"EDBG",E2:E258,"0481",F2:F258,"01")</f>
        <v>0</v>
      </c>
      <c r="CJ294" s="388">
        <f>SUMIFS(CJ2:CJ258,G2:G258,"EDBG",E2:E258,"0481",F2:F258,"01")</f>
        <v>-524.45952000000079</v>
      </c>
      <c r="CK294" s="388">
        <f>SUMIFS(CK2:CK258,G2:G258,"EDBG",E2:E258,"0481",F2:F258,"01")</f>
        <v>0</v>
      </c>
      <c r="CL294" s="388">
        <f>SUMIFS(CL2:CL258,G2:G258,"EDBG",E2:E258,"0481",F2:F258,"01")</f>
        <v>0</v>
      </c>
      <c r="CM294" s="388">
        <f>SUMIFS(CM2:CM258,G2:G258,"EDBG",E2:E258,"0481",F2:F258,"01")</f>
        <v>0</v>
      </c>
    </row>
    <row r="295" spans="41:91" ht="18.75" x14ac:dyDescent="0.3">
      <c r="AQ295" s="394" t="s">
        <v>895</v>
      </c>
      <c r="AS295" s="395">
        <f t="shared" ref="AS295:CM295" si="187">SUM(AS294:AS294)</f>
        <v>1</v>
      </c>
      <c r="AT295" s="395">
        <f t="shared" si="187"/>
        <v>0</v>
      </c>
      <c r="AU295" s="395">
        <f t="shared" si="187"/>
        <v>1</v>
      </c>
      <c r="AV295" s="395">
        <f t="shared" si="187"/>
        <v>0</v>
      </c>
      <c r="AW295" s="395">
        <f t="shared" si="187"/>
        <v>2</v>
      </c>
      <c r="AX295" s="395">
        <f t="shared" si="187"/>
        <v>72841.600000000006</v>
      </c>
      <c r="AY295" s="395">
        <f t="shared" si="187"/>
        <v>72841.600000000006</v>
      </c>
      <c r="AZ295" s="395">
        <f t="shared" si="187"/>
        <v>0</v>
      </c>
      <c r="BA295" s="395">
        <f t="shared" si="187"/>
        <v>0</v>
      </c>
      <c r="BB295" s="395">
        <f t="shared" si="187"/>
        <v>12500</v>
      </c>
      <c r="BC295" s="395">
        <f t="shared" si="187"/>
        <v>0</v>
      </c>
      <c r="BD295" s="395">
        <f t="shared" si="187"/>
        <v>4516.1792000000005</v>
      </c>
      <c r="BE295" s="395">
        <f t="shared" si="187"/>
        <v>1056.2032000000002</v>
      </c>
      <c r="BF295" s="395">
        <f t="shared" si="187"/>
        <v>8697.2870400000011</v>
      </c>
      <c r="BG295" s="395">
        <f t="shared" si="187"/>
        <v>525.18793600000004</v>
      </c>
      <c r="BH295" s="395">
        <f t="shared" si="187"/>
        <v>0</v>
      </c>
      <c r="BI295" s="395">
        <f t="shared" si="187"/>
        <v>0</v>
      </c>
      <c r="BJ295" s="395">
        <f t="shared" si="187"/>
        <v>254.94560000000001</v>
      </c>
      <c r="BK295" s="395">
        <f t="shared" si="187"/>
        <v>0</v>
      </c>
      <c r="BL295" s="395">
        <f t="shared" si="187"/>
        <v>15049.802976000003</v>
      </c>
      <c r="BM295" s="395">
        <f t="shared" si="187"/>
        <v>0</v>
      </c>
      <c r="BN295" s="395">
        <f t="shared" si="187"/>
        <v>13750</v>
      </c>
      <c r="BO295" s="395">
        <f t="shared" si="187"/>
        <v>0</v>
      </c>
      <c r="BP295" s="395">
        <f t="shared" si="187"/>
        <v>4516.1792000000005</v>
      </c>
      <c r="BQ295" s="395">
        <f t="shared" si="187"/>
        <v>1056.2032000000002</v>
      </c>
      <c r="BR295" s="395">
        <f t="shared" si="187"/>
        <v>8143.6908800000001</v>
      </c>
      <c r="BS295" s="395">
        <f t="shared" si="187"/>
        <v>525.18793600000004</v>
      </c>
      <c r="BT295" s="395">
        <f t="shared" si="187"/>
        <v>0</v>
      </c>
      <c r="BU295" s="395">
        <f t="shared" si="187"/>
        <v>0</v>
      </c>
      <c r="BV295" s="395">
        <f t="shared" si="187"/>
        <v>284.08224000000001</v>
      </c>
      <c r="BW295" s="395">
        <f t="shared" si="187"/>
        <v>0</v>
      </c>
      <c r="BX295" s="395">
        <f t="shared" si="187"/>
        <v>14525.343456000001</v>
      </c>
      <c r="BY295" s="395">
        <f t="shared" si="187"/>
        <v>0</v>
      </c>
      <c r="BZ295" s="395">
        <f t="shared" si="187"/>
        <v>1250</v>
      </c>
      <c r="CA295" s="395">
        <f t="shared" si="187"/>
        <v>0</v>
      </c>
      <c r="CB295" s="395">
        <f t="shared" si="187"/>
        <v>0</v>
      </c>
      <c r="CC295" s="395">
        <f t="shared" si="187"/>
        <v>0</v>
      </c>
      <c r="CD295" s="395">
        <f t="shared" si="187"/>
        <v>-553.59616000000074</v>
      </c>
      <c r="CE295" s="395">
        <f t="shared" si="187"/>
        <v>0</v>
      </c>
      <c r="CF295" s="395">
        <f t="shared" si="187"/>
        <v>0</v>
      </c>
      <c r="CG295" s="395">
        <f t="shared" si="187"/>
        <v>0</v>
      </c>
      <c r="CH295" s="395">
        <f t="shared" si="187"/>
        <v>29.136639999999986</v>
      </c>
      <c r="CI295" s="395">
        <f t="shared" si="187"/>
        <v>0</v>
      </c>
      <c r="CJ295" s="395">
        <f t="shared" si="187"/>
        <v>-524.45952000000079</v>
      </c>
      <c r="CK295" s="395">
        <f t="shared" si="187"/>
        <v>0</v>
      </c>
      <c r="CL295" s="395">
        <f t="shared" si="187"/>
        <v>0</v>
      </c>
      <c r="CM295" s="395">
        <f t="shared" si="187"/>
        <v>0</v>
      </c>
    </row>
    <row r="296" spans="41:91" ht="15.75" thickBot="1" x14ac:dyDescent="0.3">
      <c r="AR296" t="s">
        <v>896</v>
      </c>
      <c r="AS296" s="388">
        <f>SUMIFS(AS2:AS258,G2:G258,"EDBG",E2:E258,"0481",F2:F258,"10",AT2:AT258,1)</f>
        <v>0</v>
      </c>
      <c r="AT296" s="388">
        <f>SUMIFS(AS2:AS258,G2:G258,"EDBG",E2:E258,"0481",F2:F258,"10",AT2:AT258,3)</f>
        <v>0</v>
      </c>
      <c r="AU296" s="388">
        <f>SUMIFS(AU2:AU258,G2:G258,"EDBG",E2:E258,"0481",F2:F258,"10")</f>
        <v>0</v>
      </c>
      <c r="AV296" s="388">
        <f>SUMIFS(AV2:AV258,G2:G258,"EDBG",E2:E258,"0481",F2:F258,"10")</f>
        <v>0</v>
      </c>
      <c r="AW296" s="388">
        <f>SUMIFS(AW2:AW258,G2:G258,"EDBG",E2:E258,"0481",F2:F258,"10")</f>
        <v>0</v>
      </c>
      <c r="AX296" s="388">
        <f>SUMIFS(AX2:AX258,G2:G258,"EDBG",E2:E258,"0481",F2:F258,"10")</f>
        <v>0</v>
      </c>
      <c r="AY296" s="388">
        <f>SUMIFS(AY2:AY258,G2:G258,"EDBG",E2:E258,"0481",F2:F258,"10")</f>
        <v>0</v>
      </c>
      <c r="AZ296" s="388">
        <f>SUMIFS(AZ2:AZ258,G2:G258,"EDBG",E2:E258,"0481",F2:F258,"10")</f>
        <v>0</v>
      </c>
      <c r="BA296" s="388">
        <f>SUMIFS(BA2:BA258,G2:G258,"EDBG",E2:E258,"0481",F2:F258,"10")</f>
        <v>0</v>
      </c>
      <c r="BB296" s="388">
        <f>SUMIFS(BB2:BB258,G2:G258,"EDBG",E2:E258,"0481",F2:F258,"10")</f>
        <v>0</v>
      </c>
      <c r="BC296" s="388">
        <f>SUMIFS(BC2:BC258,G2:G258,"EDBG",E2:E258,"0481",F2:F258,"10")</f>
        <v>0</v>
      </c>
      <c r="BD296" s="388">
        <f>SUMIFS(BD2:BD258,G2:G258,"EDBG",E2:E258,"0481",F2:F258,"10")</f>
        <v>0</v>
      </c>
      <c r="BE296" s="388">
        <f>SUMIFS(BE2:BE258,G2:G258,"EDBG",E2:E258,"0481",F2:F258,"10")</f>
        <v>0</v>
      </c>
      <c r="BF296" s="388">
        <f>SUMIFS(BF2:BF258,G2:G258,"EDBG",E2:E258,"0481",F2:F258,"10")</f>
        <v>0</v>
      </c>
      <c r="BG296" s="388">
        <f>SUMIFS(BG2:BG258,G2:G258,"EDBG",E2:E258,"0481",F2:F258,"10")</f>
        <v>0</v>
      </c>
      <c r="BH296" s="388">
        <f>SUMIFS(BH2:BH258,G2:G258,"EDBG",E2:E258,"0481",F2:F258,"10")</f>
        <v>0</v>
      </c>
      <c r="BI296" s="388">
        <f>SUMIFS(BI2:BI258,G2:G258,"EDBG",E2:E258,"0481",F2:F258,"10")</f>
        <v>0</v>
      </c>
      <c r="BJ296" s="388">
        <f>SUMIFS(BJ2:BJ258,G2:G258,"EDBG",E2:E258,"0481",F2:F258,"10")</f>
        <v>0</v>
      </c>
      <c r="BK296" s="388">
        <f>SUMIFS(BK2:BK258,G2:G258,"EDBG",E2:E258,"0481",F2:F258,"10")</f>
        <v>0</v>
      </c>
      <c r="BL296" s="388">
        <f>SUMIFS(BL2:BL258,G2:G258,"EDBG",E2:E258,"0481",F2:F258,"10")</f>
        <v>0</v>
      </c>
      <c r="BM296" s="388">
        <f>SUMIFS(BM2:BM258,G2:G258,"EDBG",E2:E258,"0481",F2:F258,"10")</f>
        <v>0</v>
      </c>
      <c r="BN296" s="388">
        <f>SUMIFS(BN2:BN258,G2:G258,"EDBG",E2:E258,"0481",F2:F258,"10")</f>
        <v>0</v>
      </c>
      <c r="BO296" s="388">
        <f>SUMIFS(BO2:BO258,G2:G258,"EDBG",E2:E258,"0481",F2:F258,"10")</f>
        <v>0</v>
      </c>
      <c r="BP296" s="388">
        <f>SUMIFS(BP2:BP258,G2:G258,"EDBG",E2:E258,"0481",F2:F258,"10")</f>
        <v>0</v>
      </c>
      <c r="BQ296" s="388">
        <f>SUMIFS(BQ2:BQ258,G2:G258,"EDBG",E2:E258,"0481",F2:F258,"10")</f>
        <v>0</v>
      </c>
      <c r="BR296" s="388">
        <f>SUMIFS(BR2:BR258,G2:G258,"EDBG",E2:E258,"0481",F2:F258,"10")</f>
        <v>0</v>
      </c>
      <c r="BS296" s="388">
        <f>SUMIFS(BS2:BS258,G2:G258,"EDBG",E2:E258,"0481",F2:F258,"10")</f>
        <v>0</v>
      </c>
      <c r="BT296" s="388">
        <f>SUMIFS(BT2:BT258,G2:G258,"EDBG",E2:E258,"0481",F2:F258,"10")</f>
        <v>0</v>
      </c>
      <c r="BU296" s="388">
        <f>SUMIFS(BU2:BU258,G2:G258,"EDBG",E2:E258,"0481",F2:F258,"10")</f>
        <v>0</v>
      </c>
      <c r="BV296" s="388">
        <f>SUMIFS(BV2:BV258,G2:G258,"EDBG",E2:E258,"0481",F2:F258,"10")</f>
        <v>0</v>
      </c>
      <c r="BW296" s="388">
        <f>SUMIFS(BW2:BW258,G2:G258,"EDBG",E2:E258,"0481",F2:F258,"10")</f>
        <v>0</v>
      </c>
      <c r="BX296" s="388">
        <f>SUMIFS(BX2:BX258,G2:G258,"EDBG",E2:E258,"0481",F2:F258,"10")</f>
        <v>0</v>
      </c>
      <c r="BY296" s="388">
        <f>SUMIFS(BY2:BY258,G2:G258,"EDBG",E2:E258,"0481",F2:F258,"10")</f>
        <v>0</v>
      </c>
      <c r="BZ296" s="388">
        <f>SUMIFS(BZ2:BZ258,G2:G258,"EDBG",E2:E258,"0481",F2:F258,"10")</f>
        <v>0</v>
      </c>
      <c r="CA296" s="388">
        <f>SUMIFS(CA2:CA258,G2:G258,"EDBG",E2:E258,"0481",F2:F258,"10")</f>
        <v>0</v>
      </c>
      <c r="CB296" s="388">
        <f>SUMIFS(CB2:CB258,G2:G258,"EDBG",E2:E258,"0481",F2:F258,"10")</f>
        <v>0</v>
      </c>
      <c r="CC296" s="388">
        <f>SUMIFS(CC2:CC258,G2:G258,"EDBG",E2:E258,"0481",F2:F258,"10")</f>
        <v>0</v>
      </c>
      <c r="CD296" s="388">
        <f>SUMIFS(CD2:CD258,G2:G258,"EDBG",E2:E258,"0481",F2:F258,"10")</f>
        <v>0</v>
      </c>
      <c r="CE296" s="388">
        <f>SUMIFS(CE2:CE258,G2:G258,"EDBG",E2:E258,"0481",F2:F258,"10")</f>
        <v>0</v>
      </c>
      <c r="CF296" s="388">
        <f>SUMIFS(CF2:CF258,G2:G258,"EDBG",E2:E258,"0481",F2:F258,"10")</f>
        <v>0</v>
      </c>
      <c r="CG296" s="388">
        <f>SUMIFS(CG2:CG258,G2:G258,"EDBG",E2:E258,"0481",F2:F258,"10")</f>
        <v>0</v>
      </c>
      <c r="CH296" s="388">
        <f>SUMIFS(CH2:CH258,G2:G258,"EDBG",E2:E258,"0481",F2:F258,"10")</f>
        <v>0</v>
      </c>
      <c r="CI296" s="388">
        <f>SUMIFS(CI2:CI258,G2:G258,"EDBG",E2:E258,"0481",F2:F258,"10")</f>
        <v>0</v>
      </c>
      <c r="CJ296" s="388">
        <f>SUMIFS(CJ2:CJ258,G2:G258,"EDBG",E2:E258,"0481",F2:F258,"10")</f>
        <v>0</v>
      </c>
      <c r="CK296" s="388">
        <f>SUMIFS(CK2:CK258,G2:G258,"EDBG",E2:E258,"0481",F2:F258,"10")</f>
        <v>0</v>
      </c>
      <c r="CL296" s="388">
        <f>SUMIFS(CL2:CL258,G2:G258,"EDBG",E2:E258,"0481",F2:F258,"10")</f>
        <v>0</v>
      </c>
      <c r="CM296" s="388">
        <f>SUMIFS(CM2:CM258,G2:G258,"EDBG",E2:E258,"0481",F2:F258,"10")</f>
        <v>0</v>
      </c>
    </row>
    <row r="297" spans="41:91" ht="18.75" x14ac:dyDescent="0.3">
      <c r="AQ297" s="394" t="s">
        <v>895</v>
      </c>
      <c r="AS297" s="395">
        <f t="shared" ref="AS297:CM297" si="188">SUM(AS296:AS296)</f>
        <v>0</v>
      </c>
      <c r="AT297" s="395">
        <f t="shared" si="188"/>
        <v>0</v>
      </c>
      <c r="AU297" s="395">
        <f t="shared" si="188"/>
        <v>0</v>
      </c>
      <c r="AV297" s="395">
        <f t="shared" si="188"/>
        <v>0</v>
      </c>
      <c r="AW297" s="395">
        <f t="shared" si="188"/>
        <v>0</v>
      </c>
      <c r="AX297" s="395">
        <f t="shared" si="188"/>
        <v>0</v>
      </c>
      <c r="AY297" s="395">
        <f t="shared" si="188"/>
        <v>0</v>
      </c>
      <c r="AZ297" s="395">
        <f t="shared" si="188"/>
        <v>0</v>
      </c>
      <c r="BA297" s="395">
        <f t="shared" si="188"/>
        <v>0</v>
      </c>
      <c r="BB297" s="395">
        <f t="shared" si="188"/>
        <v>0</v>
      </c>
      <c r="BC297" s="395">
        <f t="shared" si="188"/>
        <v>0</v>
      </c>
      <c r="BD297" s="395">
        <f t="shared" si="188"/>
        <v>0</v>
      </c>
      <c r="BE297" s="395">
        <f t="shared" si="188"/>
        <v>0</v>
      </c>
      <c r="BF297" s="395">
        <f t="shared" si="188"/>
        <v>0</v>
      </c>
      <c r="BG297" s="395">
        <f t="shared" si="188"/>
        <v>0</v>
      </c>
      <c r="BH297" s="395">
        <f t="shared" si="188"/>
        <v>0</v>
      </c>
      <c r="BI297" s="395">
        <f t="shared" si="188"/>
        <v>0</v>
      </c>
      <c r="BJ297" s="395">
        <f t="shared" si="188"/>
        <v>0</v>
      </c>
      <c r="BK297" s="395">
        <f t="shared" si="188"/>
        <v>0</v>
      </c>
      <c r="BL297" s="395">
        <f t="shared" si="188"/>
        <v>0</v>
      </c>
      <c r="BM297" s="395">
        <f t="shared" si="188"/>
        <v>0</v>
      </c>
      <c r="BN297" s="395">
        <f t="shared" si="188"/>
        <v>0</v>
      </c>
      <c r="BO297" s="395">
        <f t="shared" si="188"/>
        <v>0</v>
      </c>
      <c r="BP297" s="395">
        <f t="shared" si="188"/>
        <v>0</v>
      </c>
      <c r="BQ297" s="395">
        <f t="shared" si="188"/>
        <v>0</v>
      </c>
      <c r="BR297" s="395">
        <f t="shared" si="188"/>
        <v>0</v>
      </c>
      <c r="BS297" s="395">
        <f t="shared" si="188"/>
        <v>0</v>
      </c>
      <c r="BT297" s="395">
        <f t="shared" si="188"/>
        <v>0</v>
      </c>
      <c r="BU297" s="395">
        <f t="shared" si="188"/>
        <v>0</v>
      </c>
      <c r="BV297" s="395">
        <f t="shared" si="188"/>
        <v>0</v>
      </c>
      <c r="BW297" s="395">
        <f t="shared" si="188"/>
        <v>0</v>
      </c>
      <c r="BX297" s="395">
        <f t="shared" si="188"/>
        <v>0</v>
      </c>
      <c r="BY297" s="395">
        <f t="shared" si="188"/>
        <v>0</v>
      </c>
      <c r="BZ297" s="395">
        <f t="shared" si="188"/>
        <v>0</v>
      </c>
      <c r="CA297" s="395">
        <f t="shared" si="188"/>
        <v>0</v>
      </c>
      <c r="CB297" s="395">
        <f t="shared" si="188"/>
        <v>0</v>
      </c>
      <c r="CC297" s="395">
        <f t="shared" si="188"/>
        <v>0</v>
      </c>
      <c r="CD297" s="395">
        <f t="shared" si="188"/>
        <v>0</v>
      </c>
      <c r="CE297" s="395">
        <f t="shared" si="188"/>
        <v>0</v>
      </c>
      <c r="CF297" s="395">
        <f t="shared" si="188"/>
        <v>0</v>
      </c>
      <c r="CG297" s="395">
        <f t="shared" si="188"/>
        <v>0</v>
      </c>
      <c r="CH297" s="395">
        <f t="shared" si="188"/>
        <v>0</v>
      </c>
      <c r="CI297" s="395">
        <f t="shared" si="188"/>
        <v>0</v>
      </c>
      <c r="CJ297" s="395">
        <f t="shared" si="188"/>
        <v>0</v>
      </c>
      <c r="CK297" s="395">
        <f t="shared" si="188"/>
        <v>0</v>
      </c>
      <c r="CL297" s="395">
        <f t="shared" si="188"/>
        <v>0</v>
      </c>
      <c r="CM297" s="395">
        <f t="shared" si="188"/>
        <v>0</v>
      </c>
    </row>
    <row r="298" spans="41:91" ht="15.75" thickBot="1" x14ac:dyDescent="0.3">
      <c r="AR298" t="s">
        <v>901</v>
      </c>
      <c r="AS298" s="388">
        <f>SUMIFS(AS2:AS258,G2:G258,"EDBG",E2:E258,"0481",F2:F258,"54",AT2:AT258,1)</f>
        <v>0.2</v>
      </c>
      <c r="AT298" s="388">
        <f>SUMIFS(AS2:AS258,G2:G258,"EDBG",E2:E258,"0481",F2:F258,"54",AT2:AT258,3)</f>
        <v>0</v>
      </c>
      <c r="AU298" s="388">
        <f>SUMIFS(AU2:AU258,G2:G258,"EDBG",E2:E258,"0481",F2:F258,"54")</f>
        <v>2</v>
      </c>
      <c r="AV298" s="388">
        <f>SUMIFS(AV2:AV258,G2:G258,"EDBG",E2:E258,"0481",F2:F258,"54")</f>
        <v>0</v>
      </c>
      <c r="AW298" s="388">
        <f>SUMIFS(AW2:AW258,G2:G258,"EDBG",E2:E258,"0481",F2:F258,"54")</f>
        <v>16</v>
      </c>
      <c r="AX298" s="388">
        <f>SUMIFS(AX2:AX258,G2:G258,"EDBG",E2:E258,"0481",F2:F258,"54")</f>
        <v>104603.17</v>
      </c>
      <c r="AY298" s="388">
        <f>SUMIFS(AY2:AY258,G2:G258,"EDBG",E2:E258,"0481",F2:F258,"54")</f>
        <v>10735.91</v>
      </c>
      <c r="AZ298" s="388">
        <f>SUMIFS(AZ2:AZ258,G2:G258,"EDBG",E2:E258,"0481",F2:F258,"54")</f>
        <v>0</v>
      </c>
      <c r="BA298" s="388">
        <f>SUMIFS(BA2:BA258,G2:G258,"EDBG",E2:E258,"0481",F2:F258,"54")</f>
        <v>0</v>
      </c>
      <c r="BB298" s="388">
        <f>SUMIFS(BB2:BB258,G2:G258,"EDBG",E2:E258,"0481",F2:F258,"54")</f>
        <v>2500</v>
      </c>
      <c r="BC298" s="388">
        <f>SUMIFS(BC2:BC258,G2:G258,"EDBG",E2:E258,"0481",F2:F258,"54")</f>
        <v>0</v>
      </c>
      <c r="BD298" s="388">
        <f>SUMIFS(BD2:BD258,G2:G258,"EDBG",E2:E258,"0481",F2:F258,"54")</f>
        <v>665.62642000000005</v>
      </c>
      <c r="BE298" s="388">
        <f>SUMIFS(BE2:BE258,G2:G258,"EDBG",E2:E258,"0481",F2:F258,"54")</f>
        <v>155.67069500000002</v>
      </c>
      <c r="BF298" s="388">
        <f>SUMIFS(BF2:BF258,G2:G258,"EDBG",E2:E258,"0481",F2:F258,"54")</f>
        <v>1281.8676540000001</v>
      </c>
      <c r="BG298" s="388">
        <f>SUMIFS(BG2:BG258,G2:G258,"EDBG",E2:E258,"0481",F2:F258,"54")</f>
        <v>77.405911100000012</v>
      </c>
      <c r="BH298" s="388">
        <f>SUMIFS(BH2:BH258,G2:G258,"EDBG",E2:E258,"0481",F2:F258,"54")</f>
        <v>0</v>
      </c>
      <c r="BI298" s="388">
        <f>SUMIFS(BI2:BI258,G2:G258,"EDBG",E2:E258,"0481",F2:F258,"54")</f>
        <v>0</v>
      </c>
      <c r="BJ298" s="388">
        <f>SUMIFS(BJ2:BJ258,G2:G258,"EDBG",E2:E258,"0481",F2:F258,"54")</f>
        <v>37.575685</v>
      </c>
      <c r="BK298" s="388">
        <f>SUMIFS(BK2:BK258,G2:G258,"EDBG",E2:E258,"0481",F2:F258,"54")</f>
        <v>0</v>
      </c>
      <c r="BL298" s="388">
        <f>SUMIFS(BL2:BL258,G2:G258,"EDBG",E2:E258,"0481",F2:F258,"54")</f>
        <v>2218.1463651000004</v>
      </c>
      <c r="BM298" s="388">
        <f>SUMIFS(BM2:BM258,G2:G258,"EDBG",E2:E258,"0481",F2:F258,"54")</f>
        <v>0</v>
      </c>
      <c r="BN298" s="388">
        <f>SUMIFS(BN2:BN258,G2:G258,"EDBG",E2:E258,"0481",F2:F258,"54")</f>
        <v>2750</v>
      </c>
      <c r="BO298" s="388">
        <f>SUMIFS(BO2:BO258,G2:G258,"EDBG",E2:E258,"0481",F2:F258,"54")</f>
        <v>0</v>
      </c>
      <c r="BP298" s="388">
        <f>SUMIFS(BP2:BP258,G2:G258,"EDBG",E2:E258,"0481",F2:F258,"54")</f>
        <v>665.62642000000005</v>
      </c>
      <c r="BQ298" s="388">
        <f>SUMIFS(BQ2:BQ258,G2:G258,"EDBG",E2:E258,"0481",F2:F258,"54")</f>
        <v>155.67069500000002</v>
      </c>
      <c r="BR298" s="388">
        <f>SUMIFS(BR2:BR258,G2:G258,"EDBG",E2:E258,"0481",F2:F258,"54")</f>
        <v>1200.2747380000001</v>
      </c>
      <c r="BS298" s="388">
        <f>SUMIFS(BS2:BS258,G2:G258,"EDBG",E2:E258,"0481",F2:F258,"54")</f>
        <v>77.405911100000012</v>
      </c>
      <c r="BT298" s="388">
        <f>SUMIFS(BT2:BT258,G2:G258,"EDBG",E2:E258,"0481",F2:F258,"54")</f>
        <v>0</v>
      </c>
      <c r="BU298" s="388">
        <f>SUMIFS(BU2:BU258,G2:G258,"EDBG",E2:E258,"0481",F2:F258,"54")</f>
        <v>0</v>
      </c>
      <c r="BV298" s="388">
        <f>SUMIFS(BV2:BV258,G2:G258,"EDBG",E2:E258,"0481",F2:F258,"54")</f>
        <v>41.870049000000002</v>
      </c>
      <c r="BW298" s="388">
        <f>SUMIFS(BW2:BW258,G2:G258,"EDBG",E2:E258,"0481",F2:F258,"54")</f>
        <v>0</v>
      </c>
      <c r="BX298" s="388">
        <f>SUMIFS(BX2:BX258,G2:G258,"EDBG",E2:E258,"0481",F2:F258,"54")</f>
        <v>2140.8478131000002</v>
      </c>
      <c r="BY298" s="388">
        <f>SUMIFS(BY2:BY258,G2:G258,"EDBG",E2:E258,"0481",F2:F258,"54")</f>
        <v>0</v>
      </c>
      <c r="BZ298" s="388">
        <f>SUMIFS(BZ2:BZ258,G2:G258,"EDBG",E2:E258,"0481",F2:F258,"54")</f>
        <v>250</v>
      </c>
      <c r="CA298" s="388">
        <f>SUMIFS(CA2:CA258,G2:G258,"EDBG",E2:E258,"0481",F2:F258,"54")</f>
        <v>0</v>
      </c>
      <c r="CB298" s="388">
        <f>SUMIFS(CB2:CB258,G2:G258,"EDBG",E2:E258,"0481",F2:F258,"54")</f>
        <v>0</v>
      </c>
      <c r="CC298" s="388">
        <f>SUMIFS(CC2:CC258,G2:G258,"EDBG",E2:E258,"0481",F2:F258,"54")</f>
        <v>0</v>
      </c>
      <c r="CD298" s="388">
        <f>SUMIFS(CD2:CD258,G2:G258,"EDBG",E2:E258,"0481",F2:F258,"54")</f>
        <v>-81.592916000000102</v>
      </c>
      <c r="CE298" s="388">
        <f>SUMIFS(CE2:CE258,G2:G258,"EDBG",E2:E258,"0481",F2:F258,"54")</f>
        <v>0</v>
      </c>
      <c r="CF298" s="388">
        <f>SUMIFS(CF2:CF258,G2:G258,"EDBG",E2:E258,"0481",F2:F258,"54")</f>
        <v>0</v>
      </c>
      <c r="CG298" s="388">
        <f>SUMIFS(CG2:CG258,G2:G258,"EDBG",E2:E258,"0481",F2:F258,"54")</f>
        <v>0</v>
      </c>
      <c r="CH298" s="388">
        <f>SUMIFS(CH2:CH258,G2:G258,"EDBG",E2:E258,"0481",F2:F258,"54")</f>
        <v>4.2943639999999972</v>
      </c>
      <c r="CI298" s="388">
        <f>SUMIFS(CI2:CI258,G2:G258,"EDBG",E2:E258,"0481",F2:F258,"54")</f>
        <v>0</v>
      </c>
      <c r="CJ298" s="388">
        <f>SUMIFS(CJ2:CJ258,G2:G258,"EDBG",E2:E258,"0481",F2:F258,"54")</f>
        <v>-77.298552000000115</v>
      </c>
      <c r="CK298" s="388">
        <f>SUMIFS(CK2:CK258,G2:G258,"EDBG",E2:E258,"0481",F2:F258,"54")</f>
        <v>0</v>
      </c>
      <c r="CL298" s="388">
        <f>SUMIFS(CL2:CL258,G2:G258,"EDBG",E2:E258,"0481",F2:F258,"54")</f>
        <v>0</v>
      </c>
      <c r="CM298" s="388">
        <f>SUMIFS(CM2:CM258,G2:G258,"EDBG",E2:E258,"0481",F2:F258,"54")</f>
        <v>0</v>
      </c>
    </row>
    <row r="299" spans="41:91" ht="18.75" x14ac:dyDescent="0.3">
      <c r="AQ299" s="394" t="s">
        <v>895</v>
      </c>
      <c r="AS299" s="395">
        <f t="shared" ref="AS299:CM299" si="189">SUM(AS298:AS298)</f>
        <v>0.2</v>
      </c>
      <c r="AT299" s="395">
        <f t="shared" si="189"/>
        <v>0</v>
      </c>
      <c r="AU299" s="395">
        <f t="shared" si="189"/>
        <v>2</v>
      </c>
      <c r="AV299" s="395">
        <f t="shared" si="189"/>
        <v>0</v>
      </c>
      <c r="AW299" s="395">
        <f t="shared" si="189"/>
        <v>16</v>
      </c>
      <c r="AX299" s="395">
        <f t="shared" si="189"/>
        <v>104603.17</v>
      </c>
      <c r="AY299" s="395">
        <f t="shared" si="189"/>
        <v>10735.91</v>
      </c>
      <c r="AZ299" s="395">
        <f t="shared" si="189"/>
        <v>0</v>
      </c>
      <c r="BA299" s="395">
        <f t="shared" si="189"/>
        <v>0</v>
      </c>
      <c r="BB299" s="395">
        <f t="shared" si="189"/>
        <v>2500</v>
      </c>
      <c r="BC299" s="395">
        <f t="shared" si="189"/>
        <v>0</v>
      </c>
      <c r="BD299" s="395">
        <f t="shared" si="189"/>
        <v>665.62642000000005</v>
      </c>
      <c r="BE299" s="395">
        <f t="shared" si="189"/>
        <v>155.67069500000002</v>
      </c>
      <c r="BF299" s="395">
        <f t="shared" si="189"/>
        <v>1281.8676540000001</v>
      </c>
      <c r="BG299" s="395">
        <f t="shared" si="189"/>
        <v>77.405911100000012</v>
      </c>
      <c r="BH299" s="395">
        <f t="shared" si="189"/>
        <v>0</v>
      </c>
      <c r="BI299" s="395">
        <f t="shared" si="189"/>
        <v>0</v>
      </c>
      <c r="BJ299" s="395">
        <f t="shared" si="189"/>
        <v>37.575685</v>
      </c>
      <c r="BK299" s="395">
        <f t="shared" si="189"/>
        <v>0</v>
      </c>
      <c r="BL299" s="395">
        <f t="shared" si="189"/>
        <v>2218.1463651000004</v>
      </c>
      <c r="BM299" s="395">
        <f t="shared" si="189"/>
        <v>0</v>
      </c>
      <c r="BN299" s="395">
        <f t="shared" si="189"/>
        <v>2750</v>
      </c>
      <c r="BO299" s="395">
        <f t="shared" si="189"/>
        <v>0</v>
      </c>
      <c r="BP299" s="395">
        <f t="shared" si="189"/>
        <v>665.62642000000005</v>
      </c>
      <c r="BQ299" s="395">
        <f t="shared" si="189"/>
        <v>155.67069500000002</v>
      </c>
      <c r="BR299" s="395">
        <f t="shared" si="189"/>
        <v>1200.2747380000001</v>
      </c>
      <c r="BS299" s="395">
        <f t="shared" si="189"/>
        <v>77.405911100000012</v>
      </c>
      <c r="BT299" s="395">
        <f t="shared" si="189"/>
        <v>0</v>
      </c>
      <c r="BU299" s="395">
        <f t="shared" si="189"/>
        <v>0</v>
      </c>
      <c r="BV299" s="395">
        <f t="shared" si="189"/>
        <v>41.870049000000002</v>
      </c>
      <c r="BW299" s="395">
        <f t="shared" si="189"/>
        <v>0</v>
      </c>
      <c r="BX299" s="395">
        <f t="shared" si="189"/>
        <v>2140.8478131000002</v>
      </c>
      <c r="BY299" s="395">
        <f t="shared" si="189"/>
        <v>0</v>
      </c>
      <c r="BZ299" s="395">
        <f t="shared" si="189"/>
        <v>250</v>
      </c>
      <c r="CA299" s="395">
        <f t="shared" si="189"/>
        <v>0</v>
      </c>
      <c r="CB299" s="395">
        <f t="shared" si="189"/>
        <v>0</v>
      </c>
      <c r="CC299" s="395">
        <f t="shared" si="189"/>
        <v>0</v>
      </c>
      <c r="CD299" s="395">
        <f t="shared" si="189"/>
        <v>-81.592916000000102</v>
      </c>
      <c r="CE299" s="395">
        <f t="shared" si="189"/>
        <v>0</v>
      </c>
      <c r="CF299" s="395">
        <f t="shared" si="189"/>
        <v>0</v>
      </c>
      <c r="CG299" s="395">
        <f t="shared" si="189"/>
        <v>0</v>
      </c>
      <c r="CH299" s="395">
        <f t="shared" si="189"/>
        <v>4.2943639999999972</v>
      </c>
      <c r="CI299" s="395">
        <f t="shared" si="189"/>
        <v>0</v>
      </c>
      <c r="CJ299" s="395">
        <f t="shared" si="189"/>
        <v>-77.298552000000115</v>
      </c>
      <c r="CK299" s="395">
        <f t="shared" si="189"/>
        <v>0</v>
      </c>
      <c r="CL299" s="395">
        <f t="shared" si="189"/>
        <v>0</v>
      </c>
      <c r="CM299" s="395">
        <f t="shared" si="189"/>
        <v>0</v>
      </c>
    </row>
    <row r="300" spans="41:91" x14ac:dyDescent="0.25">
      <c r="BB300" s="388"/>
      <c r="BC300" s="388"/>
      <c r="BD300" s="388"/>
      <c r="BE300" s="388"/>
      <c r="BF300" s="388"/>
      <c r="BG300" s="388"/>
      <c r="BH300" s="388"/>
      <c r="BI300" s="388"/>
      <c r="BJ300" s="388"/>
      <c r="BK300" s="388"/>
      <c r="BL300" s="388"/>
      <c r="BM300" s="388"/>
      <c r="BN300" s="388"/>
      <c r="BO300" s="388"/>
      <c r="BP300" s="388"/>
      <c r="BQ300" s="388"/>
      <c r="BR300" s="388"/>
      <c r="BS300" s="388"/>
      <c r="BT300" s="388"/>
      <c r="BU300" s="388"/>
      <c r="BV300" s="388"/>
      <c r="BW300" s="388"/>
      <c r="BX300" s="388"/>
      <c r="BY300" s="388"/>
      <c r="BZ300" s="388"/>
      <c r="CA300" s="388"/>
      <c r="CB300" s="388"/>
      <c r="CC300" s="388"/>
      <c r="CD300" s="388"/>
      <c r="CE300" s="388"/>
      <c r="CF300" s="388"/>
      <c r="CG300" s="388"/>
      <c r="CH300" s="388"/>
      <c r="CI300" s="388"/>
      <c r="CJ300" s="388"/>
      <c r="CK300" s="388"/>
      <c r="CL300" s="388"/>
      <c r="CM300" s="388"/>
    </row>
    <row r="301" spans="41:91" ht="21" x14ac:dyDescent="0.35">
      <c r="AO301" s="251" t="s">
        <v>95</v>
      </c>
      <c r="AP301" s="251"/>
      <c r="AQ301" s="251"/>
    </row>
    <row r="303" spans="41:91" ht="21" x14ac:dyDescent="0.35">
      <c r="AO303" s="252"/>
      <c r="AP303" s="252"/>
      <c r="AQ303" s="252"/>
    </row>
    <row r="304" spans="41:91" ht="15.75" x14ac:dyDescent="0.25">
      <c r="AS304" s="374" t="s">
        <v>81</v>
      </c>
      <c r="AT304" s="478" t="s">
        <v>909</v>
      </c>
      <c r="AU304" s="478"/>
      <c r="AV304" s="479" t="s">
        <v>907</v>
      </c>
      <c r="AW304" s="478" t="s">
        <v>910</v>
      </c>
      <c r="AX304" s="478"/>
      <c r="AY304" s="479" t="s">
        <v>908</v>
      </c>
      <c r="AZ304" s="478" t="s">
        <v>911</v>
      </c>
      <c r="BA304" s="478"/>
    </row>
    <row r="305" spans="41:53" ht="15.75" x14ac:dyDescent="0.25">
      <c r="AS305" s="249"/>
      <c r="AT305" s="374" t="s">
        <v>92</v>
      </c>
      <c r="AU305" s="373" t="s">
        <v>94</v>
      </c>
      <c r="AV305" s="480"/>
      <c r="AW305" s="374" t="s">
        <v>96</v>
      </c>
      <c r="AX305" s="373" t="s">
        <v>93</v>
      </c>
      <c r="AY305" s="480"/>
      <c r="AZ305" s="374" t="s">
        <v>96</v>
      </c>
      <c r="BA305" s="373" t="s">
        <v>93</v>
      </c>
    </row>
    <row r="306" spans="41:53" x14ac:dyDescent="0.25">
      <c r="AO306" s="393" t="s">
        <v>912</v>
      </c>
    </row>
    <row r="307" spans="41:53" x14ac:dyDescent="0.25">
      <c r="AQ307" t="s">
        <v>834</v>
      </c>
      <c r="AS307" s="388">
        <f>SUM(SUMIFS(AS2:AS258,CN2:CN258,AQ307,E2:E258,"0001",F2:F258,"00",AT2:AT258,{1,3}))</f>
        <v>47.892500000000005</v>
      </c>
      <c r="AT307" s="388">
        <f>SUMPRODUCT(--(CN2:CN258=AQ307),--(N2:N258&lt;&gt;"NG"),--(AG2:AG258&lt;&gt;"D"),--(AR2:AR258&lt;&gt;6),--(AR2:AR258&lt;&gt;36),--(AR2:AR258&lt;&gt;56),T2:T258)+SUMPRODUCT(--(CN2:CN258=AQ307),--(N2:N258&lt;&gt;"NG"),--(AG2:AG258&lt;&gt;"D"),--(AR2:AR258&lt;&gt;6),--(AR2:AR258&lt;&gt;36),--(AR2:AR258&lt;&gt;56),U2:U258)</f>
        <v>3641323.0200000014</v>
      </c>
      <c r="AU307" s="388">
        <f>SUMPRODUCT(--(CN2:CN258=AQ307),--(N2:N258&lt;&gt;"NG"),--(AG2:AG258&lt;&gt;"D"),--(AR2:AR258&lt;&gt;6),--(AR2:AR258&lt;&gt;36),--(AR2:AR258&lt;&gt;56),V2:V258)</f>
        <v>1298394.1100000006</v>
      </c>
      <c r="AV307" s="388">
        <f>SUMPRODUCT(--(CN2:CN258=AQ307),AY2:AY258)+SUMPRODUCT(--(CN2:CN258=AQ307),AZ2:AZ258)</f>
        <v>3541593.439999999</v>
      </c>
      <c r="AW307" s="388">
        <f>SUMPRODUCT(--(CN2:CN258=AQ307),BB2:BB258)+SUMPRODUCT(--(CN2:CN258=AQ307),BC2:BC258)</f>
        <v>601000</v>
      </c>
      <c r="AX307" s="388">
        <f>SUMPRODUCT(--(CN2:CN258=AQ307),BL2:BL258)+SUMPRODUCT(--(CN2:CN258=AQ307),BM2:BM258)</f>
        <v>729696.87567840028</v>
      </c>
      <c r="AY307" s="388">
        <f>SUMPRODUCT(--(CN2:CN258=AQ307),AY2:AY258)+SUMPRODUCT(--(CN2:CN258=AQ307),AZ2:AZ258)+SUMPRODUCT(--(CN2:CN258=AQ307),BA2:BA258)</f>
        <v>3541593.439999999</v>
      </c>
      <c r="AZ307" s="388">
        <f>SUMPRODUCT(--(CN2:CN258=AQ307),BN2:BN258)+SUMPRODUCT(--(CN2:CN258=AQ307),BO2:BO258)</f>
        <v>661100</v>
      </c>
      <c r="BA307" s="388">
        <f>SUMPRODUCT(--(CN2:CN258=AQ307),BX2:BX258)+SUMPRODUCT(--(CN2:CN258=AQ307),BY2:BY258)</f>
        <v>704952.5629104001</v>
      </c>
    </row>
    <row r="308" spans="41:53" x14ac:dyDescent="0.25">
      <c r="AP308" t="s">
        <v>913</v>
      </c>
      <c r="AS308" s="399">
        <f t="shared" ref="AS308:BA308" si="190">SUM(AS307:AS307)</f>
        <v>47.892500000000005</v>
      </c>
      <c r="AT308" s="399">
        <f t="shared" si="190"/>
        <v>3641323.0200000014</v>
      </c>
      <c r="AU308" s="399">
        <f t="shared" si="190"/>
        <v>1298394.1100000006</v>
      </c>
      <c r="AV308" s="399">
        <f t="shared" si="190"/>
        <v>3541593.439999999</v>
      </c>
      <c r="AW308" s="399">
        <f t="shared" si="190"/>
        <v>601000</v>
      </c>
      <c r="AX308" s="399">
        <f t="shared" si="190"/>
        <v>729696.87567840028</v>
      </c>
      <c r="AY308" s="399">
        <f t="shared" si="190"/>
        <v>3541593.439999999</v>
      </c>
      <c r="AZ308" s="399">
        <f t="shared" si="190"/>
        <v>661100</v>
      </c>
      <c r="BA308" s="399">
        <f t="shared" si="190"/>
        <v>704952.5629104001</v>
      </c>
    </row>
    <row r="309" spans="41:53" x14ac:dyDescent="0.25">
      <c r="AQ309" t="s">
        <v>828</v>
      </c>
      <c r="AS309" s="388">
        <f>SUM(SUMIFS(AS2:AS258,CN2:CN258,AQ309,E2:E258,"0125",F2:F258,"00",AT2:AT258,{1,3}))</f>
        <v>6.6499999999999995</v>
      </c>
      <c r="AT309" s="388">
        <f>SUMPRODUCT(--(CN2:CN258=AQ309),--(N2:N258&lt;&gt;"NG"),--(AG2:AG258&lt;&gt;"D"),--(AR2:AR258&lt;&gt;6),--(AR2:AR258&lt;&gt;36),--(AR2:AR258&lt;&gt;56),T2:T258)+SUMPRODUCT(--(CN2:CN258=AQ309),--(N2:N258&lt;&gt;"NG"),--(AG2:AG258&lt;&gt;"D"),--(AR2:AR258&lt;&gt;6),--(AR2:AR258&lt;&gt;36),--(AR2:AR258&lt;&gt;56),U2:U258)</f>
        <v>430168.37000000005</v>
      </c>
      <c r="AU309" s="388">
        <f>SUMPRODUCT(--(CN2:CN258=AQ309),--(N2:N258&lt;&gt;"NG"),--(AG2:AG258&lt;&gt;"D"),--(AR2:AR258&lt;&gt;6),--(AR2:AR258&lt;&gt;36),--(AR2:AR258&lt;&gt;56),V2:V258)</f>
        <v>166006.40000000002</v>
      </c>
      <c r="AV309" s="388">
        <f>SUMPRODUCT(--(CN2:CN258=AQ309),AY2:AY258)+SUMPRODUCT(--(CN2:CN258=AQ309),AZ2:AZ258)</f>
        <v>461042.78999999992</v>
      </c>
      <c r="AW309" s="388">
        <f>SUMPRODUCT(--(CN2:CN258=AQ309),BB2:BB258)+SUMPRODUCT(--(CN2:CN258=AQ309),BC2:BC258)</f>
        <v>83125</v>
      </c>
      <c r="AX309" s="388">
        <f>SUMPRODUCT(--(CN2:CN258=AQ309),BL2:BL258)+SUMPRODUCT(--(CN2:CN258=AQ309),BM2:BM258)</f>
        <v>95153.7062019</v>
      </c>
      <c r="AY309" s="388">
        <f>SUMPRODUCT(--(CN2:CN258=AQ309),AY2:AY258)+SUMPRODUCT(--(CN2:CN258=AQ309),AZ2:AZ258)+SUMPRODUCT(--(CN2:CN258=AQ309),BA2:BA258)</f>
        <v>461042.78999999992</v>
      </c>
      <c r="AZ309" s="388">
        <f>SUMPRODUCT(--(CN2:CN258=AQ309),BN2:BN258)+SUMPRODUCT(--(CN2:CN258=AQ309),BO2:BO258)</f>
        <v>91437.5</v>
      </c>
      <c r="BA309" s="388">
        <f>SUMPRODUCT(--(CN2:CN258=AQ309),BX2:BX258)+SUMPRODUCT(--(CN2:CN258=AQ309),BY2:BY258)</f>
        <v>91860.238113899992</v>
      </c>
    </row>
    <row r="310" spans="41:53" x14ac:dyDescent="0.25">
      <c r="AP310" t="s">
        <v>914</v>
      </c>
      <c r="AS310" s="399">
        <f t="shared" ref="AS310:BA310" si="191">SUM(AS309:AS309)</f>
        <v>6.6499999999999995</v>
      </c>
      <c r="AT310" s="399">
        <f t="shared" si="191"/>
        <v>430168.37000000005</v>
      </c>
      <c r="AU310" s="399">
        <f t="shared" si="191"/>
        <v>166006.40000000002</v>
      </c>
      <c r="AV310" s="399">
        <f t="shared" si="191"/>
        <v>461042.78999999992</v>
      </c>
      <c r="AW310" s="399">
        <f t="shared" si="191"/>
        <v>83125</v>
      </c>
      <c r="AX310" s="399">
        <f t="shared" si="191"/>
        <v>95153.7062019</v>
      </c>
      <c r="AY310" s="399">
        <f t="shared" si="191"/>
        <v>461042.78999999992</v>
      </c>
      <c r="AZ310" s="399">
        <f t="shared" si="191"/>
        <v>91437.5</v>
      </c>
      <c r="BA310" s="399">
        <f t="shared" si="191"/>
        <v>91860.238113899992</v>
      </c>
    </row>
    <row r="311" spans="41:53" x14ac:dyDescent="0.25">
      <c r="AQ311" t="s">
        <v>885</v>
      </c>
      <c r="AS311" s="388">
        <f>SUM(SUMIFS(AS2:AS258,CN2:CN258,AQ311,E2:E258,"0319",F2:F258,"00",AT2:AT258,{1,3}))</f>
        <v>1.17</v>
      </c>
      <c r="AT311" s="388">
        <f>SUMPRODUCT(--(CN2:CN258=AQ311),--(N2:N258&lt;&gt;"NG"),--(AG2:AG258&lt;&gt;"D"),--(AR2:AR258&lt;&gt;6),--(AR2:AR258&lt;&gt;36),--(AR2:AR258&lt;&gt;56),T2:T258)+SUMPRODUCT(--(CN2:CN258=AQ311),--(N2:N258&lt;&gt;"NG"),--(AG2:AG258&lt;&gt;"D"),--(AR2:AR258&lt;&gt;6),--(AR2:AR258&lt;&gt;36),--(AR2:AR258&lt;&gt;56),U2:U258)</f>
        <v>85516.02</v>
      </c>
      <c r="AU311" s="388">
        <f>SUMPRODUCT(--(CN2:CN258=AQ311),--(N2:N258&lt;&gt;"NG"),--(AG2:AG258&lt;&gt;"D"),--(AR2:AR258&lt;&gt;6),--(AR2:AR258&lt;&gt;36),--(AR2:AR258&lt;&gt;56),V2:V258)</f>
        <v>32871.440000000002</v>
      </c>
      <c r="AV311" s="388">
        <f>SUMPRODUCT(--(CN2:CN258=AQ311),AY2:AY258)+SUMPRODUCT(--(CN2:CN258=AQ311),AZ2:AZ258)</f>
        <v>71007.87</v>
      </c>
      <c r="AW311" s="388">
        <f>SUMPRODUCT(--(CN2:CN258=AQ311),BB2:BB258)+SUMPRODUCT(--(CN2:CN258=AQ311),BC2:BC258)</f>
        <v>14625</v>
      </c>
      <c r="AX311" s="388">
        <f>SUMPRODUCT(--(CN2:CN258=AQ311),BL2:BL258)+SUMPRODUCT(--(CN2:CN258=AQ311),BM2:BM258)</f>
        <v>14670.936020700001</v>
      </c>
      <c r="AY311" s="388">
        <f>SUMPRODUCT(--(CN2:CN258=AQ311),AY2:AY258)+SUMPRODUCT(--(CN2:CN258=AQ311),AZ2:AZ258)+SUMPRODUCT(--(CN2:CN258=AQ311),BA2:BA258)</f>
        <v>71007.87</v>
      </c>
      <c r="AZ311" s="388">
        <f>SUMPRODUCT(--(CN2:CN258=AQ311),BN2:BN258)+SUMPRODUCT(--(CN2:CN258=AQ311),BO2:BO258)</f>
        <v>16087.5</v>
      </c>
      <c r="BA311" s="388">
        <f>SUMPRODUCT(--(CN2:CN258=AQ311),BX2:BX258)+SUMPRODUCT(--(CN2:CN258=AQ311),BY2:BY258)</f>
        <v>14159.6793567</v>
      </c>
    </row>
    <row r="312" spans="41:53" x14ac:dyDescent="0.25">
      <c r="AP312" t="s">
        <v>915</v>
      </c>
      <c r="AS312" s="399">
        <f t="shared" ref="AS312:BA312" si="192">SUM(AS311:AS311)</f>
        <v>1.17</v>
      </c>
      <c r="AT312" s="399">
        <f t="shared" si="192"/>
        <v>85516.02</v>
      </c>
      <c r="AU312" s="399">
        <f t="shared" si="192"/>
        <v>32871.440000000002</v>
      </c>
      <c r="AV312" s="399">
        <f t="shared" si="192"/>
        <v>71007.87</v>
      </c>
      <c r="AW312" s="399">
        <f t="shared" si="192"/>
        <v>14625</v>
      </c>
      <c r="AX312" s="399">
        <f t="shared" si="192"/>
        <v>14670.936020700001</v>
      </c>
      <c r="AY312" s="399">
        <f t="shared" si="192"/>
        <v>71007.87</v>
      </c>
      <c r="AZ312" s="399">
        <f t="shared" si="192"/>
        <v>16087.5</v>
      </c>
      <c r="BA312" s="399">
        <f t="shared" si="192"/>
        <v>14159.6793567</v>
      </c>
    </row>
    <row r="313" spans="41:53" x14ac:dyDescent="0.25">
      <c r="AQ313" t="s">
        <v>916</v>
      </c>
      <c r="AS313" s="388">
        <f>SUM(SUMIFS(AS2:AS258,CN2:CN258,AQ313,E2:E258,"0325",F2:F258,"03",AT2:AT258,{1,3}))</f>
        <v>5.95</v>
      </c>
      <c r="AT313" s="388">
        <f>SUMPRODUCT(--(CN2:CN258=AQ313),--(N2:N258&lt;&gt;"NG"),--(AG2:AG258&lt;&gt;"D"),--(AR2:AR258&lt;&gt;6),--(AR2:AR258&lt;&gt;36),--(AR2:AR258&lt;&gt;56),T2:T258)+SUMPRODUCT(--(CN2:CN258=AQ313),--(N2:N258&lt;&gt;"NG"),--(AG2:AG258&lt;&gt;"D"),--(AR2:AR258&lt;&gt;6),--(AR2:AR258&lt;&gt;36),--(AR2:AR258&lt;&gt;56),U2:U258)</f>
        <v>348284.13999999996</v>
      </c>
      <c r="AU313" s="388">
        <f>SUMPRODUCT(--(CN2:CN258=AQ313),--(N2:N258&lt;&gt;"NG"),--(AG2:AG258&lt;&gt;"D"),--(AR2:AR258&lt;&gt;6),--(AR2:AR258&lt;&gt;36),--(AR2:AR258&lt;&gt;56),V2:V258)</f>
        <v>138236.49000000002</v>
      </c>
      <c r="AV313" s="388">
        <f>SUMPRODUCT(--(CN2:CN258=AQ313),AY2:AY258)+SUMPRODUCT(--(CN2:CN258=AQ313),AZ2:AZ258)</f>
        <v>357095.44</v>
      </c>
      <c r="AW313" s="388">
        <f>SUMPRODUCT(--(CN2:CN258=AQ313),BB2:BB258)+SUMPRODUCT(--(CN2:CN258=AQ313),BC2:BC258)</f>
        <v>74375</v>
      </c>
      <c r="AX313" s="388">
        <f>SUMPRODUCT(--(CN2:CN258=AQ313),BL2:BL258)+SUMPRODUCT(--(CN2:CN258=AQ313),BM2:BM258)</f>
        <v>73779.4888584</v>
      </c>
      <c r="AY313" s="388">
        <f>SUMPRODUCT(--(CN2:CN258=AQ313),AY2:AY258)+SUMPRODUCT(--(CN2:CN258=AQ313),AZ2:AZ258)+SUMPRODUCT(--(CN2:CN258=AQ313),BA2:BA258)</f>
        <v>357095.44</v>
      </c>
      <c r="AZ313" s="388">
        <f>SUMPRODUCT(--(CN2:CN258=AQ313),BN2:BN258)+SUMPRODUCT(--(CN2:CN258=AQ313),BO2:BO258)</f>
        <v>81812.5</v>
      </c>
      <c r="BA313" s="388">
        <f>SUMPRODUCT(--(CN2:CN258=AQ313),BX2:BX258)+SUMPRODUCT(--(CN2:CN258=AQ313),BY2:BY258)</f>
        <v>71208.401690400002</v>
      </c>
    </row>
    <row r="314" spans="41:53" x14ac:dyDescent="0.25">
      <c r="AQ314" t="s">
        <v>917</v>
      </c>
      <c r="AS314" s="388">
        <f>SUM(SUMIFS(AS2:AS258,CN2:CN258,AQ314,E2:E258,"0325",F2:F258,"04",AT2:AT258,{1,3}))</f>
        <v>0.05</v>
      </c>
      <c r="AT314" s="388">
        <f>SUMPRODUCT(--(CN2:CN258=AQ314),--(N2:N258&lt;&gt;"NG"),--(AG2:AG258&lt;&gt;"D"),--(AR2:AR258&lt;&gt;6),--(AR2:AR258&lt;&gt;36),--(AR2:AR258&lt;&gt;56),T2:T258)+SUMPRODUCT(--(CN2:CN258=AQ314),--(N2:N258&lt;&gt;"NG"),--(AG2:AG258&lt;&gt;"D"),--(AR2:AR258&lt;&gt;6),--(AR2:AR258&lt;&gt;36),--(AR2:AR258&lt;&gt;56),U2:U258)</f>
        <v>5086.51</v>
      </c>
      <c r="AU314" s="388">
        <f>SUMPRODUCT(--(CN2:CN258=AQ314),--(N2:N258&lt;&gt;"NG"),--(AG2:AG258&lt;&gt;"D"),--(AR2:AR258&lt;&gt;6),--(AR2:AR258&lt;&gt;36),--(AR2:AR258&lt;&gt;56),V2:V258)</f>
        <v>1692.9</v>
      </c>
      <c r="AV314" s="388">
        <f>SUMPRODUCT(--(CN2:CN258=AQ314),AY2:AY258)+SUMPRODUCT(--(CN2:CN258=AQ314),AZ2:AZ258)</f>
        <v>4537.5200000000004</v>
      </c>
      <c r="AW314" s="388">
        <f>SUMPRODUCT(--(CN2:CN258=AQ314),BB2:BB258)+SUMPRODUCT(--(CN2:CN258=AQ314),BC2:BC258)</f>
        <v>625</v>
      </c>
      <c r="AX314" s="388">
        <f>SUMPRODUCT(--(CN2:CN258=AQ314),BL2:BL258)+SUMPRODUCT(--(CN2:CN258=AQ314),BM2:BM258)</f>
        <v>937.4970072000001</v>
      </c>
      <c r="AY314" s="388">
        <f>SUMPRODUCT(--(CN2:CN258=AQ314),AY2:AY258)+SUMPRODUCT(--(CN2:CN258=AQ314),AZ2:AZ258)+SUMPRODUCT(--(CN2:CN258=AQ314),BA2:BA258)</f>
        <v>4537.5200000000004</v>
      </c>
      <c r="AZ314" s="388">
        <f>SUMPRODUCT(--(CN2:CN258=AQ314),BN2:BN258)+SUMPRODUCT(--(CN2:CN258=AQ314),BO2:BO258)</f>
        <v>687.5</v>
      </c>
      <c r="BA314" s="388">
        <f>SUMPRODUCT(--(CN2:CN258=AQ314),BX2:BX258)+SUMPRODUCT(--(CN2:CN258=AQ314),BY2:BY258)</f>
        <v>904.82686320000016</v>
      </c>
    </row>
    <row r="315" spans="41:53" x14ac:dyDescent="0.25">
      <c r="AQ315" t="s">
        <v>918</v>
      </c>
      <c r="AS315" s="388">
        <f>SUM(SUMIFS(AS2:AS258,CN2:CN258,AQ315,E2:E258,"0325",F2:F258,"05",AT2:AT258,{1,3}))</f>
        <v>0</v>
      </c>
      <c r="AT315" s="388">
        <f>SUMPRODUCT(--(CN2:CN258=AQ315),--(N2:N258&lt;&gt;"NG"),--(AG2:AG258&lt;&gt;"D"),--(AR2:AR258&lt;&gt;6),--(AR2:AR258&lt;&gt;36),--(AR2:AR258&lt;&gt;56),T2:T258)+SUMPRODUCT(--(CN2:CN258=AQ315),--(N2:N258&lt;&gt;"NG"),--(AG2:AG258&lt;&gt;"D"),--(AR2:AR258&lt;&gt;6),--(AR2:AR258&lt;&gt;36),--(AR2:AR258&lt;&gt;56),U2:U258)</f>
        <v>29056.32</v>
      </c>
      <c r="AU315" s="388">
        <f>SUMPRODUCT(--(CN2:CN258=AQ315),--(N2:N258&lt;&gt;"NG"),--(AG2:AG258&lt;&gt;"D"),--(AR2:AR258&lt;&gt;6),--(AR2:AR258&lt;&gt;36),--(AR2:AR258&lt;&gt;56),V2:V258)</f>
        <v>11795.37</v>
      </c>
      <c r="AV315" s="388">
        <f>SUMPRODUCT(--(CN2:CN258=AQ315),AY2:AY258)+SUMPRODUCT(--(CN2:CN258=AQ315),AZ2:AZ258)</f>
        <v>0</v>
      </c>
      <c r="AW315" s="388">
        <f>SUMPRODUCT(--(CN2:CN258=AQ315),BB2:BB258)+SUMPRODUCT(--(CN2:CN258=AQ315),BC2:BC258)</f>
        <v>0</v>
      </c>
      <c r="AX315" s="388">
        <f>SUMPRODUCT(--(CN2:CN258=AQ315),BL2:BL258)+SUMPRODUCT(--(CN2:CN258=AQ315),BM2:BM258)</f>
        <v>0</v>
      </c>
      <c r="AY315" s="388">
        <f>SUMPRODUCT(--(CN2:CN258=AQ315),AY2:AY258)+SUMPRODUCT(--(CN2:CN258=AQ315),AZ2:AZ258)+SUMPRODUCT(--(CN2:CN258=AQ315),BA2:BA258)</f>
        <v>0</v>
      </c>
      <c r="AZ315" s="388">
        <f>SUMPRODUCT(--(CN2:CN258=AQ315),BN2:BN258)+SUMPRODUCT(--(CN2:CN258=AQ315),BO2:BO258)</f>
        <v>0</v>
      </c>
      <c r="BA315" s="388">
        <f>SUMPRODUCT(--(CN2:CN258=AQ315),BX2:BX258)+SUMPRODUCT(--(CN2:CN258=AQ315),BY2:BY258)</f>
        <v>0</v>
      </c>
    </row>
    <row r="316" spans="41:53" x14ac:dyDescent="0.25">
      <c r="AQ316" t="s">
        <v>919</v>
      </c>
      <c r="AS316" s="388">
        <f>SUM(SUMIFS(AS2:AS258,CN2:CN258,AQ316,E2:E258,"0325",F2:F258,"11",AT2:AT258,{1,3}))</f>
        <v>0.6</v>
      </c>
      <c r="AT316" s="388">
        <f>SUMPRODUCT(--(CN2:CN258=AQ316),--(N2:N258&lt;&gt;"NG"),--(AG2:AG258&lt;&gt;"D"),--(AR2:AR258&lt;&gt;6),--(AR2:AR258&lt;&gt;36),--(AR2:AR258&lt;&gt;56),T2:T258)+SUMPRODUCT(--(CN2:CN258=AQ316),--(N2:N258&lt;&gt;"NG"),--(AG2:AG258&lt;&gt;"D"),--(AR2:AR258&lt;&gt;6),--(AR2:AR258&lt;&gt;36),--(AR2:AR258&lt;&gt;56),U2:U258)</f>
        <v>0</v>
      </c>
      <c r="AU316" s="388">
        <f>SUMPRODUCT(--(CN2:CN258=AQ316),--(N2:N258&lt;&gt;"NG"),--(AG2:AG258&lt;&gt;"D"),--(AR2:AR258&lt;&gt;6),--(AR2:AR258&lt;&gt;36),--(AR2:AR258&lt;&gt;56),V2:V258)</f>
        <v>0</v>
      </c>
      <c r="AV316" s="388">
        <f>SUMPRODUCT(--(CN2:CN258=AQ316),AY2:AY258)+SUMPRODUCT(--(CN2:CN258=AQ316),AZ2:AZ258)</f>
        <v>28604.16</v>
      </c>
      <c r="AW316" s="388">
        <f>SUMPRODUCT(--(CN2:CN258=AQ316),BB2:BB258)+SUMPRODUCT(--(CN2:CN258=AQ316),BC2:BC258)</f>
        <v>7500</v>
      </c>
      <c r="AX316" s="388">
        <f>SUMPRODUCT(--(CN2:CN258=AQ316),BL2:BL258)+SUMPRODUCT(--(CN2:CN258=AQ316),BM2:BM258)</f>
        <v>5909.9054976000007</v>
      </c>
      <c r="AY316" s="388">
        <f>SUMPRODUCT(--(CN2:CN258=AQ316),AY2:AY258)+SUMPRODUCT(--(CN2:CN258=AQ316),AZ2:AZ258)+SUMPRODUCT(--(CN2:CN258=AQ316),BA2:BA258)</f>
        <v>28604.16</v>
      </c>
      <c r="AZ316" s="388">
        <f>SUMPRODUCT(--(CN2:CN258=AQ316),BN2:BN258)+SUMPRODUCT(--(CN2:CN258=AQ316),BO2:BO258)</f>
        <v>8250</v>
      </c>
      <c r="BA316" s="388">
        <f>SUMPRODUCT(--(CN2:CN258=AQ316),BX2:BX258)+SUMPRODUCT(--(CN2:CN258=AQ316),BY2:BY258)</f>
        <v>5703.9555456000007</v>
      </c>
    </row>
    <row r="317" spans="41:53" x14ac:dyDescent="0.25">
      <c r="AQ317" t="s">
        <v>920</v>
      </c>
      <c r="AS317" s="388">
        <f>SUM(SUMIFS(AS2:AS258,CN2:CN258,AQ317,E2:E258,"0325",F2:F258,"19",AT2:AT258,{1,3}))</f>
        <v>0</v>
      </c>
      <c r="AT317" s="388">
        <f>SUMPRODUCT(--(CN2:CN258=AQ317),--(N2:N258&lt;&gt;"NG"),--(AG2:AG258&lt;&gt;"D"),--(AR2:AR258&lt;&gt;6),--(AR2:AR258&lt;&gt;36),--(AR2:AR258&lt;&gt;56),T2:T258)+SUMPRODUCT(--(CN2:CN258=AQ317),--(N2:N258&lt;&gt;"NG"),--(AG2:AG258&lt;&gt;"D"),--(AR2:AR258&lt;&gt;6),--(AR2:AR258&lt;&gt;36),--(AR2:AR258&lt;&gt;56),U2:U258)</f>
        <v>0</v>
      </c>
      <c r="AU317" s="388">
        <f>SUMPRODUCT(--(CN2:CN258=AQ317),--(N2:N258&lt;&gt;"NG"),--(AG2:AG258&lt;&gt;"D"),--(AR2:AR258&lt;&gt;6),--(AR2:AR258&lt;&gt;36),--(AR2:AR258&lt;&gt;56),V2:V258)</f>
        <v>288.95</v>
      </c>
      <c r="AV317" s="388">
        <f>SUMPRODUCT(--(CN2:CN258=AQ317),AY2:AY258)+SUMPRODUCT(--(CN2:CN258=AQ317),AZ2:AZ258)</f>
        <v>0</v>
      </c>
      <c r="AW317" s="388">
        <f>SUMPRODUCT(--(CN2:CN258=AQ317),BB2:BB258)+SUMPRODUCT(--(CN2:CN258=AQ317),BC2:BC258)</f>
        <v>0</v>
      </c>
      <c r="AX317" s="388">
        <f>SUMPRODUCT(--(CN2:CN258=AQ317),BL2:BL258)+SUMPRODUCT(--(CN2:CN258=AQ317),BM2:BM258)</f>
        <v>0</v>
      </c>
      <c r="AY317" s="388">
        <f>SUMPRODUCT(--(CN2:CN258=AQ317),AY2:AY258)+SUMPRODUCT(--(CN2:CN258=AQ317),AZ2:AZ258)+SUMPRODUCT(--(CN2:CN258=AQ317),BA2:BA258)</f>
        <v>0</v>
      </c>
      <c r="AZ317" s="388">
        <f>SUMPRODUCT(--(CN2:CN258=AQ317),BN2:BN258)+SUMPRODUCT(--(CN2:CN258=AQ317),BO2:BO258)</f>
        <v>0</v>
      </c>
      <c r="BA317" s="388">
        <f>SUMPRODUCT(--(CN2:CN258=AQ317),BX2:BX258)+SUMPRODUCT(--(CN2:CN258=AQ317),BY2:BY258)</f>
        <v>0</v>
      </c>
    </row>
    <row r="318" spans="41:53" x14ac:dyDescent="0.25">
      <c r="AQ318" t="s">
        <v>921</v>
      </c>
      <c r="AS318" s="388">
        <f>SUM(SUMIFS(AS2:AS258,CN2:CN258,AQ318,E2:E258,"0325",F2:F258,"22",AT2:AT258,{1,3}))</f>
        <v>1.03</v>
      </c>
      <c r="AT318" s="388">
        <f>SUMPRODUCT(--(CN2:CN258=AQ318),--(N2:N258&lt;&gt;"NG"),--(AG2:AG258&lt;&gt;"D"),--(AR2:AR258&lt;&gt;6),--(AR2:AR258&lt;&gt;36),--(AR2:AR258&lt;&gt;56),T2:T258)+SUMPRODUCT(--(CN2:CN258=AQ318),--(N2:N258&lt;&gt;"NG"),--(AG2:AG258&lt;&gt;"D"),--(AR2:AR258&lt;&gt;6),--(AR2:AR258&lt;&gt;36),--(AR2:AR258&lt;&gt;56),U2:U258)</f>
        <v>72591.27</v>
      </c>
      <c r="AU318" s="388">
        <f>SUMPRODUCT(--(CN2:CN258=AQ318),--(N2:N258&lt;&gt;"NG"),--(AG2:AG258&lt;&gt;"D"),--(AR2:AR258&lt;&gt;6),--(AR2:AR258&lt;&gt;36),--(AR2:AR258&lt;&gt;56),V2:V258)</f>
        <v>27269.719999999998</v>
      </c>
      <c r="AV318" s="388">
        <f>SUMPRODUCT(--(CN2:CN258=AQ318),AY2:AY258)+SUMPRODUCT(--(CN2:CN258=AQ318),AZ2:AZ258)</f>
        <v>71137.239999999991</v>
      </c>
      <c r="AW318" s="388">
        <f>SUMPRODUCT(--(CN2:CN258=AQ318),BB2:BB258)+SUMPRODUCT(--(CN2:CN258=AQ318),BC2:BC258)</f>
        <v>12875</v>
      </c>
      <c r="AX318" s="388">
        <f>SUMPRODUCT(--(CN2:CN258=AQ318),BL2:BL258)+SUMPRODUCT(--(CN2:CN258=AQ318),BM2:BM258)</f>
        <v>14697.665156399999</v>
      </c>
      <c r="AY318" s="388">
        <f>SUMPRODUCT(--(CN2:CN258=AQ318),AY2:AY258)+SUMPRODUCT(--(CN2:CN258=AQ318),AZ2:AZ258)+SUMPRODUCT(--(CN2:CN258=AQ318),BA2:BA258)</f>
        <v>71137.239999999991</v>
      </c>
      <c r="AZ318" s="388">
        <f>SUMPRODUCT(--(CN2:CN258=AQ318),BN2:BN258)+SUMPRODUCT(--(CN2:CN258=AQ318),BO2:BO258)</f>
        <v>14162.5</v>
      </c>
      <c r="BA318" s="388">
        <f>SUMPRODUCT(--(CN2:CN258=AQ318),BX2:BX258)+SUMPRODUCT(--(CN2:CN258=AQ318),BY2:BY258)</f>
        <v>14185.477028399999</v>
      </c>
    </row>
    <row r="319" spans="41:53" x14ac:dyDescent="0.25">
      <c r="AP319" t="s">
        <v>922</v>
      </c>
      <c r="AS319" s="399">
        <f t="shared" ref="AS319:BA319" si="193">SUM(AS313:AS318)</f>
        <v>7.63</v>
      </c>
      <c r="AT319" s="399">
        <f t="shared" si="193"/>
        <v>455018.23999999999</v>
      </c>
      <c r="AU319" s="399">
        <f t="shared" si="193"/>
        <v>179283.43000000002</v>
      </c>
      <c r="AV319" s="399">
        <f t="shared" si="193"/>
        <v>461374.36</v>
      </c>
      <c r="AW319" s="399">
        <f t="shared" si="193"/>
        <v>95375</v>
      </c>
      <c r="AX319" s="399">
        <f t="shared" si="193"/>
        <v>95324.55651960001</v>
      </c>
      <c r="AY319" s="399">
        <f t="shared" si="193"/>
        <v>461374.36</v>
      </c>
      <c r="AZ319" s="399">
        <f t="shared" si="193"/>
        <v>104912.5</v>
      </c>
      <c r="BA319" s="399">
        <f t="shared" si="193"/>
        <v>92002.661127599989</v>
      </c>
    </row>
    <row r="320" spans="41:53" x14ac:dyDescent="0.25">
      <c r="AQ320" t="s">
        <v>891</v>
      </c>
      <c r="AS320" s="388">
        <f>SUM(SUMIFS(AS2:AS258,CN2:CN258,AQ320,E2:E258,"0345",F2:F258,"00",AT2:AT258,{1,3}))</f>
        <v>3.55</v>
      </c>
      <c r="AT320" s="388">
        <f>SUMPRODUCT(--(CN2:CN258=AQ320),--(N2:N258&lt;&gt;"NG"),--(AG2:AG258&lt;&gt;"D"),--(AR2:AR258&lt;&gt;6),--(AR2:AR258&lt;&gt;36),--(AR2:AR258&lt;&gt;56),T2:T258)+SUMPRODUCT(--(CN2:CN258=AQ320),--(N2:N258&lt;&gt;"NG"),--(AG2:AG258&lt;&gt;"D"),--(AR2:AR258&lt;&gt;6),--(AR2:AR258&lt;&gt;36),--(AR2:AR258&lt;&gt;56),U2:U258)</f>
        <v>221354.21</v>
      </c>
      <c r="AU320" s="388">
        <f>SUMPRODUCT(--(CN2:CN258=AQ320),--(N2:N258&lt;&gt;"NG"),--(AG2:AG258&lt;&gt;"D"),--(AR2:AR258&lt;&gt;6),--(AR2:AR258&lt;&gt;36),--(AR2:AR258&lt;&gt;56),V2:V258)</f>
        <v>82769.05</v>
      </c>
      <c r="AV320" s="388">
        <f>SUMPRODUCT(--(CN2:CN258=AQ320),AY2:AY258)+SUMPRODUCT(--(CN2:CN258=AQ320),AZ2:AZ258)</f>
        <v>242132.8</v>
      </c>
      <c r="AW320" s="388">
        <f>SUMPRODUCT(--(CN2:CN258=AQ320),BB2:BB258)+SUMPRODUCT(--(CN2:CN258=AQ320),BC2:BC258)</f>
        <v>44375</v>
      </c>
      <c r="AX320" s="388">
        <f>SUMPRODUCT(--(CN2:CN258=AQ320),BL2:BL258)+SUMPRODUCT(--(CN2:CN258=AQ320),BM2:BM258)</f>
        <v>50027.057807999998</v>
      </c>
      <c r="AY320" s="388">
        <f>SUMPRODUCT(--(CN2:CN258=AQ320),AY2:AY258)+SUMPRODUCT(--(CN2:CN258=AQ320),AZ2:AZ258)+SUMPRODUCT(--(CN2:CN258=AQ320),BA2:BA258)</f>
        <v>242132.8</v>
      </c>
      <c r="AZ320" s="388">
        <f>SUMPRODUCT(--(CN2:CN258=AQ320),BN2:BN258)+SUMPRODUCT(--(CN2:CN258=AQ320),BO2:BO258)</f>
        <v>48812.5</v>
      </c>
      <c r="BA320" s="388">
        <f>SUMPRODUCT(--(CN2:CN258=AQ320),BX2:BX258)+SUMPRODUCT(--(CN2:CN258=AQ320),BY2:BY258)</f>
        <v>48283.701647999995</v>
      </c>
    </row>
    <row r="321" spans="41:53" x14ac:dyDescent="0.25">
      <c r="AP321" t="s">
        <v>923</v>
      </c>
      <c r="AS321" s="399">
        <f t="shared" ref="AS321:BA321" si="194">SUM(AS320:AS320)</f>
        <v>3.55</v>
      </c>
      <c r="AT321" s="399">
        <f t="shared" si="194"/>
        <v>221354.21</v>
      </c>
      <c r="AU321" s="399">
        <f t="shared" si="194"/>
        <v>82769.05</v>
      </c>
      <c r="AV321" s="399">
        <f t="shared" si="194"/>
        <v>242132.8</v>
      </c>
      <c r="AW321" s="399">
        <f t="shared" si="194"/>
        <v>44375</v>
      </c>
      <c r="AX321" s="399">
        <f t="shared" si="194"/>
        <v>50027.057807999998</v>
      </c>
      <c r="AY321" s="399">
        <f t="shared" si="194"/>
        <v>242132.8</v>
      </c>
      <c r="AZ321" s="399">
        <f t="shared" si="194"/>
        <v>48812.5</v>
      </c>
      <c r="BA321" s="399">
        <f t="shared" si="194"/>
        <v>48283.701647999995</v>
      </c>
    </row>
    <row r="322" spans="41:53" x14ac:dyDescent="0.25">
      <c r="AQ322" t="s">
        <v>924</v>
      </c>
      <c r="AS322" s="388">
        <f>SUM(SUMIFS(AS2:AS258,CN2:CN258,AQ322,E2:E258,"0348",F2:F258,"01",AT2:AT258,{1,3}))</f>
        <v>9.7200000000000006</v>
      </c>
      <c r="AT322" s="388">
        <f>SUMPRODUCT(--(CN2:CN258=AQ322),--(N2:N258&lt;&gt;"NG"),--(AG2:AG258&lt;&gt;"D"),--(AR2:AR258&lt;&gt;6),--(AR2:AR258&lt;&gt;36),--(AR2:AR258&lt;&gt;56),T2:T258)+SUMPRODUCT(--(CN2:CN258=AQ322),--(N2:N258&lt;&gt;"NG"),--(AG2:AG258&lt;&gt;"D"),--(AR2:AR258&lt;&gt;6),--(AR2:AR258&lt;&gt;36),--(AR2:AR258&lt;&gt;56),U2:U258)</f>
        <v>837174.29</v>
      </c>
      <c r="AU322" s="388">
        <f>SUMPRODUCT(--(CN2:CN258=AQ322),--(N2:N258&lt;&gt;"NG"),--(AG2:AG258&lt;&gt;"D"),--(AR2:AR258&lt;&gt;6),--(AR2:AR258&lt;&gt;36),--(AR2:AR258&lt;&gt;56),V2:V258)</f>
        <v>320314.06999999995</v>
      </c>
      <c r="AV322" s="388">
        <f>SUMPRODUCT(--(CN2:CN258=AQ322),AY2:AY258)+SUMPRODUCT(--(CN2:CN258=AQ322),AZ2:AZ258)</f>
        <v>670327.63</v>
      </c>
      <c r="AW322" s="388">
        <f>SUMPRODUCT(--(CN2:CN258=AQ322),BB2:BB258)+SUMPRODUCT(--(CN2:CN258=AQ322),BC2:BC258)</f>
        <v>121500</v>
      </c>
      <c r="AX322" s="388">
        <f>SUMPRODUCT(--(CN2:CN258=AQ322),BL2:BL258)+SUMPRODUCT(--(CN2:CN258=AQ322),BM2:BM258)</f>
        <v>138496.3916343</v>
      </c>
      <c r="AY322" s="388">
        <f>SUMPRODUCT(--(CN2:CN258=AQ322),AY2:AY258)+SUMPRODUCT(--(CN2:CN258=AQ322),AZ2:AZ258)+SUMPRODUCT(--(CN2:CN258=AQ322),BA2:BA258)</f>
        <v>670327.63</v>
      </c>
      <c r="AZ322" s="388">
        <f>SUMPRODUCT(--(CN2:CN258=AQ322),BN2:BN258)+SUMPRODUCT(--(CN2:CN258=AQ322),BO2:BO258)</f>
        <v>133650</v>
      </c>
      <c r="BA322" s="388">
        <f>SUMPRODUCT(--(CN2:CN258=AQ322),BX2:BX258)+SUMPRODUCT(--(CN2:CN258=AQ322),BY2:BY258)</f>
        <v>133670.0326983</v>
      </c>
    </row>
    <row r="323" spans="41:53" x14ac:dyDescent="0.25">
      <c r="AQ323" t="s">
        <v>925</v>
      </c>
      <c r="AS323" s="388">
        <f>SUM(SUMIFS(AS2:AS258,CN2:CN258,AQ323,E2:E258,"0348",F2:F258,"03",AT2:AT258,{1,3}))</f>
        <v>12.4</v>
      </c>
      <c r="AT323" s="388">
        <f>SUMPRODUCT(--(CN2:CN258=AQ323),--(N2:N258&lt;&gt;"NG"),--(AG2:AG258&lt;&gt;"D"),--(AR2:AR258&lt;&gt;6),--(AR2:AR258&lt;&gt;36),--(AR2:AR258&lt;&gt;56),T2:T258)+SUMPRODUCT(--(CN2:CN258=AQ323),--(N2:N258&lt;&gt;"NG"),--(AG2:AG258&lt;&gt;"D"),--(AR2:AR258&lt;&gt;6),--(AR2:AR258&lt;&gt;36),--(AR2:AR258&lt;&gt;56),U2:U258)</f>
        <v>678829.59000000008</v>
      </c>
      <c r="AU323" s="388">
        <f>SUMPRODUCT(--(CN2:CN258=AQ323),--(N2:N258&lt;&gt;"NG"),--(AG2:AG258&lt;&gt;"D"),--(AR2:AR258&lt;&gt;6),--(AR2:AR258&lt;&gt;36),--(AR2:AR258&lt;&gt;56),V2:V258)</f>
        <v>255824.78000000003</v>
      </c>
      <c r="AV323" s="388">
        <f>SUMPRODUCT(--(CN2:CN258=AQ323),AY2:AY258)+SUMPRODUCT(--(CN2:CN258=AQ323),AZ2:AZ258)</f>
        <v>824883.25</v>
      </c>
      <c r="AW323" s="388">
        <f>SUMPRODUCT(--(CN2:CN258=AQ323),BB2:BB258)+SUMPRODUCT(--(CN2:CN258=AQ323),BC2:BC258)</f>
        <v>155000</v>
      </c>
      <c r="AX323" s="388">
        <f>SUMPRODUCT(--(CN2:CN258=AQ323),BL2:BL258)+SUMPRODUCT(--(CN2:CN258=AQ323),BM2:BM258)</f>
        <v>170429.12828250002</v>
      </c>
      <c r="AY323" s="388">
        <f>SUMPRODUCT(--(CN2:CN258=AQ323),AY2:AY258)+SUMPRODUCT(--(CN2:CN258=AQ323),AZ2:AZ258)+SUMPRODUCT(--(CN2:CN258=AQ323),BA2:BA258)</f>
        <v>824883.25</v>
      </c>
      <c r="AZ323" s="388">
        <f>SUMPRODUCT(--(CN2:CN258=AQ323),BN2:BN258)+SUMPRODUCT(--(CN2:CN258=AQ323),BO2:BO258)</f>
        <v>170500</v>
      </c>
      <c r="BA323" s="388">
        <f>SUMPRODUCT(--(CN2:CN258=AQ323),BX2:BX258)+SUMPRODUCT(--(CN2:CN258=AQ323),BY2:BY258)</f>
        <v>164489.96888250002</v>
      </c>
    </row>
    <row r="324" spans="41:53" x14ac:dyDescent="0.25">
      <c r="AQ324" t="s">
        <v>926</v>
      </c>
      <c r="AS324" s="388">
        <f>SUM(SUMIFS(AS2:AS258,CN2:CN258,AQ324,E2:E258,"0348",F2:F258,"07",AT2:AT258,{1,3}))</f>
        <v>0</v>
      </c>
      <c r="AT324" s="388">
        <f>SUMPRODUCT(--(CN2:CN258=AQ324),--(N2:N258&lt;&gt;"NG"),--(AG2:AG258&lt;&gt;"D"),--(AR2:AR258&lt;&gt;6),--(AR2:AR258&lt;&gt;36),--(AR2:AR258&lt;&gt;56),T2:T258)+SUMPRODUCT(--(CN2:CN258=AQ324),--(N2:N258&lt;&gt;"NG"),--(AG2:AG258&lt;&gt;"D"),--(AR2:AR258&lt;&gt;6),--(AR2:AR258&lt;&gt;36),--(AR2:AR258&lt;&gt;56),U2:U258)</f>
        <v>102.63</v>
      </c>
      <c r="AU324" s="388">
        <f>SUMPRODUCT(--(CN2:CN258=AQ324),--(N2:N258&lt;&gt;"NG"),--(AG2:AG258&lt;&gt;"D"),--(AR2:AR258&lt;&gt;6),--(AR2:AR258&lt;&gt;36),--(AR2:AR258&lt;&gt;56),V2:V258)</f>
        <v>15.6</v>
      </c>
      <c r="AV324" s="388">
        <f>SUMPRODUCT(--(CN2:CN258=AQ324),AY2:AY258)+SUMPRODUCT(--(CN2:CN258=AQ324),AZ2:AZ258)</f>
        <v>0</v>
      </c>
      <c r="AW324" s="388">
        <f>SUMPRODUCT(--(CN2:CN258=AQ324),BB2:BB258)+SUMPRODUCT(--(CN2:CN258=AQ324),BC2:BC258)</f>
        <v>0</v>
      </c>
      <c r="AX324" s="388">
        <f>SUMPRODUCT(--(CN2:CN258=AQ324),BL2:BL258)+SUMPRODUCT(--(CN2:CN258=AQ324),BM2:BM258)</f>
        <v>0</v>
      </c>
      <c r="AY324" s="388">
        <f>SUMPRODUCT(--(CN2:CN258=AQ324),AY2:AY258)+SUMPRODUCT(--(CN2:CN258=AQ324),AZ2:AZ258)+SUMPRODUCT(--(CN2:CN258=AQ324),BA2:BA258)</f>
        <v>0</v>
      </c>
      <c r="AZ324" s="388">
        <f>SUMPRODUCT(--(CN2:CN258=AQ324),BN2:BN258)+SUMPRODUCT(--(CN2:CN258=AQ324),BO2:BO258)</f>
        <v>0</v>
      </c>
      <c r="BA324" s="388">
        <f>SUMPRODUCT(--(CN2:CN258=AQ324),BX2:BX258)+SUMPRODUCT(--(CN2:CN258=AQ324),BY2:BY258)</f>
        <v>0</v>
      </c>
    </row>
    <row r="325" spans="41:53" x14ac:dyDescent="0.25">
      <c r="AQ325" t="s">
        <v>927</v>
      </c>
      <c r="AS325" s="388">
        <f>SUM(SUMIFS(AS2:AS258,CN2:CN258,AQ325,E2:E258,"0348",F2:F258,"13",AT2:AT258,{1,3}))</f>
        <v>0.4</v>
      </c>
      <c r="AT325" s="388">
        <f>SUMPRODUCT(--(CN2:CN258=AQ325),--(N2:N258&lt;&gt;"NG"),--(AG2:AG258&lt;&gt;"D"),--(AR2:AR258&lt;&gt;6),--(AR2:AR258&lt;&gt;36),--(AR2:AR258&lt;&gt;56),T2:T258)+SUMPRODUCT(--(CN2:CN258=AQ325),--(N2:N258&lt;&gt;"NG"),--(AG2:AG258&lt;&gt;"D"),--(AR2:AR258&lt;&gt;6),--(AR2:AR258&lt;&gt;36),--(AR2:AR258&lt;&gt;56),U2:U258)</f>
        <v>52741.71</v>
      </c>
      <c r="AU325" s="388">
        <f>SUMPRODUCT(--(CN2:CN258=AQ325),--(N2:N258&lt;&gt;"NG"),--(AG2:AG258&lt;&gt;"D"),--(AR2:AR258&lt;&gt;6),--(AR2:AR258&lt;&gt;36),--(AR2:AR258&lt;&gt;56),V2:V258)</f>
        <v>21753.439999999999</v>
      </c>
      <c r="AV325" s="388">
        <f>SUMPRODUCT(--(CN2:CN258=AQ325),AY2:AY258)+SUMPRODUCT(--(CN2:CN258=AQ325),AZ2:AZ258)</f>
        <v>15408.64</v>
      </c>
      <c r="AW325" s="388">
        <f>SUMPRODUCT(--(CN2:CN258=AQ325),BB2:BB258)+SUMPRODUCT(--(CN2:CN258=AQ325),BC2:BC258)</f>
        <v>5000</v>
      </c>
      <c r="AX325" s="388">
        <f>SUMPRODUCT(--(CN2:CN258=AQ325),BL2:BL258)+SUMPRODUCT(--(CN2:CN258=AQ325),BM2:BM258)</f>
        <v>3183.5791104</v>
      </c>
      <c r="AY325" s="388">
        <f>SUMPRODUCT(--(CN2:CN258=AQ325),AY2:AY258)+SUMPRODUCT(--(CN2:CN258=AQ325),AZ2:AZ258)+SUMPRODUCT(--(CN2:CN258=AQ325),BA2:BA258)</f>
        <v>15408.64</v>
      </c>
      <c r="AZ325" s="388">
        <f>SUMPRODUCT(--(CN2:CN258=AQ325),BN2:BN258)+SUMPRODUCT(--(CN2:CN258=AQ325),BO2:BO258)</f>
        <v>5500</v>
      </c>
      <c r="BA325" s="388">
        <f>SUMPRODUCT(--(CN2:CN258=AQ325),BX2:BX258)+SUMPRODUCT(--(CN2:CN258=AQ325),BY2:BY258)</f>
        <v>3072.6369023999991</v>
      </c>
    </row>
    <row r="326" spans="41:53" x14ac:dyDescent="0.25">
      <c r="AQ326" t="s">
        <v>928</v>
      </c>
      <c r="AS326" s="388">
        <f>SUM(SUMIFS(AS2:AS258,CN2:CN258,AQ326,E2:E258,"0348",F2:F258,"14",AT2:AT258,{1,3}))</f>
        <v>1</v>
      </c>
      <c r="AT326" s="388">
        <f>SUMPRODUCT(--(CN2:CN258=AQ326),--(N2:N258&lt;&gt;"NG"),--(AG2:AG258&lt;&gt;"D"),--(AR2:AR258&lt;&gt;6),--(AR2:AR258&lt;&gt;36),--(AR2:AR258&lt;&gt;56),T2:T258)+SUMPRODUCT(--(CN2:CN258=AQ326),--(N2:N258&lt;&gt;"NG"),--(AG2:AG258&lt;&gt;"D"),--(AR2:AR258&lt;&gt;6),--(AR2:AR258&lt;&gt;36),--(AR2:AR258&lt;&gt;56),U2:U258)</f>
        <v>74574.2</v>
      </c>
      <c r="AU326" s="388">
        <f>SUMPRODUCT(--(CN2:CN258=AQ326),--(N2:N258&lt;&gt;"NG"),--(AG2:AG258&lt;&gt;"D"),--(AR2:AR258&lt;&gt;6),--(AR2:AR258&lt;&gt;36),--(AR2:AR258&lt;&gt;56),V2:V258)</f>
        <v>27205.93</v>
      </c>
      <c r="AV326" s="388">
        <f>SUMPRODUCT(--(CN2:CN258=AQ326),AY2:AY258)+SUMPRODUCT(--(CN2:CN258=AQ326),AZ2:AZ258)</f>
        <v>73756.800000000003</v>
      </c>
      <c r="AW326" s="388">
        <f>SUMPRODUCT(--(CN2:CN258=AQ326),BB2:BB258)+SUMPRODUCT(--(CN2:CN258=AQ326),BC2:BC258)</f>
        <v>12500</v>
      </c>
      <c r="AX326" s="388">
        <f>SUMPRODUCT(--(CN2:CN258=AQ326),BL2:BL258)+SUMPRODUCT(--(CN2:CN258=AQ326),BM2:BM258)</f>
        <v>15238.892448000002</v>
      </c>
      <c r="AY326" s="388">
        <f>SUMPRODUCT(--(CN2:CN258=AQ326),AY2:AY258)+SUMPRODUCT(--(CN2:CN258=AQ326),AZ2:AZ258)+SUMPRODUCT(--(CN2:CN258=AQ326),BA2:BA258)</f>
        <v>73756.800000000003</v>
      </c>
      <c r="AZ326" s="388">
        <f>SUMPRODUCT(--(CN2:CN258=AQ326),BN2:BN258)+SUMPRODUCT(--(CN2:CN258=AQ326),BO2:BO258)</f>
        <v>13750</v>
      </c>
      <c r="BA326" s="388">
        <f>SUMPRODUCT(--(CN2:CN258=AQ326),BX2:BX258)+SUMPRODUCT(--(CN2:CN258=AQ326),BY2:BY258)</f>
        <v>14707.843488</v>
      </c>
    </row>
    <row r="327" spans="41:53" x14ac:dyDescent="0.25">
      <c r="AQ327" t="s">
        <v>929</v>
      </c>
      <c r="AS327" s="388">
        <f>SUM(SUMIFS(AS2:AS258,CN2:CN258,AQ327,E2:E258,"0348",F2:F258,"95",AT2:AT258,{1,3}))</f>
        <v>17.7</v>
      </c>
      <c r="AT327" s="388">
        <f>SUMPRODUCT(--(CN2:CN258=AQ327),--(N2:N258&lt;&gt;"NG"),--(AG2:AG258&lt;&gt;"D"),--(AR2:AR258&lt;&gt;6),--(AR2:AR258&lt;&gt;36),--(AR2:AR258&lt;&gt;56),T2:T258)+SUMPRODUCT(--(CN2:CN258=AQ327),--(N2:N258&lt;&gt;"NG"),--(AG2:AG258&lt;&gt;"D"),--(AR2:AR258&lt;&gt;6),--(AR2:AR258&lt;&gt;36),--(AR2:AR258&lt;&gt;56),U2:U258)</f>
        <v>1467717.92</v>
      </c>
      <c r="AU327" s="388">
        <f>SUMPRODUCT(--(CN2:CN258=AQ327),--(N2:N258&lt;&gt;"NG"),--(AG2:AG258&lt;&gt;"D"),--(AR2:AR258&lt;&gt;6),--(AR2:AR258&lt;&gt;36),--(AR2:AR258&lt;&gt;56),V2:V258)</f>
        <v>534199.54</v>
      </c>
      <c r="AV327" s="388">
        <f>SUMPRODUCT(--(CN2:CN258=AQ327),AY2:AY258)+SUMPRODUCT(--(CN2:CN258=AQ327),AZ2:AZ258)</f>
        <v>1332347.0999999999</v>
      </c>
      <c r="AW327" s="388">
        <f>SUMPRODUCT(--(CN2:CN258=AQ327),BB2:BB258)+SUMPRODUCT(--(CN2:CN258=AQ327),BC2:BC258)</f>
        <v>221250</v>
      </c>
      <c r="AX327" s="388">
        <f>SUMPRODUCT(--(CN2:CN258=AQ327),BL2:BL258)+SUMPRODUCT(--(CN2:CN258=AQ327),BM2:BM258)</f>
        <v>275276.23433099996</v>
      </c>
      <c r="AY327" s="388">
        <f>SUMPRODUCT(--(CN2:CN258=AQ327),AY2:AY258)+SUMPRODUCT(--(CN2:CN258=AQ327),AZ2:AZ258)+SUMPRODUCT(--(CN2:CN258=AQ327),BA2:BA258)</f>
        <v>1332347.0999999999</v>
      </c>
      <c r="AZ327" s="388">
        <f>SUMPRODUCT(--(CN2:CN258=AQ327),BN2:BN258)+SUMPRODUCT(--(CN2:CN258=AQ327),BO2:BO258)</f>
        <v>243375</v>
      </c>
      <c r="BA327" s="388">
        <f>SUMPRODUCT(--(CN2:CN258=AQ327),BX2:BX258)+SUMPRODUCT(--(CN2:CN258=AQ327),BY2:BY258)</f>
        <v>265683.33521099994</v>
      </c>
    </row>
    <row r="328" spans="41:53" x14ac:dyDescent="0.25">
      <c r="AP328" t="s">
        <v>930</v>
      </c>
      <c r="AS328" s="399">
        <f t="shared" ref="AS328:BA328" si="195">SUM(AS322:AS327)</f>
        <v>41.22</v>
      </c>
      <c r="AT328" s="399">
        <f t="shared" si="195"/>
        <v>3111140.34</v>
      </c>
      <c r="AU328" s="399">
        <f t="shared" si="195"/>
        <v>1159313.3599999999</v>
      </c>
      <c r="AV328" s="399">
        <f t="shared" si="195"/>
        <v>2916723.42</v>
      </c>
      <c r="AW328" s="399">
        <f t="shared" si="195"/>
        <v>515250</v>
      </c>
      <c r="AX328" s="399">
        <f t="shared" si="195"/>
        <v>602624.22580619995</v>
      </c>
      <c r="AY328" s="399">
        <f t="shared" si="195"/>
        <v>2916723.42</v>
      </c>
      <c r="AZ328" s="399">
        <f t="shared" si="195"/>
        <v>566775</v>
      </c>
      <c r="BA328" s="399">
        <f t="shared" si="195"/>
        <v>581623.81718220003</v>
      </c>
    </row>
    <row r="329" spans="41:53" x14ac:dyDescent="0.25">
      <c r="AQ329" t="s">
        <v>876</v>
      </c>
      <c r="AS329" s="388">
        <f>SUM(SUMIFS(AS2:AS258,CN2:CN258,AQ329,E2:E258,"0349",F2:F258,"00",AT2:AT258,{1,3}))</f>
        <v>2.5</v>
      </c>
      <c r="AT329" s="388">
        <f>SUMPRODUCT(--(CN2:CN258=AQ329),--(N2:N258&lt;&gt;"NG"),--(AG2:AG258&lt;&gt;"D"),--(AR2:AR258&lt;&gt;6),--(AR2:AR258&lt;&gt;36),--(AR2:AR258&lt;&gt;56),T2:T258)+SUMPRODUCT(--(CN2:CN258=AQ329),--(N2:N258&lt;&gt;"NG"),--(AG2:AG258&lt;&gt;"D"),--(AR2:AR258&lt;&gt;6),--(AR2:AR258&lt;&gt;36),--(AR2:AR258&lt;&gt;56),U2:U258)</f>
        <v>222614.75</v>
      </c>
      <c r="AU329" s="388">
        <f>SUMPRODUCT(--(CN2:CN258=AQ329),--(N2:N258&lt;&gt;"NG"),--(AG2:AG258&lt;&gt;"D"),--(AR2:AR258&lt;&gt;6),--(AR2:AR258&lt;&gt;36),--(AR2:AR258&lt;&gt;56),V2:V258)</f>
        <v>85542.59</v>
      </c>
      <c r="AV329" s="388">
        <f>SUMPRODUCT(--(CN2:CN258=AQ329),AY2:AY258)+SUMPRODUCT(--(CN2:CN258=AQ329),AZ2:AZ258)</f>
        <v>173406.48</v>
      </c>
      <c r="AW329" s="388">
        <f>SUMPRODUCT(--(CN2:CN258=AQ329),BB2:BB258)+SUMPRODUCT(--(CN2:CN258=AQ329),BC2:BC258)</f>
        <v>31250</v>
      </c>
      <c r="AX329" s="388">
        <f>SUMPRODUCT(--(CN2:CN258=AQ329),BL2:BL258)+SUMPRODUCT(--(CN2:CN258=AQ329),BM2:BM258)</f>
        <v>35827.512832799999</v>
      </c>
      <c r="AY329" s="388">
        <f>SUMPRODUCT(--(CN2:CN258=AQ329),AY2:AY258)+SUMPRODUCT(--(CN2:CN258=AQ329),AZ2:AZ258)+SUMPRODUCT(--(CN2:CN258=AQ329),BA2:BA258)</f>
        <v>173406.48</v>
      </c>
      <c r="AZ329" s="388">
        <f>SUMPRODUCT(--(CN2:CN258=AQ329),BN2:BN258)+SUMPRODUCT(--(CN2:CN258=AQ329),BO2:BO258)</f>
        <v>34375</v>
      </c>
      <c r="BA329" s="388">
        <f>SUMPRODUCT(--(CN2:CN258=AQ329),BX2:BX258)+SUMPRODUCT(--(CN2:CN258=AQ329),BY2:BY258)</f>
        <v>34578.986176799997</v>
      </c>
    </row>
    <row r="330" spans="41:53" x14ac:dyDescent="0.25">
      <c r="AP330" t="s">
        <v>931</v>
      </c>
      <c r="AS330" s="399">
        <f t="shared" ref="AS330:BA330" si="196">SUM(AS329:AS329)</f>
        <v>2.5</v>
      </c>
      <c r="AT330" s="399">
        <f t="shared" si="196"/>
        <v>222614.75</v>
      </c>
      <c r="AU330" s="399">
        <f t="shared" si="196"/>
        <v>85542.59</v>
      </c>
      <c r="AV330" s="399">
        <f t="shared" si="196"/>
        <v>173406.48</v>
      </c>
      <c r="AW330" s="399">
        <f t="shared" si="196"/>
        <v>31250</v>
      </c>
      <c r="AX330" s="399">
        <f t="shared" si="196"/>
        <v>35827.512832799999</v>
      </c>
      <c r="AY330" s="399">
        <f t="shared" si="196"/>
        <v>173406.48</v>
      </c>
      <c r="AZ330" s="399">
        <f t="shared" si="196"/>
        <v>34375</v>
      </c>
      <c r="BA330" s="399">
        <f t="shared" si="196"/>
        <v>34578.986176799997</v>
      </c>
    </row>
    <row r="331" spans="41:53" x14ac:dyDescent="0.25">
      <c r="AQ331" t="s">
        <v>932</v>
      </c>
      <c r="AS331" s="388">
        <f>SUM(SUMIFS(AS2:AS258,CN2:CN258,AQ331,E2:E258,"0481",F2:F258,"01",AT2:AT258,{1,3}))</f>
        <v>1</v>
      </c>
      <c r="AT331" s="388">
        <f>SUMPRODUCT(--(CN2:CN258=AQ331),--(N2:N258&lt;&gt;"NG"),--(AG2:AG258&lt;&gt;"D"),--(AR2:AR258&lt;&gt;6),--(AR2:AR258&lt;&gt;36),--(AR2:AR258&lt;&gt;56),T2:T258)+SUMPRODUCT(--(CN2:CN258=AQ331),--(N2:N258&lt;&gt;"NG"),--(AG2:AG258&lt;&gt;"D"),--(AR2:AR258&lt;&gt;6),--(AR2:AR258&lt;&gt;36),--(AR2:AR258&lt;&gt;56),U2:U258)</f>
        <v>56459.44</v>
      </c>
      <c r="AU331" s="388">
        <f>SUMPRODUCT(--(CN2:CN258=AQ331),--(N2:N258&lt;&gt;"NG"),--(AG2:AG258&lt;&gt;"D"),--(AR2:AR258&lt;&gt;6),--(AR2:AR258&lt;&gt;36),--(AR2:AR258&lt;&gt;56),V2:V258)</f>
        <v>21256.52</v>
      </c>
      <c r="AV331" s="388">
        <f>SUMPRODUCT(--(CN2:CN258=AQ331),AY2:AY258)+SUMPRODUCT(--(CN2:CN258=AQ331),AZ2:AZ258)</f>
        <v>72841.600000000006</v>
      </c>
      <c r="AW331" s="388">
        <f>SUMPRODUCT(--(CN2:CN258=AQ331),BB2:BB258)+SUMPRODUCT(--(CN2:CN258=AQ331),BC2:BC258)</f>
        <v>12500</v>
      </c>
      <c r="AX331" s="388">
        <f>SUMPRODUCT(--(CN2:CN258=AQ331),BL2:BL258)+SUMPRODUCT(--(CN2:CN258=AQ331),BM2:BM258)</f>
        <v>15049.802976000003</v>
      </c>
      <c r="AY331" s="388">
        <f>SUMPRODUCT(--(CN2:CN258=AQ331),AY2:AY258)+SUMPRODUCT(--(CN2:CN258=AQ331),AZ2:AZ258)+SUMPRODUCT(--(CN2:CN258=AQ331),BA2:BA258)</f>
        <v>72841.600000000006</v>
      </c>
      <c r="AZ331" s="388">
        <f>SUMPRODUCT(--(CN2:CN258=AQ331),BN2:BN258)+SUMPRODUCT(--(CN2:CN258=AQ331),BO2:BO258)</f>
        <v>13750</v>
      </c>
      <c r="BA331" s="388">
        <f>SUMPRODUCT(--(CN2:CN258=AQ331),BX2:BX258)+SUMPRODUCT(--(CN2:CN258=AQ331),BY2:BY258)</f>
        <v>14525.343456000001</v>
      </c>
    </row>
    <row r="332" spans="41:53" x14ac:dyDescent="0.25">
      <c r="AQ332" t="s">
        <v>903</v>
      </c>
      <c r="AS332" s="388">
        <f>SUM(SUMIFS(AS2:AS258,CN2:CN258,AQ332,E2:E258,"0481",F2:F258,"54",AT2:AT258,{1,3}))</f>
        <v>0.2</v>
      </c>
      <c r="AT332" s="388">
        <f>SUMPRODUCT(--(CN2:CN258=AQ332),--(N2:N258&lt;&gt;"NG"),--(AG2:AG258&lt;&gt;"D"),--(AR2:AR258&lt;&gt;6),--(AR2:AR258&lt;&gt;36),--(AR2:AR258&lt;&gt;56),T2:T258)+SUMPRODUCT(--(CN2:CN258=AQ332),--(N2:N258&lt;&gt;"NG"),--(AG2:AG258&lt;&gt;"D"),--(AR2:AR258&lt;&gt;6),--(AR2:AR258&lt;&gt;36),--(AR2:AR258&lt;&gt;56),U2:U258)</f>
        <v>28884.09</v>
      </c>
      <c r="AU332" s="388">
        <f>SUMPRODUCT(--(CN2:CN258=AQ332),--(N2:N258&lt;&gt;"NG"),--(AG2:AG258&lt;&gt;"D"),--(AR2:AR258&lt;&gt;6),--(AR2:AR258&lt;&gt;36),--(AR2:AR258&lt;&gt;56),V2:V258)</f>
        <v>10650.949999999999</v>
      </c>
      <c r="AV332" s="388">
        <f>SUMPRODUCT(--(CN2:CN258=AQ332),AY2:AY258)+SUMPRODUCT(--(CN2:CN258=AQ332),AZ2:AZ258)</f>
        <v>10735.91</v>
      </c>
      <c r="AW332" s="388">
        <f>SUMPRODUCT(--(CN2:CN258=AQ332),BB2:BB258)+SUMPRODUCT(--(CN2:CN258=AQ332),BC2:BC258)</f>
        <v>2500</v>
      </c>
      <c r="AX332" s="388">
        <f>SUMPRODUCT(--(CN2:CN258=AQ332),BL2:BL258)+SUMPRODUCT(--(CN2:CN258=AQ332),BM2:BM258)</f>
        <v>2218.1463651000004</v>
      </c>
      <c r="AY332" s="388">
        <f>SUMPRODUCT(--(CN2:CN258=AQ332),AY2:AY258)+SUMPRODUCT(--(CN2:CN258=AQ332),AZ2:AZ258)+SUMPRODUCT(--(CN2:CN258=AQ332),BA2:BA258)</f>
        <v>10735.91</v>
      </c>
      <c r="AZ332" s="388">
        <f>SUMPRODUCT(--(CN2:CN258=AQ332),BN2:BN258)+SUMPRODUCT(--(CN2:CN258=AQ332),BO2:BO258)</f>
        <v>2750</v>
      </c>
      <c r="BA332" s="388">
        <f>SUMPRODUCT(--(CN2:CN258=AQ332),BX2:BX258)+SUMPRODUCT(--(CN2:CN258=AQ332),BY2:BY258)</f>
        <v>2140.8478131000002</v>
      </c>
    </row>
    <row r="333" spans="41:53" x14ac:dyDescent="0.25">
      <c r="AP333" t="s">
        <v>933</v>
      </c>
      <c r="AS333" s="399">
        <f t="shared" ref="AS333:BA333" si="197">SUM(AS331:AS332)</f>
        <v>1.2</v>
      </c>
      <c r="AT333" s="399">
        <f t="shared" si="197"/>
        <v>85343.53</v>
      </c>
      <c r="AU333" s="399">
        <f t="shared" si="197"/>
        <v>31907.47</v>
      </c>
      <c r="AV333" s="399">
        <f t="shared" si="197"/>
        <v>83577.510000000009</v>
      </c>
      <c r="AW333" s="399">
        <f t="shared" si="197"/>
        <v>15000</v>
      </c>
      <c r="AX333" s="399">
        <f t="shared" si="197"/>
        <v>17267.949341100004</v>
      </c>
      <c r="AY333" s="399">
        <f t="shared" si="197"/>
        <v>83577.510000000009</v>
      </c>
      <c r="AZ333" s="399">
        <f t="shared" si="197"/>
        <v>16500</v>
      </c>
      <c r="BA333" s="399">
        <f t="shared" si="197"/>
        <v>16666.1912691</v>
      </c>
    </row>
    <row r="334" spans="41:53" x14ac:dyDescent="0.25">
      <c r="AS334" s="388"/>
      <c r="AT334" s="388"/>
      <c r="AU334" s="388"/>
      <c r="AV334" s="388"/>
      <c r="AW334" s="388"/>
      <c r="AX334" s="388"/>
      <c r="AY334" s="388"/>
      <c r="AZ334" s="388"/>
      <c r="BA334" s="388"/>
    </row>
    <row r="335" spans="41:53" x14ac:dyDescent="0.25">
      <c r="AO335" s="397" t="s">
        <v>934</v>
      </c>
      <c r="AS335" s="400">
        <f t="shared" ref="AS335:BA335" si="198">SUM(AS308,AS310,AS312,AS319,AS321,AS328,AS330,AS333)</f>
        <v>111.81250000000001</v>
      </c>
      <c r="AT335" s="400">
        <f t="shared" si="198"/>
        <v>8252478.4800000014</v>
      </c>
      <c r="AU335" s="400">
        <f t="shared" si="198"/>
        <v>3036087.8500000006</v>
      </c>
      <c r="AV335" s="400">
        <f t="shared" si="198"/>
        <v>7950858.669999999</v>
      </c>
      <c r="AW335" s="400">
        <f t="shared" si="198"/>
        <v>1400000</v>
      </c>
      <c r="AX335" s="400">
        <f t="shared" si="198"/>
        <v>1640592.8202087001</v>
      </c>
      <c r="AY335" s="400">
        <f t="shared" si="198"/>
        <v>7950858.669999999</v>
      </c>
      <c r="AZ335" s="400">
        <f t="shared" si="198"/>
        <v>1540000</v>
      </c>
      <c r="BA335" s="400">
        <f t="shared" si="198"/>
        <v>1584127.8377847001</v>
      </c>
    </row>
    <row r="336" spans="41:53" x14ac:dyDescent="0.25">
      <c r="AS336" s="388"/>
      <c r="AT336" s="388"/>
      <c r="AU336" s="388"/>
      <c r="AV336" s="388"/>
      <c r="AW336" s="388"/>
      <c r="AX336" s="388"/>
      <c r="AY336" s="388"/>
      <c r="AZ336" s="388"/>
      <c r="BA336" s="388"/>
    </row>
    <row r="337" spans="41:386" x14ac:dyDescent="0.25">
      <c r="AO337" s="393" t="s">
        <v>935</v>
      </c>
      <c r="AS337" s="388"/>
      <c r="AT337" s="388"/>
      <c r="AU337" s="388"/>
      <c r="AV337" s="388"/>
      <c r="AW337" s="388"/>
      <c r="AX337" s="388"/>
      <c r="AY337" s="388"/>
      <c r="AZ337" s="388"/>
      <c r="BA337" s="388"/>
    </row>
    <row r="338" spans="41:386" x14ac:dyDescent="0.25">
      <c r="AQ338" t="s">
        <v>834</v>
      </c>
      <c r="AS338" s="388"/>
      <c r="AT338" s="388">
        <f>SUMIF(CN2:CN258,AQ338,CL2:CL258)</f>
        <v>11520</v>
      </c>
      <c r="AU338" s="388">
        <f>SUMIF(CN2:CN258,AQ338,CM2:CM258)</f>
        <v>1021.61</v>
      </c>
      <c r="AV338" s="388">
        <f>SUMIF(CN2:CN258,AQ338,CL2:CL258)</f>
        <v>11520</v>
      </c>
      <c r="AW338" s="388">
        <v>0</v>
      </c>
      <c r="AX338" s="388">
        <f>SUMIF(CN2:CN258,AQ338,CM2:CM258)</f>
        <v>1021.61</v>
      </c>
      <c r="AY338" s="388">
        <f>SUMIF(CN2:CN258,AQ338,CL2:CL258)</f>
        <v>11520</v>
      </c>
      <c r="AZ338" s="388">
        <v>0</v>
      </c>
      <c r="BA338" s="388">
        <f>SUMIF(CN2:CN258,AQ338,CM2:CM258)</f>
        <v>1021.61</v>
      </c>
    </row>
    <row r="339" spans="41:386" x14ac:dyDescent="0.25">
      <c r="AP339" t="s">
        <v>913</v>
      </c>
      <c r="AS339" s="399"/>
      <c r="AT339" s="399">
        <f t="shared" ref="AT339:BA339" si="199">SUM(AT338:AT338)</f>
        <v>11520</v>
      </c>
      <c r="AU339" s="399">
        <f t="shared" si="199"/>
        <v>1021.61</v>
      </c>
      <c r="AV339" s="399">
        <f t="shared" si="199"/>
        <v>11520</v>
      </c>
      <c r="AW339" s="399">
        <f t="shared" si="199"/>
        <v>0</v>
      </c>
      <c r="AX339" s="399">
        <f t="shared" si="199"/>
        <v>1021.61</v>
      </c>
      <c r="AY339" s="399">
        <f t="shared" si="199"/>
        <v>11520</v>
      </c>
      <c r="AZ339" s="399">
        <f t="shared" si="199"/>
        <v>0</v>
      </c>
      <c r="BA339" s="399">
        <f t="shared" si="199"/>
        <v>1021.61</v>
      </c>
    </row>
    <row r="340" spans="41:386" x14ac:dyDescent="0.25">
      <c r="AS340" s="388"/>
      <c r="AT340" s="388"/>
      <c r="AU340" s="388"/>
      <c r="AV340" s="388"/>
      <c r="AW340" s="388"/>
      <c r="AX340" s="388"/>
      <c r="AY340" s="388"/>
      <c r="AZ340" s="388"/>
      <c r="BA340" s="388"/>
    </row>
    <row r="341" spans="41:386" x14ac:dyDescent="0.25">
      <c r="AO341" s="397" t="s">
        <v>936</v>
      </c>
      <c r="AS341" s="400">
        <f t="shared" ref="AS341:BA341" si="200">SUM(AS339)</f>
        <v>0</v>
      </c>
      <c r="AT341" s="400">
        <f t="shared" si="200"/>
        <v>11520</v>
      </c>
      <c r="AU341" s="400">
        <f t="shared" si="200"/>
        <v>1021.61</v>
      </c>
      <c r="AV341" s="400">
        <f t="shared" si="200"/>
        <v>11520</v>
      </c>
      <c r="AW341" s="400">
        <f t="shared" si="200"/>
        <v>0</v>
      </c>
      <c r="AX341" s="400">
        <f t="shared" si="200"/>
        <v>1021.61</v>
      </c>
      <c r="AY341" s="400">
        <f t="shared" si="200"/>
        <v>11520</v>
      </c>
      <c r="AZ341" s="400">
        <f t="shared" si="200"/>
        <v>0</v>
      </c>
      <c r="BA341" s="400">
        <f t="shared" si="200"/>
        <v>1021.61</v>
      </c>
      <c r="NP341" s="393"/>
      <c r="NV341" s="393"/>
    </row>
    <row r="342" spans="41:386" x14ac:dyDescent="0.25">
      <c r="AS342" s="388"/>
      <c r="AT342" s="388"/>
      <c r="AU342" s="388"/>
      <c r="AV342" s="388"/>
      <c r="AW342" s="388"/>
      <c r="AX342" s="388"/>
      <c r="AY342" s="388"/>
      <c r="AZ342" s="388"/>
      <c r="BA342" s="388"/>
    </row>
    <row r="343" spans="41:386" x14ac:dyDescent="0.25">
      <c r="AO343" s="398" t="s">
        <v>937</v>
      </c>
      <c r="AS343" s="401">
        <f t="shared" ref="AS343:BA343" si="201">SUM(AS335,AS341)</f>
        <v>111.81250000000001</v>
      </c>
      <c r="AT343" s="402">
        <f t="shared" si="201"/>
        <v>8263998.4800000014</v>
      </c>
      <c r="AU343" s="402">
        <f t="shared" si="201"/>
        <v>3037109.4600000004</v>
      </c>
      <c r="AV343" s="402">
        <f t="shared" si="201"/>
        <v>7962378.669999999</v>
      </c>
      <c r="AW343" s="402">
        <f t="shared" si="201"/>
        <v>1400000</v>
      </c>
      <c r="AX343" s="402">
        <f t="shared" si="201"/>
        <v>1641614.4302087002</v>
      </c>
      <c r="AY343" s="402">
        <f t="shared" si="201"/>
        <v>7962378.669999999</v>
      </c>
      <c r="AZ343" s="402">
        <f t="shared" si="201"/>
        <v>1540000</v>
      </c>
      <c r="BA343" s="402">
        <f t="shared" si="201"/>
        <v>1585149.4477847002</v>
      </c>
    </row>
  </sheetData>
  <mergeCells count="5">
    <mergeCell ref="AT304:AU304"/>
    <mergeCell ref="AV304:AV305"/>
    <mergeCell ref="AW304:AX304"/>
    <mergeCell ref="AY304:AY305"/>
    <mergeCell ref="AZ304:BA304"/>
  </mergeCells>
  <pageMargins left="0.7" right="0.7" top="0.75" bottom="0.75" header="0.3" footer="0.3"/>
  <pageSetup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O40"/>
  <sheetViews>
    <sheetView topLeftCell="A4" zoomScaleNormal="100" workbookViewId="0">
      <selection activeCell="J7" sqref="J7"/>
    </sheetView>
  </sheetViews>
  <sheetFormatPr defaultColWidth="9.140625" defaultRowHeight="19.5" x14ac:dyDescent="0.3"/>
  <cols>
    <col min="1" max="1" width="4" style="1" customWidth="1"/>
    <col min="2" max="2" width="42" style="1" bestFit="1" customWidth="1"/>
    <col min="3" max="3" width="20.28515625" style="1" customWidth="1"/>
    <col min="4" max="4" width="21.42578125" style="1" bestFit="1" customWidth="1"/>
    <col min="5" max="5" width="20.5703125" style="1" customWidth="1"/>
    <col min="6" max="6" width="14.28515625" style="1" bestFit="1" customWidth="1"/>
    <col min="7" max="7" width="20.5703125" style="1" customWidth="1"/>
    <col min="8" max="8" width="15.85546875" style="1" bestFit="1" customWidth="1"/>
    <col min="9" max="9" width="18.28515625" style="1" bestFit="1" customWidth="1"/>
    <col min="10" max="10" width="9.140625" style="1"/>
    <col min="11" max="11" width="9.85546875" style="1" bestFit="1" customWidth="1"/>
    <col min="12" max="12" width="16.42578125" style="1" bestFit="1" customWidth="1"/>
    <col min="13" max="14" width="15.85546875" style="1" bestFit="1" customWidth="1"/>
    <col min="15" max="15" width="16.42578125" style="1" bestFit="1" customWidth="1"/>
    <col min="16" max="16384" width="9.140625" style="1"/>
  </cols>
  <sheetData>
    <row r="1" spans="1:15" x14ac:dyDescent="0.3">
      <c r="A1" s="481"/>
      <c r="B1" s="481"/>
      <c r="C1" s="481"/>
      <c r="D1" s="481"/>
      <c r="E1" s="481"/>
    </row>
    <row r="2" spans="1:15" ht="28.5" customHeight="1" x14ac:dyDescent="0.3">
      <c r="A2" s="2" t="s">
        <v>10</v>
      </c>
      <c r="B2" s="2"/>
      <c r="C2" s="2"/>
      <c r="D2" s="2"/>
      <c r="E2" s="2"/>
    </row>
    <row r="3" spans="1:15" x14ac:dyDescent="0.3">
      <c r="A3" s="3"/>
      <c r="B3" s="3"/>
      <c r="C3" s="4" t="s">
        <v>0</v>
      </c>
      <c r="D3" s="4" t="s">
        <v>1</v>
      </c>
      <c r="E3" s="3"/>
    </row>
    <row r="4" spans="1:15" ht="39" x14ac:dyDescent="0.3">
      <c r="A4" s="3"/>
      <c r="B4" s="225"/>
      <c r="C4" s="5">
        <f>D4-1</f>
        <v>2023</v>
      </c>
      <c r="D4" s="6">
        <f>FiscalYear</f>
        <v>2024</v>
      </c>
      <c r="E4" s="7" t="str">
        <f>"DIFFERENCE "&amp;D4&amp;" - "&amp;C4</f>
        <v>DIFFERENCE 2024 - 2023</v>
      </c>
      <c r="F4" s="247" t="str">
        <f>"MAX "&amp;C4</f>
        <v>MAX 2023</v>
      </c>
      <c r="G4" s="247" t="str">
        <f>"MAX "&amp;D4</f>
        <v>MAX 2024</v>
      </c>
    </row>
    <row r="5" spans="1:15" x14ac:dyDescent="0.3">
      <c r="A5" s="3"/>
      <c r="B5" s="130" t="s">
        <v>2</v>
      </c>
      <c r="C5" s="226">
        <v>6.2E-2</v>
      </c>
      <c r="D5" s="226">
        <v>6.2E-2</v>
      </c>
      <c r="E5" s="313">
        <f>D5-C5</f>
        <v>0</v>
      </c>
      <c r="F5" s="248">
        <v>142800</v>
      </c>
      <c r="G5" s="248">
        <v>147000</v>
      </c>
    </row>
    <row r="6" spans="1:15" x14ac:dyDescent="0.3">
      <c r="A6" s="3"/>
      <c r="B6" s="130" t="s">
        <v>3</v>
      </c>
      <c r="C6" s="226">
        <v>1.4500000000000001E-2</v>
      </c>
      <c r="D6" s="226">
        <v>1.4500000000000001E-2</v>
      </c>
      <c r="E6" s="313">
        <f t="shared" ref="E6:E15" si="0">D6-C6</f>
        <v>0</v>
      </c>
    </row>
    <row r="7" spans="1:15" x14ac:dyDescent="0.3">
      <c r="A7" s="3"/>
      <c r="B7" s="130" t="s">
        <v>4</v>
      </c>
      <c r="C7" s="226">
        <v>0</v>
      </c>
      <c r="D7" s="226">
        <v>0</v>
      </c>
      <c r="E7" s="313">
        <f t="shared" si="0"/>
        <v>0</v>
      </c>
    </row>
    <row r="8" spans="1:15" x14ac:dyDescent="0.3">
      <c r="A8" s="3"/>
      <c r="B8" s="130" t="s">
        <v>5</v>
      </c>
      <c r="C8" s="235">
        <v>3.5000000000000001E-3</v>
      </c>
      <c r="D8" s="234">
        <v>3.8999999999999998E-3</v>
      </c>
      <c r="E8" s="314">
        <f t="shared" si="0"/>
        <v>3.9999999999999975E-4</v>
      </c>
    </row>
    <row r="9" spans="1:15" x14ac:dyDescent="0.3">
      <c r="A9" s="3"/>
      <c r="B9" s="130" t="s">
        <v>6</v>
      </c>
      <c r="C9" s="226">
        <v>7.2100000000000003E-3</v>
      </c>
      <c r="D9" s="226">
        <v>7.2100000000000003E-3</v>
      </c>
      <c r="E9" s="313">
        <f t="shared" si="0"/>
        <v>0</v>
      </c>
    </row>
    <row r="10" spans="1:15" x14ac:dyDescent="0.3">
      <c r="A10" s="3"/>
      <c r="B10" s="130" t="s">
        <v>7</v>
      </c>
      <c r="C10" s="226">
        <v>0</v>
      </c>
      <c r="D10" s="226">
        <v>0</v>
      </c>
      <c r="E10" s="313">
        <f t="shared" si="0"/>
        <v>0</v>
      </c>
      <c r="G10" s="484" t="s">
        <v>939</v>
      </c>
      <c r="H10" s="485"/>
      <c r="I10" s="486"/>
    </row>
    <row r="11" spans="1:15" x14ac:dyDescent="0.3">
      <c r="A11" s="3"/>
      <c r="B11" s="130" t="s">
        <v>8</v>
      </c>
      <c r="C11" s="348">
        <v>0</v>
      </c>
      <c r="D11" s="348">
        <v>0</v>
      </c>
      <c r="E11" s="313">
        <f t="shared" si="0"/>
        <v>0</v>
      </c>
      <c r="G11" s="487" t="s">
        <v>940</v>
      </c>
      <c r="H11" s="488"/>
      <c r="I11" s="489"/>
    </row>
    <row r="12" spans="1:15" x14ac:dyDescent="0.3">
      <c r="A12" s="3"/>
      <c r="B12" s="233" t="s">
        <v>11</v>
      </c>
      <c r="C12" s="234">
        <f>SUM(C5:C11)</f>
        <v>8.7209999999999996E-2</v>
      </c>
      <c r="D12" s="234">
        <f>SUM(D5:D11)</f>
        <v>8.7609999999999993E-2</v>
      </c>
      <c r="E12" s="315">
        <f>D12-C12</f>
        <v>3.9999999999999758E-4</v>
      </c>
      <c r="G12" s="487"/>
      <c r="H12" s="488"/>
      <c r="I12" s="489"/>
      <c r="M12" s="320"/>
    </row>
    <row r="13" spans="1:15" x14ac:dyDescent="0.3">
      <c r="A13" s="3"/>
      <c r="B13" s="231" t="s">
        <v>9</v>
      </c>
      <c r="C13" s="226">
        <f>SUM(C5:C8)</f>
        <v>0.08</v>
      </c>
      <c r="D13" s="226">
        <f>SUM(D5:D8)</f>
        <v>8.0399999999999999E-2</v>
      </c>
      <c r="E13" s="313">
        <f t="shared" si="0"/>
        <v>3.9999999999999758E-4</v>
      </c>
      <c r="F13" s="8"/>
      <c r="G13" s="487" t="s">
        <v>92</v>
      </c>
      <c r="H13" s="488" t="s">
        <v>938</v>
      </c>
      <c r="I13" s="489" t="s">
        <v>104</v>
      </c>
    </row>
    <row r="14" spans="1:15" x14ac:dyDescent="0.3">
      <c r="A14" s="230"/>
      <c r="B14" s="232" t="s">
        <v>100</v>
      </c>
      <c r="C14" s="226">
        <f>SUM(C5:C6,C8:C9)</f>
        <v>8.7209999999999996E-2</v>
      </c>
      <c r="D14" s="226">
        <f>SUM(D5:D6,D8:D9)</f>
        <v>8.7609999999999993E-2</v>
      </c>
      <c r="E14" s="313">
        <f>D14-C14</f>
        <v>3.9999999999999758E-4</v>
      </c>
      <c r="G14" s="490">
        <v>5567</v>
      </c>
      <c r="H14" s="491">
        <f>(ElectVBBY+Retire1BY)*G14</f>
        <v>1110.11547</v>
      </c>
      <c r="I14" s="492">
        <f>G14+H14</f>
        <v>6677.1154699999997</v>
      </c>
      <c r="M14" s="320"/>
    </row>
    <row r="15" spans="1:15" x14ac:dyDescent="0.3">
      <c r="A15" s="3"/>
      <c r="B15" s="231" t="s">
        <v>12</v>
      </c>
      <c r="C15" s="228">
        <v>12500</v>
      </c>
      <c r="D15" s="228">
        <v>13750</v>
      </c>
      <c r="E15" s="311">
        <f t="shared" si="0"/>
        <v>1250</v>
      </c>
      <c r="G15" s="1" t="s">
        <v>941</v>
      </c>
      <c r="H15" s="1" t="s">
        <v>942</v>
      </c>
      <c r="I15" s="1" t="s">
        <v>943</v>
      </c>
      <c r="L15" s="8"/>
      <c r="O15" s="9"/>
    </row>
    <row r="16" spans="1:15" x14ac:dyDescent="0.3">
      <c r="A16" s="3"/>
      <c r="B16" s="231" t="s">
        <v>80</v>
      </c>
      <c r="C16" s="229">
        <v>10000</v>
      </c>
      <c r="D16" s="229">
        <v>11000</v>
      </c>
      <c r="E16" s="312">
        <f>PTHealthBY-PTHealth</f>
        <v>1000</v>
      </c>
      <c r="G16" s="483">
        <f>ROUND(G14,-2)</f>
        <v>5600</v>
      </c>
      <c r="H16" s="483">
        <f t="shared" ref="H16:I16" si="1">ROUND(H14,-2)</f>
        <v>1100</v>
      </c>
      <c r="I16" s="483">
        <f t="shared" si="1"/>
        <v>6700</v>
      </c>
      <c r="L16" s="8"/>
      <c r="O16" s="9"/>
    </row>
    <row r="17" spans="1:11" x14ac:dyDescent="0.3">
      <c r="B17" s="130"/>
      <c r="D17" s="1" t="s">
        <v>45</v>
      </c>
      <c r="K17" s="319"/>
    </row>
    <row r="18" spans="1:11" ht="12" customHeight="1" x14ac:dyDescent="0.3">
      <c r="C18" s="1" t="s">
        <v>45</v>
      </c>
    </row>
    <row r="19" spans="1:11" ht="39" x14ac:dyDescent="0.3">
      <c r="B19" s="10" t="s">
        <v>79</v>
      </c>
      <c r="C19" s="227">
        <f>C4</f>
        <v>2023</v>
      </c>
      <c r="D19" s="227">
        <f>BudgetYear</f>
        <v>2024</v>
      </c>
      <c r="E19" s="11" t="str">
        <f>E4</f>
        <v>DIFFERENCE 2024 - 2023</v>
      </c>
    </row>
    <row r="20" spans="1:11" x14ac:dyDescent="0.3">
      <c r="A20" s="1" t="s">
        <v>66</v>
      </c>
      <c r="B20" s="216" t="s">
        <v>73</v>
      </c>
      <c r="C20" s="362">
        <v>0.11940000000000001</v>
      </c>
      <c r="D20" s="362">
        <v>0.1118</v>
      </c>
      <c r="E20" s="363">
        <f>D20-C20</f>
        <v>-7.6000000000000095E-3</v>
      </c>
    </row>
    <row r="21" spans="1:11" x14ac:dyDescent="0.3">
      <c r="A21" s="1" t="s">
        <v>68</v>
      </c>
      <c r="B21" s="1" t="s">
        <v>74</v>
      </c>
      <c r="C21" s="362">
        <v>0.12280000000000001</v>
      </c>
      <c r="D21" s="362">
        <v>0.1326</v>
      </c>
      <c r="E21" s="363">
        <f t="shared" ref="E21" si="2">D21-C21</f>
        <v>9.7999999999999893E-3</v>
      </c>
    </row>
    <row r="22" spans="1:11" x14ac:dyDescent="0.3">
      <c r="A22" s="1" t="s">
        <v>69</v>
      </c>
      <c r="B22" s="1" t="s">
        <v>75</v>
      </c>
      <c r="C22" s="362">
        <v>0.11940000000000001</v>
      </c>
      <c r="D22" s="362">
        <v>0.1118</v>
      </c>
      <c r="E22" s="363">
        <f>D22-C22</f>
        <v>-7.6000000000000095E-3</v>
      </c>
    </row>
    <row r="23" spans="1:11" hidden="1" x14ac:dyDescent="0.3">
      <c r="A23" s="1" t="s">
        <v>70</v>
      </c>
      <c r="B23" s="1" t="s">
        <v>76</v>
      </c>
      <c r="C23" s="362">
        <v>0</v>
      </c>
      <c r="D23" s="362">
        <v>0</v>
      </c>
      <c r="E23" s="363">
        <v>0</v>
      </c>
    </row>
    <row r="24" spans="1:11" x14ac:dyDescent="0.3">
      <c r="A24" s="1" t="s">
        <v>67</v>
      </c>
      <c r="B24" s="1" t="s">
        <v>77</v>
      </c>
      <c r="C24" s="362">
        <v>0.62529999999999997</v>
      </c>
      <c r="D24" s="362">
        <v>0.62529999999999997</v>
      </c>
      <c r="E24" s="363">
        <f>D24-C24</f>
        <v>0</v>
      </c>
    </row>
    <row r="25" spans="1:11" x14ac:dyDescent="0.3">
      <c r="A25" s="1" t="s">
        <v>72</v>
      </c>
      <c r="B25" s="1" t="s">
        <v>78</v>
      </c>
      <c r="C25" s="362">
        <v>0.1084</v>
      </c>
      <c r="D25" s="362">
        <v>0.1084</v>
      </c>
      <c r="E25" s="363">
        <f>D25-C25</f>
        <v>0</v>
      </c>
    </row>
    <row r="26" spans="1:11" x14ac:dyDescent="0.3">
      <c r="A26" s="1" t="s">
        <v>71</v>
      </c>
      <c r="B26" s="1" t="s">
        <v>78</v>
      </c>
      <c r="C26" s="362">
        <v>0.1084</v>
      </c>
      <c r="D26" s="362">
        <v>0.1084</v>
      </c>
      <c r="E26" s="363">
        <f>D26-C26</f>
        <v>0</v>
      </c>
    </row>
    <row r="27" spans="1:11" x14ac:dyDescent="0.3">
      <c r="B27" s="364" t="s">
        <v>118</v>
      </c>
      <c r="C27" s="364">
        <v>0.11940000000000001</v>
      </c>
      <c r="D27" s="364">
        <v>0.12690000000000001</v>
      </c>
      <c r="E27" s="364">
        <f>D27-C27</f>
        <v>7.5000000000000067E-3</v>
      </c>
    </row>
    <row r="28" spans="1:11" x14ac:dyDescent="0.3">
      <c r="A28" s="482" t="s">
        <v>108</v>
      </c>
      <c r="B28" s="482"/>
      <c r="C28" s="482"/>
      <c r="D28" s="482"/>
      <c r="E28" s="482"/>
    </row>
    <row r="29" spans="1:11" x14ac:dyDescent="0.3">
      <c r="A29" s="482" t="s">
        <v>109</v>
      </c>
      <c r="B29" s="482"/>
      <c r="C29" s="482"/>
      <c r="D29" s="482"/>
      <c r="E29" s="482"/>
    </row>
    <row r="30" spans="1:11" ht="12.75" customHeight="1" x14ac:dyDescent="0.3">
      <c r="A30" s="247"/>
      <c r="B30" s="247"/>
      <c r="C30" s="247"/>
      <c r="D30" s="247"/>
      <c r="E30" s="247"/>
    </row>
    <row r="31" spans="1:11" x14ac:dyDescent="0.3">
      <c r="A31" s="316" t="s">
        <v>86</v>
      </c>
      <c r="B31" s="316"/>
      <c r="C31" s="247"/>
      <c r="D31" s="247"/>
      <c r="E31" s="247"/>
    </row>
    <row r="32" spans="1:11" x14ac:dyDescent="0.3">
      <c r="A32" s="316"/>
      <c r="B32" s="316" t="s">
        <v>87</v>
      </c>
      <c r="C32" s="247"/>
      <c r="D32" s="247"/>
      <c r="E32" s="247"/>
    </row>
    <row r="33" spans="1:5" x14ac:dyDescent="0.3">
      <c r="A33" s="316"/>
      <c r="B33" s="316" t="s">
        <v>88</v>
      </c>
      <c r="C33" s="247"/>
      <c r="D33" s="247"/>
      <c r="E33" s="247"/>
    </row>
    <row r="34" spans="1:5" x14ac:dyDescent="0.3">
      <c r="A34" s="316"/>
      <c r="B34" s="316" t="s">
        <v>89</v>
      </c>
      <c r="C34" s="247"/>
      <c r="D34" s="247"/>
      <c r="E34" s="247"/>
    </row>
    <row r="35" spans="1:5" x14ac:dyDescent="0.3">
      <c r="A35" s="316"/>
      <c r="B35" s="316" t="s">
        <v>90</v>
      </c>
      <c r="C35" s="247"/>
      <c r="D35" s="247"/>
      <c r="E35" s="247"/>
    </row>
    <row r="36" spans="1:5" x14ac:dyDescent="0.3">
      <c r="A36" s="316"/>
      <c r="B36" s="316" t="s">
        <v>91</v>
      </c>
      <c r="C36" s="247"/>
      <c r="D36" s="247"/>
      <c r="E36" s="247"/>
    </row>
    <row r="38" spans="1:5" x14ac:dyDescent="0.3">
      <c r="B38" s="317" t="s">
        <v>101</v>
      </c>
      <c r="C38" s="318">
        <v>0.01</v>
      </c>
    </row>
    <row r="39" spans="1:5" x14ac:dyDescent="0.3">
      <c r="B39" s="341" t="s">
        <v>102</v>
      </c>
      <c r="C39" s="340">
        <v>0.01</v>
      </c>
    </row>
    <row r="40" spans="1:5" x14ac:dyDescent="0.3">
      <c r="B40" s="342" t="s">
        <v>107</v>
      </c>
      <c r="C40" s="343">
        <v>1</v>
      </c>
    </row>
  </sheetData>
  <mergeCells count="3">
    <mergeCell ref="A1:E1"/>
    <mergeCell ref="A28:E28"/>
    <mergeCell ref="A29:E29"/>
  </mergeCells>
  <pageMargins left="0.7" right="0.7" top="0.75" bottom="0.75" header="0.3" footer="0.3"/>
  <pageSetup scale="7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CP80"/>
  <sheetViews>
    <sheetView showGridLines="0" zoomScaleNormal="100" workbookViewId="0">
      <selection sqref="A1:XFD104857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/>
      <c r="E1" s="15"/>
      <c r="F1" s="15"/>
      <c r="G1" s="15"/>
      <c r="H1" s="15"/>
      <c r="I1" s="15"/>
      <c r="J1" s="15"/>
      <c r="K1" s="15"/>
      <c r="L1" s="16" t="s">
        <v>14</v>
      </c>
      <c r="M1" s="471"/>
      <c r="N1" s="472"/>
      <c r="AA1" s="337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/>
      <c r="E2" s="21"/>
      <c r="F2" s="21"/>
      <c r="G2" s="21"/>
      <c r="H2" s="21"/>
      <c r="I2" s="21"/>
      <c r="J2" s="20"/>
      <c r="K2" s="20"/>
      <c r="L2" s="22" t="s">
        <v>111</v>
      </c>
      <c r="M2" s="473"/>
      <c r="N2" s="474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/>
      <c r="E3" s="24"/>
      <c r="F3" s="25"/>
      <c r="G3" s="25"/>
      <c r="H3" s="25"/>
      <c r="I3" s="26"/>
      <c r="J3" s="20"/>
      <c r="K3" s="20"/>
      <c r="L3" s="22" t="s">
        <v>112</v>
      </c>
      <c r="M3" s="471"/>
      <c r="N3" s="472"/>
      <c r="AA3" s="337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71">
        <v>2024</v>
      </c>
      <c r="N4" s="472"/>
      <c r="AA4" s="337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73"/>
      <c r="J5" s="475"/>
      <c r="K5" s="475"/>
      <c r="L5" s="474"/>
      <c r="M5" s="352" t="s">
        <v>113</v>
      </c>
      <c r="N5" s="32"/>
      <c r="O5"/>
      <c r="P5"/>
      <c r="Q5"/>
      <c r="R5"/>
      <c r="S5"/>
      <c r="T5"/>
      <c r="U5"/>
      <c r="V5"/>
      <c r="W5"/>
      <c r="X5"/>
      <c r="Y5"/>
      <c r="Z5" s="344"/>
      <c r="AA5" s="337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37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256" t="s">
        <v>21</v>
      </c>
      <c r="C8" s="476" t="s">
        <v>22</v>
      </c>
      <c r="D8" s="477"/>
      <c r="E8" s="332" t="s">
        <v>23</v>
      </c>
      <c r="F8" s="49" t="s">
        <v>24</v>
      </c>
      <c r="G8" s="50" t="str">
        <f>"FY "&amp;[0]!FiscalYear-1&amp;" SALARY"</f>
        <v>FY 2023 SALARY</v>
      </c>
      <c r="H8" s="50" t="str">
        <f>"FY "&amp;[0]!FiscalYear-1&amp;" HEALTH BENEFITS"</f>
        <v>FY 2023 HEALTH BENEFITS</v>
      </c>
      <c r="I8" s="50" t="str">
        <f>"FY "&amp;[0]!FiscalYear-1&amp;" VAR BENEFITS"</f>
        <v>FY 2023 VAR BENEFITS</v>
      </c>
      <c r="J8" s="50" t="str">
        <f>"FY "&amp;[0]!FiscalYear-1&amp;" TOTAL"</f>
        <v>FY 2023 TOTAL</v>
      </c>
      <c r="K8" s="50" t="str">
        <f>"FY "&amp;[0]!FiscalYear&amp;" SALARY CHANGE"</f>
        <v>FY 2024 SALARY CHANGE</v>
      </c>
      <c r="L8" s="50" t="str">
        <f>"FY "&amp;[0]!FiscalYear&amp;" CHG HEALTH BENEFITS"</f>
        <v>FY 2024 CHG HEALTH BENEFITS</v>
      </c>
      <c r="M8" s="50" t="str">
        <f>"FY "&amp;[0]!FiscalYear&amp;"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7" t="s">
        <v>103</v>
      </c>
      <c r="AB8" s="467"/>
      <c r="AC8" s="467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8" t="s">
        <v>26</v>
      </c>
      <c r="D9" s="469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37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7" t="s">
        <v>27</v>
      </c>
      <c r="D10" s="470"/>
      <c r="E10" s="217">
        <v>1</v>
      </c>
      <c r="F10" s="288">
        <v>0</v>
      </c>
      <c r="G10" s="218">
        <v>0</v>
      </c>
      <c r="H10" s="218">
        <v>0</v>
      </c>
      <c r="I10" s="218">
        <v>0</v>
      </c>
      <c r="J10" s="219">
        <f>SUM(G10:I10)</f>
        <v>0</v>
      </c>
      <c r="K10" s="219">
        <v>0</v>
      </c>
      <c r="L10" s="218">
        <v>0</v>
      </c>
      <c r="M10" s="218"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7" t="s">
        <v>28</v>
      </c>
      <c r="D11" s="470"/>
      <c r="E11" s="217">
        <v>2</v>
      </c>
      <c r="F11" s="288"/>
      <c r="G11" s="218">
        <v>0</v>
      </c>
      <c r="H11" s="218">
        <v>0</v>
      </c>
      <c r="I11" s="218"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7" t="s">
        <v>29</v>
      </c>
      <c r="D12" s="448"/>
      <c r="E12" s="217">
        <v>3</v>
      </c>
      <c r="F12" s="288">
        <v>0</v>
      </c>
      <c r="G12" s="218">
        <v>0</v>
      </c>
      <c r="H12" s="218">
        <v>0</v>
      </c>
      <c r="I12" s="218">
        <v>0</v>
      </c>
      <c r="J12" s="219">
        <f>SUM(G12:I12)</f>
        <v>0</v>
      </c>
      <c r="K12" s="268"/>
      <c r="L12" s="218">
        <v>0</v>
      </c>
      <c r="M12" s="218"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7" t="s">
        <v>30</v>
      </c>
      <c r="D13" s="470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154"/>
      <c r="D14" s="155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"&amp;[0]!FiscalYear-1</f>
        <v>FY 2023</v>
      </c>
      <c r="D15" s="158" t="s">
        <v>31</v>
      </c>
      <c r="E15" s="355">
        <v>0</v>
      </c>
      <c r="F15" s="55">
        <v>0</v>
      </c>
      <c r="G15" s="223">
        <f>IF(OrigApprop=0,0,(G13/$J$13)*OrigApprop)</f>
        <v>0</v>
      </c>
      <c r="H15" s="223">
        <f>IF(OrigApprop=0,0,(H13/$J$13)*OrigApprop)</f>
        <v>0</v>
      </c>
      <c r="I15" s="223">
        <f>IF(G15=0,0,(I13/$J$13)*OrigApprop)</f>
        <v>0</v>
      </c>
      <c r="J15" s="223">
        <f>SUM(G15:I15)</f>
        <v>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7" t="s">
        <v>32</v>
      </c>
      <c r="D16" s="458"/>
      <c r="E16" s="160" t="s">
        <v>33</v>
      </c>
      <c r="F16" s="161">
        <f>F15-F13</f>
        <v>0</v>
      </c>
      <c r="G16" s="162">
        <f>G15-G13</f>
        <v>0</v>
      </c>
      <c r="H16" s="162">
        <f>H15-H13</f>
        <v>0</v>
      </c>
      <c r="I16" s="162">
        <f>I15-I13</f>
        <v>0</v>
      </c>
      <c r="J16" s="162">
        <f>J15-J13</f>
        <v>0</v>
      </c>
      <c r="K16" s="269"/>
      <c r="L16" s="56" t="str">
        <f>IF([0]!OrigApprop=0,"No Original Appropriation amount in DU 3.00 for this fund","Calculated "&amp;IF([0]!AdjustedTotal&gt;0,"overfunding ","underfunding ")&amp;"is "&amp;TEXT([0]!AdjustedTotal/[0]!AppropTotal,"#.0%;(#.0% );0% ;")&amp;" of Original Appropriation")</f>
        <v>No Original Appropriation amount in DU 3.00 for this fund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9" t="s">
        <v>34</v>
      </c>
      <c r="D17" s="460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61" t="s">
        <v>35</v>
      </c>
      <c r="D18" s="462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37"/>
      <c r="AB19" s="337"/>
      <c r="AC19" s="337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37"/>
      <c r="AB20" s="337"/>
      <c r="AC20" s="337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37"/>
      <c r="AB21" s="337"/>
      <c r="AC21" s="337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37"/>
      <c r="AB22" s="337"/>
      <c r="AC22" s="337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37"/>
      <c r="AB23" s="337"/>
      <c r="AC23" s="337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37"/>
      <c r="AC24" s="337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37"/>
      <c r="AC25" s="337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37"/>
      <c r="AC26" s="337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37"/>
      <c r="AB27" s="337"/>
      <c r="AC27" s="337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37"/>
      <c r="AB28" s="337"/>
      <c r="AC28" s="337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37"/>
      <c r="AB29" s="337"/>
      <c r="AC29" s="337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37"/>
      <c r="AB30" s="337"/>
      <c r="AC30" s="337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37"/>
      <c r="AB31" s="337"/>
      <c r="AC31" s="337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37"/>
      <c r="AB32" s="337"/>
      <c r="AC32" s="337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37"/>
      <c r="AB33" s="337"/>
      <c r="AC33" s="337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37"/>
      <c r="AB34" s="337"/>
      <c r="AC34" s="337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37"/>
      <c r="AB35" s="337"/>
      <c r="AC35" s="337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37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63" t="s">
        <v>37</v>
      </c>
      <c r="D37" s="464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5" t="s">
        <v>105</v>
      </c>
      <c r="AB37" s="466"/>
      <c r="AC37" s="466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7" t="str">
        <f>perm_name</f>
        <v>Permanent Positions</v>
      </c>
      <c r="D38" s="448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7" t="str">
        <f>Group_name</f>
        <v>Board &amp; Group Positions</v>
      </c>
      <c r="D39" s="448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154" t="str">
        <f>Elect_name</f>
        <v>Elected Officials &amp; Full Time Commissioners</v>
      </c>
      <c r="D40" s="194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37"/>
      <c r="AB40" s="337"/>
      <c r="AC40" s="337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7" t="s">
        <v>38</v>
      </c>
      <c r="D41" s="448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37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9"/>
      <c r="D42" s="450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37"/>
      <c r="AB42" s="337"/>
      <c r="AC42" s="337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51" t="s">
        <v>39</v>
      </c>
      <c r="D43" s="452"/>
      <c r="E43" s="203" t="s">
        <v>40</v>
      </c>
      <c r="F43" s="205">
        <f>ROUND(F51-F41,2)</f>
        <v>0</v>
      </c>
      <c r="G43" s="206">
        <f>G51-G41</f>
        <v>0</v>
      </c>
      <c r="H43" s="159">
        <f>H51-H41</f>
        <v>0</v>
      </c>
      <c r="I43" s="159">
        <f>I51-I41</f>
        <v>0</v>
      </c>
      <c r="J43" s="159">
        <f>SUM(G43:I43)</f>
        <v>0</v>
      </c>
      <c r="K43" s="428" t="str">
        <f>IF(E51=0,"No Original Appropriation amount in DU 3.00 for this fund","Calculated "&amp;IF(J43&gt;0,"overfunding ","underfunding ")&amp;"is "&amp;TEXT(J43/J51,"#.0%;(#.0% );0%;")&amp;" of Original Appropriation")</f>
        <v>No Original Appropriation amount in DU 3.00 for this fund</v>
      </c>
      <c r="L43" s="429"/>
      <c r="M43" s="429"/>
      <c r="N43" s="430"/>
      <c r="O43"/>
      <c r="P43"/>
      <c r="Q43"/>
      <c r="R43"/>
      <c r="S43"/>
      <c r="T43"/>
      <c r="U43"/>
      <c r="V43"/>
      <c r="W43"/>
      <c r="X43"/>
      <c r="Y43"/>
      <c r="Z43" s="344"/>
      <c r="AA43" s="455" t="s">
        <v>106</v>
      </c>
      <c r="AB43" s="456"/>
      <c r="AC43" s="456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3"/>
      <c r="D44" s="454"/>
      <c r="E44" s="204" t="s">
        <v>41</v>
      </c>
      <c r="F44" s="205">
        <f>ROUND(F60-F41,2)</f>
        <v>0</v>
      </c>
      <c r="G44" s="206">
        <f>G60-G41</f>
        <v>0</v>
      </c>
      <c r="H44" s="159">
        <f>H60-H41</f>
        <v>0</v>
      </c>
      <c r="I44" s="159">
        <f>I60-I41</f>
        <v>0</v>
      </c>
      <c r="J44" s="159">
        <f>SUM(G44:I44)</f>
        <v>0</v>
      </c>
      <c r="K44" s="428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This fund has zero estimated expenditures in DU 7.00</v>
      </c>
      <c r="L44" s="429"/>
      <c r="M44" s="429"/>
      <c r="N44" s="430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0</v>
      </c>
      <c r="G45" s="206">
        <f>G67-G41-G63</f>
        <v>0</v>
      </c>
      <c r="H45" s="206">
        <f>H67-H41-H63</f>
        <v>0</v>
      </c>
      <c r="I45" s="206">
        <f>I67-I41-I63</f>
        <v>0</v>
      </c>
      <c r="J45" s="159">
        <f>SUM(G45:I45)</f>
        <v>0</v>
      </c>
      <c r="K45" s="428" t="str">
        <f>IF(J67=0,"This fund has a $0 Base in DU 9.00",IF(J67=0,"ERROR! Verify/enter 8 series adjustments!","Calculated "&amp;IF(J45&gt;0,"overfunding ","underfunding ")&amp;"is "&amp;TEXT(J45/J67,"#.0%;(#.0% );0%;")&amp;" of the Base"))</f>
        <v>This fund has a $0 Base in DU 9.00</v>
      </c>
      <c r="L45" s="429"/>
      <c r="M45" s="429"/>
      <c r="N45" s="430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31" t="s">
        <v>98</v>
      </c>
      <c r="F46" s="432"/>
      <c r="G46" s="432"/>
      <c r="H46" s="432"/>
      <c r="I46" s="432"/>
      <c r="J46" s="433"/>
      <c r="K46" s="437" t="str">
        <f>IF(OR(J45&lt;0,F45&lt;0),"You may not have sufficient funding or authorized FTP, and may need to make additional adjustments to finalize this form.  Please contact both your DFM and LSO analysts.","")</f>
        <v/>
      </c>
      <c r="L46" s="438"/>
      <c r="M46" s="438"/>
      <c r="N46" s="439"/>
      <c r="O46"/>
      <c r="P46"/>
      <c r="Q46"/>
      <c r="R46"/>
      <c r="S46"/>
      <c r="T46"/>
      <c r="U46"/>
      <c r="V46"/>
      <c r="W46"/>
      <c r="X46"/>
      <c r="Y46"/>
      <c r="Z46" s="344"/>
      <c r="AA46" s="337"/>
      <c r="AB46" s="337"/>
      <c r="AC46" s="337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4"/>
      <c r="F47" s="435"/>
      <c r="G47" s="435"/>
      <c r="H47" s="435"/>
      <c r="I47" s="435"/>
      <c r="J47" s="436"/>
      <c r="K47" s="440"/>
      <c r="L47" s="441"/>
      <c r="M47" s="441"/>
      <c r="N47" s="442"/>
      <c r="O47"/>
      <c r="P47"/>
      <c r="Q47"/>
      <c r="R47"/>
      <c r="S47"/>
      <c r="T47"/>
      <c r="U47"/>
      <c r="V47"/>
      <c r="W47"/>
      <c r="X47"/>
      <c r="Y47"/>
      <c r="Z47" s="344"/>
      <c r="AA47" s="337"/>
      <c r="AB47" s="337"/>
      <c r="AC47" s="337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37"/>
      <c r="AB49" s="337"/>
      <c r="AC49" s="337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3"/>
      <c r="D50" s="444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37"/>
      <c r="AB50" s="337"/>
      <c r="AC50" s="337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0</v>
      </c>
      <c r="F51" s="272">
        <f>AppropFTP</f>
        <v>0</v>
      </c>
      <c r="G51" s="274">
        <f>IF(E51=0,0,(G41/$J$41)*$E$51)</f>
        <v>0</v>
      </c>
      <c r="H51" s="274">
        <f>IF(E51=0,0,(H41/$J$41)*$E$51)</f>
        <v>0</v>
      </c>
      <c r="I51" s="275">
        <f>IF(E51=0,0,(I41/$J$41)*$E$51)</f>
        <v>0</v>
      </c>
      <c r="J51" s="90">
        <f>SUM(G51:I51)</f>
        <v>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37"/>
      <c r="AC51" s="337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0</v>
      </c>
      <c r="G52" s="79">
        <f>ROUND(G51,-2)</f>
        <v>0</v>
      </c>
      <c r="H52" s="79">
        <f>ROUND(H51,-2)</f>
        <v>0</v>
      </c>
      <c r="I52" s="266">
        <f>ROUND(I51,-2)</f>
        <v>0</v>
      </c>
      <c r="J52" s="80">
        <f>ROUND(J51,-2)</f>
        <v>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37"/>
      <c r="AC52" s="337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5" t="s">
        <v>47</v>
      </c>
      <c r="D53" s="446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37"/>
      <c r="AB53" s="337"/>
      <c r="AC53" s="337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10" t="s">
        <v>48</v>
      </c>
      <c r="D54" s="411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37"/>
      <c r="AB54" s="337"/>
      <c r="AC54" s="337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17" t="s">
        <v>49</v>
      </c>
      <c r="D55" s="418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37"/>
      <c r="AB55" s="337"/>
      <c r="AC55" s="337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0</v>
      </c>
      <c r="G56" s="80">
        <f>SUM(G52:G55)</f>
        <v>0</v>
      </c>
      <c r="H56" s="80">
        <f>SUM(H52:H55)</f>
        <v>0</v>
      </c>
      <c r="I56" s="260">
        <f>SUM(I52:I55)</f>
        <v>0</v>
      </c>
      <c r="J56" s="80">
        <f>SUM(J52:J55)</f>
        <v>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37"/>
      <c r="AB56" s="337"/>
      <c r="AC56" s="337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15" t="s">
        <v>51</v>
      </c>
      <c r="D57" s="419"/>
      <c r="E57" s="331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37"/>
      <c r="AB57" s="337"/>
      <c r="AC57" s="337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20" t="s">
        <v>116</v>
      </c>
      <c r="D58" s="421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37"/>
      <c r="AB58" s="337"/>
      <c r="AC58" s="337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20" t="s">
        <v>52</v>
      </c>
      <c r="D59" s="421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37"/>
      <c r="AB59" s="337"/>
      <c r="AC59" s="337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0</v>
      </c>
      <c r="G60" s="80">
        <f>SUM(G56:G59)</f>
        <v>0</v>
      </c>
      <c r="H60" s="80">
        <f>SUM(H56:H59)</f>
        <v>0</v>
      </c>
      <c r="I60" s="260">
        <f>SUM(I56:I59)</f>
        <v>0</v>
      </c>
      <c r="J60" s="80">
        <f>SUM(J56:J59)</f>
        <v>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37"/>
      <c r="AB60" s="337"/>
      <c r="AC60" s="337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15" t="s">
        <v>54</v>
      </c>
      <c r="D61" s="419"/>
      <c r="E61" s="331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37"/>
      <c r="AB61" s="337"/>
      <c r="AC61" s="337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10" t="s">
        <v>65</v>
      </c>
      <c r="D62" s="411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37"/>
      <c r="AB62" s="337"/>
      <c r="AC62" s="337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10" t="s">
        <v>55</v>
      </c>
      <c r="D63" s="411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/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37"/>
      <c r="AB63" s="337"/>
      <c r="AC63" s="337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22" t="s">
        <v>56</v>
      </c>
      <c r="D64" s="423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37"/>
      <c r="AB64" s="337"/>
      <c r="AC64" s="337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24"/>
      <c r="D65" s="425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37"/>
      <c r="AB65" s="337"/>
      <c r="AC65" s="337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26"/>
      <c r="D66" s="427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0</v>
      </c>
      <c r="G67" s="80">
        <f>SUM(G60:G64)</f>
        <v>0</v>
      </c>
      <c r="H67" s="80">
        <f>SUM(H60:H64)</f>
        <v>0</v>
      </c>
      <c r="I67" s="80">
        <f>SUM(I60:I64)</f>
        <v>0</v>
      </c>
      <c r="J67" s="80">
        <f>SUM(J60:J64)</f>
        <v>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37"/>
      <c r="AB67" s="337"/>
      <c r="AC67" s="337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15" t="s">
        <v>58</v>
      </c>
      <c r="D68" s="416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37"/>
      <c r="AB68" s="337"/>
      <c r="AC68" s="337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15" t="s">
        <v>59</v>
      </c>
      <c r="D69" s="416"/>
      <c r="E69" s="112"/>
      <c r="F69" s="288"/>
      <c r="G69" s="113"/>
      <c r="H69" s="113"/>
      <c r="I69" s="113">
        <f>IF(DUNine=0,0,ROUND(SUM(M41:M64),-2))</f>
        <v>0</v>
      </c>
      <c r="J69" s="287">
        <f>SUM(G69:I69)</f>
        <v>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37"/>
      <c r="AB69" s="337"/>
      <c r="AC69" s="337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8"/>
      <c r="D70" s="409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37"/>
      <c r="AB70" s="337"/>
      <c r="AC70" s="337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10" t="s">
        <v>60</v>
      </c>
      <c r="D71" s="411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37"/>
      <c r="AB71" s="337"/>
      <c r="AC71" s="337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10" t="s">
        <v>99</v>
      </c>
      <c r="D72" s="412"/>
      <c r="E72" s="290">
        <f>CECPerm</f>
        <v>0.01</v>
      </c>
      <c r="F72" s="288"/>
      <c r="G72" s="356">
        <f>IF(DUNine=0,0,IF(DUNine&lt;0,0,ROUND(AdjPermSalary*CECPerm,-2)))</f>
        <v>0</v>
      </c>
      <c r="H72" s="287"/>
      <c r="I72" s="287">
        <f>ROUND(($G72*PermVBBY+$G72*Retire1BY),-2)</f>
        <v>0</v>
      </c>
      <c r="J72" s="113">
        <f>SUM(G72:I72)</f>
        <v>0</v>
      </c>
      <c r="K72" s="296"/>
      <c r="L72" s="298"/>
      <c r="M72" s="350">
        <f>IF(DUNine=0,0,IF(((#REF!-G39-G40)*E72)&lt;0,0,ROUND(((#REF!-G39-G40)*E72),-2)))</f>
        <v>0</v>
      </c>
      <c r="N72" s="359"/>
      <c r="O72" s="358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0</v>
      </c>
      <c r="P72" s="358"/>
      <c r="Q72"/>
      <c r="R72"/>
      <c r="S72"/>
      <c r="T72"/>
      <c r="U72"/>
      <c r="V72"/>
      <c r="W72"/>
      <c r="X72"/>
      <c r="Y72"/>
      <c r="Z72" s="344"/>
      <c r="AA72" s="337"/>
      <c r="AB72" s="337"/>
      <c r="AC72" s="337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10" t="s">
        <v>117</v>
      </c>
      <c r="D73" s="412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37"/>
      <c r="AB73" s="337"/>
      <c r="AC73" s="337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114" t="s">
        <v>61</v>
      </c>
      <c r="D74" s="115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37"/>
      <c r="AB74" s="337"/>
      <c r="AC74" s="337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0</v>
      </c>
      <c r="G75" s="80">
        <f>SUM(G67:G74)</f>
        <v>0</v>
      </c>
      <c r="H75" s="80">
        <f>SUM(H67:H74)</f>
        <v>0</v>
      </c>
      <c r="I75" s="80">
        <f>SUM(I67:I74)</f>
        <v>0</v>
      </c>
      <c r="J75" s="80">
        <f>SUM(J67:K74)</f>
        <v>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37"/>
      <c r="AB75" s="337"/>
      <c r="AC75" s="337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3" t="s">
        <v>63</v>
      </c>
      <c r="D76" s="414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37"/>
      <c r="AB76" s="337"/>
      <c r="AC76" s="337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6"/>
      <c r="D77" s="407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37"/>
      <c r="AB77" s="337"/>
      <c r="AC77" s="337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6"/>
      <c r="D78" s="407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37"/>
      <c r="AB78" s="337"/>
      <c r="AC78" s="337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6"/>
      <c r="D79" s="407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37"/>
      <c r="AB79" s="337"/>
      <c r="AC79" s="337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0</v>
      </c>
      <c r="G80" s="80">
        <f>SUM(G75:G79)</f>
        <v>0</v>
      </c>
      <c r="H80" s="80">
        <f>SUM(H75:H79)</f>
        <v>0</v>
      </c>
      <c r="I80" s="80">
        <f>SUM(I75:I79)</f>
        <v>0</v>
      </c>
      <c r="J80" s="80">
        <f>SUM(J75:J79)</f>
        <v>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37"/>
      <c r="AB80" s="337"/>
      <c r="AC80" s="337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39:D3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38:D38"/>
    <mergeCell ref="C37:D37"/>
    <mergeCell ref="M1:N1"/>
    <mergeCell ref="M2:N2"/>
    <mergeCell ref="M3:N3"/>
    <mergeCell ref="M4:N4"/>
    <mergeCell ref="I5:L5"/>
    <mergeCell ref="C64:D64"/>
    <mergeCell ref="C57:D57"/>
    <mergeCell ref="C58:D58"/>
    <mergeCell ref="C59:D59"/>
    <mergeCell ref="K45:N45"/>
    <mergeCell ref="K46:N47"/>
    <mergeCell ref="E46:J47"/>
    <mergeCell ref="C79:D79"/>
    <mergeCell ref="C78:D78"/>
    <mergeCell ref="C66:D66"/>
    <mergeCell ref="C68:D68"/>
    <mergeCell ref="C69:D69"/>
    <mergeCell ref="C70:D70"/>
    <mergeCell ref="C77:D77"/>
    <mergeCell ref="C71:D71"/>
    <mergeCell ref="C73:D73"/>
    <mergeCell ref="C76:D76"/>
    <mergeCell ref="C72:D72"/>
    <mergeCell ref="AA8:AC8"/>
    <mergeCell ref="AA37:AC37"/>
    <mergeCell ref="AA43:AC43"/>
    <mergeCell ref="C65:D65"/>
    <mergeCell ref="C53:D53"/>
    <mergeCell ref="C61:D61"/>
    <mergeCell ref="C41:D41"/>
    <mergeCell ref="C42:D42"/>
    <mergeCell ref="C43:D44"/>
    <mergeCell ref="C54:D54"/>
    <mergeCell ref="C55:D55"/>
    <mergeCell ref="C50:D50"/>
    <mergeCell ref="K43:N43"/>
    <mergeCell ref="K44:N44"/>
    <mergeCell ref="C62:D62"/>
    <mergeCell ref="C63:D63"/>
  </mergeCells>
  <conditionalFormatting sqref="K44">
    <cfRule type="expression" dxfId="20" priority="8">
      <formula>$J$44&lt;0</formula>
    </cfRule>
  </conditionalFormatting>
  <conditionalFormatting sqref="K43">
    <cfRule type="expression" dxfId="19" priority="7">
      <formula>$J$43&lt;0</formula>
    </cfRule>
  </conditionalFormatting>
  <conditionalFormatting sqref="L16">
    <cfRule type="expression" dxfId="18" priority="6">
      <formula>$J$16&lt;0</formula>
    </cfRule>
  </conditionalFormatting>
  <conditionalFormatting sqref="K45">
    <cfRule type="expression" dxfId="17" priority="5">
      <formula>$J$44&lt;0</formula>
    </cfRule>
  </conditionalFormatting>
  <conditionalFormatting sqref="K43:N45">
    <cfRule type="containsText" dxfId="16" priority="4" operator="containsText" text="underfunding">
      <formula>NOT(ISERROR(SEARCH("underfunding",K43)))</formula>
    </cfRule>
  </conditionalFormatting>
  <conditionalFormatting sqref="K44">
    <cfRule type="expression" dxfId="15" priority="3">
      <formula>$J$44&lt;0</formula>
    </cfRule>
  </conditionalFormatting>
  <conditionalFormatting sqref="K45">
    <cfRule type="expression" dxfId="14" priority="2">
      <formula>$J$44&lt;0</formula>
    </cfRule>
  </conditionalFormatting>
  <conditionalFormatting sqref="K45">
    <cfRule type="expression" dxfId="13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L142"/>
  <sheetViews>
    <sheetView topLeftCell="A106" workbookViewId="0">
      <selection activeCell="A134" sqref="A134:L142"/>
    </sheetView>
  </sheetViews>
  <sheetFormatPr defaultRowHeight="15" x14ac:dyDescent="0.25"/>
  <cols>
    <col min="1" max="1" width="9" customWidth="1"/>
    <col min="2" max="2" width="39.28515625" customWidth="1"/>
    <col min="3" max="3" width="13" customWidth="1"/>
    <col min="4" max="4" width="12.28515625" customWidth="1"/>
    <col min="5" max="5" width="12.140625" customWidth="1"/>
    <col min="6" max="6" width="14.5703125" customWidth="1"/>
    <col min="7" max="7" width="19.5703125" customWidth="1"/>
    <col min="8" max="8" width="13.7109375" customWidth="1"/>
    <col min="9" max="9" width="0" hidden="1" customWidth="1"/>
    <col min="10" max="10" width="18.42578125" customWidth="1"/>
    <col min="11" max="11" width="16.42578125" customWidth="1"/>
    <col min="12" max="12" width="16.140625" customWidth="1"/>
  </cols>
  <sheetData>
    <row r="1" spans="1:12" x14ac:dyDescent="0.25">
      <c r="A1" s="396" t="s">
        <v>830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2" ht="39" x14ac:dyDescent="0.25">
      <c r="A2" s="476" t="s">
        <v>22</v>
      </c>
      <c r="B2" s="477"/>
      <c r="C2" s="371" t="s">
        <v>23</v>
      </c>
      <c r="D2" s="49" t="s">
        <v>24</v>
      </c>
      <c r="E2" s="50" t="str">
        <f>"FY "&amp;'EDBC|0125-00'!FiscalYear-1&amp;" SALARY"</f>
        <v>FY 2023 SALARY</v>
      </c>
      <c r="F2" s="50" t="str">
        <f>"FY "&amp;'EDBC|0125-00'!FiscalYear-1&amp;" HEALTH BENEFITS"</f>
        <v>FY 2023 HEALTH BENEFITS</v>
      </c>
      <c r="G2" s="50" t="str">
        <f>"FY "&amp;'EDBC|0125-00'!FiscalYear-1&amp;" VAR BENEFITS"</f>
        <v>FY 2023 VAR BENEFITS</v>
      </c>
      <c r="H2" s="50" t="str">
        <f>"FY "&amp;'EDBC|0125-00'!FiscalYear-1&amp;" TOTAL"</f>
        <v>FY 2023 TOTAL</v>
      </c>
      <c r="I2" s="50" t="str">
        <f>"FY "&amp;'EDBC|0125-00'!FiscalYear&amp;" SALARY CHANGE"</f>
        <v>FY 2024 SALARY CHANGE</v>
      </c>
      <c r="J2" s="50" t="str">
        <f>"FY "&amp;'EDBC|0125-00'!FiscalYear&amp;" CHG HEALTH BENEFITS"</f>
        <v>FY 2024 CHG HEALTH BENEFITS</v>
      </c>
      <c r="K2" s="50" t="str">
        <f>"FY "&amp;'EDBC|0125-00'!FiscalYear&amp;" CHG VAR BENEFITS"</f>
        <v>FY 2024 CHG VAR BENEFITS</v>
      </c>
      <c r="L2" s="50" t="s">
        <v>25</v>
      </c>
    </row>
    <row r="3" spans="1:12" x14ac:dyDescent="0.25">
      <c r="A3" s="468" t="s">
        <v>26</v>
      </c>
      <c r="B3" s="469"/>
      <c r="C3" s="141"/>
      <c r="D3" s="142"/>
      <c r="E3" s="143"/>
      <c r="F3" s="143"/>
      <c r="G3" s="143"/>
      <c r="H3" s="144"/>
      <c r="I3" s="144"/>
      <c r="J3" s="145"/>
      <c r="K3" s="146"/>
      <c r="L3" s="144"/>
    </row>
    <row r="4" spans="1:12" x14ac:dyDescent="0.25">
      <c r="A4" s="447" t="s">
        <v>27</v>
      </c>
      <c r="B4" s="470"/>
      <c r="C4" s="217">
        <v>1</v>
      </c>
      <c r="D4" s="288">
        <f>[0]!EDBC012500col_INC_FTI</f>
        <v>5.6499999999999995</v>
      </c>
      <c r="E4" s="218">
        <f>[0]!EDBC012500col_FTI_SALARY_PERM</f>
        <v>380609.18999999994</v>
      </c>
      <c r="F4" s="218">
        <f>[0]!EDBC012500col_HEALTH_PERM</f>
        <v>70625</v>
      </c>
      <c r="G4" s="218">
        <f>[0]!EDBC012500col_TOT_VB_PERM</f>
        <v>78535.320105899998</v>
      </c>
      <c r="H4" s="219">
        <f>SUM(E4:G4)</f>
        <v>529769.5101059</v>
      </c>
      <c r="I4" s="219">
        <f>[0]!EDBC012500col_1_27TH_PP</f>
        <v>0</v>
      </c>
      <c r="J4" s="218">
        <f>[0]!EDBC012500col_HEALTH_PERM_CHG</f>
        <v>7062.5</v>
      </c>
      <c r="K4" s="218">
        <f>[0]!EDBC012500col_TOT_VB_PERM_CHG</f>
        <v>-2714.3461680000037</v>
      </c>
      <c r="L4" s="218">
        <f>SUM(J4:K4)</f>
        <v>4348.1538319999963</v>
      </c>
    </row>
    <row r="5" spans="1:12" x14ac:dyDescent="0.25">
      <c r="A5" s="447" t="s">
        <v>28</v>
      </c>
      <c r="B5" s="470"/>
      <c r="C5" s="217">
        <v>2</v>
      </c>
      <c r="D5" s="288"/>
      <c r="E5" s="218">
        <f>[0]!EDBC012500col_Group_Salary</f>
        <v>0</v>
      </c>
      <c r="F5" s="218">
        <v>0</v>
      </c>
      <c r="G5" s="218">
        <f>[0]!EDBC012500col_Group_Ben</f>
        <v>0</v>
      </c>
      <c r="H5" s="219">
        <f>SUM(E5:G5)</f>
        <v>0</v>
      </c>
      <c r="I5" s="268"/>
      <c r="J5" s="218"/>
      <c r="K5" s="218"/>
      <c r="L5" s="218"/>
    </row>
    <row r="6" spans="1:12" x14ac:dyDescent="0.25">
      <c r="A6" s="447" t="s">
        <v>29</v>
      </c>
      <c r="B6" s="448"/>
      <c r="C6" s="217">
        <v>3</v>
      </c>
      <c r="D6" s="288">
        <f>[0]!EDBC012500col_TOTAL_ELECT_PCN_FTI</f>
        <v>0</v>
      </c>
      <c r="E6" s="218">
        <f>[0]!EDBC012500col_FTI_SALARY_ELECT</f>
        <v>0</v>
      </c>
      <c r="F6" s="218">
        <f>[0]!EDBC012500col_HEALTH_ELECT</f>
        <v>0</v>
      </c>
      <c r="G6" s="218">
        <f>[0]!EDBC012500col_TOT_VB_ELECT</f>
        <v>0</v>
      </c>
      <c r="H6" s="219">
        <f>SUM(E6:G6)</f>
        <v>0</v>
      </c>
      <c r="I6" s="268"/>
      <c r="J6" s="218">
        <f>[0]!EDBC012500col_HEALTH_ELECT_CHG</f>
        <v>0</v>
      </c>
      <c r="K6" s="218">
        <f>[0]!EDBC012500col_TOT_VB_ELECT_CHG</f>
        <v>0</v>
      </c>
      <c r="L6" s="219">
        <f>SUM(J6:K6)</f>
        <v>0</v>
      </c>
    </row>
    <row r="7" spans="1:12" x14ac:dyDescent="0.25">
      <c r="A7" s="447" t="s">
        <v>30</v>
      </c>
      <c r="B7" s="470"/>
      <c r="C7" s="217"/>
      <c r="D7" s="220">
        <f>SUM(D4:D6)</f>
        <v>5.6499999999999995</v>
      </c>
      <c r="E7" s="221">
        <f>SUM(E4:E6)</f>
        <v>380609.18999999994</v>
      </c>
      <c r="F7" s="221">
        <f>SUM(F4:F6)</f>
        <v>70625</v>
      </c>
      <c r="G7" s="221">
        <f>SUM(G4:G6)</f>
        <v>78535.320105899998</v>
      </c>
      <c r="H7" s="219">
        <f>SUM(E7:G7)</f>
        <v>529769.5101059</v>
      </c>
      <c r="I7" s="268"/>
      <c r="J7" s="219">
        <f>SUM(J4:J6)</f>
        <v>7062.5</v>
      </c>
      <c r="K7" s="219">
        <f>SUM(K4:K6)</f>
        <v>-2714.3461680000037</v>
      </c>
      <c r="L7" s="219">
        <f>SUM(L4:L6)</f>
        <v>4348.1538319999963</v>
      </c>
    </row>
    <row r="8" spans="1:12" x14ac:dyDescent="0.25">
      <c r="A8" s="366"/>
      <c r="B8" s="372"/>
      <c r="C8" s="217"/>
      <c r="D8" s="220"/>
      <c r="E8" s="219"/>
      <c r="F8" s="219"/>
      <c r="G8" s="219"/>
      <c r="H8" s="219"/>
      <c r="I8" s="268"/>
      <c r="J8" s="219"/>
      <c r="K8" s="222"/>
      <c r="L8" s="222"/>
    </row>
    <row r="9" spans="1:12" x14ac:dyDescent="0.25">
      <c r="A9" s="157" t="str">
        <f>"FY "&amp;'EDBC|0125-00'!FiscalYear-1</f>
        <v>FY 2023</v>
      </c>
      <c r="B9" s="158" t="s">
        <v>31</v>
      </c>
      <c r="C9" s="355">
        <v>759400</v>
      </c>
      <c r="D9" s="55">
        <v>6.04</v>
      </c>
      <c r="E9" s="223">
        <f>IF('EDBC|0125-00'!OrigApprop=0,0,(E7/H7)*'EDBC|0125-00'!OrigApprop)</f>
        <v>545585.6053856751</v>
      </c>
      <c r="F9" s="223">
        <f>IF('EDBC|0125-00'!OrigApprop=0,0,(F7/H7)*'EDBC|0125-00'!OrigApprop)</f>
        <v>101237.65897603078</v>
      </c>
      <c r="G9" s="223">
        <f>IF(E9=0,0,(G7/H7)*'EDBC|0125-00'!OrigApprop)</f>
        <v>112576.73563829405</v>
      </c>
      <c r="H9" s="223">
        <f>SUM(E9:G9)</f>
        <v>759399.99999999988</v>
      </c>
      <c r="I9" s="268"/>
      <c r="J9" s="224"/>
      <c r="K9" s="224"/>
      <c r="L9" s="224"/>
    </row>
    <row r="10" spans="1:12" x14ac:dyDescent="0.25">
      <c r="A10" s="457" t="s">
        <v>32</v>
      </c>
      <c r="B10" s="458"/>
      <c r="C10" s="160" t="s">
        <v>33</v>
      </c>
      <c r="D10" s="161">
        <f>D9-D7</f>
        <v>0.39000000000000057</v>
      </c>
      <c r="E10" s="162">
        <f>E9-E7</f>
        <v>164976.41538567515</v>
      </c>
      <c r="F10" s="162">
        <f>F9-F7</f>
        <v>30612.658976030783</v>
      </c>
      <c r="G10" s="162">
        <f>G9-G7</f>
        <v>34041.41553239405</v>
      </c>
      <c r="H10" s="162">
        <f>H9-H7</f>
        <v>229630.48989409988</v>
      </c>
      <c r="I10" s="269"/>
      <c r="J10" s="56" t="str">
        <f>IF('EDBC|0125-00'!OrigApprop=0,"No Original Appropriation amount in DU 3.00 for this fund","Calculated "&amp;IF('EDBC|0125-00'!AdjustedTotal&gt;0,"overfunding ","underfunding ")&amp;"is "&amp;TEXT('EDBC|0125-00'!AdjustedTotal/'EDBC|0125-00'!AppropTotal,"#.0%;(#.0% );0% ;")&amp;" of Original Appropriation")</f>
        <v>Calculated overfunding is 30.2% of Original Appropriation</v>
      </c>
      <c r="K10" s="163"/>
      <c r="L10" s="164"/>
    </row>
    <row r="12" spans="1:12" x14ac:dyDescent="0.25">
      <c r="A12" s="396" t="s">
        <v>836</v>
      </c>
      <c r="B12" s="396"/>
      <c r="C12" s="396"/>
      <c r="D12" s="396"/>
      <c r="E12" s="396"/>
      <c r="F12" s="396"/>
      <c r="G12" s="396"/>
      <c r="H12" s="396"/>
      <c r="I12" s="396"/>
      <c r="J12" s="396"/>
      <c r="K12" s="396"/>
      <c r="L12" s="396"/>
    </row>
    <row r="13" spans="1:12" ht="39" x14ac:dyDescent="0.25">
      <c r="A13" s="476" t="s">
        <v>22</v>
      </c>
      <c r="B13" s="477"/>
      <c r="C13" s="371" t="s">
        <v>23</v>
      </c>
      <c r="D13" s="49" t="s">
        <v>24</v>
      </c>
      <c r="E13" s="50" t="str">
        <f>"FY "&amp;'EDBD|0001-00'!FiscalYear-1&amp;" SALARY"</f>
        <v>FY 2023 SALARY</v>
      </c>
      <c r="F13" s="50" t="str">
        <f>"FY "&amp;'EDBD|0001-00'!FiscalYear-1&amp;" HEALTH BENEFITS"</f>
        <v>FY 2023 HEALTH BENEFITS</v>
      </c>
      <c r="G13" s="50" t="str">
        <f>"FY "&amp;'EDBD|0001-00'!FiscalYear-1&amp;" VAR BENEFITS"</f>
        <v>FY 2023 VAR BENEFITS</v>
      </c>
      <c r="H13" s="50" t="str">
        <f>"FY "&amp;'EDBD|0001-00'!FiscalYear-1&amp;" TOTAL"</f>
        <v>FY 2023 TOTAL</v>
      </c>
      <c r="I13" s="50" t="str">
        <f>"FY "&amp;'EDBD|0001-00'!FiscalYear&amp;" SALARY CHANGE"</f>
        <v>FY 2024 SALARY CHANGE</v>
      </c>
      <c r="J13" s="50" t="str">
        <f>"FY "&amp;'EDBD|0001-00'!FiscalYear&amp;" CHG HEALTH BENEFITS"</f>
        <v>FY 2024 CHG HEALTH BENEFITS</v>
      </c>
      <c r="K13" s="50" t="str">
        <f>"FY "&amp;'EDBD|0001-00'!FiscalYear&amp;" CHG VAR BENEFITS"</f>
        <v>FY 2024 CHG VAR BENEFITS</v>
      </c>
      <c r="L13" s="50" t="s">
        <v>25</v>
      </c>
    </row>
    <row r="14" spans="1:12" x14ac:dyDescent="0.25">
      <c r="A14" s="468" t="s">
        <v>26</v>
      </c>
      <c r="B14" s="469"/>
      <c r="C14" s="141"/>
      <c r="D14" s="142"/>
      <c r="E14" s="143"/>
      <c r="F14" s="143"/>
      <c r="G14" s="143"/>
      <c r="H14" s="144"/>
      <c r="I14" s="144"/>
      <c r="J14" s="145"/>
      <c r="K14" s="146"/>
      <c r="L14" s="144"/>
    </row>
    <row r="15" spans="1:12" x14ac:dyDescent="0.25">
      <c r="A15" s="447" t="s">
        <v>27</v>
      </c>
      <c r="B15" s="470"/>
      <c r="C15" s="217">
        <v>1</v>
      </c>
      <c r="D15" s="288">
        <f>[0]!EDBD000100col_INC_FTI</f>
        <v>24.912500000000001</v>
      </c>
      <c r="E15" s="218">
        <f>[0]!EDBD000100col_FTI_SALARY_PERM</f>
        <v>1807334.7</v>
      </c>
      <c r="F15" s="218">
        <f>[0]!EDBD000100col_HEALTH_PERM</f>
        <v>313750</v>
      </c>
      <c r="G15" s="218">
        <f>[0]!EDBD000100col_TOT_VB_PERM</f>
        <v>371381.6774070001</v>
      </c>
      <c r="H15" s="219">
        <f>SUM(E15:G15)</f>
        <v>2492466.3774070004</v>
      </c>
      <c r="I15" s="219">
        <f>[0]!EDBD000100col_1_27TH_PP</f>
        <v>0</v>
      </c>
      <c r="J15" s="218">
        <f>[0]!EDBD000100col_HEALTH_PERM_CHG</f>
        <v>31375</v>
      </c>
      <c r="K15" s="218">
        <f>[0]!EDBD000100col_TOT_VB_PERM_CHG</f>
        <v>-12257.64984000002</v>
      </c>
      <c r="L15" s="218">
        <f>SUM(J15:K15)</f>
        <v>19117.35015999998</v>
      </c>
    </row>
    <row r="16" spans="1:12" x14ac:dyDescent="0.25">
      <c r="A16" s="447" t="s">
        <v>28</v>
      </c>
      <c r="B16" s="470"/>
      <c r="C16" s="217">
        <v>2</v>
      </c>
      <c r="D16" s="288"/>
      <c r="E16" s="218">
        <f>[0]!EDBD000100col_Group_Salary</f>
        <v>11520</v>
      </c>
      <c r="F16" s="218">
        <v>0</v>
      </c>
      <c r="G16" s="218">
        <f>[0]!EDBD000100col_Group_Ben</f>
        <v>1021.61</v>
      </c>
      <c r="H16" s="219">
        <f>SUM(E16:G16)</f>
        <v>12541.61</v>
      </c>
      <c r="I16" s="268"/>
      <c r="J16" s="218"/>
      <c r="K16" s="218"/>
      <c r="L16" s="218"/>
    </row>
    <row r="17" spans="1:12" x14ac:dyDescent="0.25">
      <c r="A17" s="447" t="s">
        <v>29</v>
      </c>
      <c r="B17" s="448"/>
      <c r="C17" s="217">
        <v>3</v>
      </c>
      <c r="D17" s="288">
        <f>[0]!EDBD000100col_TOTAL_ELECT_PCN_FTI</f>
        <v>1</v>
      </c>
      <c r="E17" s="218">
        <f>[0]!EDBD000100col_FTI_SALARY_ELECT</f>
        <v>117556.7</v>
      </c>
      <c r="F17" s="218">
        <f>[0]!EDBD000100col_HEALTH_ELECT</f>
        <v>12500</v>
      </c>
      <c r="G17" s="218">
        <f>[0]!EDBD000100col_TOT_VB_ELECT</f>
        <v>24288.389787</v>
      </c>
      <c r="H17" s="219">
        <f>SUM(E17:G17)</f>
        <v>154345.089787</v>
      </c>
      <c r="I17" s="268"/>
      <c r="J17" s="218">
        <f>[0]!EDBD000100col_HEALTH_ELECT_CHG</f>
        <v>1250</v>
      </c>
      <c r="K17" s="218">
        <f>[0]!EDBD000100col_TOT_VB_ELECT_CHG</f>
        <v>-846.40824000000123</v>
      </c>
      <c r="L17" s="219">
        <f>SUM(J17:K17)</f>
        <v>403.59175999999877</v>
      </c>
    </row>
    <row r="18" spans="1:12" x14ac:dyDescent="0.25">
      <c r="A18" s="447" t="s">
        <v>30</v>
      </c>
      <c r="B18" s="470"/>
      <c r="C18" s="217"/>
      <c r="D18" s="220">
        <f>SUM(D15:D17)</f>
        <v>25.912500000000001</v>
      </c>
      <c r="E18" s="221">
        <f>SUM(E15:E17)</f>
        <v>1936411.4</v>
      </c>
      <c r="F18" s="221">
        <f>SUM(F15:F17)</f>
        <v>326250</v>
      </c>
      <c r="G18" s="221">
        <f>SUM(G15:G17)</f>
        <v>396691.67719400011</v>
      </c>
      <c r="H18" s="219">
        <f>SUM(E18:G18)</f>
        <v>2659353.0771940001</v>
      </c>
      <c r="I18" s="268"/>
      <c r="J18" s="219">
        <f>SUM(J15:J17)</f>
        <v>32625</v>
      </c>
      <c r="K18" s="219">
        <f>SUM(K15:K17)</f>
        <v>-13104.058080000021</v>
      </c>
      <c r="L18" s="219">
        <f>SUM(L15:L17)</f>
        <v>19520.941919999979</v>
      </c>
    </row>
    <row r="19" spans="1:12" x14ac:dyDescent="0.25">
      <c r="A19" s="366"/>
      <c r="B19" s="372"/>
      <c r="C19" s="217"/>
      <c r="D19" s="220"/>
      <c r="E19" s="219"/>
      <c r="F19" s="219"/>
      <c r="G19" s="219"/>
      <c r="H19" s="219"/>
      <c r="I19" s="268"/>
      <c r="J19" s="219"/>
      <c r="K19" s="222"/>
      <c r="L19" s="222"/>
    </row>
    <row r="20" spans="1:12" x14ac:dyDescent="0.25">
      <c r="A20" s="157" t="str">
        <f>"FY "&amp;'EDBD|0001-00'!FiscalYear-1</f>
        <v>FY 2023</v>
      </c>
      <c r="B20" s="158" t="s">
        <v>31</v>
      </c>
      <c r="C20" s="355">
        <v>2791800</v>
      </c>
      <c r="D20" s="55">
        <v>27.71</v>
      </c>
      <c r="E20" s="223">
        <f>IF('EDBD|0001-00'!OrigApprop=0,0,(E18/H18)*'EDBD|0001-00'!OrigApprop)</f>
        <v>2032852.7990063601</v>
      </c>
      <c r="F20" s="223">
        <f>IF('EDBD|0001-00'!OrigApprop=0,0,(F18/H18)*'EDBD|0001-00'!OrigApprop)</f>
        <v>342498.61660379864</v>
      </c>
      <c r="G20" s="223">
        <f>IF(E20=0,0,(G18/H18)*'EDBD|0001-00'!OrigApprop)</f>
        <v>416448.58438984124</v>
      </c>
      <c r="H20" s="223">
        <f>SUM(E20:G20)</f>
        <v>2791800</v>
      </c>
      <c r="I20" s="268"/>
      <c r="J20" s="224"/>
      <c r="K20" s="224"/>
      <c r="L20" s="224"/>
    </row>
    <row r="21" spans="1:12" x14ac:dyDescent="0.25">
      <c r="A21" s="457" t="s">
        <v>32</v>
      </c>
      <c r="B21" s="458"/>
      <c r="C21" s="160" t="s">
        <v>33</v>
      </c>
      <c r="D21" s="161">
        <f>D20-D18</f>
        <v>1.7974999999999994</v>
      </c>
      <c r="E21" s="162">
        <f>E20-E18</f>
        <v>96441.39900636021</v>
      </c>
      <c r="F21" s="162">
        <f>F20-F18</f>
        <v>16248.61660379864</v>
      </c>
      <c r="G21" s="162">
        <f>G20-G18</f>
        <v>19756.907195841137</v>
      </c>
      <c r="H21" s="162">
        <f>H20-H18</f>
        <v>132446.92280599987</v>
      </c>
      <c r="I21" s="269"/>
      <c r="J21" s="56" t="str">
        <f>IF('EDBD|0001-00'!OrigApprop=0,"No Original Appropriation amount in DU 3.00 for this fund","Calculated "&amp;IF('EDBD|0001-00'!AdjustedTotal&gt;0,"overfunding ","underfunding ")&amp;"is "&amp;TEXT('EDBD|0001-00'!AdjustedTotal/'EDBD|0001-00'!AppropTotal,"#.0%;(#.0% );0% ;")&amp;" of Original Appropriation")</f>
        <v>Calculated overfunding is 4.7% of Original Appropriation</v>
      </c>
      <c r="K21" s="163"/>
      <c r="L21" s="164"/>
    </row>
    <row r="23" spans="1:12" x14ac:dyDescent="0.25">
      <c r="A23" s="396" t="s">
        <v>844</v>
      </c>
      <c r="B23" s="396"/>
      <c r="C23" s="396"/>
      <c r="D23" s="396"/>
      <c r="E23" s="396"/>
      <c r="F23" s="396"/>
      <c r="G23" s="396"/>
      <c r="H23" s="396"/>
      <c r="I23" s="396"/>
      <c r="J23" s="396"/>
      <c r="K23" s="396"/>
      <c r="L23" s="396"/>
    </row>
    <row r="24" spans="1:12" ht="39" x14ac:dyDescent="0.25">
      <c r="A24" s="476" t="s">
        <v>22</v>
      </c>
      <c r="B24" s="477"/>
      <c r="C24" s="371" t="s">
        <v>23</v>
      </c>
      <c r="D24" s="49" t="s">
        <v>24</v>
      </c>
      <c r="E24" s="50" t="str">
        <f>"FY "&amp;'EDBD|0325-00'!FiscalYear-1&amp;" SALARY"</f>
        <v>FY 2023 SALARY</v>
      </c>
      <c r="F24" s="50" t="str">
        <f>"FY "&amp;'EDBD|0325-00'!FiscalYear-1&amp;" HEALTH BENEFITS"</f>
        <v>FY 2023 HEALTH BENEFITS</v>
      </c>
      <c r="G24" s="50" t="str">
        <f>"FY "&amp;'EDBD|0325-00'!FiscalYear-1&amp;" VAR BENEFITS"</f>
        <v>FY 2023 VAR BENEFITS</v>
      </c>
      <c r="H24" s="50" t="str">
        <f>"FY "&amp;'EDBD|0325-00'!FiscalYear-1&amp;" TOTAL"</f>
        <v>FY 2023 TOTAL</v>
      </c>
      <c r="I24" s="50" t="str">
        <f>"FY "&amp;'EDBD|0325-00'!FiscalYear&amp;" SALARY CHANGE"</f>
        <v>FY 2024 SALARY CHANGE</v>
      </c>
      <c r="J24" s="50" t="str">
        <f>"FY "&amp;'EDBD|0325-00'!FiscalYear&amp;" CHG HEALTH BENEFITS"</f>
        <v>FY 2024 CHG HEALTH BENEFITS</v>
      </c>
      <c r="K24" s="50" t="str">
        <f>"FY "&amp;'EDBD|0325-00'!FiscalYear&amp;" CHG VAR BENEFITS"</f>
        <v>FY 2024 CHG VAR BENEFITS</v>
      </c>
      <c r="L24" s="50" t="s">
        <v>25</v>
      </c>
    </row>
    <row r="25" spans="1:12" x14ac:dyDescent="0.25">
      <c r="A25" s="468" t="s">
        <v>26</v>
      </c>
      <c r="B25" s="469"/>
      <c r="C25" s="141"/>
      <c r="D25" s="142"/>
      <c r="E25" s="143"/>
      <c r="F25" s="143"/>
      <c r="G25" s="143"/>
      <c r="H25" s="144"/>
      <c r="I25" s="144"/>
      <c r="J25" s="145"/>
      <c r="K25" s="146"/>
      <c r="L25" s="144"/>
    </row>
    <row r="26" spans="1:12" x14ac:dyDescent="0.25">
      <c r="A26" s="447" t="s">
        <v>27</v>
      </c>
      <c r="B26" s="470"/>
      <c r="C26" s="217">
        <v>1</v>
      </c>
      <c r="D26" s="288">
        <f>[0]!EDBD032500col_INC_FTI</f>
        <v>6</v>
      </c>
      <c r="E26" s="218">
        <f>[0]!EDBD032500col_FTI_SALARY_PERM</f>
        <v>361632.96</v>
      </c>
      <c r="F26" s="218">
        <f>[0]!EDBD032500col_HEALTH_PERM</f>
        <v>75000</v>
      </c>
      <c r="G26" s="218">
        <f>[0]!EDBD032500col_TOT_VB_PERM</f>
        <v>74716.9858656</v>
      </c>
      <c r="H26" s="219">
        <f>SUM(E26:G26)</f>
        <v>511349.94586560002</v>
      </c>
      <c r="I26" s="219">
        <f>[0]!EDBD032500col_1_27TH_PP</f>
        <v>0</v>
      </c>
      <c r="J26" s="218">
        <f>[0]!EDBD032500col_HEALTH_PERM_CHG</f>
        <v>7500</v>
      </c>
      <c r="K26" s="218">
        <f>[0]!EDBD032500col_TOT_VB_PERM_CHG</f>
        <v>-2603.7573120000038</v>
      </c>
      <c r="L26" s="218">
        <f>SUM(J26:K26)</f>
        <v>4896.2426879999966</v>
      </c>
    </row>
    <row r="27" spans="1:12" x14ac:dyDescent="0.25">
      <c r="A27" s="447" t="s">
        <v>28</v>
      </c>
      <c r="B27" s="470"/>
      <c r="C27" s="217">
        <v>2</v>
      </c>
      <c r="D27" s="288"/>
      <c r="E27" s="218">
        <f>[0]!EDBD032500col_Group_Salary</f>
        <v>0</v>
      </c>
      <c r="F27" s="218">
        <v>0</v>
      </c>
      <c r="G27" s="218">
        <f>[0]!EDBD032500col_Group_Ben</f>
        <v>0</v>
      </c>
      <c r="H27" s="219">
        <f>SUM(E27:G27)</f>
        <v>0</v>
      </c>
      <c r="I27" s="268"/>
      <c r="J27" s="218"/>
      <c r="K27" s="218"/>
      <c r="L27" s="218"/>
    </row>
    <row r="28" spans="1:12" x14ac:dyDescent="0.25">
      <c r="A28" s="447" t="s">
        <v>29</v>
      </c>
      <c r="B28" s="448"/>
      <c r="C28" s="217">
        <v>3</v>
      </c>
      <c r="D28" s="288">
        <f>[0]!EDBD032500col_TOTAL_ELECT_PCN_FTI</f>
        <v>0</v>
      </c>
      <c r="E28" s="218">
        <f>[0]!EDBD032500col_FTI_SALARY_ELECT</f>
        <v>0</v>
      </c>
      <c r="F28" s="218">
        <f>[0]!EDBD032500col_HEALTH_ELECT</f>
        <v>0</v>
      </c>
      <c r="G28" s="218">
        <f>[0]!EDBD032500col_TOT_VB_ELECT</f>
        <v>0</v>
      </c>
      <c r="H28" s="219">
        <f>SUM(E28:G28)</f>
        <v>0</v>
      </c>
      <c r="I28" s="268"/>
      <c r="J28" s="218">
        <f>[0]!EDBD032500col_HEALTH_ELECT_CHG</f>
        <v>0</v>
      </c>
      <c r="K28" s="218">
        <f>[0]!EDBD032500col_TOT_VB_ELECT_CHG</f>
        <v>0</v>
      </c>
      <c r="L28" s="219">
        <f>SUM(J28:K28)</f>
        <v>0</v>
      </c>
    </row>
    <row r="29" spans="1:12" x14ac:dyDescent="0.25">
      <c r="A29" s="447" t="s">
        <v>30</v>
      </c>
      <c r="B29" s="470"/>
      <c r="C29" s="217"/>
      <c r="D29" s="220">
        <f>SUM(D26:D28)</f>
        <v>6</v>
      </c>
      <c r="E29" s="221">
        <f>SUM(E26:E28)</f>
        <v>361632.96</v>
      </c>
      <c r="F29" s="221">
        <f>SUM(F26:F28)</f>
        <v>75000</v>
      </c>
      <c r="G29" s="221">
        <f>SUM(G26:G28)</f>
        <v>74716.9858656</v>
      </c>
      <c r="H29" s="219">
        <f>SUM(E29:G29)</f>
        <v>511349.94586560002</v>
      </c>
      <c r="I29" s="268"/>
      <c r="J29" s="219">
        <f>SUM(J26:J28)</f>
        <v>7500</v>
      </c>
      <c r="K29" s="219">
        <f>SUM(K26:K28)</f>
        <v>-2603.7573120000038</v>
      </c>
      <c r="L29" s="219">
        <f>SUM(L26:L28)</f>
        <v>4896.2426879999966</v>
      </c>
    </row>
    <row r="30" spans="1:12" x14ac:dyDescent="0.25">
      <c r="A30" s="366"/>
      <c r="B30" s="372"/>
      <c r="C30" s="217"/>
      <c r="D30" s="220"/>
      <c r="E30" s="219"/>
      <c r="F30" s="219"/>
      <c r="G30" s="219"/>
      <c r="H30" s="219"/>
      <c r="I30" s="268"/>
      <c r="J30" s="219"/>
      <c r="K30" s="222"/>
      <c r="L30" s="222"/>
    </row>
    <row r="31" spans="1:12" x14ac:dyDescent="0.25">
      <c r="A31" s="157" t="str">
        <f>"FY "&amp;'EDBD|0325-00'!FiscalYear-1</f>
        <v>FY 2023</v>
      </c>
      <c r="B31" s="158" t="s">
        <v>31</v>
      </c>
      <c r="C31" s="355">
        <v>529600</v>
      </c>
      <c r="D31" s="55">
        <v>6</v>
      </c>
      <c r="E31" s="223">
        <f>IF('EDBD|0325-00'!OrigApprop=0,0,(E29/H29)*'EDBD|0325-00'!OrigApprop)</f>
        <v>374539.62235548598</v>
      </c>
      <c r="F31" s="223">
        <f>IF('EDBD|0325-00'!OrigApprop=0,0,(F29/H29)*'EDBD|0325-00'!OrigApprop)</f>
        <v>77676.746269647105</v>
      </c>
      <c r="G31" s="223">
        <f>IF(E31=0,0,(G29/H29)*'EDBD|0325-00'!OrigApprop)</f>
        <v>77383.631374866934</v>
      </c>
      <c r="H31" s="223">
        <f>SUM(E31:G31)</f>
        <v>529600</v>
      </c>
      <c r="I31" s="268"/>
      <c r="J31" s="224"/>
      <c r="K31" s="224"/>
      <c r="L31" s="224"/>
    </row>
    <row r="32" spans="1:12" x14ac:dyDescent="0.25">
      <c r="A32" s="457" t="s">
        <v>32</v>
      </c>
      <c r="B32" s="458"/>
      <c r="C32" s="160" t="s">
        <v>33</v>
      </c>
      <c r="D32" s="161">
        <f>D31-D29</f>
        <v>0</v>
      </c>
      <c r="E32" s="162">
        <f>E31-E29</f>
        <v>12906.662355485954</v>
      </c>
      <c r="F32" s="162">
        <f>F31-F29</f>
        <v>2676.7462696471048</v>
      </c>
      <c r="G32" s="162">
        <f>G31-G29</f>
        <v>2666.6455092669348</v>
      </c>
      <c r="H32" s="162">
        <f>H31-H29</f>
        <v>18250.054134399979</v>
      </c>
      <c r="I32" s="269"/>
      <c r="J32" s="56" t="str">
        <f>IF('EDBD|0325-00'!OrigApprop=0,"No Original Appropriation amount in DU 3.00 for this fund","Calculated "&amp;IF('EDBD|0325-00'!AdjustedTotal&gt;0,"overfunding ","underfunding ")&amp;"is "&amp;TEXT('EDBD|0325-00'!AdjustedTotal/'EDBD|0325-00'!AppropTotal,"#.0%;(#.0% );0% ;")&amp;" of Original Appropriation")</f>
        <v>Calculated overfunding is 3.4% of Original Appropriation</v>
      </c>
      <c r="K32" s="163"/>
      <c r="L32" s="164"/>
    </row>
    <row r="34" spans="1:12" x14ac:dyDescent="0.25">
      <c r="A34" s="396" t="s">
        <v>848</v>
      </c>
      <c r="B34" s="396"/>
      <c r="C34" s="396"/>
      <c r="D34" s="396"/>
      <c r="E34" s="396"/>
      <c r="F34" s="396"/>
      <c r="G34" s="396"/>
      <c r="H34" s="396"/>
      <c r="I34" s="396"/>
      <c r="J34" s="396"/>
      <c r="K34" s="396"/>
      <c r="L34" s="396"/>
    </row>
    <row r="35" spans="1:12" ht="39" x14ac:dyDescent="0.25">
      <c r="A35" s="476" t="s">
        <v>22</v>
      </c>
      <c r="B35" s="477"/>
      <c r="C35" s="371" t="s">
        <v>23</v>
      </c>
      <c r="D35" s="49" t="s">
        <v>24</v>
      </c>
      <c r="E35" s="50" t="str">
        <f>"FY "&amp;'EDBE|0001-00'!FiscalYear-1&amp;" SALARY"</f>
        <v>FY 2023 SALARY</v>
      </c>
      <c r="F35" s="50" t="str">
        <f>"FY "&amp;'EDBE|0001-00'!FiscalYear-1&amp;" HEALTH BENEFITS"</f>
        <v>FY 2023 HEALTH BENEFITS</v>
      </c>
      <c r="G35" s="50" t="str">
        <f>"FY "&amp;'EDBE|0001-00'!FiscalYear-1&amp;" VAR BENEFITS"</f>
        <v>FY 2023 VAR BENEFITS</v>
      </c>
      <c r="H35" s="50" t="str">
        <f>"FY "&amp;'EDBE|0001-00'!FiscalYear-1&amp;" TOTAL"</f>
        <v>FY 2023 TOTAL</v>
      </c>
      <c r="I35" s="50" t="str">
        <f>"FY "&amp;'EDBE|0001-00'!FiscalYear&amp;" SALARY CHANGE"</f>
        <v>FY 2024 SALARY CHANGE</v>
      </c>
      <c r="J35" s="50" t="str">
        <f>"FY "&amp;'EDBE|0001-00'!FiscalYear&amp;" CHG HEALTH BENEFITS"</f>
        <v>FY 2024 CHG HEALTH BENEFITS</v>
      </c>
      <c r="K35" s="50" t="str">
        <f>"FY "&amp;'EDBE|0001-00'!FiscalYear&amp;" CHG VAR BENEFITS"</f>
        <v>FY 2024 CHG VAR BENEFITS</v>
      </c>
      <c r="L35" s="50" t="s">
        <v>25</v>
      </c>
    </row>
    <row r="36" spans="1:12" x14ac:dyDescent="0.25">
      <c r="A36" s="468" t="s">
        <v>26</v>
      </c>
      <c r="B36" s="469"/>
      <c r="C36" s="141"/>
      <c r="D36" s="142"/>
      <c r="E36" s="143"/>
      <c r="F36" s="143"/>
      <c r="G36" s="143"/>
      <c r="H36" s="144"/>
      <c r="I36" s="144"/>
      <c r="J36" s="145"/>
      <c r="K36" s="146"/>
      <c r="L36" s="144"/>
    </row>
    <row r="37" spans="1:12" x14ac:dyDescent="0.25">
      <c r="A37" s="447" t="s">
        <v>27</v>
      </c>
      <c r="B37" s="470"/>
      <c r="C37" s="217">
        <v>1</v>
      </c>
      <c r="D37" s="288">
        <f>[0]!EDBE000100col_INC_FTI</f>
        <v>21.98</v>
      </c>
      <c r="E37" s="218">
        <f>[0]!EDBE000100col_FTI_SALARY_PERM</f>
        <v>1616702.04</v>
      </c>
      <c r="F37" s="218">
        <f>[0]!EDBE000100col_HEALTH_PERM</f>
        <v>274750</v>
      </c>
      <c r="G37" s="218">
        <f>[0]!EDBE000100col_TOT_VB_PERM</f>
        <v>334026.80848439992</v>
      </c>
      <c r="H37" s="219">
        <f>SUM(E37:G37)</f>
        <v>2225478.8484843997</v>
      </c>
      <c r="I37" s="219">
        <f>[0]!EDBE000100col_1_27TH_PP</f>
        <v>0</v>
      </c>
      <c r="J37" s="218">
        <f>[0]!EDBE000100col_HEALTH_PERM_CHG</f>
        <v>27475</v>
      </c>
      <c r="K37" s="218">
        <f>[0]!EDBE000100col_TOT_VB_PERM_CHG</f>
        <v>-11640.254688000017</v>
      </c>
      <c r="L37" s="218">
        <f>SUM(J37:K37)</f>
        <v>15834.745311999983</v>
      </c>
    </row>
    <row r="38" spans="1:12" x14ac:dyDescent="0.25">
      <c r="A38" s="447" t="s">
        <v>28</v>
      </c>
      <c r="B38" s="470"/>
      <c r="C38" s="217">
        <v>2</v>
      </c>
      <c r="D38" s="288"/>
      <c r="E38" s="218">
        <f>[0]!EDBE000100col_Group_Salary</f>
        <v>0</v>
      </c>
      <c r="F38" s="218">
        <v>0</v>
      </c>
      <c r="G38" s="218">
        <f>[0]!EDBE000100col_Group_Ben</f>
        <v>0</v>
      </c>
      <c r="H38" s="219">
        <f>SUM(E38:G38)</f>
        <v>0</v>
      </c>
      <c r="I38" s="268"/>
      <c r="J38" s="218"/>
      <c r="K38" s="218"/>
      <c r="L38" s="218"/>
    </row>
    <row r="39" spans="1:12" x14ac:dyDescent="0.25">
      <c r="A39" s="447" t="s">
        <v>29</v>
      </c>
      <c r="B39" s="448"/>
      <c r="C39" s="217">
        <v>3</v>
      </c>
      <c r="D39" s="288">
        <f>[0]!EDBE000100col_TOTAL_ELECT_PCN_FTI</f>
        <v>0</v>
      </c>
      <c r="E39" s="218">
        <f>[0]!EDBE000100col_FTI_SALARY_ELECT</f>
        <v>0</v>
      </c>
      <c r="F39" s="218">
        <f>[0]!EDBE000100col_HEALTH_ELECT</f>
        <v>0</v>
      </c>
      <c r="G39" s="218">
        <f>[0]!EDBE000100col_TOT_VB_ELECT</f>
        <v>0</v>
      </c>
      <c r="H39" s="219">
        <f>SUM(E39:G39)</f>
        <v>0</v>
      </c>
      <c r="I39" s="268"/>
      <c r="J39" s="218">
        <f>[0]!EDBE000100col_HEALTH_ELECT_CHG</f>
        <v>0</v>
      </c>
      <c r="K39" s="218">
        <f>[0]!EDBE000100col_TOT_VB_ELECT_CHG</f>
        <v>0</v>
      </c>
      <c r="L39" s="219">
        <f>SUM(J39:K39)</f>
        <v>0</v>
      </c>
    </row>
    <row r="40" spans="1:12" x14ac:dyDescent="0.25">
      <c r="A40" s="447" t="s">
        <v>30</v>
      </c>
      <c r="B40" s="470"/>
      <c r="C40" s="217"/>
      <c r="D40" s="220">
        <f>SUM(D37:D39)</f>
        <v>21.98</v>
      </c>
      <c r="E40" s="221">
        <f>SUM(E37:E39)</f>
        <v>1616702.04</v>
      </c>
      <c r="F40" s="221">
        <f>SUM(F37:F39)</f>
        <v>274750</v>
      </c>
      <c r="G40" s="221">
        <f>SUM(G37:G39)</f>
        <v>334026.80848439992</v>
      </c>
      <c r="H40" s="219">
        <f>SUM(E40:G40)</f>
        <v>2225478.8484843997</v>
      </c>
      <c r="I40" s="268"/>
      <c r="J40" s="219">
        <f>SUM(J37:J39)</f>
        <v>27475</v>
      </c>
      <c r="K40" s="219">
        <f>SUM(K37:K39)</f>
        <v>-11640.254688000017</v>
      </c>
      <c r="L40" s="219">
        <f>SUM(L37:L39)</f>
        <v>15834.745311999983</v>
      </c>
    </row>
    <row r="41" spans="1:12" x14ac:dyDescent="0.25">
      <c r="A41" s="366"/>
      <c r="B41" s="372"/>
      <c r="C41" s="217"/>
      <c r="D41" s="220"/>
      <c r="E41" s="219"/>
      <c r="F41" s="219"/>
      <c r="G41" s="219"/>
      <c r="H41" s="219"/>
      <c r="I41" s="268"/>
      <c r="J41" s="219"/>
      <c r="K41" s="222"/>
      <c r="L41" s="222"/>
    </row>
    <row r="42" spans="1:12" x14ac:dyDescent="0.25">
      <c r="A42" s="157" t="str">
        <f>"FY "&amp;'EDBE|0001-00'!FiscalYear-1</f>
        <v>FY 2023</v>
      </c>
      <c r="B42" s="158" t="s">
        <v>31</v>
      </c>
      <c r="C42" s="355">
        <v>2495500</v>
      </c>
      <c r="D42" s="55">
        <v>24.53</v>
      </c>
      <c r="E42" s="223">
        <f>IF('EDBE|0001-00'!OrigApprop=0,0,(E40/H40)*'EDBE|0001-00'!OrigApprop)</f>
        <v>1812859.2610833261</v>
      </c>
      <c r="F42" s="223">
        <f>IF('EDBE|0001-00'!OrigApprop=0,0,(F40/H40)*'EDBE|0001-00'!OrigApprop)</f>
        <v>308085.88698424835</v>
      </c>
      <c r="G42" s="223">
        <f>IF(E42=0,0,(G40/H40)*'EDBE|0001-00'!OrigApprop)</f>
        <v>374554.85193242587</v>
      </c>
      <c r="H42" s="223">
        <f>SUM(E42:G42)</f>
        <v>2495500.0000000005</v>
      </c>
      <c r="I42" s="268"/>
      <c r="J42" s="224"/>
      <c r="K42" s="224"/>
      <c r="L42" s="224"/>
    </row>
    <row r="43" spans="1:12" x14ac:dyDescent="0.25">
      <c r="A43" s="457" t="s">
        <v>32</v>
      </c>
      <c r="B43" s="458"/>
      <c r="C43" s="160" t="s">
        <v>33</v>
      </c>
      <c r="D43" s="161">
        <f>D42-D40</f>
        <v>2.5500000000000007</v>
      </c>
      <c r="E43" s="162">
        <f>E42-E40</f>
        <v>196157.22108332603</v>
      </c>
      <c r="F43" s="162">
        <f>F42-F40</f>
        <v>33335.886984248355</v>
      </c>
      <c r="G43" s="162">
        <f>G42-G40</f>
        <v>40528.043448025943</v>
      </c>
      <c r="H43" s="162">
        <f>H42-H40</f>
        <v>270021.15151560074</v>
      </c>
      <c r="I43" s="269"/>
      <c r="J43" s="56" t="str">
        <f>IF('EDBE|0001-00'!OrigApprop=0,"No Original Appropriation amount in DU 3.00 for this fund","Calculated "&amp;IF('EDBE|0001-00'!AdjustedTotal&gt;0,"overfunding ","underfunding ")&amp;"is "&amp;TEXT('EDBE|0001-00'!AdjustedTotal/'EDBE|0001-00'!AppropTotal,"#.0%;(#.0% );0% ;")&amp;" of Original Appropriation")</f>
        <v>Calculated overfunding is 10.8% of Original Appropriation</v>
      </c>
      <c r="K43" s="163"/>
      <c r="L43" s="164"/>
    </row>
    <row r="45" spans="1:12" x14ac:dyDescent="0.25">
      <c r="A45" s="396" t="s">
        <v>855</v>
      </c>
      <c r="B45" s="396"/>
      <c r="C45" s="396"/>
      <c r="D45" s="396"/>
      <c r="E45" s="396"/>
      <c r="F45" s="396"/>
      <c r="G45" s="396"/>
      <c r="H45" s="396"/>
      <c r="I45" s="396"/>
      <c r="J45" s="396"/>
      <c r="K45" s="396"/>
      <c r="L45" s="396"/>
    </row>
    <row r="46" spans="1:12" ht="39" x14ac:dyDescent="0.25">
      <c r="A46" s="476" t="s">
        <v>22</v>
      </c>
      <c r="B46" s="477"/>
      <c r="C46" s="371" t="s">
        <v>23</v>
      </c>
      <c r="D46" s="49" t="s">
        <v>24</v>
      </c>
      <c r="E46" s="50" t="str">
        <f>"FY "&amp;'EDBE|0325-00'!FiscalYear-1&amp;" SALARY"</f>
        <v>FY 2023 SALARY</v>
      </c>
      <c r="F46" s="50" t="str">
        <f>"FY "&amp;'EDBE|0325-00'!FiscalYear-1&amp;" HEALTH BENEFITS"</f>
        <v>FY 2023 HEALTH BENEFITS</v>
      </c>
      <c r="G46" s="50" t="str">
        <f>"FY "&amp;'EDBE|0325-00'!FiscalYear-1&amp;" VAR BENEFITS"</f>
        <v>FY 2023 VAR BENEFITS</v>
      </c>
      <c r="H46" s="50" t="str">
        <f>"FY "&amp;'EDBE|0325-00'!FiscalYear-1&amp;" TOTAL"</f>
        <v>FY 2023 TOTAL</v>
      </c>
      <c r="I46" s="50" t="str">
        <f>"FY "&amp;'EDBE|0325-00'!FiscalYear&amp;" SALARY CHANGE"</f>
        <v>FY 2024 SALARY CHANGE</v>
      </c>
      <c r="J46" s="50" t="str">
        <f>"FY "&amp;'EDBE|0325-00'!FiscalYear&amp;" CHG HEALTH BENEFITS"</f>
        <v>FY 2024 CHG HEALTH BENEFITS</v>
      </c>
      <c r="K46" s="50" t="str">
        <f>"FY "&amp;'EDBE|0325-00'!FiscalYear&amp;" CHG VAR BENEFITS"</f>
        <v>FY 2024 CHG VAR BENEFITS</v>
      </c>
      <c r="L46" s="50" t="s">
        <v>25</v>
      </c>
    </row>
    <row r="47" spans="1:12" x14ac:dyDescent="0.25">
      <c r="A47" s="468" t="s">
        <v>26</v>
      </c>
      <c r="B47" s="469"/>
      <c r="C47" s="141"/>
      <c r="D47" s="142"/>
      <c r="E47" s="143"/>
      <c r="F47" s="143"/>
      <c r="G47" s="143"/>
      <c r="H47" s="144"/>
      <c r="I47" s="144"/>
      <c r="J47" s="145"/>
      <c r="K47" s="146"/>
      <c r="L47" s="144"/>
    </row>
    <row r="48" spans="1:12" x14ac:dyDescent="0.25">
      <c r="A48" s="447" t="s">
        <v>27</v>
      </c>
      <c r="B48" s="470"/>
      <c r="C48" s="217">
        <v>1</v>
      </c>
      <c r="D48" s="288">
        <f>[0]!EDBE032500col_INC_FTI</f>
        <v>1.63</v>
      </c>
      <c r="E48" s="218">
        <f>[0]!EDBE032500col_FTI_SALARY_PERM</f>
        <v>99741.4</v>
      </c>
      <c r="F48" s="218">
        <f>[0]!EDBE032500col_HEALTH_PERM</f>
        <v>20375</v>
      </c>
      <c r="G48" s="218">
        <f>[0]!EDBE032500col_TOT_VB_PERM</f>
        <v>20607.570653999999</v>
      </c>
      <c r="H48" s="219">
        <f>SUM(E48:G48)</f>
        <v>140723.970654</v>
      </c>
      <c r="I48" s="219">
        <f>[0]!EDBE032500col_1_27TH_PP</f>
        <v>0</v>
      </c>
      <c r="J48" s="218">
        <f>[0]!EDBE032500col_HEALTH_PERM_CHG</f>
        <v>2037.5</v>
      </c>
      <c r="K48" s="218">
        <f>[0]!EDBE032500col_TOT_VB_PERM_CHG</f>
        <v>-718.13808000000097</v>
      </c>
      <c r="L48" s="218">
        <f>SUM(J48:K48)</f>
        <v>1319.3619199999989</v>
      </c>
    </row>
    <row r="49" spans="1:12" x14ac:dyDescent="0.25">
      <c r="A49" s="447" t="s">
        <v>28</v>
      </c>
      <c r="B49" s="470"/>
      <c r="C49" s="217">
        <v>2</v>
      </c>
      <c r="D49" s="288"/>
      <c r="E49" s="218">
        <f>[0]!EDBE032500col_Group_Salary</f>
        <v>0</v>
      </c>
      <c r="F49" s="218">
        <v>0</v>
      </c>
      <c r="G49" s="218">
        <f>[0]!EDBE032500col_Group_Ben</f>
        <v>0</v>
      </c>
      <c r="H49" s="219">
        <f>SUM(E49:G49)</f>
        <v>0</v>
      </c>
      <c r="I49" s="268"/>
      <c r="J49" s="218"/>
      <c r="K49" s="218"/>
      <c r="L49" s="218"/>
    </row>
    <row r="50" spans="1:12" x14ac:dyDescent="0.25">
      <c r="A50" s="447" t="s">
        <v>29</v>
      </c>
      <c r="B50" s="448"/>
      <c r="C50" s="217">
        <v>3</v>
      </c>
      <c r="D50" s="288">
        <f>[0]!EDBE032500col_TOTAL_ELECT_PCN_FTI</f>
        <v>0</v>
      </c>
      <c r="E50" s="218">
        <f>[0]!EDBE032500col_FTI_SALARY_ELECT</f>
        <v>0</v>
      </c>
      <c r="F50" s="218">
        <f>[0]!EDBE032500col_HEALTH_ELECT</f>
        <v>0</v>
      </c>
      <c r="G50" s="218">
        <f>[0]!EDBE032500col_TOT_VB_ELECT</f>
        <v>0</v>
      </c>
      <c r="H50" s="219">
        <f>SUM(E50:G50)</f>
        <v>0</v>
      </c>
      <c r="I50" s="268"/>
      <c r="J50" s="218">
        <f>[0]!EDBE032500col_HEALTH_ELECT_CHG</f>
        <v>0</v>
      </c>
      <c r="K50" s="218">
        <f>[0]!EDBE032500col_TOT_VB_ELECT_CHG</f>
        <v>0</v>
      </c>
      <c r="L50" s="219">
        <f>SUM(J50:K50)</f>
        <v>0</v>
      </c>
    </row>
    <row r="51" spans="1:12" x14ac:dyDescent="0.25">
      <c r="A51" s="447" t="s">
        <v>30</v>
      </c>
      <c r="B51" s="470"/>
      <c r="C51" s="217"/>
      <c r="D51" s="220">
        <f>SUM(D48:D50)</f>
        <v>1.63</v>
      </c>
      <c r="E51" s="221">
        <f>SUM(E48:E50)</f>
        <v>99741.4</v>
      </c>
      <c r="F51" s="221">
        <f>SUM(F48:F50)</f>
        <v>20375</v>
      </c>
      <c r="G51" s="221">
        <f>SUM(G48:G50)</f>
        <v>20607.570653999999</v>
      </c>
      <c r="H51" s="219">
        <f>SUM(E51:G51)</f>
        <v>140723.970654</v>
      </c>
      <c r="I51" s="268"/>
      <c r="J51" s="219">
        <f>SUM(J48:J50)</f>
        <v>2037.5</v>
      </c>
      <c r="K51" s="219">
        <f>SUM(K48:K50)</f>
        <v>-718.13808000000097</v>
      </c>
      <c r="L51" s="219">
        <f>SUM(L48:L50)</f>
        <v>1319.3619199999989</v>
      </c>
    </row>
    <row r="52" spans="1:12" x14ac:dyDescent="0.25">
      <c r="A52" s="366"/>
      <c r="B52" s="372"/>
      <c r="C52" s="217"/>
      <c r="D52" s="220"/>
      <c r="E52" s="219"/>
      <c r="F52" s="219"/>
      <c r="G52" s="219"/>
      <c r="H52" s="219"/>
      <c r="I52" s="268"/>
      <c r="J52" s="219"/>
      <c r="K52" s="222"/>
      <c r="L52" s="222"/>
    </row>
    <row r="53" spans="1:12" x14ac:dyDescent="0.25">
      <c r="A53" s="157" t="str">
        <f>"FY "&amp;'EDBE|0325-00'!FiscalYear-1</f>
        <v>FY 2023</v>
      </c>
      <c r="B53" s="158" t="s">
        <v>31</v>
      </c>
      <c r="C53" s="355">
        <v>379600</v>
      </c>
      <c r="D53" s="55">
        <v>1.65</v>
      </c>
      <c r="E53" s="223">
        <f>IF('EDBE|0325-00'!OrigApprop=0,0,(E51/H51)*'EDBE|0325-00'!OrigApprop)</f>
        <v>269050.36337477586</v>
      </c>
      <c r="F53" s="223">
        <f>IF('EDBE|0325-00'!OrigApprop=0,0,(F51/H51)*'EDBE|0325-00'!OrigApprop)</f>
        <v>54961.141048361656</v>
      </c>
      <c r="G53" s="223">
        <f>IF(E53=0,0,(G51/H51)*'EDBE|0325-00'!OrigApprop)</f>
        <v>55588.495576862442</v>
      </c>
      <c r="H53" s="223">
        <f>SUM(E53:G53)</f>
        <v>379599.99999999994</v>
      </c>
      <c r="I53" s="268"/>
      <c r="J53" s="224"/>
      <c r="K53" s="224"/>
      <c r="L53" s="224"/>
    </row>
    <row r="54" spans="1:12" x14ac:dyDescent="0.25">
      <c r="A54" s="457" t="s">
        <v>32</v>
      </c>
      <c r="B54" s="458"/>
      <c r="C54" s="160" t="s">
        <v>33</v>
      </c>
      <c r="D54" s="161">
        <f>D53-D51</f>
        <v>2.0000000000000018E-2</v>
      </c>
      <c r="E54" s="162">
        <f>E53-E51</f>
        <v>169308.96337477586</v>
      </c>
      <c r="F54" s="162">
        <f>F53-F51</f>
        <v>34586.141048361656</v>
      </c>
      <c r="G54" s="162">
        <f>G53-G51</f>
        <v>34980.924922862439</v>
      </c>
      <c r="H54" s="162">
        <f>H53-H51</f>
        <v>238876.02934599994</v>
      </c>
      <c r="I54" s="269"/>
      <c r="J54" s="56" t="str">
        <f>IF('EDBE|0325-00'!OrigApprop=0,"No Original Appropriation amount in DU 3.00 for this fund","Calculated "&amp;IF('EDBE|0325-00'!AdjustedTotal&gt;0,"overfunding ","underfunding ")&amp;"is "&amp;TEXT('EDBE|0325-00'!AdjustedTotal/'EDBE|0325-00'!AppropTotal,"#.0%;(#.0% );0% ;")&amp;" of Original Appropriation")</f>
        <v>Calculated overfunding is 62.9% of Original Appropriation</v>
      </c>
      <c r="K54" s="163"/>
      <c r="L54" s="164"/>
    </row>
    <row r="56" spans="1:12" x14ac:dyDescent="0.25">
      <c r="A56" s="396" t="s">
        <v>861</v>
      </c>
      <c r="B56" s="396"/>
      <c r="C56" s="396"/>
      <c r="D56" s="396"/>
      <c r="E56" s="396"/>
      <c r="F56" s="396"/>
      <c r="G56" s="396"/>
      <c r="H56" s="396"/>
      <c r="I56" s="396"/>
      <c r="J56" s="396"/>
      <c r="K56" s="396"/>
      <c r="L56" s="396"/>
    </row>
    <row r="57" spans="1:12" ht="39" x14ac:dyDescent="0.25">
      <c r="A57" s="476" t="s">
        <v>22</v>
      </c>
      <c r="B57" s="477"/>
      <c r="C57" s="371" t="s">
        <v>23</v>
      </c>
      <c r="D57" s="49" t="s">
        <v>24</v>
      </c>
      <c r="E57" s="50" t="str">
        <f>"FY "&amp;'EDBE|0344-00'!FiscalYear-1&amp;" SALARY"</f>
        <v>FY 2023 SALARY</v>
      </c>
      <c r="F57" s="50" t="str">
        <f>"FY "&amp;'EDBE|0344-00'!FiscalYear-1&amp;" HEALTH BENEFITS"</f>
        <v>FY 2023 HEALTH BENEFITS</v>
      </c>
      <c r="G57" s="50" t="str">
        <f>"FY "&amp;'EDBE|0344-00'!FiscalYear-1&amp;" VAR BENEFITS"</f>
        <v>FY 2023 VAR BENEFITS</v>
      </c>
      <c r="H57" s="50" t="str">
        <f>"FY "&amp;'EDBE|0344-00'!FiscalYear-1&amp;" TOTAL"</f>
        <v>FY 2023 TOTAL</v>
      </c>
      <c r="I57" s="50" t="str">
        <f>"FY "&amp;'EDBE|0344-00'!FiscalYear&amp;" SALARY CHANGE"</f>
        <v>FY 2024 SALARY CHANGE</v>
      </c>
      <c r="J57" s="50" t="str">
        <f>"FY "&amp;'EDBE|0344-00'!FiscalYear&amp;" CHG HEALTH BENEFITS"</f>
        <v>FY 2024 CHG HEALTH BENEFITS</v>
      </c>
      <c r="K57" s="50" t="str">
        <f>"FY "&amp;'EDBE|0344-00'!FiscalYear&amp;" CHG VAR BENEFITS"</f>
        <v>FY 2024 CHG VAR BENEFITS</v>
      </c>
      <c r="L57" s="50" t="s">
        <v>25</v>
      </c>
    </row>
    <row r="58" spans="1:12" x14ac:dyDescent="0.25">
      <c r="A58" s="468" t="s">
        <v>26</v>
      </c>
      <c r="B58" s="469"/>
      <c r="C58" s="141"/>
      <c r="D58" s="142"/>
      <c r="E58" s="143"/>
      <c r="F58" s="143"/>
      <c r="G58" s="143"/>
      <c r="H58" s="144"/>
      <c r="I58" s="144"/>
      <c r="J58" s="145"/>
      <c r="K58" s="146"/>
      <c r="L58" s="144"/>
    </row>
    <row r="59" spans="1:12" x14ac:dyDescent="0.25">
      <c r="A59" s="447" t="s">
        <v>27</v>
      </c>
      <c r="B59" s="470"/>
      <c r="C59" s="217">
        <v>1</v>
      </c>
      <c r="D59" s="288">
        <f>[0]!EDBE034400col_INC_FTI</f>
        <v>0</v>
      </c>
      <c r="E59" s="218">
        <f>[0]!EDBE034400col_FTI_SALARY_PERM</f>
        <v>0</v>
      </c>
      <c r="F59" s="218">
        <f>[0]!EDBE034400col_HEALTH_PERM</f>
        <v>0</v>
      </c>
      <c r="G59" s="218">
        <f>[0]!EDBE034400col_TOT_VB_PERM</f>
        <v>0</v>
      </c>
      <c r="H59" s="219">
        <f>SUM(E59:G59)</f>
        <v>0</v>
      </c>
      <c r="I59" s="219">
        <f>[0]!EDBE034400col_1_27TH_PP</f>
        <v>0</v>
      </c>
      <c r="J59" s="218">
        <f>[0]!EDBE034400col_HEALTH_PERM_CHG</f>
        <v>0</v>
      </c>
      <c r="K59" s="218">
        <f>[0]!EDBE034400col_TOT_VB_PERM_CHG</f>
        <v>0</v>
      </c>
      <c r="L59" s="218">
        <f>SUM(J59:K59)</f>
        <v>0</v>
      </c>
    </row>
    <row r="60" spans="1:12" x14ac:dyDescent="0.25">
      <c r="A60" s="447" t="s">
        <v>28</v>
      </c>
      <c r="B60" s="470"/>
      <c r="C60" s="217">
        <v>2</v>
      </c>
      <c r="D60" s="288"/>
      <c r="E60" s="218">
        <f>[0]!EDBE034400col_Group_Salary</f>
        <v>0</v>
      </c>
      <c r="F60" s="218">
        <v>0</v>
      </c>
      <c r="G60" s="218">
        <f>[0]!EDBE034400col_Group_Ben</f>
        <v>0</v>
      </c>
      <c r="H60" s="219">
        <f>SUM(E60:G60)</f>
        <v>0</v>
      </c>
      <c r="I60" s="268"/>
      <c r="J60" s="218"/>
      <c r="K60" s="218"/>
      <c r="L60" s="218"/>
    </row>
    <row r="61" spans="1:12" x14ac:dyDescent="0.25">
      <c r="A61" s="447" t="s">
        <v>29</v>
      </c>
      <c r="B61" s="448"/>
      <c r="C61" s="217">
        <v>3</v>
      </c>
      <c r="D61" s="288">
        <f>[0]!EDBE034400col_TOTAL_ELECT_PCN_FTI</f>
        <v>0</v>
      </c>
      <c r="E61" s="218">
        <f>[0]!EDBE034400col_FTI_SALARY_ELECT</f>
        <v>0</v>
      </c>
      <c r="F61" s="218">
        <f>[0]!EDBE034400col_HEALTH_ELECT</f>
        <v>0</v>
      </c>
      <c r="G61" s="218">
        <f>[0]!EDBE034400col_TOT_VB_ELECT</f>
        <v>0</v>
      </c>
      <c r="H61" s="219">
        <f>SUM(E61:G61)</f>
        <v>0</v>
      </c>
      <c r="I61" s="268"/>
      <c r="J61" s="218">
        <f>[0]!EDBE034400col_HEALTH_ELECT_CHG</f>
        <v>0</v>
      </c>
      <c r="K61" s="218">
        <f>[0]!EDBE034400col_TOT_VB_ELECT_CHG</f>
        <v>0</v>
      </c>
      <c r="L61" s="219">
        <f>SUM(J61:K61)</f>
        <v>0</v>
      </c>
    </row>
    <row r="62" spans="1:12" x14ac:dyDescent="0.25">
      <c r="A62" s="447" t="s">
        <v>30</v>
      </c>
      <c r="B62" s="470"/>
      <c r="C62" s="217"/>
      <c r="D62" s="220">
        <f>SUM(D59:D61)</f>
        <v>0</v>
      </c>
      <c r="E62" s="221">
        <f>SUM(E59:E61)</f>
        <v>0</v>
      </c>
      <c r="F62" s="221">
        <f>SUM(F59:F61)</f>
        <v>0</v>
      </c>
      <c r="G62" s="221">
        <f>SUM(G59:G61)</f>
        <v>0</v>
      </c>
      <c r="H62" s="219">
        <f>SUM(E62:G62)</f>
        <v>0</v>
      </c>
      <c r="I62" s="268"/>
      <c r="J62" s="219">
        <f>SUM(J59:J61)</f>
        <v>0</v>
      </c>
      <c r="K62" s="219">
        <f>SUM(K59:K61)</f>
        <v>0</v>
      </c>
      <c r="L62" s="219">
        <f>SUM(L59:L61)</f>
        <v>0</v>
      </c>
    </row>
    <row r="63" spans="1:12" x14ac:dyDescent="0.25">
      <c r="A63" s="366"/>
      <c r="B63" s="372"/>
      <c r="C63" s="217"/>
      <c r="D63" s="220"/>
      <c r="E63" s="219"/>
      <c r="F63" s="219"/>
      <c r="G63" s="219"/>
      <c r="H63" s="219"/>
      <c r="I63" s="268"/>
      <c r="J63" s="219"/>
      <c r="K63" s="222"/>
      <c r="L63" s="222"/>
    </row>
    <row r="64" spans="1:12" x14ac:dyDescent="0.25">
      <c r="A64" s="157" t="str">
        <f>"FY "&amp;'EDBE|0344-00'!FiscalYear-1</f>
        <v>FY 2023</v>
      </c>
      <c r="B64" s="158" t="s">
        <v>31</v>
      </c>
      <c r="C64" s="355">
        <v>478000</v>
      </c>
      <c r="D64" s="55">
        <v>0</v>
      </c>
      <c r="E64" s="223" t="e">
        <f>IF('EDBE|0344-00'!OrigApprop=0,0,(E62/H62)*'EDBE|0344-00'!OrigApprop)</f>
        <v>#DIV/0!</v>
      </c>
      <c r="F64" s="223" t="e">
        <f>IF('EDBE|0344-00'!OrigApprop=0,0,(F62/H62)*'EDBE|0344-00'!OrigApprop)</f>
        <v>#DIV/0!</v>
      </c>
      <c r="G64" s="223" t="e">
        <f>IF(E64=0,0,(G62/H62)*'EDBE|0344-00'!OrigApprop)</f>
        <v>#DIV/0!</v>
      </c>
      <c r="H64" s="223" t="e">
        <f>SUM(E64:G64)</f>
        <v>#DIV/0!</v>
      </c>
      <c r="I64" s="268"/>
      <c r="J64" s="224"/>
      <c r="K64" s="224"/>
      <c r="L64" s="224"/>
    </row>
    <row r="65" spans="1:12" x14ac:dyDescent="0.25">
      <c r="A65" s="457" t="s">
        <v>32</v>
      </c>
      <c r="B65" s="458"/>
      <c r="C65" s="160" t="s">
        <v>33</v>
      </c>
      <c r="D65" s="161">
        <f>D64-D62</f>
        <v>0</v>
      </c>
      <c r="E65" s="162" t="e">
        <f>E64-E62</f>
        <v>#DIV/0!</v>
      </c>
      <c r="F65" s="162" t="e">
        <f>F64-F62</f>
        <v>#DIV/0!</v>
      </c>
      <c r="G65" s="162" t="e">
        <f>G64-G62</f>
        <v>#DIV/0!</v>
      </c>
      <c r="H65" s="162" t="e">
        <f>H64-H62</f>
        <v>#DIV/0!</v>
      </c>
      <c r="I65" s="269"/>
      <c r="J65" s="56" t="e">
        <f>IF('EDBE|0344-00'!OrigApprop=0,"No Original Appropriation amount in DU 3.00 for this fund","Calculated "&amp;IF('EDBE|0344-00'!AdjustedTotal&gt;0,"overfunding ","underfunding ")&amp;"is "&amp;TEXT('EDBE|0344-00'!AdjustedTotal/'EDBE|0344-00'!AppropTotal,"#.0%;(#.0% );0% ;")&amp;" of Original Appropriation")</f>
        <v>#DIV/0!</v>
      </c>
      <c r="K65" s="163"/>
      <c r="L65" s="164"/>
    </row>
    <row r="67" spans="1:12" x14ac:dyDescent="0.25">
      <c r="A67" s="396" t="s">
        <v>872</v>
      </c>
      <c r="B67" s="396"/>
      <c r="C67" s="396"/>
      <c r="D67" s="396"/>
      <c r="E67" s="396"/>
      <c r="F67" s="396"/>
      <c r="G67" s="396"/>
      <c r="H67" s="396"/>
      <c r="I67" s="396"/>
      <c r="J67" s="396"/>
      <c r="K67" s="396"/>
      <c r="L67" s="396"/>
    </row>
    <row r="68" spans="1:12" ht="39" x14ac:dyDescent="0.25">
      <c r="A68" s="476" t="s">
        <v>22</v>
      </c>
      <c r="B68" s="477"/>
      <c r="C68" s="371" t="s">
        <v>23</v>
      </c>
      <c r="D68" s="49" t="s">
        <v>24</v>
      </c>
      <c r="E68" s="50" t="str">
        <f>"FY "&amp;'EDBE|0348-00'!FiscalYear-1&amp;" SALARY"</f>
        <v>FY 2023 SALARY</v>
      </c>
      <c r="F68" s="50" t="str">
        <f>"FY "&amp;'EDBE|0348-00'!FiscalYear-1&amp;" HEALTH BENEFITS"</f>
        <v>FY 2023 HEALTH BENEFITS</v>
      </c>
      <c r="G68" s="50" t="str">
        <f>"FY "&amp;'EDBE|0348-00'!FiscalYear-1&amp;" VAR BENEFITS"</f>
        <v>FY 2023 VAR BENEFITS</v>
      </c>
      <c r="H68" s="50" t="str">
        <f>"FY "&amp;'EDBE|0348-00'!FiscalYear-1&amp;" TOTAL"</f>
        <v>FY 2023 TOTAL</v>
      </c>
      <c r="I68" s="50" t="str">
        <f>"FY "&amp;'EDBE|0348-00'!FiscalYear&amp;" SALARY CHANGE"</f>
        <v>FY 2024 SALARY CHANGE</v>
      </c>
      <c r="J68" s="50" t="str">
        <f>"FY "&amp;'EDBE|0348-00'!FiscalYear&amp;" CHG HEALTH BENEFITS"</f>
        <v>FY 2024 CHG HEALTH BENEFITS</v>
      </c>
      <c r="K68" s="50" t="str">
        <f>"FY "&amp;'EDBE|0348-00'!FiscalYear&amp;" CHG VAR BENEFITS"</f>
        <v>FY 2024 CHG VAR BENEFITS</v>
      </c>
      <c r="L68" s="50" t="s">
        <v>25</v>
      </c>
    </row>
    <row r="69" spans="1:12" x14ac:dyDescent="0.25">
      <c r="A69" s="468" t="s">
        <v>26</v>
      </c>
      <c r="B69" s="469"/>
      <c r="C69" s="141"/>
      <c r="D69" s="142"/>
      <c r="E69" s="143"/>
      <c r="F69" s="143"/>
      <c r="G69" s="143"/>
      <c r="H69" s="144"/>
      <c r="I69" s="144"/>
      <c r="J69" s="145"/>
      <c r="K69" s="146"/>
      <c r="L69" s="144"/>
    </row>
    <row r="70" spans="1:12" x14ac:dyDescent="0.25">
      <c r="A70" s="447" t="s">
        <v>27</v>
      </c>
      <c r="B70" s="470"/>
      <c r="C70" s="217">
        <v>1</v>
      </c>
      <c r="D70" s="288">
        <f>[0]!EDBE034800col_INC_FTI</f>
        <v>41.22</v>
      </c>
      <c r="E70" s="218">
        <f>[0]!EDBE034800col_FTI_SALARY_PERM</f>
        <v>2916723.42</v>
      </c>
      <c r="F70" s="218">
        <f>[0]!EDBE034800col_HEALTH_PERM</f>
        <v>515250</v>
      </c>
      <c r="G70" s="218">
        <f>[0]!EDBE034800col_TOT_VB_PERM</f>
        <v>602624.22580619995</v>
      </c>
      <c r="H70" s="219">
        <f>SUM(E70:G70)</f>
        <v>4034597.6458061999</v>
      </c>
      <c r="I70" s="219">
        <f>[0]!EDBE034800col_1_27TH_PP</f>
        <v>0</v>
      </c>
      <c r="J70" s="218">
        <f>[0]!EDBE034800col_HEALTH_PERM_CHG</f>
        <v>51525</v>
      </c>
      <c r="K70" s="218">
        <f>[0]!EDBE034800col_TOT_VB_PERM_CHG</f>
        <v>-21000.408624000032</v>
      </c>
      <c r="L70" s="218">
        <f>SUM(J70:K70)</f>
        <v>30524.591375999968</v>
      </c>
    </row>
    <row r="71" spans="1:12" x14ac:dyDescent="0.25">
      <c r="A71" s="447" t="s">
        <v>28</v>
      </c>
      <c r="B71" s="470"/>
      <c r="C71" s="217">
        <v>2</v>
      </c>
      <c r="D71" s="288"/>
      <c r="E71" s="218">
        <f>[0]!EDBE034800col_Group_Salary</f>
        <v>0</v>
      </c>
      <c r="F71" s="218">
        <v>0</v>
      </c>
      <c r="G71" s="218">
        <f>[0]!EDBE034800col_Group_Ben</f>
        <v>0</v>
      </c>
      <c r="H71" s="219">
        <f>SUM(E71:G71)</f>
        <v>0</v>
      </c>
      <c r="I71" s="268"/>
      <c r="J71" s="218"/>
      <c r="K71" s="218"/>
      <c r="L71" s="218"/>
    </row>
    <row r="72" spans="1:12" x14ac:dyDescent="0.25">
      <c r="A72" s="447" t="s">
        <v>29</v>
      </c>
      <c r="B72" s="448"/>
      <c r="C72" s="217">
        <v>3</v>
      </c>
      <c r="D72" s="288">
        <f>[0]!EDBE034800col_TOTAL_ELECT_PCN_FTI</f>
        <v>0</v>
      </c>
      <c r="E72" s="218">
        <f>[0]!EDBE034800col_FTI_SALARY_ELECT</f>
        <v>0</v>
      </c>
      <c r="F72" s="218">
        <f>[0]!EDBE034800col_HEALTH_ELECT</f>
        <v>0</v>
      </c>
      <c r="G72" s="218">
        <f>[0]!EDBE034800col_TOT_VB_ELECT</f>
        <v>0</v>
      </c>
      <c r="H72" s="219">
        <f>SUM(E72:G72)</f>
        <v>0</v>
      </c>
      <c r="I72" s="268"/>
      <c r="J72" s="218">
        <f>[0]!EDBE034800col_HEALTH_ELECT_CHG</f>
        <v>0</v>
      </c>
      <c r="K72" s="218">
        <f>[0]!EDBE034800col_TOT_VB_ELECT_CHG</f>
        <v>0</v>
      </c>
      <c r="L72" s="219">
        <f>SUM(J72:K72)</f>
        <v>0</v>
      </c>
    </row>
    <row r="73" spans="1:12" x14ac:dyDescent="0.25">
      <c r="A73" s="447" t="s">
        <v>30</v>
      </c>
      <c r="B73" s="470"/>
      <c r="C73" s="217"/>
      <c r="D73" s="220">
        <f>SUM(D70:D72)</f>
        <v>41.22</v>
      </c>
      <c r="E73" s="221">
        <f>SUM(E70:E72)</f>
        <v>2916723.42</v>
      </c>
      <c r="F73" s="221">
        <f>SUM(F70:F72)</f>
        <v>515250</v>
      </c>
      <c r="G73" s="221">
        <f>SUM(G70:G72)</f>
        <v>602624.22580619995</v>
      </c>
      <c r="H73" s="219">
        <f>SUM(E73:G73)</f>
        <v>4034597.6458061999</v>
      </c>
      <c r="I73" s="268"/>
      <c r="J73" s="219">
        <f>SUM(J70:J72)</f>
        <v>51525</v>
      </c>
      <c r="K73" s="219">
        <f>SUM(K70:K72)</f>
        <v>-21000.408624000032</v>
      </c>
      <c r="L73" s="219">
        <f>SUM(L70:L72)</f>
        <v>30524.591375999968</v>
      </c>
    </row>
    <row r="74" spans="1:12" x14ac:dyDescent="0.25">
      <c r="A74" s="366"/>
      <c r="B74" s="372"/>
      <c r="C74" s="217"/>
      <c r="D74" s="220"/>
      <c r="E74" s="219"/>
      <c r="F74" s="219"/>
      <c r="G74" s="219"/>
      <c r="H74" s="219"/>
      <c r="I74" s="268"/>
      <c r="J74" s="219"/>
      <c r="K74" s="222"/>
      <c r="L74" s="222"/>
    </row>
    <row r="75" spans="1:12" x14ac:dyDescent="0.25">
      <c r="A75" s="157" t="str">
        <f>"FY "&amp;'EDBE|0348-00'!FiscalYear-1</f>
        <v>FY 2023</v>
      </c>
      <c r="B75" s="158" t="s">
        <v>31</v>
      </c>
      <c r="C75" s="355">
        <v>4774100</v>
      </c>
      <c r="D75" s="55">
        <v>49.62</v>
      </c>
      <c r="E75" s="223">
        <f>IF('EDBE|0348-00'!OrigApprop=0,0,(E73/H73)*'EDBE|0348-00'!OrigApprop)</f>
        <v>3451330.3436579825</v>
      </c>
      <c r="F75" s="223">
        <f>IF('EDBE|0348-00'!OrigApprop=0,0,(F73/H73)*'EDBE|0348-00'!OrigApprop)</f>
        <v>609690.2940388415</v>
      </c>
      <c r="G75" s="223">
        <f>IF(E75=0,0,(G73/H73)*'EDBE|0348-00'!OrigApprop)</f>
        <v>713079.36230317573</v>
      </c>
      <c r="H75" s="223">
        <f>SUM(E75:G75)</f>
        <v>4774100</v>
      </c>
      <c r="I75" s="268"/>
      <c r="J75" s="224"/>
      <c r="K75" s="224"/>
      <c r="L75" s="224"/>
    </row>
    <row r="76" spans="1:12" x14ac:dyDescent="0.25">
      <c r="A76" s="457" t="s">
        <v>32</v>
      </c>
      <c r="B76" s="458"/>
      <c r="C76" s="160" t="s">
        <v>33</v>
      </c>
      <c r="D76" s="161">
        <f>D75-D73</f>
        <v>8.3999999999999986</v>
      </c>
      <c r="E76" s="162">
        <f>E75-E73</f>
        <v>534606.92365798261</v>
      </c>
      <c r="F76" s="162">
        <f>F75-F73</f>
        <v>94440.294038841501</v>
      </c>
      <c r="G76" s="162">
        <f>G75-G73</f>
        <v>110455.13649697579</v>
      </c>
      <c r="H76" s="162">
        <f>H75-H73</f>
        <v>739502.35419380013</v>
      </c>
      <c r="I76" s="269"/>
      <c r="J76" s="56" t="str">
        <f>IF('EDBE|0348-00'!OrigApprop=0,"No Original Appropriation amount in DU 3.00 for this fund","Calculated "&amp;IF('EDBE|0348-00'!AdjustedTotal&gt;0,"overfunding ","underfunding ")&amp;"is "&amp;TEXT('EDBE|0348-00'!AdjustedTotal/'EDBE|0348-00'!AppropTotal,"#.0%;(#.0% );0% ;")&amp;" of Original Appropriation")</f>
        <v>Calculated overfunding is 15.5% of Original Appropriation</v>
      </c>
      <c r="K76" s="163"/>
      <c r="L76" s="164"/>
    </row>
    <row r="78" spans="1:12" x14ac:dyDescent="0.25">
      <c r="A78" s="396" t="s">
        <v>878</v>
      </c>
      <c r="B78" s="396"/>
      <c r="C78" s="396"/>
      <c r="D78" s="396"/>
      <c r="E78" s="396"/>
      <c r="F78" s="396"/>
      <c r="G78" s="396"/>
      <c r="H78" s="396"/>
      <c r="I78" s="396"/>
      <c r="J78" s="396"/>
      <c r="K78" s="396"/>
      <c r="L78" s="396"/>
    </row>
    <row r="79" spans="1:12" ht="39" x14ac:dyDescent="0.25">
      <c r="A79" s="476" t="s">
        <v>22</v>
      </c>
      <c r="B79" s="477"/>
      <c r="C79" s="371" t="s">
        <v>23</v>
      </c>
      <c r="D79" s="49" t="s">
        <v>24</v>
      </c>
      <c r="E79" s="50" t="str">
        <f>"FY "&amp;'EDBE|0349-00'!FiscalYear-1&amp;" SALARY"</f>
        <v>FY 2023 SALARY</v>
      </c>
      <c r="F79" s="50" t="str">
        <f>"FY "&amp;'EDBE|0349-00'!FiscalYear-1&amp;" HEALTH BENEFITS"</f>
        <v>FY 2023 HEALTH BENEFITS</v>
      </c>
      <c r="G79" s="50" t="str">
        <f>"FY "&amp;'EDBE|0349-00'!FiscalYear-1&amp;" VAR BENEFITS"</f>
        <v>FY 2023 VAR BENEFITS</v>
      </c>
      <c r="H79" s="50" t="str">
        <f>"FY "&amp;'EDBE|0349-00'!FiscalYear-1&amp;" TOTAL"</f>
        <v>FY 2023 TOTAL</v>
      </c>
      <c r="I79" s="50" t="str">
        <f>"FY "&amp;'EDBE|0349-00'!FiscalYear&amp;" SALARY CHANGE"</f>
        <v>FY 2024 SALARY CHANGE</v>
      </c>
      <c r="J79" s="50" t="str">
        <f>"FY "&amp;'EDBE|0349-00'!FiscalYear&amp;" CHG HEALTH BENEFITS"</f>
        <v>FY 2024 CHG HEALTH BENEFITS</v>
      </c>
      <c r="K79" s="50" t="str">
        <f>"FY "&amp;'EDBE|0349-00'!FiscalYear&amp;" CHG VAR BENEFITS"</f>
        <v>FY 2024 CHG VAR BENEFITS</v>
      </c>
      <c r="L79" s="50" t="s">
        <v>25</v>
      </c>
    </row>
    <row r="80" spans="1:12" x14ac:dyDescent="0.25">
      <c r="A80" s="468" t="s">
        <v>26</v>
      </c>
      <c r="B80" s="469"/>
      <c r="C80" s="141"/>
      <c r="D80" s="142"/>
      <c r="E80" s="143"/>
      <c r="F80" s="143"/>
      <c r="G80" s="143"/>
      <c r="H80" s="144"/>
      <c r="I80" s="144"/>
      <c r="J80" s="145"/>
      <c r="K80" s="146"/>
      <c r="L80" s="144"/>
    </row>
    <row r="81" spans="1:12" x14ac:dyDescent="0.25">
      <c r="A81" s="447" t="s">
        <v>27</v>
      </c>
      <c r="B81" s="470"/>
      <c r="C81" s="217">
        <v>1</v>
      </c>
      <c r="D81" s="288">
        <f>[0]!EDBE034900col_INC_FTI</f>
        <v>2.5</v>
      </c>
      <c r="E81" s="218">
        <f>[0]!EDBE034900col_FTI_SALARY_PERM</f>
        <v>173406.48</v>
      </c>
      <c r="F81" s="218">
        <f>[0]!EDBE034900col_HEALTH_PERM</f>
        <v>31250</v>
      </c>
      <c r="G81" s="218">
        <f>[0]!EDBE034900col_TOT_VB_PERM</f>
        <v>35827.512832799999</v>
      </c>
      <c r="H81" s="219">
        <f>SUM(E81:G81)</f>
        <v>240483.99283280002</v>
      </c>
      <c r="I81" s="219">
        <f>[0]!EDBE034900col_1_27TH_PP</f>
        <v>0</v>
      </c>
      <c r="J81" s="218">
        <f>[0]!EDBE034900col_HEALTH_PERM_CHG</f>
        <v>3125</v>
      </c>
      <c r="K81" s="218">
        <f>[0]!EDBE034900col_TOT_VB_PERM_CHG</f>
        <v>-1248.5266560000018</v>
      </c>
      <c r="L81" s="218">
        <f>SUM(J81:K81)</f>
        <v>1876.4733439999982</v>
      </c>
    </row>
    <row r="82" spans="1:12" x14ac:dyDescent="0.25">
      <c r="A82" s="447" t="s">
        <v>28</v>
      </c>
      <c r="B82" s="470"/>
      <c r="C82" s="217">
        <v>2</v>
      </c>
      <c r="D82" s="288"/>
      <c r="E82" s="218">
        <f>[0]!EDBE034900col_Group_Salary</f>
        <v>0</v>
      </c>
      <c r="F82" s="218">
        <v>0</v>
      </c>
      <c r="G82" s="218">
        <f>[0]!EDBE034900col_Group_Ben</f>
        <v>0</v>
      </c>
      <c r="H82" s="219">
        <f>SUM(E82:G82)</f>
        <v>0</v>
      </c>
      <c r="I82" s="268"/>
      <c r="J82" s="218"/>
      <c r="K82" s="218"/>
      <c r="L82" s="218"/>
    </row>
    <row r="83" spans="1:12" x14ac:dyDescent="0.25">
      <c r="A83" s="447" t="s">
        <v>29</v>
      </c>
      <c r="B83" s="448"/>
      <c r="C83" s="217">
        <v>3</v>
      </c>
      <c r="D83" s="288">
        <f>[0]!EDBE034900col_TOTAL_ELECT_PCN_FTI</f>
        <v>0</v>
      </c>
      <c r="E83" s="218">
        <f>[0]!EDBE034900col_FTI_SALARY_ELECT</f>
        <v>0</v>
      </c>
      <c r="F83" s="218">
        <f>[0]!EDBE034900col_HEALTH_ELECT</f>
        <v>0</v>
      </c>
      <c r="G83" s="218">
        <f>[0]!EDBE034900col_TOT_VB_ELECT</f>
        <v>0</v>
      </c>
      <c r="H83" s="219">
        <f>SUM(E83:G83)</f>
        <v>0</v>
      </c>
      <c r="I83" s="268"/>
      <c r="J83" s="218">
        <f>[0]!EDBE034900col_HEALTH_ELECT_CHG</f>
        <v>0</v>
      </c>
      <c r="K83" s="218">
        <f>[0]!EDBE034900col_TOT_VB_ELECT_CHG</f>
        <v>0</v>
      </c>
      <c r="L83" s="219">
        <f>SUM(J83:K83)</f>
        <v>0</v>
      </c>
    </row>
    <row r="84" spans="1:12" x14ac:dyDescent="0.25">
      <c r="A84" s="447" t="s">
        <v>30</v>
      </c>
      <c r="B84" s="470"/>
      <c r="C84" s="217"/>
      <c r="D84" s="220">
        <f>SUM(D81:D83)</f>
        <v>2.5</v>
      </c>
      <c r="E84" s="221">
        <f>SUM(E81:E83)</f>
        <v>173406.48</v>
      </c>
      <c r="F84" s="221">
        <f>SUM(F81:F83)</f>
        <v>31250</v>
      </c>
      <c r="G84" s="221">
        <f>SUM(G81:G83)</f>
        <v>35827.512832799999</v>
      </c>
      <c r="H84" s="219">
        <f>SUM(E84:G84)</f>
        <v>240483.99283280002</v>
      </c>
      <c r="I84" s="268"/>
      <c r="J84" s="219">
        <f>SUM(J81:J83)</f>
        <v>3125</v>
      </c>
      <c r="K84" s="219">
        <f>SUM(K81:K83)</f>
        <v>-1248.5266560000018</v>
      </c>
      <c r="L84" s="219">
        <f>SUM(L81:L83)</f>
        <v>1876.4733439999982</v>
      </c>
    </row>
    <row r="85" spans="1:12" x14ac:dyDescent="0.25">
      <c r="A85" s="366"/>
      <c r="B85" s="372"/>
      <c r="C85" s="217"/>
      <c r="D85" s="220"/>
      <c r="E85" s="219"/>
      <c r="F85" s="219"/>
      <c r="G85" s="219"/>
      <c r="H85" s="219"/>
      <c r="I85" s="268"/>
      <c r="J85" s="219"/>
      <c r="K85" s="222"/>
      <c r="L85" s="222"/>
    </row>
    <row r="86" spans="1:12" x14ac:dyDescent="0.25">
      <c r="A86" s="157" t="str">
        <f>"FY "&amp;'EDBE|0349-00'!FiscalYear-1</f>
        <v>FY 2023</v>
      </c>
      <c r="B86" s="158" t="s">
        <v>31</v>
      </c>
      <c r="C86" s="355">
        <v>343900</v>
      </c>
      <c r="D86" s="55">
        <v>3.48</v>
      </c>
      <c r="E86" s="223">
        <f>IF('EDBE|0349-00'!OrigApprop=0,0,(E84/H84)*'EDBE|0349-00'!OrigApprop)</f>
        <v>247976.95584446547</v>
      </c>
      <c r="F86" s="223">
        <f>IF('EDBE|0349-00'!OrigApprop=0,0,(F84/H84)*'EDBE|0349-00'!OrigApprop)</f>
        <v>44688.525308509496</v>
      </c>
      <c r="G86" s="223">
        <f>IF(E86=0,0,(G84/H84)*'EDBE|0349-00'!OrigApprop)</f>
        <v>51234.518847025007</v>
      </c>
      <c r="H86" s="223">
        <f>SUM(E86:G86)</f>
        <v>343899.99999999994</v>
      </c>
      <c r="I86" s="268"/>
      <c r="J86" s="224"/>
      <c r="K86" s="224"/>
      <c r="L86" s="224"/>
    </row>
    <row r="87" spans="1:12" x14ac:dyDescent="0.25">
      <c r="A87" s="457" t="s">
        <v>32</v>
      </c>
      <c r="B87" s="458"/>
      <c r="C87" s="160" t="s">
        <v>33</v>
      </c>
      <c r="D87" s="161">
        <f>D86-D84</f>
        <v>0.98</v>
      </c>
      <c r="E87" s="162">
        <f>E86-E84</f>
        <v>74570.475844465458</v>
      </c>
      <c r="F87" s="162">
        <f>F86-F84</f>
        <v>13438.525308509496</v>
      </c>
      <c r="G87" s="162">
        <f>G86-G84</f>
        <v>15407.006014225008</v>
      </c>
      <c r="H87" s="162">
        <f>H86-H84</f>
        <v>103416.00716719992</v>
      </c>
      <c r="I87" s="269"/>
      <c r="J87" s="56" t="str">
        <f>IF('EDBE|0349-00'!OrigApprop=0,"No Original Appropriation amount in DU 3.00 for this fund","Calculated "&amp;IF('EDBE|0349-00'!AdjustedTotal&gt;0,"overfunding ","underfunding ")&amp;"is "&amp;TEXT('EDBE|0349-00'!AdjustedTotal/'EDBE|0349-00'!AppropTotal,"#.0%;(#.0% );0% ;")&amp;" of Original Appropriation")</f>
        <v>Calculated overfunding is 30.1% of Original Appropriation</v>
      </c>
      <c r="K87" s="163"/>
      <c r="L87" s="164"/>
    </row>
    <row r="89" spans="1:12" x14ac:dyDescent="0.25">
      <c r="A89" s="396" t="s">
        <v>881</v>
      </c>
      <c r="B89" s="396"/>
      <c r="C89" s="396"/>
      <c r="D89" s="396"/>
      <c r="E89" s="396"/>
      <c r="F89" s="396"/>
      <c r="G89" s="396"/>
      <c r="H89" s="396"/>
      <c r="I89" s="396"/>
      <c r="J89" s="396"/>
      <c r="K89" s="396"/>
      <c r="L89" s="396"/>
    </row>
    <row r="90" spans="1:12" ht="39" x14ac:dyDescent="0.25">
      <c r="A90" s="476" t="s">
        <v>22</v>
      </c>
      <c r="B90" s="477"/>
      <c r="C90" s="371" t="s">
        <v>23</v>
      </c>
      <c r="D90" s="49" t="s">
        <v>24</v>
      </c>
      <c r="E90" s="50" t="str">
        <f>"FY "&amp;'EDBG|0125-00'!FiscalYear-1&amp;" SALARY"</f>
        <v>FY 2023 SALARY</v>
      </c>
      <c r="F90" s="50" t="str">
        <f>"FY "&amp;'EDBG|0125-00'!FiscalYear-1&amp;" HEALTH BENEFITS"</f>
        <v>FY 2023 HEALTH BENEFITS</v>
      </c>
      <c r="G90" s="50" t="str">
        <f>"FY "&amp;'EDBG|0125-00'!FiscalYear-1&amp;" VAR BENEFITS"</f>
        <v>FY 2023 VAR BENEFITS</v>
      </c>
      <c r="H90" s="50" t="str">
        <f>"FY "&amp;'EDBG|0125-00'!FiscalYear-1&amp;" TOTAL"</f>
        <v>FY 2023 TOTAL</v>
      </c>
      <c r="I90" s="50" t="str">
        <f>"FY "&amp;'EDBG|0125-00'!FiscalYear&amp;" SALARY CHANGE"</f>
        <v>FY 2024 SALARY CHANGE</v>
      </c>
      <c r="J90" s="50" t="str">
        <f>"FY "&amp;'EDBG|0125-00'!FiscalYear&amp;" CHG HEALTH BENEFITS"</f>
        <v>FY 2024 CHG HEALTH BENEFITS</v>
      </c>
      <c r="K90" s="50" t="str">
        <f>"FY "&amp;'EDBG|0125-00'!FiscalYear&amp;" CHG VAR BENEFITS"</f>
        <v>FY 2024 CHG VAR BENEFITS</v>
      </c>
      <c r="L90" s="50" t="s">
        <v>25</v>
      </c>
    </row>
    <row r="91" spans="1:12" x14ac:dyDescent="0.25">
      <c r="A91" s="468" t="s">
        <v>26</v>
      </c>
      <c r="B91" s="469"/>
      <c r="C91" s="141"/>
      <c r="D91" s="142"/>
      <c r="E91" s="143"/>
      <c r="F91" s="143"/>
      <c r="G91" s="143"/>
      <c r="H91" s="144"/>
      <c r="I91" s="144"/>
      <c r="J91" s="145"/>
      <c r="K91" s="146"/>
      <c r="L91" s="144"/>
    </row>
    <row r="92" spans="1:12" x14ac:dyDescent="0.25">
      <c r="A92" s="447" t="s">
        <v>27</v>
      </c>
      <c r="B92" s="470"/>
      <c r="C92" s="217">
        <v>1</v>
      </c>
      <c r="D92" s="288">
        <f>[0]!EDBG012500col_INC_FTI</f>
        <v>1</v>
      </c>
      <c r="E92" s="218">
        <f>[0]!EDBG012500col_FTI_SALARY_PERM</f>
        <v>80433.600000000006</v>
      </c>
      <c r="F92" s="218">
        <f>[0]!EDBG012500col_HEALTH_PERM</f>
        <v>12500</v>
      </c>
      <c r="G92" s="218">
        <f>[0]!EDBG012500col_TOT_VB_PERM</f>
        <v>16618.386096000002</v>
      </c>
      <c r="H92" s="219">
        <f>SUM(E92:G92)</f>
        <v>109551.98609600001</v>
      </c>
      <c r="I92" s="219">
        <f>[0]!EDBG012500col_1_27TH_PP</f>
        <v>0</v>
      </c>
      <c r="J92" s="218">
        <f>[0]!EDBG012500col_HEALTH_PERM_CHG</f>
        <v>1250</v>
      </c>
      <c r="K92" s="218">
        <f>[0]!EDBG012500col_TOT_VB_PERM_CHG</f>
        <v>-579.12192000000073</v>
      </c>
      <c r="L92" s="218">
        <f>SUM(J92:K92)</f>
        <v>670.87807999999927</v>
      </c>
    </row>
    <row r="93" spans="1:12" x14ac:dyDescent="0.25">
      <c r="A93" s="447" t="s">
        <v>28</v>
      </c>
      <c r="B93" s="470"/>
      <c r="C93" s="217">
        <v>2</v>
      </c>
      <c r="D93" s="288"/>
      <c r="E93" s="218">
        <f>[0]!EDBG012500col_Group_Salary</f>
        <v>0</v>
      </c>
      <c r="F93" s="218">
        <v>0</v>
      </c>
      <c r="G93" s="218">
        <f>[0]!EDBG012500col_Group_Ben</f>
        <v>0</v>
      </c>
      <c r="H93" s="219">
        <f>SUM(E93:G93)</f>
        <v>0</v>
      </c>
      <c r="I93" s="268"/>
      <c r="J93" s="218"/>
      <c r="K93" s="218"/>
      <c r="L93" s="218"/>
    </row>
    <row r="94" spans="1:12" x14ac:dyDescent="0.25">
      <c r="A94" s="447" t="s">
        <v>29</v>
      </c>
      <c r="B94" s="448"/>
      <c r="C94" s="217">
        <v>3</v>
      </c>
      <c r="D94" s="288">
        <f>[0]!EDBG012500col_TOTAL_ELECT_PCN_FTI</f>
        <v>0</v>
      </c>
      <c r="E94" s="218">
        <f>[0]!EDBG012500col_FTI_SALARY_ELECT</f>
        <v>0</v>
      </c>
      <c r="F94" s="218">
        <f>[0]!EDBG012500col_HEALTH_ELECT</f>
        <v>0</v>
      </c>
      <c r="G94" s="218">
        <f>[0]!EDBG012500col_TOT_VB_ELECT</f>
        <v>0</v>
      </c>
      <c r="H94" s="219">
        <f>SUM(E94:G94)</f>
        <v>0</v>
      </c>
      <c r="I94" s="268"/>
      <c r="J94" s="218">
        <f>[0]!EDBG012500col_HEALTH_ELECT_CHG</f>
        <v>0</v>
      </c>
      <c r="K94" s="218">
        <f>[0]!EDBG012500col_TOT_VB_ELECT_CHG</f>
        <v>0</v>
      </c>
      <c r="L94" s="219">
        <f>SUM(J94:K94)</f>
        <v>0</v>
      </c>
    </row>
    <row r="95" spans="1:12" x14ac:dyDescent="0.25">
      <c r="A95" s="447" t="s">
        <v>30</v>
      </c>
      <c r="B95" s="470"/>
      <c r="C95" s="217"/>
      <c r="D95" s="220">
        <f>SUM(D92:D94)</f>
        <v>1</v>
      </c>
      <c r="E95" s="221">
        <f>SUM(E92:E94)</f>
        <v>80433.600000000006</v>
      </c>
      <c r="F95" s="221">
        <f>SUM(F92:F94)</f>
        <v>12500</v>
      </c>
      <c r="G95" s="221">
        <f>SUM(G92:G94)</f>
        <v>16618.386096000002</v>
      </c>
      <c r="H95" s="219">
        <f>SUM(E95:G95)</f>
        <v>109551.98609600001</v>
      </c>
      <c r="I95" s="268"/>
      <c r="J95" s="219">
        <f>SUM(J92:J94)</f>
        <v>1250</v>
      </c>
      <c r="K95" s="219">
        <f>SUM(K92:K94)</f>
        <v>-579.12192000000073</v>
      </c>
      <c r="L95" s="219">
        <f>SUM(L92:L94)</f>
        <v>670.87807999999927</v>
      </c>
    </row>
    <row r="96" spans="1:12" x14ac:dyDescent="0.25">
      <c r="A96" s="366"/>
      <c r="B96" s="372"/>
      <c r="C96" s="217"/>
      <c r="D96" s="220"/>
      <c r="E96" s="219"/>
      <c r="F96" s="219"/>
      <c r="G96" s="219"/>
      <c r="H96" s="219"/>
      <c r="I96" s="268"/>
      <c r="J96" s="219"/>
      <c r="K96" s="222"/>
      <c r="L96" s="222"/>
    </row>
    <row r="97" spans="1:12" x14ac:dyDescent="0.25">
      <c r="A97" s="157" t="str">
        <f>"FY "&amp;'EDBG|0125-00'!FiscalYear-1</f>
        <v>FY 2023</v>
      </c>
      <c r="B97" s="158" t="s">
        <v>31</v>
      </c>
      <c r="C97" s="355">
        <v>103900</v>
      </c>
      <c r="D97" s="55">
        <v>1</v>
      </c>
      <c r="E97" s="223">
        <f>IF('EDBG|0125-00'!OrigApprop=0,0,(E95/H95)*'EDBG|0125-00'!OrigApprop)</f>
        <v>76283.884371359076</v>
      </c>
      <c r="F97" s="223">
        <f>IF('EDBG|0125-00'!OrigApprop=0,0,(F95/H95)*'EDBG|0125-00'!OrigApprop)</f>
        <v>11855.102278674438</v>
      </c>
      <c r="G97" s="223">
        <f>IF(E97=0,0,(G95/H95)*'EDBG|0125-00'!OrigApprop)</f>
        <v>15761.013349966497</v>
      </c>
      <c r="H97" s="223">
        <f>SUM(E97:G97)</f>
        <v>103900.00000000001</v>
      </c>
      <c r="I97" s="268"/>
      <c r="J97" s="224"/>
      <c r="K97" s="224"/>
      <c r="L97" s="224"/>
    </row>
    <row r="98" spans="1:12" x14ac:dyDescent="0.25">
      <c r="A98" s="457" t="s">
        <v>32</v>
      </c>
      <c r="B98" s="458"/>
      <c r="C98" s="160" t="s">
        <v>33</v>
      </c>
      <c r="D98" s="161">
        <f>D97-D95</f>
        <v>0</v>
      </c>
      <c r="E98" s="162">
        <f>E97-E95</f>
        <v>-4149.7156286409299</v>
      </c>
      <c r="F98" s="162">
        <f>F97-F95</f>
        <v>-644.89772132556209</v>
      </c>
      <c r="G98" s="162">
        <f>G97-G95</f>
        <v>-857.37274603350488</v>
      </c>
      <c r="H98" s="162">
        <f>H97-H95</f>
        <v>-5651.9860959999933</v>
      </c>
      <c r="I98" s="269"/>
      <c r="J98" s="56" t="str">
        <f>IF('EDBG|0125-00'!OrigApprop=0,"No Original Appropriation amount in DU 3.00 for this fund","Calculated "&amp;IF('EDBG|0125-00'!AdjustedTotal&gt;0,"overfunding ","underfunding ")&amp;"is "&amp;TEXT('EDBG|0125-00'!AdjustedTotal/'EDBG|0125-00'!AppropTotal,"#.0%;(#.0% );0% ;")&amp;" of Original Appropriation")</f>
        <v>Calculated underfunding is (5.4% ) of Original Appropriation</v>
      </c>
      <c r="K98" s="163"/>
      <c r="L98" s="164"/>
    </row>
    <row r="100" spans="1:12" x14ac:dyDescent="0.25">
      <c r="A100" s="396" t="s">
        <v>887</v>
      </c>
      <c r="B100" s="396"/>
      <c r="C100" s="396"/>
      <c r="D100" s="396"/>
      <c r="E100" s="396"/>
      <c r="F100" s="396"/>
      <c r="G100" s="396"/>
      <c r="H100" s="396"/>
      <c r="I100" s="396"/>
      <c r="J100" s="396"/>
      <c r="K100" s="396"/>
      <c r="L100" s="396"/>
    </row>
    <row r="101" spans="1:12" ht="39" x14ac:dyDescent="0.25">
      <c r="A101" s="476" t="s">
        <v>22</v>
      </c>
      <c r="B101" s="477"/>
      <c r="C101" s="371" t="s">
        <v>23</v>
      </c>
      <c r="D101" s="49" t="s">
        <v>24</v>
      </c>
      <c r="E101" s="50" t="str">
        <f>"FY "&amp;'EDBG|0319-00'!FiscalYear-1&amp;" SALARY"</f>
        <v>FY 2023 SALARY</v>
      </c>
      <c r="F101" s="50" t="str">
        <f>"FY "&amp;'EDBG|0319-00'!FiscalYear-1&amp;" HEALTH BENEFITS"</f>
        <v>FY 2023 HEALTH BENEFITS</v>
      </c>
      <c r="G101" s="50" t="str">
        <f>"FY "&amp;'EDBG|0319-00'!FiscalYear-1&amp;" VAR BENEFITS"</f>
        <v>FY 2023 VAR BENEFITS</v>
      </c>
      <c r="H101" s="50" t="str">
        <f>"FY "&amp;'EDBG|0319-00'!FiscalYear-1&amp;" TOTAL"</f>
        <v>FY 2023 TOTAL</v>
      </c>
      <c r="I101" s="50" t="str">
        <f>"FY "&amp;'EDBG|0319-00'!FiscalYear&amp;" SALARY CHANGE"</f>
        <v>FY 2024 SALARY CHANGE</v>
      </c>
      <c r="J101" s="50" t="str">
        <f>"FY "&amp;'EDBG|0319-00'!FiscalYear&amp;" CHG HEALTH BENEFITS"</f>
        <v>FY 2024 CHG HEALTH BENEFITS</v>
      </c>
      <c r="K101" s="50" t="str">
        <f>"FY "&amp;'EDBG|0319-00'!FiscalYear&amp;" CHG VAR BENEFITS"</f>
        <v>FY 2024 CHG VAR BENEFITS</v>
      </c>
      <c r="L101" s="50" t="s">
        <v>25</v>
      </c>
    </row>
    <row r="102" spans="1:12" x14ac:dyDescent="0.25">
      <c r="A102" s="468" t="s">
        <v>26</v>
      </c>
      <c r="B102" s="469"/>
      <c r="C102" s="141"/>
      <c r="D102" s="142"/>
      <c r="E102" s="143"/>
      <c r="F102" s="143"/>
      <c r="G102" s="143"/>
      <c r="H102" s="144"/>
      <c r="I102" s="144"/>
      <c r="J102" s="145"/>
      <c r="K102" s="146"/>
      <c r="L102" s="144"/>
    </row>
    <row r="103" spans="1:12" x14ac:dyDescent="0.25">
      <c r="A103" s="447" t="s">
        <v>27</v>
      </c>
      <c r="B103" s="470"/>
      <c r="C103" s="217">
        <v>1</v>
      </c>
      <c r="D103" s="288">
        <f>[0]!EDBG031900col_INC_FTI</f>
        <v>1.17</v>
      </c>
      <c r="E103" s="218">
        <f>[0]!EDBG031900col_FTI_SALARY_PERM</f>
        <v>71007.87</v>
      </c>
      <c r="F103" s="218">
        <f>[0]!EDBG031900col_HEALTH_PERM</f>
        <v>14625</v>
      </c>
      <c r="G103" s="218">
        <f>[0]!EDBG031900col_TOT_VB_PERM</f>
        <v>14670.936020700001</v>
      </c>
      <c r="H103" s="219">
        <f>SUM(E103:G103)</f>
        <v>100303.80602069999</v>
      </c>
      <c r="I103" s="219">
        <f>[0]!EDBG031900col_1_27TH_PP</f>
        <v>0</v>
      </c>
      <c r="J103" s="218">
        <f>[0]!EDBG031900col_HEALTH_PERM_CHG</f>
        <v>1462.5</v>
      </c>
      <c r="K103" s="218">
        <f>[0]!EDBG031900col_TOT_VB_PERM_CHG</f>
        <v>-511.25666400000063</v>
      </c>
      <c r="L103" s="218">
        <f>SUM(J103:K103)</f>
        <v>951.24333599999932</v>
      </c>
    </row>
    <row r="104" spans="1:12" x14ac:dyDescent="0.25">
      <c r="A104" s="447" t="s">
        <v>28</v>
      </c>
      <c r="B104" s="470"/>
      <c r="C104" s="217">
        <v>2</v>
      </c>
      <c r="D104" s="288"/>
      <c r="E104" s="218">
        <f>[0]!EDBG031900col_Group_Salary</f>
        <v>0</v>
      </c>
      <c r="F104" s="218">
        <v>0</v>
      </c>
      <c r="G104" s="218">
        <f>[0]!EDBG031900col_Group_Ben</f>
        <v>0</v>
      </c>
      <c r="H104" s="219">
        <f>SUM(E104:G104)</f>
        <v>0</v>
      </c>
      <c r="I104" s="268"/>
      <c r="J104" s="218"/>
      <c r="K104" s="218"/>
      <c r="L104" s="218"/>
    </row>
    <row r="105" spans="1:12" x14ac:dyDescent="0.25">
      <c r="A105" s="447" t="s">
        <v>29</v>
      </c>
      <c r="B105" s="448"/>
      <c r="C105" s="217">
        <v>3</v>
      </c>
      <c r="D105" s="288">
        <f>[0]!EDBG031900col_TOTAL_ELECT_PCN_FTI</f>
        <v>0</v>
      </c>
      <c r="E105" s="218">
        <f>[0]!EDBG031900col_FTI_SALARY_ELECT</f>
        <v>0</v>
      </c>
      <c r="F105" s="218">
        <f>[0]!EDBG031900col_HEALTH_ELECT</f>
        <v>0</v>
      </c>
      <c r="G105" s="218">
        <f>[0]!EDBG031900col_TOT_VB_ELECT</f>
        <v>0</v>
      </c>
      <c r="H105" s="219">
        <f>SUM(E105:G105)</f>
        <v>0</v>
      </c>
      <c r="I105" s="268"/>
      <c r="J105" s="218">
        <f>[0]!EDBG031900col_HEALTH_ELECT_CHG</f>
        <v>0</v>
      </c>
      <c r="K105" s="218">
        <f>[0]!EDBG031900col_TOT_VB_ELECT_CHG</f>
        <v>0</v>
      </c>
      <c r="L105" s="219">
        <f>SUM(J105:K105)</f>
        <v>0</v>
      </c>
    </row>
    <row r="106" spans="1:12" x14ac:dyDescent="0.25">
      <c r="A106" s="447" t="s">
        <v>30</v>
      </c>
      <c r="B106" s="470"/>
      <c r="C106" s="217"/>
      <c r="D106" s="220">
        <f>SUM(D103:D105)</f>
        <v>1.17</v>
      </c>
      <c r="E106" s="221">
        <f>SUM(E103:E105)</f>
        <v>71007.87</v>
      </c>
      <c r="F106" s="221">
        <f>SUM(F103:F105)</f>
        <v>14625</v>
      </c>
      <c r="G106" s="221">
        <f>SUM(G103:G105)</f>
        <v>14670.936020700001</v>
      </c>
      <c r="H106" s="219">
        <f>SUM(E106:G106)</f>
        <v>100303.80602069999</v>
      </c>
      <c r="I106" s="268"/>
      <c r="J106" s="219">
        <f>SUM(J103:J105)</f>
        <v>1462.5</v>
      </c>
      <c r="K106" s="219">
        <f>SUM(K103:K105)</f>
        <v>-511.25666400000063</v>
      </c>
      <c r="L106" s="219">
        <f>SUM(L103:L105)</f>
        <v>951.24333599999932</v>
      </c>
    </row>
    <row r="107" spans="1:12" x14ac:dyDescent="0.25">
      <c r="A107" s="366"/>
      <c r="B107" s="372"/>
      <c r="C107" s="217"/>
      <c r="D107" s="220"/>
      <c r="E107" s="219"/>
      <c r="F107" s="219"/>
      <c r="G107" s="219"/>
      <c r="H107" s="219"/>
      <c r="I107" s="268"/>
      <c r="J107" s="219"/>
      <c r="K107" s="222"/>
      <c r="L107" s="222"/>
    </row>
    <row r="108" spans="1:12" x14ac:dyDescent="0.25">
      <c r="A108" s="157" t="str">
        <f>"FY "&amp;'EDBG|0319-00'!FiscalYear-1</f>
        <v>FY 2023</v>
      </c>
      <c r="B108" s="158" t="s">
        <v>31</v>
      </c>
      <c r="C108" s="355">
        <v>204000</v>
      </c>
      <c r="D108" s="55">
        <v>1.29</v>
      </c>
      <c r="E108" s="223">
        <f>IF('EDBG|0319-00'!OrigApprop=0,0,(E106/H106)*'EDBG|0319-00'!OrigApprop)</f>
        <v>144417.30632844142</v>
      </c>
      <c r="F108" s="223">
        <f>IF('EDBG|0319-00'!OrigApprop=0,0,(F106/H106)*'EDBG|0319-00'!OrigApprop)</f>
        <v>29744.634011039285</v>
      </c>
      <c r="G108" s="223">
        <f>IF(E108=0,0,(G106/H106)*'EDBG|0319-00'!OrigApprop)</f>
        <v>29838.059660519288</v>
      </c>
      <c r="H108" s="223">
        <f>SUM(E108:G108)</f>
        <v>204000</v>
      </c>
      <c r="I108" s="268"/>
      <c r="J108" s="224"/>
      <c r="K108" s="224"/>
      <c r="L108" s="224"/>
    </row>
    <row r="109" spans="1:12" x14ac:dyDescent="0.25">
      <c r="A109" s="457" t="s">
        <v>32</v>
      </c>
      <c r="B109" s="458"/>
      <c r="C109" s="160" t="s">
        <v>33</v>
      </c>
      <c r="D109" s="161">
        <f>D108-D106</f>
        <v>0.12000000000000011</v>
      </c>
      <c r="E109" s="162">
        <f>E108-E106</f>
        <v>73409.436328441428</v>
      </c>
      <c r="F109" s="162">
        <f>F108-F106</f>
        <v>15119.634011039285</v>
      </c>
      <c r="G109" s="162">
        <f>G108-G106</f>
        <v>15167.123639819287</v>
      </c>
      <c r="H109" s="162">
        <f>H108-H106</f>
        <v>103696.19397930001</v>
      </c>
      <c r="I109" s="269"/>
      <c r="J109" s="56" t="str">
        <f>IF('EDBG|0319-00'!OrigApprop=0,"No Original Appropriation amount in DU 3.00 for this fund","Calculated "&amp;IF('EDBG|0319-00'!AdjustedTotal&gt;0,"overfunding ","underfunding ")&amp;"is "&amp;TEXT('EDBG|0319-00'!AdjustedTotal/'EDBG|0319-00'!AppropTotal,"#.0%;(#.0% );0% ;")&amp;" of Original Appropriation")</f>
        <v>Calculated overfunding is 50.8% of Original Appropriation</v>
      </c>
      <c r="K109" s="163"/>
      <c r="L109" s="164"/>
    </row>
    <row r="111" spans="1:12" x14ac:dyDescent="0.25">
      <c r="A111" s="396" t="s">
        <v>893</v>
      </c>
      <c r="B111" s="396"/>
      <c r="C111" s="396"/>
      <c r="D111" s="396"/>
      <c r="E111" s="396"/>
      <c r="F111" s="396"/>
      <c r="G111" s="396"/>
      <c r="H111" s="396"/>
      <c r="I111" s="396"/>
      <c r="J111" s="396"/>
      <c r="K111" s="396"/>
      <c r="L111" s="396"/>
    </row>
    <row r="112" spans="1:12" ht="39" x14ac:dyDescent="0.25">
      <c r="A112" s="476" t="s">
        <v>22</v>
      </c>
      <c r="B112" s="477"/>
      <c r="C112" s="371" t="s">
        <v>23</v>
      </c>
      <c r="D112" s="49" t="s">
        <v>24</v>
      </c>
      <c r="E112" s="50" t="str">
        <f>"FY "&amp;'EDBG|0345-00'!FiscalYear-1&amp;" SALARY"</f>
        <v>FY 2023 SALARY</v>
      </c>
      <c r="F112" s="50" t="str">
        <f>"FY "&amp;'EDBG|0345-00'!FiscalYear-1&amp;" HEALTH BENEFITS"</f>
        <v>FY 2023 HEALTH BENEFITS</v>
      </c>
      <c r="G112" s="50" t="str">
        <f>"FY "&amp;'EDBG|0345-00'!FiscalYear-1&amp;" VAR BENEFITS"</f>
        <v>FY 2023 VAR BENEFITS</v>
      </c>
      <c r="H112" s="50" t="str">
        <f>"FY "&amp;'EDBG|0345-00'!FiscalYear-1&amp;" TOTAL"</f>
        <v>FY 2023 TOTAL</v>
      </c>
      <c r="I112" s="50" t="str">
        <f>"FY "&amp;'EDBG|0345-00'!FiscalYear&amp;" SALARY CHANGE"</f>
        <v>FY 2024 SALARY CHANGE</v>
      </c>
      <c r="J112" s="50" t="str">
        <f>"FY "&amp;'EDBG|0345-00'!FiscalYear&amp;" CHG HEALTH BENEFITS"</f>
        <v>FY 2024 CHG HEALTH BENEFITS</v>
      </c>
      <c r="K112" s="50" t="str">
        <f>"FY "&amp;'EDBG|0345-00'!FiscalYear&amp;" CHG VAR BENEFITS"</f>
        <v>FY 2024 CHG VAR BENEFITS</v>
      </c>
      <c r="L112" s="50" t="s">
        <v>25</v>
      </c>
    </row>
    <row r="113" spans="1:12" x14ac:dyDescent="0.25">
      <c r="A113" s="468" t="s">
        <v>26</v>
      </c>
      <c r="B113" s="469"/>
      <c r="C113" s="141"/>
      <c r="D113" s="142"/>
      <c r="E113" s="143"/>
      <c r="F113" s="143"/>
      <c r="G113" s="143"/>
      <c r="H113" s="144"/>
      <c r="I113" s="144"/>
      <c r="J113" s="145"/>
      <c r="K113" s="146"/>
      <c r="L113" s="144"/>
    </row>
    <row r="114" spans="1:12" x14ac:dyDescent="0.25">
      <c r="A114" s="447" t="s">
        <v>27</v>
      </c>
      <c r="B114" s="470"/>
      <c r="C114" s="217">
        <v>1</v>
      </c>
      <c r="D114" s="288">
        <f>[0]!EDBG034500col_INC_FTI</f>
        <v>3.55</v>
      </c>
      <c r="E114" s="218">
        <f>[0]!EDBG034500col_FTI_SALARY_PERM</f>
        <v>242132.8</v>
      </c>
      <c r="F114" s="218">
        <f>[0]!EDBG034500col_HEALTH_PERM</f>
        <v>44375</v>
      </c>
      <c r="G114" s="218">
        <f>[0]!EDBG034500col_TOT_VB_PERM</f>
        <v>50027.057807999998</v>
      </c>
      <c r="H114" s="219">
        <f>SUM(E114:G114)</f>
        <v>336534.857808</v>
      </c>
      <c r="I114" s="219">
        <f>[0]!EDBG034500col_1_27TH_PP</f>
        <v>0</v>
      </c>
      <c r="J114" s="218">
        <f>[0]!EDBG034500col_HEALTH_PERM_CHG</f>
        <v>4437.5</v>
      </c>
      <c r="K114" s="218">
        <f>[0]!EDBG034500col_TOT_VB_PERM_CHG</f>
        <v>-1743.3561600000023</v>
      </c>
      <c r="L114" s="218">
        <f>SUM(J114:K114)</f>
        <v>2694.1438399999979</v>
      </c>
    </row>
    <row r="115" spans="1:12" x14ac:dyDescent="0.25">
      <c r="A115" s="447" t="s">
        <v>28</v>
      </c>
      <c r="B115" s="470"/>
      <c r="C115" s="217">
        <v>2</v>
      </c>
      <c r="D115" s="288"/>
      <c r="E115" s="218">
        <f>[0]!EDBG034500col_Group_Salary</f>
        <v>0</v>
      </c>
      <c r="F115" s="218">
        <v>0</v>
      </c>
      <c r="G115" s="218">
        <f>[0]!EDBG034500col_Group_Ben</f>
        <v>0</v>
      </c>
      <c r="H115" s="219">
        <f>SUM(E115:G115)</f>
        <v>0</v>
      </c>
      <c r="I115" s="268"/>
      <c r="J115" s="218"/>
      <c r="K115" s="218"/>
      <c r="L115" s="218"/>
    </row>
    <row r="116" spans="1:12" x14ac:dyDescent="0.25">
      <c r="A116" s="447" t="s">
        <v>29</v>
      </c>
      <c r="B116" s="448"/>
      <c r="C116" s="217">
        <v>3</v>
      </c>
      <c r="D116" s="288">
        <f>[0]!EDBG034500col_TOTAL_ELECT_PCN_FTI</f>
        <v>0</v>
      </c>
      <c r="E116" s="218">
        <f>[0]!EDBG034500col_FTI_SALARY_ELECT</f>
        <v>0</v>
      </c>
      <c r="F116" s="218">
        <f>[0]!EDBG034500col_HEALTH_ELECT</f>
        <v>0</v>
      </c>
      <c r="G116" s="218">
        <f>[0]!EDBG034500col_TOT_VB_ELECT</f>
        <v>0</v>
      </c>
      <c r="H116" s="219">
        <f>SUM(E116:G116)</f>
        <v>0</v>
      </c>
      <c r="I116" s="268"/>
      <c r="J116" s="218">
        <f>[0]!EDBG034500col_HEALTH_ELECT_CHG</f>
        <v>0</v>
      </c>
      <c r="K116" s="218">
        <f>[0]!EDBG034500col_TOT_VB_ELECT_CHG</f>
        <v>0</v>
      </c>
      <c r="L116" s="219">
        <f>SUM(J116:K116)</f>
        <v>0</v>
      </c>
    </row>
    <row r="117" spans="1:12" x14ac:dyDescent="0.25">
      <c r="A117" s="447" t="s">
        <v>30</v>
      </c>
      <c r="B117" s="470"/>
      <c r="C117" s="217"/>
      <c r="D117" s="220">
        <f>SUM(D114:D116)</f>
        <v>3.55</v>
      </c>
      <c r="E117" s="221">
        <f>SUM(E114:E116)</f>
        <v>242132.8</v>
      </c>
      <c r="F117" s="221">
        <f>SUM(F114:F116)</f>
        <v>44375</v>
      </c>
      <c r="G117" s="221">
        <f>SUM(G114:G116)</f>
        <v>50027.057807999998</v>
      </c>
      <c r="H117" s="219">
        <f>SUM(E117:G117)</f>
        <v>336534.857808</v>
      </c>
      <c r="I117" s="268"/>
      <c r="J117" s="219">
        <f>SUM(J114:J116)</f>
        <v>4437.5</v>
      </c>
      <c r="K117" s="219">
        <f>SUM(K114:K116)</f>
        <v>-1743.3561600000023</v>
      </c>
      <c r="L117" s="219">
        <f>SUM(L114:L116)</f>
        <v>2694.1438399999979</v>
      </c>
    </row>
    <row r="118" spans="1:12" x14ac:dyDescent="0.25">
      <c r="A118" s="366"/>
      <c r="B118" s="372"/>
      <c r="C118" s="217"/>
      <c r="D118" s="220"/>
      <c r="E118" s="219"/>
      <c r="F118" s="219"/>
      <c r="G118" s="219"/>
      <c r="H118" s="219"/>
      <c r="I118" s="268"/>
      <c r="J118" s="219"/>
      <c r="K118" s="222"/>
      <c r="L118" s="222"/>
    </row>
    <row r="119" spans="1:12" x14ac:dyDescent="0.25">
      <c r="A119" s="157" t="str">
        <f>"FY "&amp;'EDBG|0345-00'!FiscalYear-1</f>
        <v>FY 2023</v>
      </c>
      <c r="B119" s="158" t="s">
        <v>31</v>
      </c>
      <c r="C119" s="355">
        <v>150000</v>
      </c>
      <c r="D119" s="55">
        <v>0</v>
      </c>
      <c r="E119" s="223">
        <f>IF('EDBG|0345-00'!OrigApprop=0,0,(E117/H117)*'EDBG|0345-00'!OrigApprop)</f>
        <v>107923.20366623433</v>
      </c>
      <c r="F119" s="223">
        <f>IF('EDBG|0345-00'!OrigApprop=0,0,(F117/H117)*'EDBG|0345-00'!OrigApprop)</f>
        <v>19778.783224284976</v>
      </c>
      <c r="G119" s="223">
        <f>IF(E119=0,0,(G117/H117)*'EDBG|0345-00'!OrigApprop)</f>
        <v>22298.013109480675</v>
      </c>
      <c r="H119" s="223">
        <f>SUM(E119:G119)</f>
        <v>149999.99999999997</v>
      </c>
      <c r="I119" s="268"/>
      <c r="J119" s="224"/>
      <c r="K119" s="224"/>
      <c r="L119" s="224"/>
    </row>
    <row r="120" spans="1:12" x14ac:dyDescent="0.25">
      <c r="A120" s="457" t="s">
        <v>32</v>
      </c>
      <c r="B120" s="458"/>
      <c r="C120" s="160" t="s">
        <v>33</v>
      </c>
      <c r="D120" s="161">
        <f>D119-D117</f>
        <v>-3.55</v>
      </c>
      <c r="E120" s="162">
        <f>E119-E117</f>
        <v>-134209.59633376566</v>
      </c>
      <c r="F120" s="162">
        <f>F119-F117</f>
        <v>-24596.216775715024</v>
      </c>
      <c r="G120" s="162">
        <f>G119-G117</f>
        <v>-27729.044698519323</v>
      </c>
      <c r="H120" s="162">
        <f>H119-H117</f>
        <v>-186534.85780800003</v>
      </c>
      <c r="I120" s="269"/>
      <c r="J120" s="56" t="str">
        <f>IF('EDBG|0345-00'!OrigApprop=0,"No Original Appropriation amount in DU 3.00 for this fund","Calculated "&amp;IF('EDBG|0345-00'!AdjustedTotal&gt;0,"overfunding ","underfunding ")&amp;"is "&amp;TEXT('EDBG|0345-00'!AdjustedTotal/'EDBG|0345-00'!AppropTotal,"#.0%;(#.0% );0% ;")&amp;" of Original Appropriation")</f>
        <v>Calculated underfunding is (124.4% ) of Original Appropriation</v>
      </c>
      <c r="K120" s="163"/>
      <c r="L120" s="164"/>
    </row>
    <row r="122" spans="1:12" x14ac:dyDescent="0.25">
      <c r="A122" s="396" t="s">
        <v>900</v>
      </c>
      <c r="B122" s="396"/>
      <c r="C122" s="396"/>
      <c r="D122" s="396"/>
      <c r="E122" s="396"/>
      <c r="F122" s="396"/>
      <c r="G122" s="396"/>
      <c r="H122" s="396"/>
      <c r="I122" s="396"/>
      <c r="J122" s="396"/>
      <c r="K122" s="396"/>
      <c r="L122" s="396"/>
    </row>
    <row r="123" spans="1:12" ht="39" x14ac:dyDescent="0.25">
      <c r="A123" s="476" t="s">
        <v>22</v>
      </c>
      <c r="B123" s="477"/>
      <c r="C123" s="371" t="s">
        <v>23</v>
      </c>
      <c r="D123" s="49" t="s">
        <v>24</v>
      </c>
      <c r="E123" s="50" t="str">
        <f>"FY "&amp;'EDBG|0481-10'!FiscalYear-1&amp;" SALARY"</f>
        <v>FY 2023 SALARY</v>
      </c>
      <c r="F123" s="50" t="str">
        <f>"FY "&amp;'EDBG|0481-10'!FiscalYear-1&amp;" HEALTH BENEFITS"</f>
        <v>FY 2023 HEALTH BENEFITS</v>
      </c>
      <c r="G123" s="50" t="str">
        <f>"FY "&amp;'EDBG|0481-10'!FiscalYear-1&amp;" VAR BENEFITS"</f>
        <v>FY 2023 VAR BENEFITS</v>
      </c>
      <c r="H123" s="50" t="str">
        <f>"FY "&amp;'EDBG|0481-10'!FiscalYear-1&amp;" TOTAL"</f>
        <v>FY 2023 TOTAL</v>
      </c>
      <c r="I123" s="50" t="str">
        <f>"FY "&amp;'EDBG|0481-10'!FiscalYear&amp;" SALARY CHANGE"</f>
        <v>FY 2024 SALARY CHANGE</v>
      </c>
      <c r="J123" s="50" t="str">
        <f>"FY "&amp;'EDBG|0481-10'!FiscalYear&amp;" CHG HEALTH BENEFITS"</f>
        <v>FY 2024 CHG HEALTH BENEFITS</v>
      </c>
      <c r="K123" s="50" t="str">
        <f>"FY "&amp;'EDBG|0481-10'!FiscalYear&amp;" CHG VAR BENEFITS"</f>
        <v>FY 2024 CHG VAR BENEFITS</v>
      </c>
      <c r="L123" s="50" t="s">
        <v>25</v>
      </c>
    </row>
    <row r="124" spans="1:12" x14ac:dyDescent="0.25">
      <c r="A124" s="468" t="s">
        <v>26</v>
      </c>
      <c r="B124" s="469"/>
      <c r="C124" s="141"/>
      <c r="D124" s="142"/>
      <c r="E124" s="143"/>
      <c r="F124" s="143"/>
      <c r="G124" s="143"/>
      <c r="H124" s="144"/>
      <c r="I124" s="144"/>
      <c r="J124" s="145"/>
      <c r="K124" s="146"/>
      <c r="L124" s="144"/>
    </row>
    <row r="125" spans="1:12" x14ac:dyDescent="0.25">
      <c r="A125" s="447" t="s">
        <v>27</v>
      </c>
      <c r="B125" s="470"/>
      <c r="C125" s="217">
        <v>1</v>
      </c>
      <c r="D125" s="288">
        <f>[0]!EDBG048110col_INC_FTI</f>
        <v>0</v>
      </c>
      <c r="E125" s="218">
        <f>[0]!EDBG048110col_FTI_SALARY_PERM</f>
        <v>0</v>
      </c>
      <c r="F125" s="218">
        <f>[0]!EDBG048110col_HEALTH_PERM</f>
        <v>0</v>
      </c>
      <c r="G125" s="218">
        <f>[0]!EDBG048110col_TOT_VB_PERM</f>
        <v>0</v>
      </c>
      <c r="H125" s="219">
        <f>SUM(E125:G125)</f>
        <v>0</v>
      </c>
      <c r="I125" s="219">
        <f>[0]!EDBG048110col_1_27TH_PP</f>
        <v>0</v>
      </c>
      <c r="J125" s="218">
        <f>[0]!EDBG048110col_HEALTH_PERM_CHG</f>
        <v>0</v>
      </c>
      <c r="K125" s="218">
        <f>[0]!EDBG048110col_TOT_VB_PERM_CHG</f>
        <v>0</v>
      </c>
      <c r="L125" s="218">
        <f>SUM(J125:K125)</f>
        <v>0</v>
      </c>
    </row>
    <row r="126" spans="1:12" x14ac:dyDescent="0.25">
      <c r="A126" s="447" t="s">
        <v>28</v>
      </c>
      <c r="B126" s="470"/>
      <c r="C126" s="217">
        <v>2</v>
      </c>
      <c r="D126" s="288"/>
      <c r="E126" s="218">
        <f>[0]!EDBG048110col_Group_Salary</f>
        <v>0</v>
      </c>
      <c r="F126" s="218">
        <v>0</v>
      </c>
      <c r="G126" s="218">
        <f>[0]!EDBG048110col_Group_Ben</f>
        <v>0</v>
      </c>
      <c r="H126" s="219">
        <f>SUM(E126:G126)</f>
        <v>0</v>
      </c>
      <c r="I126" s="268"/>
      <c r="J126" s="218"/>
      <c r="K126" s="218"/>
      <c r="L126" s="218"/>
    </row>
    <row r="127" spans="1:12" x14ac:dyDescent="0.25">
      <c r="A127" s="447" t="s">
        <v>29</v>
      </c>
      <c r="B127" s="448"/>
      <c r="C127" s="217">
        <v>3</v>
      </c>
      <c r="D127" s="288">
        <f>[0]!EDBG048110col_TOTAL_ELECT_PCN_FTI</f>
        <v>0</v>
      </c>
      <c r="E127" s="218">
        <f>[0]!EDBG048110col_FTI_SALARY_ELECT</f>
        <v>0</v>
      </c>
      <c r="F127" s="218">
        <f>[0]!EDBG048110col_HEALTH_ELECT</f>
        <v>0</v>
      </c>
      <c r="G127" s="218">
        <f>[0]!EDBG048110col_TOT_VB_ELECT</f>
        <v>0</v>
      </c>
      <c r="H127" s="219">
        <f>SUM(E127:G127)</f>
        <v>0</v>
      </c>
      <c r="I127" s="268"/>
      <c r="J127" s="218">
        <f>[0]!EDBG048110col_HEALTH_ELECT_CHG</f>
        <v>0</v>
      </c>
      <c r="K127" s="218">
        <f>[0]!EDBG048110col_TOT_VB_ELECT_CHG</f>
        <v>0</v>
      </c>
      <c r="L127" s="219">
        <f>SUM(J127:K127)</f>
        <v>0</v>
      </c>
    </row>
    <row r="128" spans="1:12" x14ac:dyDescent="0.25">
      <c r="A128" s="447" t="s">
        <v>30</v>
      </c>
      <c r="B128" s="470"/>
      <c r="C128" s="217"/>
      <c r="D128" s="220">
        <f>SUM(D125:D127)</f>
        <v>0</v>
      </c>
      <c r="E128" s="221">
        <f>SUM(E125:E127)</f>
        <v>0</v>
      </c>
      <c r="F128" s="221">
        <f>SUM(F125:F127)</f>
        <v>0</v>
      </c>
      <c r="G128" s="221">
        <f>SUM(G125:G127)</f>
        <v>0</v>
      </c>
      <c r="H128" s="219">
        <f>SUM(E128:G128)</f>
        <v>0</v>
      </c>
      <c r="I128" s="268"/>
      <c r="J128" s="219">
        <f>SUM(J125:J127)</f>
        <v>0</v>
      </c>
      <c r="K128" s="219">
        <f>SUM(K125:K127)</f>
        <v>0</v>
      </c>
      <c r="L128" s="219">
        <f>SUM(L125:L127)</f>
        <v>0</v>
      </c>
    </row>
    <row r="129" spans="1:12" x14ac:dyDescent="0.25">
      <c r="A129" s="366"/>
      <c r="B129" s="372"/>
      <c r="C129" s="217"/>
      <c r="D129" s="220"/>
      <c r="E129" s="219"/>
      <c r="F129" s="219"/>
      <c r="G129" s="219"/>
      <c r="H129" s="219"/>
      <c r="I129" s="268"/>
      <c r="J129" s="219"/>
      <c r="K129" s="222"/>
      <c r="L129" s="222"/>
    </row>
    <row r="130" spans="1:12" x14ac:dyDescent="0.25">
      <c r="A130" s="157" t="str">
        <f>"FY "&amp;'EDBG|0481-10'!FiscalYear-1</f>
        <v>FY 2023</v>
      </c>
      <c r="B130" s="158" t="s">
        <v>31</v>
      </c>
      <c r="C130" s="355">
        <v>107200</v>
      </c>
      <c r="D130" s="55">
        <v>1</v>
      </c>
      <c r="E130" s="223" t="e">
        <f>IF('EDBG|0481-10'!OrigApprop=0,0,(E128/H128)*'EDBG|0481-10'!OrigApprop)</f>
        <v>#DIV/0!</v>
      </c>
      <c r="F130" s="223" t="e">
        <f>IF('EDBG|0481-10'!OrigApprop=0,0,(F128/H128)*'EDBG|0481-10'!OrigApprop)</f>
        <v>#DIV/0!</v>
      </c>
      <c r="G130" s="223" t="e">
        <f>IF(E130=0,0,(G128/H128)*'EDBG|0481-10'!OrigApprop)</f>
        <v>#DIV/0!</v>
      </c>
      <c r="H130" s="223" t="e">
        <f>SUM(E130:G130)</f>
        <v>#DIV/0!</v>
      </c>
      <c r="I130" s="268"/>
      <c r="J130" s="224"/>
      <c r="K130" s="224"/>
      <c r="L130" s="224"/>
    </row>
    <row r="131" spans="1:12" x14ac:dyDescent="0.25">
      <c r="A131" s="457" t="s">
        <v>32</v>
      </c>
      <c r="B131" s="458"/>
      <c r="C131" s="160" t="s">
        <v>33</v>
      </c>
      <c r="D131" s="161">
        <f>D130-D128</f>
        <v>1</v>
      </c>
      <c r="E131" s="162" t="e">
        <f>E130-E128</f>
        <v>#DIV/0!</v>
      </c>
      <c r="F131" s="162" t="e">
        <f>F130-F128</f>
        <v>#DIV/0!</v>
      </c>
      <c r="G131" s="162" t="e">
        <f>G130-G128</f>
        <v>#DIV/0!</v>
      </c>
      <c r="H131" s="162" t="e">
        <f>H130-H128</f>
        <v>#DIV/0!</v>
      </c>
      <c r="I131" s="269"/>
      <c r="J131" s="56" t="e">
        <f>IF('EDBG|0481-10'!OrigApprop=0,"No Original Appropriation amount in DU 3.00 for this fund","Calculated "&amp;IF('EDBG|0481-10'!AdjustedTotal&gt;0,"overfunding ","underfunding ")&amp;"is "&amp;TEXT('EDBG|0481-10'!AdjustedTotal/'EDBG|0481-10'!AppropTotal,"#.0%;(#.0% );0% ;")&amp;" of Original Appropriation")</f>
        <v>#DIV/0!</v>
      </c>
      <c r="K131" s="163"/>
      <c r="L131" s="164"/>
    </row>
    <row r="133" spans="1:12" x14ac:dyDescent="0.25">
      <c r="A133" s="396" t="s">
        <v>905</v>
      </c>
      <c r="B133" s="396"/>
      <c r="C133" s="396"/>
      <c r="D133" s="396"/>
      <c r="E133" s="396"/>
      <c r="F133" s="396"/>
      <c r="G133" s="396"/>
      <c r="H133" s="396"/>
      <c r="I133" s="396"/>
      <c r="J133" s="396"/>
      <c r="K133" s="396"/>
      <c r="L133" s="396"/>
    </row>
    <row r="134" spans="1:12" ht="39" x14ac:dyDescent="0.25">
      <c r="A134" s="476" t="s">
        <v>22</v>
      </c>
      <c r="B134" s="477"/>
      <c r="C134" s="371" t="s">
        <v>23</v>
      </c>
      <c r="D134" s="49" t="s">
        <v>24</v>
      </c>
      <c r="E134" s="50" t="str">
        <f>"FY "&amp;'EDBG|0481-54'!FiscalYear-1&amp;" SALARY"</f>
        <v>FY 2023 SALARY</v>
      </c>
      <c r="F134" s="50" t="str">
        <f>"FY "&amp;'EDBG|0481-54'!FiscalYear-1&amp;" HEALTH BENEFITS"</f>
        <v>FY 2023 HEALTH BENEFITS</v>
      </c>
      <c r="G134" s="50" t="str">
        <f>"FY "&amp;'EDBG|0481-54'!FiscalYear-1&amp;" VAR BENEFITS"</f>
        <v>FY 2023 VAR BENEFITS</v>
      </c>
      <c r="H134" s="50" t="str">
        <f>"FY "&amp;'EDBG|0481-54'!FiscalYear-1&amp;" TOTAL"</f>
        <v>FY 2023 TOTAL</v>
      </c>
      <c r="I134" s="50" t="str">
        <f>"FY "&amp;'EDBG|0481-54'!FiscalYear&amp;" SALARY CHANGE"</f>
        <v>FY 2024 SALARY CHANGE</v>
      </c>
      <c r="J134" s="50" t="str">
        <f>"FY "&amp;'EDBG|0481-54'!FiscalYear&amp;" CHG HEALTH BENEFITS"</f>
        <v>FY 2024 CHG HEALTH BENEFITS</v>
      </c>
      <c r="K134" s="50" t="str">
        <f>"FY "&amp;'EDBG|0481-54'!FiscalYear&amp;" CHG VAR BENEFITS"</f>
        <v>FY 2024 CHG VAR BENEFITS</v>
      </c>
      <c r="L134" s="50" t="s">
        <v>25</v>
      </c>
    </row>
    <row r="135" spans="1:12" x14ac:dyDescent="0.25">
      <c r="A135" s="468" t="s">
        <v>26</v>
      </c>
      <c r="B135" s="469"/>
      <c r="C135" s="141"/>
      <c r="D135" s="142"/>
      <c r="E135" s="143"/>
      <c r="F135" s="143"/>
      <c r="G135" s="143"/>
      <c r="H135" s="144"/>
      <c r="I135" s="144"/>
      <c r="J135" s="145"/>
      <c r="K135" s="146"/>
      <c r="L135" s="144"/>
    </row>
    <row r="136" spans="1:12" x14ac:dyDescent="0.25">
      <c r="A136" s="447" t="s">
        <v>27</v>
      </c>
      <c r="B136" s="470"/>
      <c r="C136" s="217">
        <v>1</v>
      </c>
      <c r="D136" s="288">
        <f>[0]!EDBG048154col_INC_FTI</f>
        <v>0.2</v>
      </c>
      <c r="E136" s="218">
        <f>[0]!EDBG048154col_FTI_SALARY_PERM</f>
        <v>10735.91</v>
      </c>
      <c r="F136" s="218">
        <f>[0]!EDBG048154col_HEALTH_PERM</f>
        <v>2500</v>
      </c>
      <c r="G136" s="218">
        <f>[0]!EDBG048154col_TOT_VB_PERM</f>
        <v>2218.1463651000004</v>
      </c>
      <c r="H136" s="219">
        <f>SUM(E136:G136)</f>
        <v>15454.056365100001</v>
      </c>
      <c r="I136" s="219">
        <f>[0]!EDBG048154col_1_27TH_PP</f>
        <v>0</v>
      </c>
      <c r="J136" s="218">
        <f>[0]!EDBG048154col_HEALTH_PERM_CHG</f>
        <v>250</v>
      </c>
      <c r="K136" s="218">
        <f>[0]!EDBG048154col_TOT_VB_PERM_CHG</f>
        <v>-77.298552000000115</v>
      </c>
      <c r="L136" s="218">
        <f>SUM(J136:K136)</f>
        <v>172.70144799999989</v>
      </c>
    </row>
    <row r="137" spans="1:12" x14ac:dyDescent="0.25">
      <c r="A137" s="447" t="s">
        <v>28</v>
      </c>
      <c r="B137" s="470"/>
      <c r="C137" s="217">
        <v>2</v>
      </c>
      <c r="D137" s="288"/>
      <c r="E137" s="218">
        <f>[0]!EDBG048154col_Group_Salary</f>
        <v>0</v>
      </c>
      <c r="F137" s="218">
        <v>0</v>
      </c>
      <c r="G137" s="218">
        <f>[0]!EDBG048154col_Group_Ben</f>
        <v>0</v>
      </c>
      <c r="H137" s="219">
        <f>SUM(E137:G137)</f>
        <v>0</v>
      </c>
      <c r="I137" s="268"/>
      <c r="J137" s="218"/>
      <c r="K137" s="218"/>
      <c r="L137" s="218"/>
    </row>
    <row r="138" spans="1:12" x14ac:dyDescent="0.25">
      <c r="A138" s="447" t="s">
        <v>29</v>
      </c>
      <c r="B138" s="448"/>
      <c r="C138" s="217">
        <v>3</v>
      </c>
      <c r="D138" s="288">
        <f>[0]!EDBG048154col_TOTAL_ELECT_PCN_FTI</f>
        <v>0</v>
      </c>
      <c r="E138" s="218">
        <f>[0]!EDBG048154col_FTI_SALARY_ELECT</f>
        <v>0</v>
      </c>
      <c r="F138" s="218">
        <f>[0]!EDBG048154col_HEALTH_ELECT</f>
        <v>0</v>
      </c>
      <c r="G138" s="218">
        <f>[0]!EDBG048154col_TOT_VB_ELECT</f>
        <v>0</v>
      </c>
      <c r="H138" s="219">
        <f>SUM(E138:G138)</f>
        <v>0</v>
      </c>
      <c r="I138" s="268"/>
      <c r="J138" s="218">
        <f>[0]!EDBG048154col_HEALTH_ELECT_CHG</f>
        <v>0</v>
      </c>
      <c r="K138" s="218">
        <f>[0]!EDBG048154col_TOT_VB_ELECT_CHG</f>
        <v>0</v>
      </c>
      <c r="L138" s="219">
        <f>SUM(J138:K138)</f>
        <v>0</v>
      </c>
    </row>
    <row r="139" spans="1:12" x14ac:dyDescent="0.25">
      <c r="A139" s="447" t="s">
        <v>30</v>
      </c>
      <c r="B139" s="470"/>
      <c r="C139" s="217"/>
      <c r="D139" s="220">
        <f>SUM(D136:D138)</f>
        <v>0.2</v>
      </c>
      <c r="E139" s="221">
        <f>SUM(E136:E138)</f>
        <v>10735.91</v>
      </c>
      <c r="F139" s="221">
        <f>SUM(F136:F138)</f>
        <v>2500</v>
      </c>
      <c r="G139" s="221">
        <f>SUM(G136:G138)</f>
        <v>2218.1463651000004</v>
      </c>
      <c r="H139" s="219">
        <f>SUM(E139:G139)</f>
        <v>15454.056365100001</v>
      </c>
      <c r="I139" s="268"/>
      <c r="J139" s="219">
        <f>SUM(J136:J138)</f>
        <v>250</v>
      </c>
      <c r="K139" s="219">
        <f>SUM(K136:K138)</f>
        <v>-77.298552000000115</v>
      </c>
      <c r="L139" s="219">
        <f>SUM(L136:L138)</f>
        <v>172.70144799999989</v>
      </c>
    </row>
    <row r="140" spans="1:12" x14ac:dyDescent="0.25">
      <c r="A140" s="366"/>
      <c r="B140" s="372"/>
      <c r="C140" s="217"/>
      <c r="D140" s="220"/>
      <c r="E140" s="219"/>
      <c r="F140" s="219"/>
      <c r="G140" s="219"/>
      <c r="H140" s="219"/>
      <c r="I140" s="268"/>
      <c r="J140" s="219"/>
      <c r="K140" s="222"/>
      <c r="L140" s="222"/>
    </row>
    <row r="141" spans="1:12" x14ac:dyDescent="0.25">
      <c r="A141" s="157" t="str">
        <f>"FY "&amp;'EDBG|0481-54'!FiscalYear-1</f>
        <v>FY 2023</v>
      </c>
      <c r="B141" s="158" t="s">
        <v>31</v>
      </c>
      <c r="C141" s="355">
        <v>108000</v>
      </c>
      <c r="D141" s="55">
        <v>0.68</v>
      </c>
      <c r="E141" s="223">
        <f>IF('EDBG|0481-54'!OrigApprop=0,0,(E139/H139)*'EDBG|0481-54'!OrigApprop)</f>
        <v>75027.439567158406</v>
      </c>
      <c r="F141" s="223">
        <f>IF('EDBG|0481-54'!OrigApprop=0,0,(F139/H139)*'EDBG|0481-54'!OrigApprop)</f>
        <v>17471.141143870991</v>
      </c>
      <c r="G141" s="223">
        <f>IF(E141=0,0,(G139/H139)*'EDBG|0481-54'!OrigApprop)</f>
        <v>15501.419288970601</v>
      </c>
      <c r="H141" s="223">
        <f>SUM(E141:G141)</f>
        <v>108000</v>
      </c>
      <c r="I141" s="268"/>
      <c r="J141" s="224"/>
      <c r="K141" s="224"/>
      <c r="L141" s="224"/>
    </row>
    <row r="142" spans="1:12" x14ac:dyDescent="0.25">
      <c r="A142" s="457" t="s">
        <v>32</v>
      </c>
      <c r="B142" s="458"/>
      <c r="C142" s="160" t="s">
        <v>33</v>
      </c>
      <c r="D142" s="161">
        <f>D141-D139</f>
        <v>0.48000000000000004</v>
      </c>
      <c r="E142" s="162">
        <f>E141-E139</f>
        <v>64291.529567158403</v>
      </c>
      <c r="F142" s="162">
        <f>F141-F139</f>
        <v>14971.141143870991</v>
      </c>
      <c r="G142" s="162">
        <f>G141-G139</f>
        <v>13283.272923870602</v>
      </c>
      <c r="H142" s="162">
        <f>H141-H139</f>
        <v>92545.943634900003</v>
      </c>
      <c r="I142" s="269"/>
      <c r="J142" s="56" t="str">
        <f>IF('EDBG|0481-54'!OrigApprop=0,"No Original Appropriation amount in DU 3.00 for this fund","Calculated "&amp;IF('EDBG|0481-54'!AdjustedTotal&gt;0,"overfunding ","underfunding ")&amp;"is "&amp;TEXT('EDBG|0481-54'!AdjustedTotal/'EDBG|0481-54'!AppropTotal,"#.0%;(#.0% );0% ;")&amp;" of Original Appropriation")</f>
        <v>Calculated overfunding is 85.7% of Original Appropriation</v>
      </c>
      <c r="K142" s="163"/>
      <c r="L142" s="164"/>
    </row>
  </sheetData>
  <mergeCells count="91">
    <mergeCell ref="A17:B17"/>
    <mergeCell ref="A2:B2"/>
    <mergeCell ref="A3:B3"/>
    <mergeCell ref="A4:B4"/>
    <mergeCell ref="A5:B5"/>
    <mergeCell ref="A6:B6"/>
    <mergeCell ref="A7:B7"/>
    <mergeCell ref="A10:B10"/>
    <mergeCell ref="A13:B13"/>
    <mergeCell ref="A14:B14"/>
    <mergeCell ref="A15:B15"/>
    <mergeCell ref="A16:B16"/>
    <mergeCell ref="A37:B37"/>
    <mergeCell ref="A18:B18"/>
    <mergeCell ref="A21:B21"/>
    <mergeCell ref="A24:B24"/>
    <mergeCell ref="A25:B25"/>
    <mergeCell ref="A26:B26"/>
    <mergeCell ref="A27:B27"/>
    <mergeCell ref="A28:B28"/>
    <mergeCell ref="A29:B29"/>
    <mergeCell ref="A32:B32"/>
    <mergeCell ref="A35:B35"/>
    <mergeCell ref="A36:B36"/>
    <mergeCell ref="A57:B57"/>
    <mergeCell ref="A38:B38"/>
    <mergeCell ref="A39:B39"/>
    <mergeCell ref="A40:B40"/>
    <mergeCell ref="A43:B43"/>
    <mergeCell ref="A46:B46"/>
    <mergeCell ref="A47:B47"/>
    <mergeCell ref="A48:B48"/>
    <mergeCell ref="A49:B49"/>
    <mergeCell ref="A50:B50"/>
    <mergeCell ref="A51:B51"/>
    <mergeCell ref="A54:B54"/>
    <mergeCell ref="A73:B73"/>
    <mergeCell ref="A58:B58"/>
    <mergeCell ref="A59:B59"/>
    <mergeCell ref="A60:B60"/>
    <mergeCell ref="A61:B61"/>
    <mergeCell ref="A62:B62"/>
    <mergeCell ref="A65:B65"/>
    <mergeCell ref="A68:B68"/>
    <mergeCell ref="A69:B69"/>
    <mergeCell ref="A70:B70"/>
    <mergeCell ref="A71:B71"/>
    <mergeCell ref="A72:B72"/>
    <mergeCell ref="A93:B93"/>
    <mergeCell ref="A76:B76"/>
    <mergeCell ref="A79:B79"/>
    <mergeCell ref="A80:B80"/>
    <mergeCell ref="A81:B81"/>
    <mergeCell ref="A82:B82"/>
    <mergeCell ref="A83:B83"/>
    <mergeCell ref="A84:B84"/>
    <mergeCell ref="A87:B87"/>
    <mergeCell ref="A90:B90"/>
    <mergeCell ref="A91:B91"/>
    <mergeCell ref="A92:B92"/>
    <mergeCell ref="A113:B113"/>
    <mergeCell ref="A94:B94"/>
    <mergeCell ref="A95:B95"/>
    <mergeCell ref="A98:B98"/>
    <mergeCell ref="A101:B101"/>
    <mergeCell ref="A102:B102"/>
    <mergeCell ref="A103:B103"/>
    <mergeCell ref="A104:B104"/>
    <mergeCell ref="A105:B105"/>
    <mergeCell ref="A106:B106"/>
    <mergeCell ref="A109:B109"/>
    <mergeCell ref="A112:B112"/>
    <mergeCell ref="A131:B131"/>
    <mergeCell ref="A114:B114"/>
    <mergeCell ref="A115:B115"/>
    <mergeCell ref="A116:B116"/>
    <mergeCell ref="A117:B117"/>
    <mergeCell ref="A120:B120"/>
    <mergeCell ref="A123:B123"/>
    <mergeCell ref="A124:B124"/>
    <mergeCell ref="A125:B125"/>
    <mergeCell ref="A126:B126"/>
    <mergeCell ref="A127:B127"/>
    <mergeCell ref="A128:B128"/>
    <mergeCell ref="A142:B142"/>
    <mergeCell ref="A134:B134"/>
    <mergeCell ref="A135:B135"/>
    <mergeCell ref="A136:B136"/>
    <mergeCell ref="A137:B137"/>
    <mergeCell ref="A138:B138"/>
    <mergeCell ref="A139:B139"/>
  </mergeCells>
  <conditionalFormatting sqref="J10">
    <cfRule type="expression" dxfId="12" priority="13">
      <formula>$J$16&lt;0</formula>
    </cfRule>
  </conditionalFormatting>
  <conditionalFormatting sqref="J21">
    <cfRule type="expression" dxfId="11" priority="12">
      <formula>$J$16&lt;0</formula>
    </cfRule>
  </conditionalFormatting>
  <conditionalFormatting sqref="J32">
    <cfRule type="expression" dxfId="10" priority="11">
      <formula>$J$16&lt;0</formula>
    </cfRule>
  </conditionalFormatting>
  <conditionalFormatting sqref="J43">
    <cfRule type="expression" dxfId="9" priority="10">
      <formula>$J$16&lt;0</formula>
    </cfRule>
  </conditionalFormatting>
  <conditionalFormatting sqref="J54">
    <cfRule type="expression" dxfId="8" priority="9">
      <formula>$J$16&lt;0</formula>
    </cfRule>
  </conditionalFormatting>
  <conditionalFormatting sqref="J65">
    <cfRule type="expression" dxfId="7" priority="8">
      <formula>$J$16&lt;0</formula>
    </cfRule>
  </conditionalFormatting>
  <conditionalFormatting sqref="J76">
    <cfRule type="expression" dxfId="6" priority="7">
      <formula>$J$16&lt;0</formula>
    </cfRule>
  </conditionalFormatting>
  <conditionalFormatting sqref="J87">
    <cfRule type="expression" dxfId="5" priority="6">
      <formula>$J$16&lt;0</formula>
    </cfRule>
  </conditionalFormatting>
  <conditionalFormatting sqref="J98">
    <cfRule type="expression" dxfId="4" priority="5">
      <formula>$J$16&lt;0</formula>
    </cfRule>
  </conditionalFormatting>
  <conditionalFormatting sqref="J109">
    <cfRule type="expression" dxfId="3" priority="4">
      <formula>$J$16&lt;0</formula>
    </cfRule>
  </conditionalFormatting>
  <conditionalFormatting sqref="J120">
    <cfRule type="expression" dxfId="2" priority="3">
      <formula>$J$16&lt;0</formula>
    </cfRule>
  </conditionalFormatting>
  <conditionalFormatting sqref="J131">
    <cfRule type="expression" dxfId="1" priority="2">
      <formula>$J$16&lt;0</formula>
    </cfRule>
  </conditionalFormatting>
  <conditionalFormatting sqref="J142">
    <cfRule type="expression" dxfId="0" priority="1">
      <formula>$J$16&lt;0</formula>
    </cfRule>
  </conditionalFormatting>
  <pageMargins left="0.7" right="0.7" top="0.75" bottom="0.75" header="0.3" footer="0.3"/>
  <pageSetup scale="21" orientation="landscape" r:id="rId1"/>
  <headerFooter>
    <oddHeader>&amp;L&amp;"Arial"&amp;14 State Board of Education&amp;R&amp;"Arial"&amp;10 Agency 170</oddHeader>
    <oddFooter>&amp;L&amp;"Arial"&amp;10 B6:Summary by Program, by Fund&amp;R&amp;"Arial"&amp;10 FY 2023 Request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2:M44"/>
  <sheetViews>
    <sheetView workbookViewId="0">
      <selection activeCell="T12" sqref="T12"/>
    </sheetView>
  </sheetViews>
  <sheetFormatPr defaultRowHeight="15" x14ac:dyDescent="0.25"/>
  <cols>
    <col min="1" max="1" width="2.7109375" customWidth="1"/>
    <col min="2" max="2" width="10.140625" bestFit="1" customWidth="1"/>
    <col min="3" max="3" width="7.7109375" bestFit="1" customWidth="1"/>
    <col min="4" max="4" width="5.7109375" customWidth="1"/>
    <col min="5" max="5" width="8" bestFit="1" customWidth="1"/>
    <col min="6" max="6" width="13.5703125" bestFit="1" customWidth="1"/>
    <col min="7" max="7" width="14.5703125" bestFit="1" customWidth="1"/>
    <col min="8" max="8" width="13.5703125" bestFit="1" customWidth="1"/>
    <col min="9" max="9" width="16" bestFit="1" customWidth="1"/>
    <col min="10" max="10" width="17.7109375" bestFit="1" customWidth="1"/>
    <col min="11" max="11" width="13.5703125" bestFit="1" customWidth="1"/>
    <col min="12" max="12" width="16" bestFit="1" customWidth="1"/>
    <col min="13" max="13" width="17.7109375" bestFit="1" customWidth="1"/>
  </cols>
  <sheetData>
    <row r="2" spans="1:13" ht="21" x14ac:dyDescent="0.35">
      <c r="A2" s="251" t="s">
        <v>95</v>
      </c>
      <c r="B2" s="251"/>
      <c r="C2" s="251"/>
    </row>
    <row r="4" spans="1:13" ht="21" x14ac:dyDescent="0.35">
      <c r="A4" s="252"/>
      <c r="B4" s="252"/>
      <c r="C4" s="252"/>
    </row>
    <row r="5" spans="1:13" ht="15.75" customHeight="1" x14ac:dyDescent="0.25">
      <c r="E5" s="255" t="s">
        <v>81</v>
      </c>
      <c r="F5" s="478" t="s">
        <v>909</v>
      </c>
      <c r="G5" s="478"/>
      <c r="H5" s="479" t="s">
        <v>907</v>
      </c>
      <c r="I5" s="478" t="s">
        <v>910</v>
      </c>
      <c r="J5" s="478"/>
      <c r="K5" s="479" t="s">
        <v>908</v>
      </c>
      <c r="L5" s="478" t="s">
        <v>911</v>
      </c>
      <c r="M5" s="478"/>
    </row>
    <row r="6" spans="1:13" ht="15.75" x14ac:dyDescent="0.25">
      <c r="E6" s="249"/>
      <c r="F6" s="253" t="s">
        <v>92</v>
      </c>
      <c r="G6" s="254" t="s">
        <v>94</v>
      </c>
      <c r="H6" s="480"/>
      <c r="I6" s="253" t="s">
        <v>96</v>
      </c>
      <c r="J6" s="254" t="s">
        <v>93</v>
      </c>
      <c r="K6" s="480"/>
      <c r="L6" s="278" t="s">
        <v>96</v>
      </c>
      <c r="M6" s="254" t="s">
        <v>93</v>
      </c>
    </row>
    <row r="7" spans="1:13" x14ac:dyDescent="0.25">
      <c r="A7" s="393" t="s">
        <v>912</v>
      </c>
      <c r="D7" s="250"/>
    </row>
    <row r="8" spans="1:13" x14ac:dyDescent="0.25">
      <c r="C8" t="s">
        <v>834</v>
      </c>
      <c r="D8" s="250"/>
      <c r="E8" s="403">
        <f>Data!AS307</f>
        <v>47.892500000000005</v>
      </c>
      <c r="F8" s="403">
        <f>Data!AT307</f>
        <v>3641323.0200000014</v>
      </c>
      <c r="G8" s="403">
        <f>Data!AU307</f>
        <v>1298394.1100000006</v>
      </c>
      <c r="H8" s="403">
        <f>Data!AV307</f>
        <v>3541593.439999999</v>
      </c>
      <c r="I8" s="403">
        <f>Data!AW307</f>
        <v>601000</v>
      </c>
      <c r="J8" s="403">
        <f>Data!AX307</f>
        <v>729696.87567840028</v>
      </c>
      <c r="K8" s="403">
        <f>Data!AY307</f>
        <v>3541593.439999999</v>
      </c>
      <c r="L8" s="403">
        <f>Data!AZ307</f>
        <v>661100</v>
      </c>
      <c r="M8" s="403">
        <f>Data!BA307</f>
        <v>704952.5629104001</v>
      </c>
    </row>
    <row r="9" spans="1:13" x14ac:dyDescent="0.25">
      <c r="B9" t="s">
        <v>913</v>
      </c>
      <c r="D9" s="250"/>
      <c r="E9" s="404">
        <f>Data!AS308</f>
        <v>47.892500000000005</v>
      </c>
      <c r="F9" s="404">
        <f>Data!AT308</f>
        <v>3641323.0200000014</v>
      </c>
      <c r="G9" s="404">
        <f>Data!AU308</f>
        <v>1298394.1100000006</v>
      </c>
      <c r="H9" s="404">
        <f>Data!AV308</f>
        <v>3541593.439999999</v>
      </c>
      <c r="I9" s="404">
        <f>Data!AW308</f>
        <v>601000</v>
      </c>
      <c r="J9" s="404">
        <f>Data!AX308</f>
        <v>729696.87567840028</v>
      </c>
      <c r="K9" s="404">
        <f>Data!AY308</f>
        <v>3541593.439999999</v>
      </c>
      <c r="L9" s="404">
        <f>Data!AZ308</f>
        <v>661100</v>
      </c>
      <c r="M9" s="404">
        <f>Data!BA308</f>
        <v>704952.5629104001</v>
      </c>
    </row>
    <row r="10" spans="1:13" x14ac:dyDescent="0.25">
      <c r="C10" t="s">
        <v>828</v>
      </c>
      <c r="D10" s="250"/>
      <c r="E10" s="403">
        <f>Data!AS309</f>
        <v>6.6499999999999995</v>
      </c>
      <c r="F10" s="403">
        <f>Data!AT309</f>
        <v>430168.37000000005</v>
      </c>
      <c r="G10" s="403">
        <f>Data!AU309</f>
        <v>166006.40000000002</v>
      </c>
      <c r="H10" s="403">
        <f>Data!AV309</f>
        <v>461042.78999999992</v>
      </c>
      <c r="I10" s="403">
        <f>Data!AW309</f>
        <v>83125</v>
      </c>
      <c r="J10" s="403">
        <f>Data!AX309</f>
        <v>95153.7062019</v>
      </c>
      <c r="K10" s="403">
        <f>Data!AY309</f>
        <v>461042.78999999992</v>
      </c>
      <c r="L10" s="403">
        <f>Data!AZ309</f>
        <v>91437.5</v>
      </c>
      <c r="M10" s="403">
        <f>Data!BA309</f>
        <v>91860.238113899992</v>
      </c>
    </row>
    <row r="11" spans="1:13" x14ac:dyDescent="0.25">
      <c r="B11" t="s">
        <v>914</v>
      </c>
      <c r="D11" s="250"/>
      <c r="E11" s="404">
        <f>Data!AS310</f>
        <v>6.6499999999999995</v>
      </c>
      <c r="F11" s="404">
        <f>Data!AT310</f>
        <v>430168.37000000005</v>
      </c>
      <c r="G11" s="404">
        <f>Data!AU310</f>
        <v>166006.40000000002</v>
      </c>
      <c r="H11" s="404">
        <f>Data!AV310</f>
        <v>461042.78999999992</v>
      </c>
      <c r="I11" s="404">
        <f>Data!AW310</f>
        <v>83125</v>
      </c>
      <c r="J11" s="404">
        <f>Data!AX310</f>
        <v>95153.7062019</v>
      </c>
      <c r="K11" s="404">
        <f>Data!AY310</f>
        <v>461042.78999999992</v>
      </c>
      <c r="L11" s="404">
        <f>Data!AZ310</f>
        <v>91437.5</v>
      </c>
      <c r="M11" s="404">
        <f>Data!BA310</f>
        <v>91860.238113899992</v>
      </c>
    </row>
    <row r="12" spans="1:13" x14ac:dyDescent="0.25">
      <c r="C12" t="s">
        <v>885</v>
      </c>
      <c r="D12" s="250"/>
      <c r="E12" s="403">
        <f>Data!AS311</f>
        <v>1.17</v>
      </c>
      <c r="F12" s="403">
        <f>Data!AT311</f>
        <v>85516.02</v>
      </c>
      <c r="G12" s="403">
        <f>Data!AU311</f>
        <v>32871.440000000002</v>
      </c>
      <c r="H12" s="403">
        <f>Data!AV311</f>
        <v>71007.87</v>
      </c>
      <c r="I12" s="403">
        <f>Data!AW311</f>
        <v>14625</v>
      </c>
      <c r="J12" s="403">
        <f>Data!AX311</f>
        <v>14670.936020700001</v>
      </c>
      <c r="K12" s="403">
        <f>Data!AY311</f>
        <v>71007.87</v>
      </c>
      <c r="L12" s="403">
        <f>Data!AZ311</f>
        <v>16087.5</v>
      </c>
      <c r="M12" s="403">
        <f>Data!BA311</f>
        <v>14159.6793567</v>
      </c>
    </row>
    <row r="13" spans="1:13" x14ac:dyDescent="0.25">
      <c r="B13" t="s">
        <v>915</v>
      </c>
      <c r="D13" s="250"/>
      <c r="E13" s="404">
        <f>Data!AS312</f>
        <v>1.17</v>
      </c>
      <c r="F13" s="404">
        <f>Data!AT312</f>
        <v>85516.02</v>
      </c>
      <c r="G13" s="404">
        <f>Data!AU312</f>
        <v>32871.440000000002</v>
      </c>
      <c r="H13" s="404">
        <f>Data!AV312</f>
        <v>71007.87</v>
      </c>
      <c r="I13" s="404">
        <f>Data!AW312</f>
        <v>14625</v>
      </c>
      <c r="J13" s="404">
        <f>Data!AX312</f>
        <v>14670.936020700001</v>
      </c>
      <c r="K13" s="404">
        <f>Data!AY312</f>
        <v>71007.87</v>
      </c>
      <c r="L13" s="404">
        <f>Data!AZ312</f>
        <v>16087.5</v>
      </c>
      <c r="M13" s="404">
        <f>Data!BA312</f>
        <v>14159.6793567</v>
      </c>
    </row>
    <row r="14" spans="1:13" x14ac:dyDescent="0.25">
      <c r="C14" t="s">
        <v>916</v>
      </c>
      <c r="E14" s="403">
        <f>Data!AS313</f>
        <v>5.95</v>
      </c>
      <c r="F14" s="403">
        <f>Data!AT313</f>
        <v>348284.13999999996</v>
      </c>
      <c r="G14" s="403">
        <f>Data!AU313</f>
        <v>138236.49000000002</v>
      </c>
      <c r="H14" s="403">
        <f>Data!AV313</f>
        <v>357095.44</v>
      </c>
      <c r="I14" s="403">
        <f>Data!AW313</f>
        <v>74375</v>
      </c>
      <c r="J14" s="403">
        <f>Data!AX313</f>
        <v>73779.4888584</v>
      </c>
      <c r="K14" s="403">
        <f>Data!AY313</f>
        <v>357095.44</v>
      </c>
      <c r="L14" s="403">
        <f>Data!AZ313</f>
        <v>81812.5</v>
      </c>
      <c r="M14" s="403">
        <f>Data!BA313</f>
        <v>71208.401690400002</v>
      </c>
    </row>
    <row r="15" spans="1:13" x14ac:dyDescent="0.25">
      <c r="C15" t="s">
        <v>917</v>
      </c>
      <c r="E15" s="403">
        <f>Data!AS314</f>
        <v>0.05</v>
      </c>
      <c r="F15" s="403">
        <f>Data!AT314</f>
        <v>5086.51</v>
      </c>
      <c r="G15" s="403">
        <f>Data!AU314</f>
        <v>1692.9</v>
      </c>
      <c r="H15" s="403">
        <f>Data!AV314</f>
        <v>4537.5200000000004</v>
      </c>
      <c r="I15" s="403">
        <f>Data!AW314</f>
        <v>625</v>
      </c>
      <c r="J15" s="403">
        <f>Data!AX314</f>
        <v>937.4970072000001</v>
      </c>
      <c r="K15" s="403">
        <f>Data!AY314</f>
        <v>4537.5200000000004</v>
      </c>
      <c r="L15" s="403">
        <f>Data!AZ314</f>
        <v>687.5</v>
      </c>
      <c r="M15" s="403">
        <f>Data!BA314</f>
        <v>904.82686320000016</v>
      </c>
    </row>
    <row r="16" spans="1:13" x14ac:dyDescent="0.25">
      <c r="C16" t="s">
        <v>918</v>
      </c>
      <c r="E16" s="403">
        <f>Data!AS315</f>
        <v>0</v>
      </c>
      <c r="F16" s="403">
        <f>Data!AT315</f>
        <v>29056.32</v>
      </c>
      <c r="G16" s="403">
        <f>Data!AU315</f>
        <v>11795.37</v>
      </c>
      <c r="H16" s="403">
        <f>Data!AV315</f>
        <v>0</v>
      </c>
      <c r="I16" s="403">
        <f>Data!AW315</f>
        <v>0</v>
      </c>
      <c r="J16" s="403">
        <f>Data!AX315</f>
        <v>0</v>
      </c>
      <c r="K16" s="403">
        <f>Data!AY315</f>
        <v>0</v>
      </c>
      <c r="L16" s="403">
        <f>Data!AZ315</f>
        <v>0</v>
      </c>
      <c r="M16" s="403">
        <f>Data!BA315</f>
        <v>0</v>
      </c>
    </row>
    <row r="17" spans="2:13" x14ac:dyDescent="0.25">
      <c r="C17" t="s">
        <v>919</v>
      </c>
      <c r="E17" s="403">
        <f>Data!AS316</f>
        <v>0.6</v>
      </c>
      <c r="F17" s="403">
        <f>Data!AT316</f>
        <v>0</v>
      </c>
      <c r="G17" s="403">
        <f>Data!AU316</f>
        <v>0</v>
      </c>
      <c r="H17" s="403">
        <f>Data!AV316</f>
        <v>28604.16</v>
      </c>
      <c r="I17" s="403">
        <f>Data!AW316</f>
        <v>7500</v>
      </c>
      <c r="J17" s="403">
        <f>Data!AX316</f>
        <v>5909.9054976000007</v>
      </c>
      <c r="K17" s="403">
        <f>Data!AY316</f>
        <v>28604.16</v>
      </c>
      <c r="L17" s="403">
        <f>Data!AZ316</f>
        <v>8250</v>
      </c>
      <c r="M17" s="403">
        <f>Data!BA316</f>
        <v>5703.9555456000007</v>
      </c>
    </row>
    <row r="18" spans="2:13" x14ac:dyDescent="0.25">
      <c r="C18" t="s">
        <v>920</v>
      </c>
      <c r="E18" s="403">
        <f>Data!AS317</f>
        <v>0</v>
      </c>
      <c r="F18" s="403">
        <f>Data!AT317</f>
        <v>0</v>
      </c>
      <c r="G18" s="403">
        <f>Data!AU317</f>
        <v>288.95</v>
      </c>
      <c r="H18" s="403">
        <f>Data!AV317</f>
        <v>0</v>
      </c>
      <c r="I18" s="403">
        <f>Data!AW317</f>
        <v>0</v>
      </c>
      <c r="J18" s="403">
        <f>Data!AX317</f>
        <v>0</v>
      </c>
      <c r="K18" s="403">
        <f>Data!AY317</f>
        <v>0</v>
      </c>
      <c r="L18" s="403">
        <f>Data!AZ317</f>
        <v>0</v>
      </c>
      <c r="M18" s="403">
        <f>Data!BA317</f>
        <v>0</v>
      </c>
    </row>
    <row r="19" spans="2:13" x14ac:dyDescent="0.25">
      <c r="C19" t="s">
        <v>921</v>
      </c>
      <c r="E19" s="403">
        <f>Data!AS318</f>
        <v>1.03</v>
      </c>
      <c r="F19" s="403">
        <f>Data!AT318</f>
        <v>72591.27</v>
      </c>
      <c r="G19" s="403">
        <f>Data!AU318</f>
        <v>27269.719999999998</v>
      </c>
      <c r="H19" s="403">
        <f>Data!AV318</f>
        <v>71137.239999999991</v>
      </c>
      <c r="I19" s="403">
        <f>Data!AW318</f>
        <v>12875</v>
      </c>
      <c r="J19" s="403">
        <f>Data!AX318</f>
        <v>14697.665156399999</v>
      </c>
      <c r="K19" s="403">
        <f>Data!AY318</f>
        <v>71137.239999999991</v>
      </c>
      <c r="L19" s="403">
        <f>Data!AZ318</f>
        <v>14162.5</v>
      </c>
      <c r="M19" s="403">
        <f>Data!BA318</f>
        <v>14185.477028399999</v>
      </c>
    </row>
    <row r="20" spans="2:13" x14ac:dyDescent="0.25">
      <c r="B20" t="s">
        <v>922</v>
      </c>
      <c r="E20" s="404">
        <f>Data!AS319</f>
        <v>7.63</v>
      </c>
      <c r="F20" s="404">
        <f>Data!AT319</f>
        <v>455018.23999999999</v>
      </c>
      <c r="G20" s="404">
        <f>Data!AU319</f>
        <v>179283.43000000002</v>
      </c>
      <c r="H20" s="404">
        <f>Data!AV319</f>
        <v>461374.36</v>
      </c>
      <c r="I20" s="404">
        <f>Data!AW319</f>
        <v>95375</v>
      </c>
      <c r="J20" s="404">
        <f>Data!AX319</f>
        <v>95324.55651960001</v>
      </c>
      <c r="K20" s="404">
        <f>Data!AY319</f>
        <v>461374.36</v>
      </c>
      <c r="L20" s="404">
        <f>Data!AZ319</f>
        <v>104912.5</v>
      </c>
      <c r="M20" s="404">
        <f>Data!BA319</f>
        <v>92002.661127599989</v>
      </c>
    </row>
    <row r="21" spans="2:13" x14ac:dyDescent="0.25">
      <c r="C21" t="s">
        <v>891</v>
      </c>
      <c r="E21" s="403">
        <f>Data!AS320</f>
        <v>3.55</v>
      </c>
      <c r="F21" s="403">
        <f>Data!AT320</f>
        <v>221354.21</v>
      </c>
      <c r="G21" s="403">
        <f>Data!AU320</f>
        <v>82769.05</v>
      </c>
      <c r="H21" s="403">
        <f>Data!AV320</f>
        <v>242132.8</v>
      </c>
      <c r="I21" s="403">
        <f>Data!AW320</f>
        <v>44375</v>
      </c>
      <c r="J21" s="403">
        <f>Data!AX320</f>
        <v>50027.057807999998</v>
      </c>
      <c r="K21" s="403">
        <f>Data!AY320</f>
        <v>242132.8</v>
      </c>
      <c r="L21" s="403">
        <f>Data!AZ320</f>
        <v>48812.5</v>
      </c>
      <c r="M21" s="403">
        <f>Data!BA320</f>
        <v>48283.701647999995</v>
      </c>
    </row>
    <row r="22" spans="2:13" x14ac:dyDescent="0.25">
      <c r="B22" t="s">
        <v>923</v>
      </c>
      <c r="E22" s="404">
        <f>Data!AS321</f>
        <v>3.55</v>
      </c>
      <c r="F22" s="404">
        <f>Data!AT321</f>
        <v>221354.21</v>
      </c>
      <c r="G22" s="404">
        <f>Data!AU321</f>
        <v>82769.05</v>
      </c>
      <c r="H22" s="404">
        <f>Data!AV321</f>
        <v>242132.8</v>
      </c>
      <c r="I22" s="404">
        <f>Data!AW321</f>
        <v>44375</v>
      </c>
      <c r="J22" s="404">
        <f>Data!AX321</f>
        <v>50027.057807999998</v>
      </c>
      <c r="K22" s="404">
        <f>Data!AY321</f>
        <v>242132.8</v>
      </c>
      <c r="L22" s="404">
        <f>Data!AZ321</f>
        <v>48812.5</v>
      </c>
      <c r="M22" s="404">
        <f>Data!BA321</f>
        <v>48283.701647999995</v>
      </c>
    </row>
    <row r="23" spans="2:13" x14ac:dyDescent="0.25">
      <c r="C23" t="s">
        <v>924</v>
      </c>
      <c r="E23" s="403">
        <f>Data!AS322</f>
        <v>9.7200000000000006</v>
      </c>
      <c r="F23" s="403">
        <f>Data!AT322</f>
        <v>837174.29</v>
      </c>
      <c r="G23" s="403">
        <f>Data!AU322</f>
        <v>320314.06999999995</v>
      </c>
      <c r="H23" s="403">
        <f>Data!AV322</f>
        <v>670327.63</v>
      </c>
      <c r="I23" s="403">
        <f>Data!AW322</f>
        <v>121500</v>
      </c>
      <c r="J23" s="403">
        <f>Data!AX322</f>
        <v>138496.3916343</v>
      </c>
      <c r="K23" s="403">
        <f>Data!AY322</f>
        <v>670327.63</v>
      </c>
      <c r="L23" s="403">
        <f>Data!AZ322</f>
        <v>133650</v>
      </c>
      <c r="M23" s="403">
        <f>Data!BA322</f>
        <v>133670.0326983</v>
      </c>
    </row>
    <row r="24" spans="2:13" x14ac:dyDescent="0.25">
      <c r="C24" t="s">
        <v>925</v>
      </c>
      <c r="E24" s="403">
        <f>Data!AS323</f>
        <v>12.4</v>
      </c>
      <c r="F24" s="403">
        <f>Data!AT323</f>
        <v>678829.59000000008</v>
      </c>
      <c r="G24" s="403">
        <f>Data!AU323</f>
        <v>255824.78000000003</v>
      </c>
      <c r="H24" s="403">
        <f>Data!AV323</f>
        <v>824883.25</v>
      </c>
      <c r="I24" s="403">
        <f>Data!AW323</f>
        <v>155000</v>
      </c>
      <c r="J24" s="403">
        <f>Data!AX323</f>
        <v>170429.12828250002</v>
      </c>
      <c r="K24" s="403">
        <f>Data!AY323</f>
        <v>824883.25</v>
      </c>
      <c r="L24" s="403">
        <f>Data!AZ323</f>
        <v>170500</v>
      </c>
      <c r="M24" s="403">
        <f>Data!BA323</f>
        <v>164489.96888250002</v>
      </c>
    </row>
    <row r="25" spans="2:13" x14ac:dyDescent="0.25">
      <c r="C25" t="s">
        <v>926</v>
      </c>
      <c r="E25" s="403">
        <f>Data!AS324</f>
        <v>0</v>
      </c>
      <c r="F25" s="403">
        <f>Data!AT324</f>
        <v>102.63</v>
      </c>
      <c r="G25" s="403">
        <f>Data!AU324</f>
        <v>15.6</v>
      </c>
      <c r="H25" s="403">
        <f>Data!AV324</f>
        <v>0</v>
      </c>
      <c r="I25" s="403">
        <f>Data!AW324</f>
        <v>0</v>
      </c>
      <c r="J25" s="403">
        <f>Data!AX324</f>
        <v>0</v>
      </c>
      <c r="K25" s="403">
        <f>Data!AY324</f>
        <v>0</v>
      </c>
      <c r="L25" s="403">
        <f>Data!AZ324</f>
        <v>0</v>
      </c>
      <c r="M25" s="403">
        <f>Data!BA324</f>
        <v>0</v>
      </c>
    </row>
    <row r="26" spans="2:13" x14ac:dyDescent="0.25">
      <c r="C26" t="s">
        <v>927</v>
      </c>
      <c r="E26" s="403">
        <f>Data!AS325</f>
        <v>0.4</v>
      </c>
      <c r="F26" s="403">
        <f>Data!AT325</f>
        <v>52741.71</v>
      </c>
      <c r="G26" s="403">
        <f>Data!AU325</f>
        <v>21753.439999999999</v>
      </c>
      <c r="H26" s="403">
        <f>Data!AV325</f>
        <v>15408.64</v>
      </c>
      <c r="I26" s="403">
        <f>Data!AW325</f>
        <v>5000</v>
      </c>
      <c r="J26" s="403">
        <f>Data!AX325</f>
        <v>3183.5791104</v>
      </c>
      <c r="K26" s="403">
        <f>Data!AY325</f>
        <v>15408.64</v>
      </c>
      <c r="L26" s="403">
        <f>Data!AZ325</f>
        <v>5500</v>
      </c>
      <c r="M26" s="403">
        <f>Data!BA325</f>
        <v>3072.6369023999991</v>
      </c>
    </row>
    <row r="27" spans="2:13" x14ac:dyDescent="0.25">
      <c r="C27" t="s">
        <v>928</v>
      </c>
      <c r="E27" s="403">
        <f>Data!AS326</f>
        <v>1</v>
      </c>
      <c r="F27" s="403">
        <f>Data!AT326</f>
        <v>74574.2</v>
      </c>
      <c r="G27" s="403">
        <f>Data!AU326</f>
        <v>27205.93</v>
      </c>
      <c r="H27" s="403">
        <f>Data!AV326</f>
        <v>73756.800000000003</v>
      </c>
      <c r="I27" s="403">
        <f>Data!AW326</f>
        <v>12500</v>
      </c>
      <c r="J27" s="403">
        <f>Data!AX326</f>
        <v>15238.892448000002</v>
      </c>
      <c r="K27" s="403">
        <f>Data!AY326</f>
        <v>73756.800000000003</v>
      </c>
      <c r="L27" s="403">
        <f>Data!AZ326</f>
        <v>13750</v>
      </c>
      <c r="M27" s="403">
        <f>Data!BA326</f>
        <v>14707.843488</v>
      </c>
    </row>
    <row r="28" spans="2:13" x14ac:dyDescent="0.25">
      <c r="C28" t="s">
        <v>929</v>
      </c>
      <c r="E28" s="403">
        <f>Data!AS327</f>
        <v>17.7</v>
      </c>
      <c r="F28" s="403">
        <f>Data!AT327</f>
        <v>1467717.92</v>
      </c>
      <c r="G28" s="403">
        <f>Data!AU327</f>
        <v>534199.54</v>
      </c>
      <c r="H28" s="403">
        <f>Data!AV327</f>
        <v>1332347.0999999999</v>
      </c>
      <c r="I28" s="403">
        <f>Data!AW327</f>
        <v>221250</v>
      </c>
      <c r="J28" s="403">
        <f>Data!AX327</f>
        <v>275276.23433099996</v>
      </c>
      <c r="K28" s="403">
        <f>Data!AY327</f>
        <v>1332347.0999999999</v>
      </c>
      <c r="L28" s="403">
        <f>Data!AZ327</f>
        <v>243375</v>
      </c>
      <c r="M28" s="403">
        <f>Data!BA327</f>
        <v>265683.33521099994</v>
      </c>
    </row>
    <row r="29" spans="2:13" x14ac:dyDescent="0.25">
      <c r="B29" t="s">
        <v>930</v>
      </c>
      <c r="E29" s="404">
        <f>Data!AS328</f>
        <v>41.22</v>
      </c>
      <c r="F29" s="404">
        <f>Data!AT328</f>
        <v>3111140.34</v>
      </c>
      <c r="G29" s="404">
        <f>Data!AU328</f>
        <v>1159313.3599999999</v>
      </c>
      <c r="H29" s="404">
        <f>Data!AV328</f>
        <v>2916723.42</v>
      </c>
      <c r="I29" s="404">
        <f>Data!AW328</f>
        <v>515250</v>
      </c>
      <c r="J29" s="404">
        <f>Data!AX328</f>
        <v>602624.22580619995</v>
      </c>
      <c r="K29" s="404">
        <f>Data!AY328</f>
        <v>2916723.42</v>
      </c>
      <c r="L29" s="404">
        <f>Data!AZ328</f>
        <v>566775</v>
      </c>
      <c r="M29" s="404">
        <f>Data!BA328</f>
        <v>581623.81718220003</v>
      </c>
    </row>
    <row r="30" spans="2:13" x14ac:dyDescent="0.25">
      <c r="C30" t="s">
        <v>876</v>
      </c>
      <c r="E30" s="403">
        <f>Data!AS329</f>
        <v>2.5</v>
      </c>
      <c r="F30" s="403">
        <f>Data!AT329</f>
        <v>222614.75</v>
      </c>
      <c r="G30" s="403">
        <f>Data!AU329</f>
        <v>85542.59</v>
      </c>
      <c r="H30" s="403">
        <f>Data!AV329</f>
        <v>173406.48</v>
      </c>
      <c r="I30" s="403">
        <f>Data!AW329</f>
        <v>31250</v>
      </c>
      <c r="J30" s="403">
        <f>Data!AX329</f>
        <v>35827.512832799999</v>
      </c>
      <c r="K30" s="403">
        <f>Data!AY329</f>
        <v>173406.48</v>
      </c>
      <c r="L30" s="403">
        <f>Data!AZ329</f>
        <v>34375</v>
      </c>
      <c r="M30" s="403">
        <f>Data!BA329</f>
        <v>34578.986176799997</v>
      </c>
    </row>
    <row r="31" spans="2:13" x14ac:dyDescent="0.25">
      <c r="B31" t="s">
        <v>931</v>
      </c>
      <c r="E31" s="404">
        <f>Data!AS330</f>
        <v>2.5</v>
      </c>
      <c r="F31" s="404">
        <f>Data!AT330</f>
        <v>222614.75</v>
      </c>
      <c r="G31" s="404">
        <f>Data!AU330</f>
        <v>85542.59</v>
      </c>
      <c r="H31" s="404">
        <f>Data!AV330</f>
        <v>173406.48</v>
      </c>
      <c r="I31" s="404">
        <f>Data!AW330</f>
        <v>31250</v>
      </c>
      <c r="J31" s="404">
        <f>Data!AX330</f>
        <v>35827.512832799999</v>
      </c>
      <c r="K31" s="404">
        <f>Data!AY330</f>
        <v>173406.48</v>
      </c>
      <c r="L31" s="404">
        <f>Data!AZ330</f>
        <v>34375</v>
      </c>
      <c r="M31" s="404">
        <f>Data!BA330</f>
        <v>34578.986176799997</v>
      </c>
    </row>
    <row r="32" spans="2:13" x14ac:dyDescent="0.25">
      <c r="C32" t="s">
        <v>932</v>
      </c>
      <c r="E32" s="403">
        <f>Data!AS331</f>
        <v>1</v>
      </c>
      <c r="F32" s="403">
        <f>Data!AT331</f>
        <v>56459.44</v>
      </c>
      <c r="G32" s="403">
        <f>Data!AU331</f>
        <v>21256.52</v>
      </c>
      <c r="H32" s="403">
        <f>Data!AV331</f>
        <v>72841.600000000006</v>
      </c>
      <c r="I32" s="403">
        <f>Data!AW331</f>
        <v>12500</v>
      </c>
      <c r="J32" s="403">
        <f>Data!AX331</f>
        <v>15049.802976000003</v>
      </c>
      <c r="K32" s="403">
        <f>Data!AY331</f>
        <v>72841.600000000006</v>
      </c>
      <c r="L32" s="403">
        <f>Data!AZ331</f>
        <v>13750</v>
      </c>
      <c r="M32" s="403">
        <f>Data!BA331</f>
        <v>14525.343456000001</v>
      </c>
    </row>
    <row r="33" spans="1:13" x14ac:dyDescent="0.25">
      <c r="C33" t="s">
        <v>903</v>
      </c>
      <c r="E33" s="403">
        <f>Data!AS332</f>
        <v>0.2</v>
      </c>
      <c r="F33" s="403">
        <f>Data!AT332</f>
        <v>28884.09</v>
      </c>
      <c r="G33" s="403">
        <f>Data!AU332</f>
        <v>10650.949999999999</v>
      </c>
      <c r="H33" s="403">
        <f>Data!AV332</f>
        <v>10735.91</v>
      </c>
      <c r="I33" s="403">
        <f>Data!AW332</f>
        <v>2500</v>
      </c>
      <c r="J33" s="403">
        <f>Data!AX332</f>
        <v>2218.1463651000004</v>
      </c>
      <c r="K33" s="403">
        <f>Data!AY332</f>
        <v>10735.91</v>
      </c>
      <c r="L33" s="403">
        <f>Data!AZ332</f>
        <v>2750</v>
      </c>
      <c r="M33" s="403">
        <f>Data!BA332</f>
        <v>2140.8478131000002</v>
      </c>
    </row>
    <row r="34" spans="1:13" x14ac:dyDescent="0.25">
      <c r="B34" t="s">
        <v>933</v>
      </c>
      <c r="E34" s="404">
        <f>Data!AS333</f>
        <v>1.2</v>
      </c>
      <c r="F34" s="404">
        <f>Data!AT333</f>
        <v>85343.53</v>
      </c>
      <c r="G34" s="404">
        <f>Data!AU333</f>
        <v>31907.47</v>
      </c>
      <c r="H34" s="404">
        <f>Data!AV333</f>
        <v>83577.510000000009</v>
      </c>
      <c r="I34" s="404">
        <f>Data!AW333</f>
        <v>15000</v>
      </c>
      <c r="J34" s="404">
        <f>Data!AX333</f>
        <v>17267.949341100004</v>
      </c>
      <c r="K34" s="404">
        <f>Data!AY333</f>
        <v>83577.510000000009</v>
      </c>
      <c r="L34" s="404">
        <f>Data!AZ333</f>
        <v>16500</v>
      </c>
      <c r="M34" s="404">
        <f>Data!BA333</f>
        <v>16666.1912691</v>
      </c>
    </row>
    <row r="35" spans="1:13" x14ac:dyDescent="0.25">
      <c r="E35" s="403">
        <f>Data!AS334</f>
        <v>0</v>
      </c>
      <c r="F35" s="403">
        <f>Data!AT334</f>
        <v>0</v>
      </c>
      <c r="G35" s="403">
        <f>Data!AU334</f>
        <v>0</v>
      </c>
      <c r="H35" s="403">
        <f>Data!AV334</f>
        <v>0</v>
      </c>
      <c r="I35" s="403">
        <f>Data!AW334</f>
        <v>0</v>
      </c>
      <c r="J35" s="403">
        <f>Data!AX334</f>
        <v>0</v>
      </c>
      <c r="K35" s="403">
        <f>Data!AY334</f>
        <v>0</v>
      </c>
      <c r="L35" s="403">
        <f>Data!AZ334</f>
        <v>0</v>
      </c>
      <c r="M35" s="403">
        <f>Data!BA334</f>
        <v>0</v>
      </c>
    </row>
    <row r="36" spans="1:13" x14ac:dyDescent="0.25">
      <c r="A36" s="397" t="s">
        <v>934</v>
      </c>
      <c r="E36" s="405">
        <f>Data!AS335</f>
        <v>111.81250000000001</v>
      </c>
      <c r="F36" s="405">
        <f>Data!AT335</f>
        <v>8252478.4800000014</v>
      </c>
      <c r="G36" s="405">
        <f>Data!AU335</f>
        <v>3036087.8500000006</v>
      </c>
      <c r="H36" s="405">
        <f>Data!AV335</f>
        <v>7950858.669999999</v>
      </c>
      <c r="I36" s="405">
        <f>Data!AW335</f>
        <v>1400000</v>
      </c>
      <c r="J36" s="405">
        <f>Data!AX335</f>
        <v>1640592.8202087001</v>
      </c>
      <c r="K36" s="405">
        <f>Data!AY335</f>
        <v>7950858.669999999</v>
      </c>
      <c r="L36" s="405">
        <f>Data!AZ335</f>
        <v>1540000</v>
      </c>
      <c r="M36" s="405">
        <f>Data!BA335</f>
        <v>1584127.8377847001</v>
      </c>
    </row>
    <row r="37" spans="1:13" x14ac:dyDescent="0.25">
      <c r="E37" s="403">
        <f>Data!AS336</f>
        <v>0</v>
      </c>
      <c r="F37" s="403">
        <f>Data!AT336</f>
        <v>0</v>
      </c>
      <c r="G37" s="403">
        <f>Data!AU336</f>
        <v>0</v>
      </c>
      <c r="H37" s="403">
        <f>Data!AV336</f>
        <v>0</v>
      </c>
      <c r="I37" s="403">
        <f>Data!AW336</f>
        <v>0</v>
      </c>
      <c r="J37" s="403">
        <f>Data!AX336</f>
        <v>0</v>
      </c>
      <c r="K37" s="403">
        <f>Data!AY336</f>
        <v>0</v>
      </c>
      <c r="L37" s="403">
        <f>Data!AZ336</f>
        <v>0</v>
      </c>
      <c r="M37" s="403">
        <f>Data!BA336</f>
        <v>0</v>
      </c>
    </row>
    <row r="38" spans="1:13" x14ac:dyDescent="0.25">
      <c r="A38" s="393" t="s">
        <v>935</v>
      </c>
      <c r="E38" s="403">
        <f>Data!AS337</f>
        <v>0</v>
      </c>
      <c r="F38" s="403">
        <f>Data!AT337</f>
        <v>0</v>
      </c>
      <c r="G38" s="403">
        <f>Data!AU337</f>
        <v>0</v>
      </c>
      <c r="H38" s="403">
        <f>Data!AV337</f>
        <v>0</v>
      </c>
      <c r="I38" s="403">
        <f>Data!AW337</f>
        <v>0</v>
      </c>
      <c r="J38" s="403">
        <f>Data!AX337</f>
        <v>0</v>
      </c>
      <c r="K38" s="403">
        <f>Data!AY337</f>
        <v>0</v>
      </c>
      <c r="L38" s="403">
        <f>Data!AZ337</f>
        <v>0</v>
      </c>
      <c r="M38" s="403">
        <f>Data!BA337</f>
        <v>0</v>
      </c>
    </row>
    <row r="39" spans="1:13" x14ac:dyDescent="0.25">
      <c r="C39" t="s">
        <v>834</v>
      </c>
      <c r="E39" s="403">
        <f>Data!AS338</f>
        <v>0</v>
      </c>
      <c r="F39" s="403">
        <f>Data!AT338</f>
        <v>11520</v>
      </c>
      <c r="G39" s="403">
        <f>Data!AU338</f>
        <v>1021.61</v>
      </c>
      <c r="H39" s="403">
        <f>Data!AV338</f>
        <v>11520</v>
      </c>
      <c r="I39" s="403">
        <f>Data!AW338</f>
        <v>0</v>
      </c>
      <c r="J39" s="403">
        <f>Data!AX338</f>
        <v>1021.61</v>
      </c>
      <c r="K39" s="403">
        <f>Data!AY338</f>
        <v>11520</v>
      </c>
      <c r="L39" s="403">
        <f>Data!AZ338</f>
        <v>0</v>
      </c>
      <c r="M39" s="403">
        <f>Data!BA338</f>
        <v>1021.61</v>
      </c>
    </row>
    <row r="40" spans="1:13" x14ac:dyDescent="0.25">
      <c r="B40" t="s">
        <v>913</v>
      </c>
      <c r="E40" s="404">
        <f>Data!AS339</f>
        <v>0</v>
      </c>
      <c r="F40" s="404">
        <f>Data!AT339</f>
        <v>11520</v>
      </c>
      <c r="G40" s="404">
        <f>Data!AU339</f>
        <v>1021.61</v>
      </c>
      <c r="H40" s="404">
        <f>Data!AV339</f>
        <v>11520</v>
      </c>
      <c r="I40" s="404">
        <f>Data!AW339</f>
        <v>0</v>
      </c>
      <c r="J40" s="404">
        <f>Data!AX339</f>
        <v>1021.61</v>
      </c>
      <c r="K40" s="404">
        <f>Data!AY339</f>
        <v>11520</v>
      </c>
      <c r="L40" s="404">
        <f>Data!AZ339</f>
        <v>0</v>
      </c>
      <c r="M40" s="404">
        <f>Data!BA339</f>
        <v>1021.61</v>
      </c>
    </row>
    <row r="41" spans="1:13" x14ac:dyDescent="0.25">
      <c r="E41" s="403">
        <f>Data!AS340</f>
        <v>0</v>
      </c>
      <c r="F41" s="403">
        <f>Data!AT340</f>
        <v>0</v>
      </c>
      <c r="G41" s="403">
        <f>Data!AU340</f>
        <v>0</v>
      </c>
      <c r="H41" s="403">
        <f>Data!AV340</f>
        <v>0</v>
      </c>
      <c r="I41" s="403">
        <f>Data!AW340</f>
        <v>0</v>
      </c>
      <c r="J41" s="403">
        <f>Data!AX340</f>
        <v>0</v>
      </c>
      <c r="K41" s="403">
        <f>Data!AY340</f>
        <v>0</v>
      </c>
      <c r="L41" s="403">
        <f>Data!AZ340</f>
        <v>0</v>
      </c>
      <c r="M41" s="403">
        <f>Data!BA340</f>
        <v>0</v>
      </c>
    </row>
    <row r="42" spans="1:13" x14ac:dyDescent="0.25">
      <c r="A42" s="397" t="s">
        <v>936</v>
      </c>
      <c r="E42" s="405">
        <f>Data!AS341</f>
        <v>0</v>
      </c>
      <c r="F42" s="405">
        <f>Data!AT341</f>
        <v>11520</v>
      </c>
      <c r="G42" s="405">
        <f>Data!AU341</f>
        <v>1021.61</v>
      </c>
      <c r="H42" s="405">
        <f>Data!AV341</f>
        <v>11520</v>
      </c>
      <c r="I42" s="405">
        <f>Data!AW341</f>
        <v>0</v>
      </c>
      <c r="J42" s="405">
        <f>Data!AX341</f>
        <v>1021.61</v>
      </c>
      <c r="K42" s="405">
        <f>Data!AY341</f>
        <v>11520</v>
      </c>
      <c r="L42" s="405">
        <f>Data!AZ341</f>
        <v>0</v>
      </c>
      <c r="M42" s="405">
        <f>Data!BA341</f>
        <v>1021.61</v>
      </c>
    </row>
    <row r="43" spans="1:13" x14ac:dyDescent="0.25">
      <c r="E43" s="403">
        <f>Data!AS342</f>
        <v>0</v>
      </c>
      <c r="F43" s="403">
        <f>Data!AT342</f>
        <v>0</v>
      </c>
      <c r="G43" s="403">
        <f>Data!AU342</f>
        <v>0</v>
      </c>
      <c r="H43" s="403">
        <f>Data!AV342</f>
        <v>0</v>
      </c>
      <c r="I43" s="403">
        <f>Data!AW342</f>
        <v>0</v>
      </c>
      <c r="J43" s="403">
        <f>Data!AX342</f>
        <v>0</v>
      </c>
      <c r="K43" s="403">
        <f>Data!AY342</f>
        <v>0</v>
      </c>
      <c r="L43" s="403">
        <f>Data!AZ342</f>
        <v>0</v>
      </c>
      <c r="M43" s="403">
        <f>Data!BA342</f>
        <v>0</v>
      </c>
    </row>
    <row r="44" spans="1:13" x14ac:dyDescent="0.25">
      <c r="A44" s="398" t="s">
        <v>937</v>
      </c>
      <c r="E44" s="401">
        <f>Data!AS343</f>
        <v>111.81250000000001</v>
      </c>
      <c r="F44" s="402">
        <f>Data!AT343</f>
        <v>8263998.4800000014</v>
      </c>
      <c r="G44" s="402">
        <f>Data!AU343</f>
        <v>3037109.4600000004</v>
      </c>
      <c r="H44" s="402">
        <f>Data!AV343</f>
        <v>7962378.669999999</v>
      </c>
      <c r="I44" s="402">
        <f>Data!AW343</f>
        <v>1400000</v>
      </c>
      <c r="J44" s="402">
        <f>Data!AX343</f>
        <v>1641614.4302087002</v>
      </c>
      <c r="K44" s="402">
        <f>Data!AY343</f>
        <v>7962378.669999999</v>
      </c>
      <c r="L44" s="402">
        <f>Data!AZ343</f>
        <v>1540000</v>
      </c>
      <c r="M44" s="402">
        <f>Data!BA343</f>
        <v>1585149.4477847002</v>
      </c>
    </row>
  </sheetData>
  <mergeCells count="5">
    <mergeCell ref="F5:G5"/>
    <mergeCell ref="I5:J5"/>
    <mergeCell ref="L5:M5"/>
    <mergeCell ref="H5:H6"/>
    <mergeCell ref="K5:K6"/>
  </mergeCells>
  <pageMargins left="0.7" right="0.7" top="0.75" bottom="0.75" header="0.3" footer="0.3"/>
  <pageSetup scale="78" orientation="landscape" horizontalDpi="1200" verticalDpi="1200" r:id="rId1"/>
  <headerFooter>
    <oddHeader>&amp;L&amp;"Arial"&amp;14 State Board of Education&amp;R&amp;"Arial"&amp;10 Agency 170</oddHeader>
    <oddFooter>&amp;L&amp;"Arial"&amp;10 B6:Summary by Fund&amp;R&amp;"Arial"&amp;10 FY 2023 Request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79937-ED6C-4664-AD51-98F2C607405C}">
  <sheetPr codeName="Sheet6"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824</v>
      </c>
      <c r="E1" s="15"/>
      <c r="F1" s="15"/>
      <c r="G1" s="15"/>
      <c r="H1" s="15"/>
      <c r="I1" s="15"/>
      <c r="J1" s="15"/>
      <c r="K1" s="15"/>
      <c r="L1" s="16" t="s">
        <v>14</v>
      </c>
      <c r="M1" s="471">
        <v>170</v>
      </c>
      <c r="N1" s="472"/>
      <c r="AA1" s="365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 t="s">
        <v>825</v>
      </c>
      <c r="E2" s="21"/>
      <c r="F2" s="21"/>
      <c r="G2" s="21"/>
      <c r="H2" s="21"/>
      <c r="I2" s="21"/>
      <c r="J2" s="20"/>
      <c r="K2" s="20"/>
      <c r="L2" s="22" t="s">
        <v>111</v>
      </c>
      <c r="M2" s="473" t="s">
        <v>829</v>
      </c>
      <c r="N2" s="474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 t="s">
        <v>826</v>
      </c>
      <c r="E3" s="24"/>
      <c r="F3" s="25"/>
      <c r="G3" s="25"/>
      <c r="H3" s="25"/>
      <c r="I3" s="26"/>
      <c r="J3" s="20"/>
      <c r="K3" s="20"/>
      <c r="L3" s="22" t="s">
        <v>112</v>
      </c>
      <c r="M3" s="471" t="s">
        <v>168</v>
      </c>
      <c r="N3" s="472"/>
      <c r="AA3" s="365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71">
        <v>2024</v>
      </c>
      <c r="N4" s="472"/>
      <c r="AA4" s="365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73" t="s">
        <v>827</v>
      </c>
      <c r="J5" s="475"/>
      <c r="K5" s="475"/>
      <c r="L5" s="474"/>
      <c r="M5" s="352" t="s">
        <v>113</v>
      </c>
      <c r="N5" s="32" t="s">
        <v>828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1" t="s">
        <v>21</v>
      </c>
      <c r="C8" s="476" t="s">
        <v>22</v>
      </c>
      <c r="D8" s="477"/>
      <c r="E8" s="371" t="s">
        <v>23</v>
      </c>
      <c r="F8" s="49" t="s">
        <v>24</v>
      </c>
      <c r="G8" s="50" t="str">
        <f>"FY "&amp;'EDBC|0125-00'!FiscalYear-1&amp;" SALARY"</f>
        <v>FY 2023 SALARY</v>
      </c>
      <c r="H8" s="50" t="str">
        <f>"FY "&amp;'EDBC|0125-00'!FiscalYear-1&amp;" HEALTH BENEFITS"</f>
        <v>FY 2023 HEALTH BENEFITS</v>
      </c>
      <c r="I8" s="50" t="str">
        <f>"FY "&amp;'EDBC|0125-00'!FiscalYear-1&amp;" VAR BENEFITS"</f>
        <v>FY 2023 VAR BENEFITS</v>
      </c>
      <c r="J8" s="50" t="str">
        <f>"FY "&amp;'EDBC|0125-00'!FiscalYear-1&amp;" TOTAL"</f>
        <v>FY 2023 TOTAL</v>
      </c>
      <c r="K8" s="50" t="str">
        <f>"FY "&amp;'EDBC|0125-00'!FiscalYear&amp;" SALARY CHANGE"</f>
        <v>FY 2024 SALARY CHANGE</v>
      </c>
      <c r="L8" s="50" t="str">
        <f>"FY "&amp;'EDBC|0125-00'!FiscalYear&amp;" CHG HEALTH BENEFITS"</f>
        <v>FY 2024 CHG HEALTH BENEFITS</v>
      </c>
      <c r="M8" s="50" t="str">
        <f>"FY "&amp;'EDBC|0125-00'!FiscalYear&amp;"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7" t="s">
        <v>103</v>
      </c>
      <c r="AB8" s="467"/>
      <c r="AC8" s="467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8" t="s">
        <v>26</v>
      </c>
      <c r="D9" s="469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7" t="s">
        <v>27</v>
      </c>
      <c r="D10" s="470"/>
      <c r="E10" s="217">
        <v>1</v>
      </c>
      <c r="F10" s="288">
        <f>[0]!EDBC012500col_INC_FTI</f>
        <v>5.6499999999999995</v>
      </c>
      <c r="G10" s="218">
        <f>[0]!EDBC012500col_FTI_SALARY_PERM</f>
        <v>380609.18999999994</v>
      </c>
      <c r="H10" s="218">
        <f>[0]!EDBC012500col_HEALTH_PERM</f>
        <v>70625</v>
      </c>
      <c r="I10" s="218">
        <f>[0]!EDBC012500col_TOT_VB_PERM</f>
        <v>78535.320105899998</v>
      </c>
      <c r="J10" s="219">
        <f>SUM(G10:I10)</f>
        <v>529769.5101059</v>
      </c>
      <c r="K10" s="219">
        <f>[0]!EDBC012500col_1_27TH_PP</f>
        <v>0</v>
      </c>
      <c r="L10" s="218">
        <f>[0]!EDBC012500col_HEALTH_PERM_CHG</f>
        <v>7062.5</v>
      </c>
      <c r="M10" s="218">
        <f>[0]!EDBC012500col_TOT_VB_PERM_CHG</f>
        <v>-2714.3461680000037</v>
      </c>
      <c r="N10" s="218">
        <f>SUM(L10:M10)</f>
        <v>4348.1538319999963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3800</v>
      </c>
      <c r="AB10" s="335">
        <f>ROUND(PermVarBen*CECPerm+(CECPerm*PermVarBenChg),-2)</f>
        <v>800</v>
      </c>
      <c r="AC10" s="335">
        <f>SUM(AA10:AB10)</f>
        <v>4600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7" t="s">
        <v>28</v>
      </c>
      <c r="D11" s="470"/>
      <c r="E11" s="217">
        <v>2</v>
      </c>
      <c r="F11" s="288"/>
      <c r="G11" s="218">
        <f>[0]!EDBC012500col_Group_Salary</f>
        <v>0</v>
      </c>
      <c r="H11" s="218">
        <v>0</v>
      </c>
      <c r="I11" s="218">
        <f>[0]!EDBC012500col_Group_Ben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7" t="s">
        <v>29</v>
      </c>
      <c r="D12" s="448"/>
      <c r="E12" s="217">
        <v>3</v>
      </c>
      <c r="F12" s="288">
        <f>[0]!EDBC012500col_TOTAL_ELECT_PCN_FTI</f>
        <v>0</v>
      </c>
      <c r="G12" s="218">
        <f>[0]!EDBC012500col_FTI_SALARY_ELECT</f>
        <v>0</v>
      </c>
      <c r="H12" s="218">
        <f>[0]!EDBC012500col_HEALTH_ELECT</f>
        <v>0</v>
      </c>
      <c r="I12" s="218">
        <f>[0]!EDBC012500col_TOT_VB_ELECT</f>
        <v>0</v>
      </c>
      <c r="J12" s="219">
        <f>SUM(G12:I12)</f>
        <v>0</v>
      </c>
      <c r="K12" s="268"/>
      <c r="L12" s="218">
        <f>[0]!EDBC012500col_HEALTH_ELECT_CHG</f>
        <v>0</v>
      </c>
      <c r="M12" s="218">
        <f>[0]!EDBC012500col_TOT_VB_ELECT_CHG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7" t="s">
        <v>30</v>
      </c>
      <c r="D13" s="470"/>
      <c r="E13" s="217"/>
      <c r="F13" s="220">
        <f>SUM(F10:F12)</f>
        <v>5.6499999999999995</v>
      </c>
      <c r="G13" s="221">
        <f>SUM(G10:G12)</f>
        <v>380609.18999999994</v>
      </c>
      <c r="H13" s="221">
        <f>SUM(H10:H12)</f>
        <v>70625</v>
      </c>
      <c r="I13" s="221">
        <f>SUM(I10:I12)</f>
        <v>78535.320105899998</v>
      </c>
      <c r="J13" s="219">
        <f>SUM(G13:I13)</f>
        <v>529769.5101059</v>
      </c>
      <c r="K13" s="268"/>
      <c r="L13" s="219">
        <f>SUM(L10:L12)</f>
        <v>7062.5</v>
      </c>
      <c r="M13" s="219">
        <f>SUM(M10:M12)</f>
        <v>-2714.3461680000037</v>
      </c>
      <c r="N13" s="219">
        <f>SUM(N10:N12)</f>
        <v>4348.1538319999963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"&amp;'EDBC|0125-00'!FiscalYear-1</f>
        <v>FY 2023</v>
      </c>
      <c r="D15" s="158" t="s">
        <v>31</v>
      </c>
      <c r="E15" s="355">
        <v>759400</v>
      </c>
      <c r="F15" s="55">
        <v>6.04</v>
      </c>
      <c r="G15" s="223">
        <f>IF(OrigApprop=0,0,(G13/$J$13)*OrigApprop)</f>
        <v>545585.6053856751</v>
      </c>
      <c r="H15" s="223">
        <f>IF(OrigApprop=0,0,(H13/$J$13)*OrigApprop)</f>
        <v>101237.65897603078</v>
      </c>
      <c r="I15" s="223">
        <f>IF(G15=0,0,(I13/$J$13)*OrigApprop)</f>
        <v>112576.73563829405</v>
      </c>
      <c r="J15" s="223">
        <f>SUM(G15:I15)</f>
        <v>759399.99999999988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7" t="s">
        <v>32</v>
      </c>
      <c r="D16" s="458"/>
      <c r="E16" s="160" t="s">
        <v>33</v>
      </c>
      <c r="F16" s="161">
        <f>F15-F13</f>
        <v>0.39000000000000057</v>
      </c>
      <c r="G16" s="162">
        <f>G15-G13</f>
        <v>164976.41538567515</v>
      </c>
      <c r="H16" s="162">
        <f>H15-H13</f>
        <v>30612.658976030783</v>
      </c>
      <c r="I16" s="162">
        <f>I15-I13</f>
        <v>34041.41553239405</v>
      </c>
      <c r="J16" s="162">
        <f>J15-J13</f>
        <v>229630.48989409988</v>
      </c>
      <c r="K16" s="269"/>
      <c r="L16" s="56" t="str">
        <f>IF('EDBC|0125-00'!OrigApprop=0,"No Original Appropriation amount in DU 3.00 for this fund","Calculated "&amp;IF('EDBC|0125-00'!AdjustedTotal&gt;0,"overfunding ","underfunding ")&amp;"is "&amp;TEXT('EDBC|0125-00'!AdjustedTotal/'EDBC|0125-00'!AppropTotal,"#.0%;(#.0% );0% ;")&amp;" of Original Appropriation")</f>
        <v>Calculated overfunding is 30.2%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9" t="s">
        <v>34</v>
      </c>
      <c r="D17" s="460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61" t="s">
        <v>35</v>
      </c>
      <c r="D18" s="462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63" t="s">
        <v>37</v>
      </c>
      <c r="D37" s="464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5" t="s">
        <v>105</v>
      </c>
      <c r="AB37" s="466"/>
      <c r="AC37" s="466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7" t="str">
        <f>perm_name</f>
        <v>Permanent Positions</v>
      </c>
      <c r="D38" s="448"/>
      <c r="E38" s="189">
        <v>1</v>
      </c>
      <c r="F38" s="190">
        <f>SUMIF($E9:$E35,$E38,$F9:$F35)</f>
        <v>5.6499999999999995</v>
      </c>
      <c r="G38" s="191">
        <f>SUMIF($E10:$E35,$E38,$G10:$G35)</f>
        <v>380609.18999999994</v>
      </c>
      <c r="H38" s="192">
        <f>SUMIF($E10:$E35,$E38,$H10:$H35)</f>
        <v>70625</v>
      </c>
      <c r="I38" s="192">
        <f>SUMIF($E10:$E35,$E38,$I10:$I35)</f>
        <v>78535.320105899998</v>
      </c>
      <c r="J38" s="192">
        <f>SUM(G38:I38)</f>
        <v>529769.5101059</v>
      </c>
      <c r="K38" s="166"/>
      <c r="L38" s="191">
        <f>SUMIF($E10:$E35,$E38,$L10:$L35)</f>
        <v>7062.5</v>
      </c>
      <c r="M38" s="192">
        <f>SUMIF($E10:$E35,$E38,$M10:$M35)</f>
        <v>-2714.3461680000037</v>
      </c>
      <c r="N38" s="192">
        <f>SUM(L38:M38)</f>
        <v>4348.1538319999963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3800</v>
      </c>
      <c r="AB38" s="338">
        <f>ROUND((AdjPermVB*CECPerm+AdjPermVBBY*CECPerm),-2)</f>
        <v>800</v>
      </c>
      <c r="AC38" s="338">
        <f>SUM(AA38:AB38)</f>
        <v>4600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7" t="str">
        <f>Group_name</f>
        <v>Board &amp; Group Positions</v>
      </c>
      <c r="D39" s="448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7" t="s">
        <v>38</v>
      </c>
      <c r="D41" s="448"/>
      <c r="E41" s="189"/>
      <c r="F41" s="161">
        <f>SUM(F38:F40)</f>
        <v>5.6499999999999995</v>
      </c>
      <c r="G41" s="195">
        <f>SUM($G$38:$G$40)</f>
        <v>380609.18999999994</v>
      </c>
      <c r="H41" s="162">
        <f>SUM($H$38:$H$40)</f>
        <v>70625</v>
      </c>
      <c r="I41" s="162">
        <f>SUM($I$38:$I$40)</f>
        <v>78535.320105899998</v>
      </c>
      <c r="J41" s="162">
        <f>SUM($J$38:$J$40)</f>
        <v>529769.5101059</v>
      </c>
      <c r="K41" s="259"/>
      <c r="L41" s="195">
        <f>SUM($L$38:$L$40)</f>
        <v>7062.5</v>
      </c>
      <c r="M41" s="162">
        <f>SUM($M$38:$M$40)</f>
        <v>-2714.3461680000037</v>
      </c>
      <c r="N41" s="162">
        <f>SUM(L41:M41)</f>
        <v>4348.1538319999963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9"/>
      <c r="D42" s="450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51" t="s">
        <v>39</v>
      </c>
      <c r="D43" s="452"/>
      <c r="E43" s="203" t="s">
        <v>40</v>
      </c>
      <c r="F43" s="205">
        <f>ROUND(F51-F41,2)</f>
        <v>0.39</v>
      </c>
      <c r="G43" s="206">
        <f>G51-G41</f>
        <v>164976.41538567515</v>
      </c>
      <c r="H43" s="159">
        <f>H51-H41</f>
        <v>30612.658976030783</v>
      </c>
      <c r="I43" s="159">
        <f>I51-I41</f>
        <v>34041.41553239405</v>
      </c>
      <c r="J43" s="159">
        <f>SUM(G43:I43)</f>
        <v>229630.48989409997</v>
      </c>
      <c r="K43" s="428" t="str">
        <f>IF(E51=0,"No Original Appropriation amount in DU 3.00 for this fund","Calculated "&amp;IF(J43&gt;0,"overfunding ","underfunding ")&amp;"is "&amp;TEXT(J43/J51,"#.0%;(#.0% );0%;")&amp;" of Original Appropriation")</f>
        <v>Calculated overfunding is 30.2% of Original Appropriation</v>
      </c>
      <c r="L43" s="429"/>
      <c r="M43" s="429"/>
      <c r="N43" s="430"/>
      <c r="O43"/>
      <c r="P43"/>
      <c r="Q43"/>
      <c r="R43"/>
      <c r="S43"/>
      <c r="T43"/>
      <c r="U43"/>
      <c r="V43"/>
      <c r="W43"/>
      <c r="X43"/>
      <c r="Y43"/>
      <c r="Z43" s="344"/>
      <c r="AA43" s="455" t="s">
        <v>106</v>
      </c>
      <c r="AB43" s="456"/>
      <c r="AC43" s="456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3"/>
      <c r="D44" s="454"/>
      <c r="E44" s="204" t="s">
        <v>41</v>
      </c>
      <c r="F44" s="205">
        <f>ROUND(F60-F41,2)</f>
        <v>0.39</v>
      </c>
      <c r="G44" s="206">
        <f>G60-G41</f>
        <v>164990.81000000006</v>
      </c>
      <c r="H44" s="159">
        <f>H60-H41</f>
        <v>30575</v>
      </c>
      <c r="I44" s="159">
        <f>I60-I41</f>
        <v>34064.679894100002</v>
      </c>
      <c r="J44" s="159">
        <f>SUM(G44:I44)</f>
        <v>229630.48989410006</v>
      </c>
      <c r="K44" s="428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overfunding is 30.2% of Est. Expenditures</v>
      </c>
      <c r="L44" s="429"/>
      <c r="M44" s="429"/>
      <c r="N44" s="430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0.39</v>
      </c>
      <c r="G45" s="206">
        <f>G67-G41-G63</f>
        <v>164990.81000000006</v>
      </c>
      <c r="H45" s="206">
        <f>H67-H41-H63</f>
        <v>30575</v>
      </c>
      <c r="I45" s="206">
        <f>I67-I41-I63</f>
        <v>34064.679894100002</v>
      </c>
      <c r="J45" s="159">
        <f>SUM(G45:I45)</f>
        <v>229630.48989410006</v>
      </c>
      <c r="K45" s="428" t="str">
        <f>IF(J67=0,"This fund has a $0 Base in DU 9.00",IF(J67=0,"ERROR! Verify/enter 8 series adjustments!","Calculated "&amp;IF(J45&gt;0,"overfunding ","underfunding ")&amp;"is "&amp;TEXT(J45/J67,"#.0%;(#.0% );0%;")&amp;" of the Base"))</f>
        <v>Calculated overfunding is 30.2% of the Base</v>
      </c>
      <c r="L45" s="429"/>
      <c r="M45" s="429"/>
      <c r="N45" s="430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31" t="s">
        <v>98</v>
      </c>
      <c r="F46" s="432"/>
      <c r="G46" s="432"/>
      <c r="H46" s="432"/>
      <c r="I46" s="432"/>
      <c r="J46" s="433"/>
      <c r="K46" s="437" t="str">
        <f>IF(OR(J45&lt;0,F45&lt;0),"You may not have sufficient funding or authorized FTP, and may need to make additional adjustments to finalize this form.  Please contact both your DFM and LSO analysts.","")</f>
        <v/>
      </c>
      <c r="L46" s="438"/>
      <c r="M46" s="438"/>
      <c r="N46" s="439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4"/>
      <c r="F47" s="435"/>
      <c r="G47" s="435"/>
      <c r="H47" s="435"/>
      <c r="I47" s="435"/>
      <c r="J47" s="436"/>
      <c r="K47" s="440"/>
      <c r="L47" s="441"/>
      <c r="M47" s="441"/>
      <c r="N47" s="442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3"/>
      <c r="D50" s="444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759400</v>
      </c>
      <c r="F51" s="272">
        <f>AppropFTP</f>
        <v>6.04</v>
      </c>
      <c r="G51" s="274">
        <f>IF(E51=0,0,(G41/$J$41)*$E$51)</f>
        <v>545585.6053856751</v>
      </c>
      <c r="H51" s="274">
        <f>IF(E51=0,0,(H41/$J$41)*$E$51)</f>
        <v>101237.65897603078</v>
      </c>
      <c r="I51" s="275">
        <f>IF(E51=0,0,(I41/$J$41)*$E$51)</f>
        <v>112576.73563829405</v>
      </c>
      <c r="J51" s="90">
        <f>SUM(G51:I51)</f>
        <v>759399.99999999988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6.04</v>
      </c>
      <c r="G52" s="79">
        <f>ROUND(G51,-2)</f>
        <v>545600</v>
      </c>
      <c r="H52" s="79">
        <f>ROUND(H51,-2)</f>
        <v>101200</v>
      </c>
      <c r="I52" s="266">
        <f>ROUND(I51,-2)</f>
        <v>112600</v>
      </c>
      <c r="J52" s="80">
        <f>ROUND(J51,-2)</f>
        <v>759400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5" t="s">
        <v>47</v>
      </c>
      <c r="D53" s="446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10" t="s">
        <v>48</v>
      </c>
      <c r="D54" s="411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17" t="s">
        <v>49</v>
      </c>
      <c r="D55" s="418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6.04</v>
      </c>
      <c r="G56" s="80">
        <f>SUM(G52:G55)</f>
        <v>545600</v>
      </c>
      <c r="H56" s="80">
        <f>SUM(H52:H55)</f>
        <v>101200</v>
      </c>
      <c r="I56" s="260">
        <f>SUM(I52:I55)</f>
        <v>112600</v>
      </c>
      <c r="J56" s="80">
        <f>SUM(J52:J55)</f>
        <v>759400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15" t="s">
        <v>51</v>
      </c>
      <c r="D57" s="419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20" t="s">
        <v>116</v>
      </c>
      <c r="D58" s="421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20" t="s">
        <v>52</v>
      </c>
      <c r="D59" s="421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6.04</v>
      </c>
      <c r="G60" s="80">
        <f>SUM(G56:G59)</f>
        <v>545600</v>
      </c>
      <c r="H60" s="80">
        <f>SUM(H56:H59)</f>
        <v>101200</v>
      </c>
      <c r="I60" s="260">
        <f>SUM(I56:I59)</f>
        <v>112600</v>
      </c>
      <c r="J60" s="80">
        <f>SUM(J56:J59)</f>
        <v>759400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15" t="s">
        <v>54</v>
      </c>
      <c r="D61" s="419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10" t="s">
        <v>65</v>
      </c>
      <c r="D62" s="411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10" t="s">
        <v>55</v>
      </c>
      <c r="D63" s="411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22" t="s">
        <v>56</v>
      </c>
      <c r="D64" s="423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24"/>
      <c r="D65" s="425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26"/>
      <c r="D66" s="427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6.04</v>
      </c>
      <c r="G67" s="80">
        <f>SUM(G60:G64)</f>
        <v>545600</v>
      </c>
      <c r="H67" s="80">
        <f>SUM(H60:H64)</f>
        <v>101200</v>
      </c>
      <c r="I67" s="80">
        <f>SUM(I60:I64)</f>
        <v>112600</v>
      </c>
      <c r="J67" s="80">
        <f>SUM(J60:J64)</f>
        <v>759400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15" t="s">
        <v>58</v>
      </c>
      <c r="D68" s="416"/>
      <c r="E68" s="112"/>
      <c r="F68" s="288"/>
      <c r="G68" s="287"/>
      <c r="H68" s="113">
        <f>IF(DUNine=0,0,ROUND(SUM(L41:L65),-2))</f>
        <v>7100</v>
      </c>
      <c r="I68" s="113"/>
      <c r="J68" s="287">
        <f>SUM(G68:I68)</f>
        <v>7100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15" t="s">
        <v>59</v>
      </c>
      <c r="D69" s="416"/>
      <c r="E69" s="112"/>
      <c r="F69" s="288"/>
      <c r="G69" s="113"/>
      <c r="H69" s="113"/>
      <c r="I69" s="113">
        <f>IF(DUNine=0,0,ROUND(SUM(M41:M64),-2))</f>
        <v>-2700</v>
      </c>
      <c r="J69" s="287">
        <f>SUM(G69:I69)</f>
        <v>-2700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8"/>
      <c r="D70" s="409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10" t="s">
        <v>60</v>
      </c>
      <c r="D71" s="411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10" t="s">
        <v>99</v>
      </c>
      <c r="D72" s="412"/>
      <c r="E72" s="290">
        <f>CECPerm</f>
        <v>0.01</v>
      </c>
      <c r="F72" s="288"/>
      <c r="G72" s="356">
        <f>IF(DUNine=0,0,IF(DUNine&lt;0,0,ROUND(AdjPermSalary*CECPerm,-2)))</f>
        <v>3800</v>
      </c>
      <c r="H72" s="287"/>
      <c r="I72" s="287">
        <f>ROUND(($G72*PermVBBY+$G72*Retire1BY),-2)</f>
        <v>800</v>
      </c>
      <c r="J72" s="113">
        <f>SUM(G72:I72)</f>
        <v>4600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10" t="s">
        <v>117</v>
      </c>
      <c r="D73" s="412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6.04</v>
      </c>
      <c r="G75" s="80">
        <f>SUM(G67:G74)</f>
        <v>549400</v>
      </c>
      <c r="H75" s="80">
        <f>SUM(H67:H74)</f>
        <v>108300</v>
      </c>
      <c r="I75" s="80">
        <f>SUM(I67:I74)</f>
        <v>110700</v>
      </c>
      <c r="J75" s="80">
        <f>SUM(J67:K74)</f>
        <v>768400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3" t="s">
        <v>63</v>
      </c>
      <c r="D76" s="414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6"/>
      <c r="D77" s="407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6"/>
      <c r="D78" s="407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6"/>
      <c r="D79" s="407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6.04</v>
      </c>
      <c r="G80" s="80">
        <f>SUM(G75:G79)</f>
        <v>549400</v>
      </c>
      <c r="H80" s="80">
        <f>SUM(H75:H79)</f>
        <v>108300</v>
      </c>
      <c r="I80" s="80">
        <f>SUM(I75:I79)</f>
        <v>110700</v>
      </c>
      <c r="J80" s="80">
        <f>SUM(J75:J79)</f>
        <v>768400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116" priority="8">
      <formula>$J$44&lt;0</formula>
    </cfRule>
  </conditionalFormatting>
  <conditionalFormatting sqref="K43">
    <cfRule type="expression" dxfId="115" priority="7">
      <formula>$J$43&lt;0</formula>
    </cfRule>
  </conditionalFormatting>
  <conditionalFormatting sqref="L16">
    <cfRule type="expression" dxfId="114" priority="6">
      <formula>$J$16&lt;0</formula>
    </cfRule>
  </conditionalFormatting>
  <conditionalFormatting sqref="K45">
    <cfRule type="expression" dxfId="113" priority="5">
      <formula>$J$44&lt;0</formula>
    </cfRule>
  </conditionalFormatting>
  <conditionalFormatting sqref="K43:N45">
    <cfRule type="containsText" dxfId="112" priority="4" operator="containsText" text="underfunding">
      <formula>NOT(ISERROR(SEARCH("underfunding",K43)))</formula>
    </cfRule>
  </conditionalFormatting>
  <conditionalFormatting sqref="K44">
    <cfRule type="expression" dxfId="111" priority="3">
      <formula>$J$44&lt;0</formula>
    </cfRule>
  </conditionalFormatting>
  <conditionalFormatting sqref="K45">
    <cfRule type="expression" dxfId="110" priority="2">
      <formula>$J$44&lt;0</formula>
    </cfRule>
  </conditionalFormatting>
  <conditionalFormatting sqref="K45">
    <cfRule type="expression" dxfId="109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EAFF794-0D3C-42CB-9924-104993809CB2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B2981-D948-433A-8F84-29DC0C496486}">
  <sheetPr codeName="Sheet8"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824</v>
      </c>
      <c r="E1" s="15"/>
      <c r="F1" s="15"/>
      <c r="G1" s="15"/>
      <c r="H1" s="15"/>
      <c r="I1" s="15"/>
      <c r="J1" s="15"/>
      <c r="K1" s="15"/>
      <c r="L1" s="16" t="s">
        <v>14</v>
      </c>
      <c r="M1" s="471">
        <v>170</v>
      </c>
      <c r="N1" s="472"/>
      <c r="AA1" s="365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 t="s">
        <v>825</v>
      </c>
      <c r="E2" s="21"/>
      <c r="F2" s="21"/>
      <c r="G2" s="21"/>
      <c r="H2" s="21"/>
      <c r="I2" s="21"/>
      <c r="J2" s="20"/>
      <c r="K2" s="20"/>
      <c r="L2" s="22" t="s">
        <v>111</v>
      </c>
      <c r="M2" s="473" t="s">
        <v>843</v>
      </c>
      <c r="N2" s="474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 t="s">
        <v>826</v>
      </c>
      <c r="E3" s="24"/>
      <c r="F3" s="25"/>
      <c r="G3" s="25"/>
      <c r="H3" s="25"/>
      <c r="I3" s="26"/>
      <c r="J3" s="20"/>
      <c r="K3" s="20"/>
      <c r="L3" s="22" t="s">
        <v>112</v>
      </c>
      <c r="M3" s="471" t="s">
        <v>266</v>
      </c>
      <c r="N3" s="472"/>
      <c r="AA3" s="365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71">
        <v>2024</v>
      </c>
      <c r="N4" s="472"/>
      <c r="AA4" s="365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73" t="s">
        <v>841</v>
      </c>
      <c r="J5" s="475"/>
      <c r="K5" s="475"/>
      <c r="L5" s="474"/>
      <c r="M5" s="352" t="s">
        <v>113</v>
      </c>
      <c r="N5" s="32" t="s">
        <v>842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1" t="s">
        <v>21</v>
      </c>
      <c r="C8" s="476" t="s">
        <v>22</v>
      </c>
      <c r="D8" s="477"/>
      <c r="E8" s="371" t="s">
        <v>23</v>
      </c>
      <c r="F8" s="49" t="s">
        <v>24</v>
      </c>
      <c r="G8" s="50" t="str">
        <f>"FY "&amp;'EDBD|0325-00'!FiscalYear-1&amp;" SALARY"</f>
        <v>FY 2023 SALARY</v>
      </c>
      <c r="H8" s="50" t="str">
        <f>"FY "&amp;'EDBD|0325-00'!FiscalYear-1&amp;" HEALTH BENEFITS"</f>
        <v>FY 2023 HEALTH BENEFITS</v>
      </c>
      <c r="I8" s="50" t="str">
        <f>"FY "&amp;'EDBD|0325-00'!FiscalYear-1&amp;" VAR BENEFITS"</f>
        <v>FY 2023 VAR BENEFITS</v>
      </c>
      <c r="J8" s="50" t="str">
        <f>"FY "&amp;'EDBD|0325-00'!FiscalYear-1&amp;" TOTAL"</f>
        <v>FY 2023 TOTAL</v>
      </c>
      <c r="K8" s="50" t="str">
        <f>"FY "&amp;'EDBD|0325-00'!FiscalYear&amp;" SALARY CHANGE"</f>
        <v>FY 2024 SALARY CHANGE</v>
      </c>
      <c r="L8" s="50" t="str">
        <f>"FY "&amp;'EDBD|0325-00'!FiscalYear&amp;" CHG HEALTH BENEFITS"</f>
        <v>FY 2024 CHG HEALTH BENEFITS</v>
      </c>
      <c r="M8" s="50" t="str">
        <f>"FY "&amp;'EDBD|0325-00'!FiscalYear&amp;"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7" t="s">
        <v>103</v>
      </c>
      <c r="AB8" s="467"/>
      <c r="AC8" s="467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8" t="s">
        <v>26</v>
      </c>
      <c r="D9" s="469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7" t="s">
        <v>27</v>
      </c>
      <c r="D10" s="470"/>
      <c r="E10" s="217">
        <v>1</v>
      </c>
      <c r="F10" s="288">
        <f>[0]!EDBD032500col_INC_FTI</f>
        <v>6</v>
      </c>
      <c r="G10" s="218">
        <f>[0]!EDBD032500col_FTI_SALARY_PERM</f>
        <v>361632.96</v>
      </c>
      <c r="H10" s="218">
        <f>[0]!EDBD032500col_HEALTH_PERM</f>
        <v>75000</v>
      </c>
      <c r="I10" s="218">
        <f>[0]!EDBD032500col_TOT_VB_PERM</f>
        <v>74716.9858656</v>
      </c>
      <c r="J10" s="219">
        <f>SUM(G10:I10)</f>
        <v>511349.94586560002</v>
      </c>
      <c r="K10" s="219">
        <f>[0]!EDBD032500col_1_27TH_PP</f>
        <v>0</v>
      </c>
      <c r="L10" s="218">
        <f>[0]!EDBD032500col_HEALTH_PERM_CHG</f>
        <v>7500</v>
      </c>
      <c r="M10" s="218">
        <f>[0]!EDBD032500col_TOT_VB_PERM_CHG</f>
        <v>-2603.7573120000038</v>
      </c>
      <c r="N10" s="218">
        <f>SUM(L10:M10)</f>
        <v>4896.2426879999966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3600</v>
      </c>
      <c r="AB10" s="335">
        <f>ROUND(PermVarBen*CECPerm+(CECPerm*PermVarBenChg),-2)</f>
        <v>700</v>
      </c>
      <c r="AC10" s="335">
        <f>SUM(AA10:AB10)</f>
        <v>4300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7" t="s">
        <v>28</v>
      </c>
      <c r="D11" s="470"/>
      <c r="E11" s="217">
        <v>2</v>
      </c>
      <c r="F11" s="288"/>
      <c r="G11" s="218">
        <f>[0]!EDBD032500col_Group_Salary</f>
        <v>0</v>
      </c>
      <c r="H11" s="218">
        <v>0</v>
      </c>
      <c r="I11" s="218">
        <f>[0]!EDBD032500col_Group_Ben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7" t="s">
        <v>29</v>
      </c>
      <c r="D12" s="448"/>
      <c r="E12" s="217">
        <v>3</v>
      </c>
      <c r="F12" s="288">
        <f>[0]!EDBD032500col_TOTAL_ELECT_PCN_FTI</f>
        <v>0</v>
      </c>
      <c r="G12" s="218">
        <f>[0]!EDBD032500col_FTI_SALARY_ELECT</f>
        <v>0</v>
      </c>
      <c r="H12" s="218">
        <f>[0]!EDBD032500col_HEALTH_ELECT</f>
        <v>0</v>
      </c>
      <c r="I12" s="218">
        <f>[0]!EDBD032500col_TOT_VB_ELECT</f>
        <v>0</v>
      </c>
      <c r="J12" s="219">
        <f>SUM(G12:I12)</f>
        <v>0</v>
      </c>
      <c r="K12" s="268"/>
      <c r="L12" s="218">
        <f>[0]!EDBD032500col_HEALTH_ELECT_CHG</f>
        <v>0</v>
      </c>
      <c r="M12" s="218">
        <f>[0]!EDBD032500col_TOT_VB_ELECT_CHG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7" t="s">
        <v>30</v>
      </c>
      <c r="D13" s="470"/>
      <c r="E13" s="217"/>
      <c r="F13" s="220">
        <f>SUM(F10:F12)</f>
        <v>6</v>
      </c>
      <c r="G13" s="221">
        <f>SUM(G10:G12)</f>
        <v>361632.96</v>
      </c>
      <c r="H13" s="221">
        <f>SUM(H10:H12)</f>
        <v>75000</v>
      </c>
      <c r="I13" s="221">
        <f>SUM(I10:I12)</f>
        <v>74716.9858656</v>
      </c>
      <c r="J13" s="219">
        <f>SUM(G13:I13)</f>
        <v>511349.94586560002</v>
      </c>
      <c r="K13" s="268"/>
      <c r="L13" s="219">
        <f>SUM(L10:L12)</f>
        <v>7500</v>
      </c>
      <c r="M13" s="219">
        <f>SUM(M10:M12)</f>
        <v>-2603.7573120000038</v>
      </c>
      <c r="N13" s="219">
        <f>SUM(N10:N12)</f>
        <v>4896.2426879999966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"&amp;'EDBD|0325-00'!FiscalYear-1</f>
        <v>FY 2023</v>
      </c>
      <c r="D15" s="158" t="s">
        <v>31</v>
      </c>
      <c r="E15" s="355">
        <v>529600</v>
      </c>
      <c r="F15" s="55">
        <v>6</v>
      </c>
      <c r="G15" s="223">
        <f>IF(OrigApprop=0,0,(G13/$J$13)*OrigApprop)</f>
        <v>374539.62235548598</v>
      </c>
      <c r="H15" s="223">
        <f>IF(OrigApprop=0,0,(H13/$J$13)*OrigApprop)</f>
        <v>77676.746269647105</v>
      </c>
      <c r="I15" s="223">
        <f>IF(G15=0,0,(I13/$J$13)*OrigApprop)</f>
        <v>77383.631374866934</v>
      </c>
      <c r="J15" s="223">
        <f>SUM(G15:I15)</f>
        <v>529600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7" t="s">
        <v>32</v>
      </c>
      <c r="D16" s="458"/>
      <c r="E16" s="160" t="s">
        <v>33</v>
      </c>
      <c r="F16" s="161">
        <f>F15-F13</f>
        <v>0</v>
      </c>
      <c r="G16" s="162">
        <f>G15-G13</f>
        <v>12906.662355485954</v>
      </c>
      <c r="H16" s="162">
        <f>H15-H13</f>
        <v>2676.7462696471048</v>
      </c>
      <c r="I16" s="162">
        <f>I15-I13</f>
        <v>2666.6455092669348</v>
      </c>
      <c r="J16" s="162">
        <f>J15-J13</f>
        <v>18250.054134399979</v>
      </c>
      <c r="K16" s="269"/>
      <c r="L16" s="56" t="str">
        <f>IF('EDBD|0325-00'!OrigApprop=0,"No Original Appropriation amount in DU 3.00 for this fund","Calculated "&amp;IF('EDBD|0325-00'!AdjustedTotal&gt;0,"overfunding ","underfunding ")&amp;"is "&amp;TEXT('EDBD|0325-00'!AdjustedTotal/'EDBD|0325-00'!AppropTotal,"#.0%;(#.0% );0% ;")&amp;" of Original Appropriation")</f>
        <v>Calculated overfunding is 3.4%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9" t="s">
        <v>34</v>
      </c>
      <c r="D17" s="460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61" t="s">
        <v>35</v>
      </c>
      <c r="D18" s="462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63" t="s">
        <v>37</v>
      </c>
      <c r="D37" s="464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5" t="s">
        <v>105</v>
      </c>
      <c r="AB37" s="466"/>
      <c r="AC37" s="466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7" t="str">
        <f>perm_name</f>
        <v>Permanent Positions</v>
      </c>
      <c r="D38" s="448"/>
      <c r="E38" s="189">
        <v>1</v>
      </c>
      <c r="F38" s="190">
        <f>SUMIF($E9:$E35,$E38,$F9:$F35)</f>
        <v>6</v>
      </c>
      <c r="G38" s="191">
        <f>SUMIF($E10:$E35,$E38,$G10:$G35)</f>
        <v>361632.96</v>
      </c>
      <c r="H38" s="192">
        <f>SUMIF($E10:$E35,$E38,$H10:$H35)</f>
        <v>75000</v>
      </c>
      <c r="I38" s="192">
        <f>SUMIF($E10:$E35,$E38,$I10:$I35)</f>
        <v>74716.9858656</v>
      </c>
      <c r="J38" s="192">
        <f>SUM(G38:I38)</f>
        <v>511349.94586560002</v>
      </c>
      <c r="K38" s="166"/>
      <c r="L38" s="191">
        <f>SUMIF($E10:$E35,$E38,$L10:$L35)</f>
        <v>7500</v>
      </c>
      <c r="M38" s="192">
        <f>SUMIF($E10:$E35,$E38,$M10:$M35)</f>
        <v>-2603.7573120000038</v>
      </c>
      <c r="N38" s="192">
        <f>SUM(L38:M38)</f>
        <v>4896.2426879999966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3600</v>
      </c>
      <c r="AB38" s="338">
        <f>ROUND((AdjPermVB*CECPerm+AdjPermVBBY*CECPerm),-2)</f>
        <v>700</v>
      </c>
      <c r="AC38" s="338">
        <f>SUM(AA38:AB38)</f>
        <v>4300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7" t="str">
        <f>Group_name</f>
        <v>Board &amp; Group Positions</v>
      </c>
      <c r="D39" s="448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7" t="s">
        <v>38</v>
      </c>
      <c r="D41" s="448"/>
      <c r="E41" s="189"/>
      <c r="F41" s="161">
        <f>SUM(F38:F40)</f>
        <v>6</v>
      </c>
      <c r="G41" s="195">
        <f>SUM($G$38:$G$40)</f>
        <v>361632.96</v>
      </c>
      <c r="H41" s="162">
        <f>SUM($H$38:$H$40)</f>
        <v>75000</v>
      </c>
      <c r="I41" s="162">
        <f>SUM($I$38:$I$40)</f>
        <v>74716.9858656</v>
      </c>
      <c r="J41" s="162">
        <f>SUM($J$38:$J$40)</f>
        <v>511349.94586560002</v>
      </c>
      <c r="K41" s="259"/>
      <c r="L41" s="195">
        <f>SUM($L$38:$L$40)</f>
        <v>7500</v>
      </c>
      <c r="M41" s="162">
        <f>SUM($M$38:$M$40)</f>
        <v>-2603.7573120000038</v>
      </c>
      <c r="N41" s="162">
        <f>SUM(L41:M41)</f>
        <v>4896.2426879999966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9"/>
      <c r="D42" s="450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51" t="s">
        <v>39</v>
      </c>
      <c r="D43" s="452"/>
      <c r="E43" s="203" t="s">
        <v>40</v>
      </c>
      <c r="F43" s="205">
        <f>ROUND(F51-F41,2)</f>
        <v>0</v>
      </c>
      <c r="G43" s="206">
        <f>G51-G41</f>
        <v>12906.662355485954</v>
      </c>
      <c r="H43" s="159">
        <f>H51-H41</f>
        <v>2676.7462696471048</v>
      </c>
      <c r="I43" s="159">
        <f>I51-I41</f>
        <v>2666.6455092669348</v>
      </c>
      <c r="J43" s="159">
        <f>SUM(G43:I43)</f>
        <v>18250.054134399994</v>
      </c>
      <c r="K43" s="428" t="str">
        <f>IF(E51=0,"No Original Appropriation amount in DU 3.00 for this fund","Calculated "&amp;IF(J43&gt;0,"overfunding ","underfunding ")&amp;"is "&amp;TEXT(J43/J51,"#.0%;(#.0% );0%;")&amp;" of Original Appropriation")</f>
        <v>Calculated overfunding is 3.4% of Original Appropriation</v>
      </c>
      <c r="L43" s="429"/>
      <c r="M43" s="429"/>
      <c r="N43" s="430"/>
      <c r="O43"/>
      <c r="P43"/>
      <c r="Q43"/>
      <c r="R43"/>
      <c r="S43"/>
      <c r="T43"/>
      <c r="U43"/>
      <c r="V43"/>
      <c r="W43"/>
      <c r="X43"/>
      <c r="Y43"/>
      <c r="Z43" s="344"/>
      <c r="AA43" s="455" t="s">
        <v>106</v>
      </c>
      <c r="AB43" s="456"/>
      <c r="AC43" s="456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3"/>
      <c r="D44" s="454"/>
      <c r="E44" s="204" t="s">
        <v>41</v>
      </c>
      <c r="F44" s="205">
        <f>ROUND(F60-F41,2)</f>
        <v>0</v>
      </c>
      <c r="G44" s="206">
        <f>G60-G41</f>
        <v>12867.039999999979</v>
      </c>
      <c r="H44" s="159">
        <f>H60-H41</f>
        <v>2700</v>
      </c>
      <c r="I44" s="159">
        <f>I60-I41</f>
        <v>2683.0141344000003</v>
      </c>
      <c r="J44" s="159">
        <f>SUM(G44:I44)</f>
        <v>18250.054134399979</v>
      </c>
      <c r="K44" s="428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overfunding is 3.4% of Est. Expenditures</v>
      </c>
      <c r="L44" s="429"/>
      <c r="M44" s="429"/>
      <c r="N44" s="430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0</v>
      </c>
      <c r="G45" s="206">
        <f>G67-G41-G63</f>
        <v>12867.039999999979</v>
      </c>
      <c r="H45" s="206">
        <f>H67-H41-H63</f>
        <v>2700</v>
      </c>
      <c r="I45" s="206">
        <f>I67-I41-I63</f>
        <v>2683.0141344000003</v>
      </c>
      <c r="J45" s="159">
        <f>SUM(G45:I45)</f>
        <v>18250.054134399979</v>
      </c>
      <c r="K45" s="428" t="str">
        <f>IF(J67=0,"This fund has a $0 Base in DU 9.00",IF(J67=0,"ERROR! Verify/enter 8 series adjustments!","Calculated "&amp;IF(J45&gt;0,"overfunding ","underfunding ")&amp;"is "&amp;TEXT(J45/J67,"#.0%;(#.0% );0%;")&amp;" of the Base"))</f>
        <v>Calculated overfunding is 3.4% of the Base</v>
      </c>
      <c r="L45" s="429"/>
      <c r="M45" s="429"/>
      <c r="N45" s="430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31" t="s">
        <v>98</v>
      </c>
      <c r="F46" s="432"/>
      <c r="G46" s="432"/>
      <c r="H46" s="432"/>
      <c r="I46" s="432"/>
      <c r="J46" s="433"/>
      <c r="K46" s="437" t="str">
        <f>IF(OR(J45&lt;0,F45&lt;0),"You may not have sufficient funding or authorized FTP, and may need to make additional adjustments to finalize this form.  Please contact both your DFM and LSO analysts.","")</f>
        <v/>
      </c>
      <c r="L46" s="438"/>
      <c r="M46" s="438"/>
      <c r="N46" s="439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4"/>
      <c r="F47" s="435"/>
      <c r="G47" s="435"/>
      <c r="H47" s="435"/>
      <c r="I47" s="435"/>
      <c r="J47" s="436"/>
      <c r="K47" s="440"/>
      <c r="L47" s="441"/>
      <c r="M47" s="441"/>
      <c r="N47" s="442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3"/>
      <c r="D50" s="444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529600</v>
      </c>
      <c r="F51" s="272">
        <f>AppropFTP</f>
        <v>6</v>
      </c>
      <c r="G51" s="274">
        <f>IF(E51=0,0,(G41/$J$41)*$E$51)</f>
        <v>374539.62235548598</v>
      </c>
      <c r="H51" s="274">
        <f>IF(E51=0,0,(H41/$J$41)*$E$51)</f>
        <v>77676.746269647105</v>
      </c>
      <c r="I51" s="275">
        <f>IF(E51=0,0,(I41/$J$41)*$E$51)</f>
        <v>77383.631374866934</v>
      </c>
      <c r="J51" s="90">
        <f>SUM(G51:I51)</f>
        <v>529600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6</v>
      </c>
      <c r="G52" s="79">
        <f>ROUND(G51,-2)</f>
        <v>374500</v>
      </c>
      <c r="H52" s="79">
        <f>ROUND(H51,-2)</f>
        <v>77700</v>
      </c>
      <c r="I52" s="266">
        <f>ROUND(I51,-2)</f>
        <v>77400</v>
      </c>
      <c r="J52" s="80">
        <f>ROUND(J51,-2)</f>
        <v>529600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5" t="s">
        <v>47</v>
      </c>
      <c r="D53" s="446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10" t="s">
        <v>48</v>
      </c>
      <c r="D54" s="411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17" t="s">
        <v>49</v>
      </c>
      <c r="D55" s="418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6</v>
      </c>
      <c r="G56" s="80">
        <f>SUM(G52:G55)</f>
        <v>374500</v>
      </c>
      <c r="H56" s="80">
        <f>SUM(H52:H55)</f>
        <v>77700</v>
      </c>
      <c r="I56" s="260">
        <f>SUM(I52:I55)</f>
        <v>77400</v>
      </c>
      <c r="J56" s="80">
        <f>SUM(J52:J55)</f>
        <v>529600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15" t="s">
        <v>51</v>
      </c>
      <c r="D57" s="419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20" t="s">
        <v>116</v>
      </c>
      <c r="D58" s="421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20" t="s">
        <v>52</v>
      </c>
      <c r="D59" s="421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6</v>
      </c>
      <c r="G60" s="80">
        <f>SUM(G56:G59)</f>
        <v>374500</v>
      </c>
      <c r="H60" s="80">
        <f>SUM(H56:H59)</f>
        <v>77700</v>
      </c>
      <c r="I60" s="260">
        <f>SUM(I56:I59)</f>
        <v>77400</v>
      </c>
      <c r="J60" s="80">
        <f>SUM(J56:J59)</f>
        <v>529600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15" t="s">
        <v>54</v>
      </c>
      <c r="D61" s="419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10" t="s">
        <v>65</v>
      </c>
      <c r="D62" s="411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10" t="s">
        <v>55</v>
      </c>
      <c r="D63" s="411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22" t="s">
        <v>56</v>
      </c>
      <c r="D64" s="423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24"/>
      <c r="D65" s="425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26"/>
      <c r="D66" s="427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6</v>
      </c>
      <c r="G67" s="80">
        <f>SUM(G60:G64)</f>
        <v>374500</v>
      </c>
      <c r="H67" s="80">
        <f>SUM(H60:H64)</f>
        <v>77700</v>
      </c>
      <c r="I67" s="80">
        <f>SUM(I60:I64)</f>
        <v>77400</v>
      </c>
      <c r="J67" s="80">
        <f>SUM(J60:J64)</f>
        <v>529600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15" t="s">
        <v>58</v>
      </c>
      <c r="D68" s="416"/>
      <c r="E68" s="112"/>
      <c r="F68" s="288"/>
      <c r="G68" s="287"/>
      <c r="H68" s="113">
        <f>IF(DUNine=0,0,ROUND(SUM(L41:L65),-2))</f>
        <v>7500</v>
      </c>
      <c r="I68" s="113"/>
      <c r="J68" s="287">
        <f>SUM(G68:I68)</f>
        <v>7500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15" t="s">
        <v>59</v>
      </c>
      <c r="D69" s="416"/>
      <c r="E69" s="112"/>
      <c r="F69" s="288"/>
      <c r="G69" s="113"/>
      <c r="H69" s="113"/>
      <c r="I69" s="113">
        <f>IF(DUNine=0,0,ROUND(SUM(M41:M64),-2))</f>
        <v>-2600</v>
      </c>
      <c r="J69" s="287">
        <f>SUM(G69:I69)</f>
        <v>-2600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8"/>
      <c r="D70" s="409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10" t="s">
        <v>60</v>
      </c>
      <c r="D71" s="411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10" t="s">
        <v>99</v>
      </c>
      <c r="D72" s="412"/>
      <c r="E72" s="290">
        <f>CECPerm</f>
        <v>0.01</v>
      </c>
      <c r="F72" s="288"/>
      <c r="G72" s="356">
        <f>IF(DUNine=0,0,IF(DUNine&lt;0,0,ROUND(AdjPermSalary*CECPerm,-2)))</f>
        <v>3600</v>
      </c>
      <c r="H72" s="287"/>
      <c r="I72" s="287">
        <f>ROUND(($G72*PermVBBY+$G72*Retire1BY),-2)</f>
        <v>700</v>
      </c>
      <c r="J72" s="113">
        <f>SUM(G72:I72)</f>
        <v>4300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10" t="s">
        <v>117</v>
      </c>
      <c r="D73" s="412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6</v>
      </c>
      <c r="G75" s="80">
        <f>SUM(G67:G74)</f>
        <v>378100</v>
      </c>
      <c r="H75" s="80">
        <f>SUM(H67:H74)</f>
        <v>85200</v>
      </c>
      <c r="I75" s="80">
        <f>SUM(I67:I74)</f>
        <v>75500</v>
      </c>
      <c r="J75" s="80">
        <f>SUM(J67:K74)</f>
        <v>538800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3" t="s">
        <v>63</v>
      </c>
      <c r="D76" s="414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6"/>
      <c r="D77" s="407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6"/>
      <c r="D78" s="407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6"/>
      <c r="D79" s="407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6</v>
      </c>
      <c r="G80" s="80">
        <f>SUM(G75:G79)</f>
        <v>378100</v>
      </c>
      <c r="H80" s="80">
        <f>SUM(H75:H79)</f>
        <v>85200</v>
      </c>
      <c r="I80" s="80">
        <f>SUM(I75:I79)</f>
        <v>75500</v>
      </c>
      <c r="J80" s="80">
        <f>SUM(J75:J79)</f>
        <v>538800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108" priority="8">
      <formula>$J$44&lt;0</formula>
    </cfRule>
  </conditionalFormatting>
  <conditionalFormatting sqref="K43">
    <cfRule type="expression" dxfId="107" priority="7">
      <formula>$J$43&lt;0</formula>
    </cfRule>
  </conditionalFormatting>
  <conditionalFormatting sqref="L16">
    <cfRule type="expression" dxfId="106" priority="6">
      <formula>$J$16&lt;0</formula>
    </cfRule>
  </conditionalFormatting>
  <conditionalFormatting sqref="K45">
    <cfRule type="expression" dxfId="105" priority="5">
      <formula>$J$44&lt;0</formula>
    </cfRule>
  </conditionalFormatting>
  <conditionalFormatting sqref="K43:N45">
    <cfRule type="containsText" dxfId="104" priority="4" operator="containsText" text="underfunding">
      <formula>NOT(ISERROR(SEARCH("underfunding",K43)))</formula>
    </cfRule>
  </conditionalFormatting>
  <conditionalFormatting sqref="K44">
    <cfRule type="expression" dxfId="103" priority="3">
      <formula>$J$44&lt;0</formula>
    </cfRule>
  </conditionalFormatting>
  <conditionalFormatting sqref="K45">
    <cfRule type="expression" dxfId="102" priority="2">
      <formula>$J$44&lt;0</formula>
    </cfRule>
  </conditionalFormatting>
  <conditionalFormatting sqref="K45">
    <cfRule type="expression" dxfId="101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5F1D2CF-0246-416C-9338-4D86EFA2555C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46D9D-EABC-457B-B0DD-D54639A4F80F}">
  <sheetPr codeName="Sheet9"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824</v>
      </c>
      <c r="E1" s="15"/>
      <c r="F1" s="15"/>
      <c r="G1" s="15"/>
      <c r="H1" s="15"/>
      <c r="I1" s="15"/>
      <c r="J1" s="15"/>
      <c r="K1" s="15"/>
      <c r="L1" s="16" t="s">
        <v>14</v>
      </c>
      <c r="M1" s="471">
        <v>170</v>
      </c>
      <c r="N1" s="472"/>
      <c r="AA1" s="365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 t="s">
        <v>825</v>
      </c>
      <c r="E2" s="21"/>
      <c r="F2" s="21"/>
      <c r="G2" s="21"/>
      <c r="H2" s="21"/>
      <c r="I2" s="21"/>
      <c r="J2" s="20"/>
      <c r="K2" s="20"/>
      <c r="L2" s="22" t="s">
        <v>111</v>
      </c>
      <c r="M2" s="473" t="s">
        <v>835</v>
      </c>
      <c r="N2" s="474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 t="s">
        <v>847</v>
      </c>
      <c r="E3" s="24"/>
      <c r="F3" s="25"/>
      <c r="G3" s="25"/>
      <c r="H3" s="25"/>
      <c r="I3" s="26"/>
      <c r="J3" s="20"/>
      <c r="K3" s="20"/>
      <c r="L3" s="22" t="s">
        <v>112</v>
      </c>
      <c r="M3" s="471" t="s">
        <v>439</v>
      </c>
      <c r="N3" s="472"/>
      <c r="AA3" s="365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71">
        <v>2024</v>
      </c>
      <c r="N4" s="472"/>
      <c r="AA4" s="365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73" t="s">
        <v>833</v>
      </c>
      <c r="J5" s="475"/>
      <c r="K5" s="475"/>
      <c r="L5" s="474"/>
      <c r="M5" s="352" t="s">
        <v>113</v>
      </c>
      <c r="N5" s="32" t="s">
        <v>834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1" t="s">
        <v>21</v>
      </c>
      <c r="C8" s="476" t="s">
        <v>22</v>
      </c>
      <c r="D8" s="477"/>
      <c r="E8" s="371" t="s">
        <v>23</v>
      </c>
      <c r="F8" s="49" t="s">
        <v>24</v>
      </c>
      <c r="G8" s="50" t="str">
        <f>"FY "&amp;'EDBE|0001-00'!FiscalYear-1&amp;" SALARY"</f>
        <v>FY 2023 SALARY</v>
      </c>
      <c r="H8" s="50" t="str">
        <f>"FY "&amp;'EDBE|0001-00'!FiscalYear-1&amp;" HEALTH BENEFITS"</f>
        <v>FY 2023 HEALTH BENEFITS</v>
      </c>
      <c r="I8" s="50" t="str">
        <f>"FY "&amp;'EDBE|0001-00'!FiscalYear-1&amp;" VAR BENEFITS"</f>
        <v>FY 2023 VAR BENEFITS</v>
      </c>
      <c r="J8" s="50" t="str">
        <f>"FY "&amp;'EDBE|0001-00'!FiscalYear-1&amp;" TOTAL"</f>
        <v>FY 2023 TOTAL</v>
      </c>
      <c r="K8" s="50" t="str">
        <f>"FY "&amp;'EDBE|0001-00'!FiscalYear&amp;" SALARY CHANGE"</f>
        <v>FY 2024 SALARY CHANGE</v>
      </c>
      <c r="L8" s="50" t="str">
        <f>"FY "&amp;'EDBE|0001-00'!FiscalYear&amp;" CHG HEALTH BENEFITS"</f>
        <v>FY 2024 CHG HEALTH BENEFITS</v>
      </c>
      <c r="M8" s="50" t="str">
        <f>"FY "&amp;'EDBE|0001-00'!FiscalYear&amp;"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7" t="s">
        <v>103</v>
      </c>
      <c r="AB8" s="467"/>
      <c r="AC8" s="467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8" t="s">
        <v>26</v>
      </c>
      <c r="D9" s="469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7" t="s">
        <v>27</v>
      </c>
      <c r="D10" s="470"/>
      <c r="E10" s="217">
        <v>1</v>
      </c>
      <c r="F10" s="288">
        <f>[0]!EDBE000100col_INC_FTI</f>
        <v>21.98</v>
      </c>
      <c r="G10" s="218">
        <f>[0]!EDBE000100col_FTI_SALARY_PERM</f>
        <v>1616702.04</v>
      </c>
      <c r="H10" s="218">
        <f>[0]!EDBE000100col_HEALTH_PERM</f>
        <v>274750</v>
      </c>
      <c r="I10" s="218">
        <f>[0]!EDBE000100col_TOT_VB_PERM</f>
        <v>334026.80848439992</v>
      </c>
      <c r="J10" s="219">
        <f>SUM(G10:I10)</f>
        <v>2225478.8484843997</v>
      </c>
      <c r="K10" s="219">
        <f>[0]!EDBE000100col_1_27TH_PP</f>
        <v>0</v>
      </c>
      <c r="L10" s="218">
        <f>[0]!EDBE000100col_HEALTH_PERM_CHG</f>
        <v>27475</v>
      </c>
      <c r="M10" s="218">
        <f>[0]!EDBE000100col_TOT_VB_PERM_CHG</f>
        <v>-11640.254688000017</v>
      </c>
      <c r="N10" s="218">
        <f>SUM(L10:M10)</f>
        <v>15834.745311999983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16200</v>
      </c>
      <c r="AB10" s="335">
        <f>ROUND(PermVarBen*CECPerm+(CECPerm*PermVarBenChg),-2)</f>
        <v>3200</v>
      </c>
      <c r="AC10" s="335">
        <f>SUM(AA10:AB10)</f>
        <v>19400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7" t="s">
        <v>28</v>
      </c>
      <c r="D11" s="470"/>
      <c r="E11" s="217">
        <v>2</v>
      </c>
      <c r="F11" s="288"/>
      <c r="G11" s="218">
        <f>[0]!EDBE000100col_Group_Salary</f>
        <v>0</v>
      </c>
      <c r="H11" s="218">
        <v>0</v>
      </c>
      <c r="I11" s="218">
        <f>[0]!EDBE000100col_Group_Ben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7" t="s">
        <v>29</v>
      </c>
      <c r="D12" s="448"/>
      <c r="E12" s="217">
        <v>3</v>
      </c>
      <c r="F12" s="288">
        <f>[0]!EDBE000100col_TOTAL_ELECT_PCN_FTI</f>
        <v>0</v>
      </c>
      <c r="G12" s="218">
        <f>[0]!EDBE000100col_FTI_SALARY_ELECT</f>
        <v>0</v>
      </c>
      <c r="H12" s="218">
        <f>[0]!EDBE000100col_HEALTH_ELECT</f>
        <v>0</v>
      </c>
      <c r="I12" s="218">
        <f>[0]!EDBE000100col_TOT_VB_ELECT</f>
        <v>0</v>
      </c>
      <c r="J12" s="219">
        <f>SUM(G12:I12)</f>
        <v>0</v>
      </c>
      <c r="K12" s="268"/>
      <c r="L12" s="218">
        <f>[0]!EDBE000100col_HEALTH_ELECT_CHG</f>
        <v>0</v>
      </c>
      <c r="M12" s="218">
        <f>[0]!EDBE000100col_TOT_VB_ELECT_CHG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7" t="s">
        <v>30</v>
      </c>
      <c r="D13" s="470"/>
      <c r="E13" s="217"/>
      <c r="F13" s="220">
        <f>SUM(F10:F12)</f>
        <v>21.98</v>
      </c>
      <c r="G13" s="221">
        <f>SUM(G10:G12)</f>
        <v>1616702.04</v>
      </c>
      <c r="H13" s="221">
        <f>SUM(H10:H12)</f>
        <v>274750</v>
      </c>
      <c r="I13" s="221">
        <f>SUM(I10:I12)</f>
        <v>334026.80848439992</v>
      </c>
      <c r="J13" s="219">
        <f>SUM(G13:I13)</f>
        <v>2225478.8484843997</v>
      </c>
      <c r="K13" s="268"/>
      <c r="L13" s="219">
        <f>SUM(L10:L12)</f>
        <v>27475</v>
      </c>
      <c r="M13" s="219">
        <f>SUM(M10:M12)</f>
        <v>-11640.254688000017</v>
      </c>
      <c r="N13" s="219">
        <f>SUM(N10:N12)</f>
        <v>15834.745311999983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"&amp;'EDBE|0001-00'!FiscalYear-1</f>
        <v>FY 2023</v>
      </c>
      <c r="D15" s="158" t="s">
        <v>31</v>
      </c>
      <c r="E15" s="355">
        <v>2495500</v>
      </c>
      <c r="F15" s="55">
        <v>24.53</v>
      </c>
      <c r="G15" s="223">
        <f>IF(OrigApprop=0,0,(G13/$J$13)*OrigApprop)</f>
        <v>1812859.2610833261</v>
      </c>
      <c r="H15" s="223">
        <f>IF(OrigApprop=0,0,(H13/$J$13)*OrigApprop)</f>
        <v>308085.88698424835</v>
      </c>
      <c r="I15" s="223">
        <f>IF(G15=0,0,(I13/$J$13)*OrigApprop)</f>
        <v>374554.85193242587</v>
      </c>
      <c r="J15" s="223">
        <f>SUM(G15:I15)</f>
        <v>2495500.0000000005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7" t="s">
        <v>32</v>
      </c>
      <c r="D16" s="458"/>
      <c r="E16" s="160" t="s">
        <v>33</v>
      </c>
      <c r="F16" s="161">
        <f>F15-F13</f>
        <v>2.5500000000000007</v>
      </c>
      <c r="G16" s="162">
        <f>G15-G13</f>
        <v>196157.22108332603</v>
      </c>
      <c r="H16" s="162">
        <f>H15-H13</f>
        <v>33335.886984248355</v>
      </c>
      <c r="I16" s="162">
        <f>I15-I13</f>
        <v>40528.043448025943</v>
      </c>
      <c r="J16" s="162">
        <f>J15-J13</f>
        <v>270021.15151560074</v>
      </c>
      <c r="K16" s="269"/>
      <c r="L16" s="56" t="str">
        <f>IF('EDBE|0001-00'!OrigApprop=0,"No Original Appropriation amount in DU 3.00 for this fund","Calculated "&amp;IF('EDBE|0001-00'!AdjustedTotal&gt;0,"overfunding ","underfunding ")&amp;"is "&amp;TEXT('EDBE|0001-00'!AdjustedTotal/'EDBE|0001-00'!AppropTotal,"#.0%;(#.0% );0% ;")&amp;" of Original Appropriation")</f>
        <v>Calculated overfunding is 10.8%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9" t="s">
        <v>34</v>
      </c>
      <c r="D17" s="460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61" t="s">
        <v>35</v>
      </c>
      <c r="D18" s="462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63" t="s">
        <v>37</v>
      </c>
      <c r="D37" s="464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5" t="s">
        <v>105</v>
      </c>
      <c r="AB37" s="466"/>
      <c r="AC37" s="466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7" t="str">
        <f>perm_name</f>
        <v>Permanent Positions</v>
      </c>
      <c r="D38" s="448"/>
      <c r="E38" s="189">
        <v>1</v>
      </c>
      <c r="F38" s="190">
        <f>SUMIF($E9:$E35,$E38,$F9:$F35)</f>
        <v>21.98</v>
      </c>
      <c r="G38" s="191">
        <f>SUMIF($E10:$E35,$E38,$G10:$G35)</f>
        <v>1616702.04</v>
      </c>
      <c r="H38" s="192">
        <f>SUMIF($E10:$E35,$E38,$H10:$H35)</f>
        <v>274750</v>
      </c>
      <c r="I38" s="192">
        <f>SUMIF($E10:$E35,$E38,$I10:$I35)</f>
        <v>334026.80848439992</v>
      </c>
      <c r="J38" s="192">
        <f>SUM(G38:I38)</f>
        <v>2225478.8484843997</v>
      </c>
      <c r="K38" s="166"/>
      <c r="L38" s="191">
        <f>SUMIF($E10:$E35,$E38,$L10:$L35)</f>
        <v>27475</v>
      </c>
      <c r="M38" s="192">
        <f>SUMIF($E10:$E35,$E38,$M10:$M35)</f>
        <v>-11640.254688000017</v>
      </c>
      <c r="N38" s="192">
        <f>SUM(L38:M38)</f>
        <v>15834.745311999983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16200</v>
      </c>
      <c r="AB38" s="338">
        <f>ROUND((AdjPermVB*CECPerm+AdjPermVBBY*CECPerm),-2)</f>
        <v>3200</v>
      </c>
      <c r="AC38" s="338">
        <f>SUM(AA38:AB38)</f>
        <v>19400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7" t="str">
        <f>Group_name</f>
        <v>Board &amp; Group Positions</v>
      </c>
      <c r="D39" s="448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7" t="s">
        <v>38</v>
      </c>
      <c r="D41" s="448"/>
      <c r="E41" s="189"/>
      <c r="F41" s="161">
        <f>SUM(F38:F40)</f>
        <v>21.98</v>
      </c>
      <c r="G41" s="195">
        <f>SUM($G$38:$G$40)</f>
        <v>1616702.04</v>
      </c>
      <c r="H41" s="162">
        <f>SUM($H$38:$H$40)</f>
        <v>274750</v>
      </c>
      <c r="I41" s="162">
        <f>SUM($I$38:$I$40)</f>
        <v>334026.80848439992</v>
      </c>
      <c r="J41" s="162">
        <f>SUM($J$38:$J$40)</f>
        <v>2225478.8484843997</v>
      </c>
      <c r="K41" s="259"/>
      <c r="L41" s="195">
        <f>SUM($L$38:$L$40)</f>
        <v>27475</v>
      </c>
      <c r="M41" s="162">
        <f>SUM($M$38:$M$40)</f>
        <v>-11640.254688000017</v>
      </c>
      <c r="N41" s="162">
        <f>SUM(L41:M41)</f>
        <v>15834.745311999983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9"/>
      <c r="D42" s="450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51" t="s">
        <v>39</v>
      </c>
      <c r="D43" s="452"/>
      <c r="E43" s="203" t="s">
        <v>40</v>
      </c>
      <c r="F43" s="205">
        <f>ROUND(F51-F41,2)</f>
        <v>2.5499999999999998</v>
      </c>
      <c r="G43" s="206">
        <f>G51-G41</f>
        <v>196157.22108332603</v>
      </c>
      <c r="H43" s="159">
        <f>H51-H41</f>
        <v>33335.886984248355</v>
      </c>
      <c r="I43" s="159">
        <f>I51-I41</f>
        <v>40528.043448025943</v>
      </c>
      <c r="J43" s="159">
        <f>SUM(G43:I43)</f>
        <v>270021.15151560033</v>
      </c>
      <c r="K43" s="428" t="str">
        <f>IF(E51=0,"No Original Appropriation amount in DU 3.00 for this fund","Calculated "&amp;IF(J43&gt;0,"overfunding ","underfunding ")&amp;"is "&amp;TEXT(J43/J51,"#.0%;(#.0% );0%;")&amp;" of Original Appropriation")</f>
        <v>Calculated overfunding is 10.8% of Original Appropriation</v>
      </c>
      <c r="L43" s="429"/>
      <c r="M43" s="429"/>
      <c r="N43" s="430"/>
      <c r="O43"/>
      <c r="P43"/>
      <c r="Q43"/>
      <c r="R43"/>
      <c r="S43"/>
      <c r="T43"/>
      <c r="U43"/>
      <c r="V43"/>
      <c r="W43"/>
      <c r="X43"/>
      <c r="Y43"/>
      <c r="Z43" s="344"/>
      <c r="AA43" s="455" t="s">
        <v>106</v>
      </c>
      <c r="AB43" s="456"/>
      <c r="AC43" s="456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3"/>
      <c r="D44" s="454"/>
      <c r="E44" s="204" t="s">
        <v>41</v>
      </c>
      <c r="F44" s="205">
        <f>ROUND(F60-F41,2)</f>
        <v>2.5499999999999998</v>
      </c>
      <c r="G44" s="206">
        <f>G60-G41</f>
        <v>196197.95999999996</v>
      </c>
      <c r="H44" s="159">
        <f>H60-H41</f>
        <v>33350</v>
      </c>
      <c r="I44" s="159">
        <f>I60-I41</f>
        <v>40573.191515600076</v>
      </c>
      <c r="J44" s="159">
        <f>SUM(G44:I44)</f>
        <v>270121.15151560004</v>
      </c>
      <c r="K44" s="428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overfunding is 10.8% of Est. Expenditures</v>
      </c>
      <c r="L44" s="429"/>
      <c r="M44" s="429"/>
      <c r="N44" s="430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2.5499999999999998</v>
      </c>
      <c r="G45" s="206">
        <f>G67-G41-G63</f>
        <v>196197.95999999996</v>
      </c>
      <c r="H45" s="206">
        <f>H67-H41-H63</f>
        <v>33350</v>
      </c>
      <c r="I45" s="206">
        <f>I67-I41-I63</f>
        <v>40573.191515600076</v>
      </c>
      <c r="J45" s="159">
        <f>SUM(G45:I45)</f>
        <v>270121.15151560004</v>
      </c>
      <c r="K45" s="428" t="str">
        <f>IF(J67=0,"This fund has a $0 Base in DU 9.00",IF(J67=0,"ERROR! Verify/enter 8 series adjustments!","Calculated "&amp;IF(J45&gt;0,"overfunding ","underfunding ")&amp;"is "&amp;TEXT(J45/J67,"#.0%;(#.0% );0%;")&amp;" of the Base"))</f>
        <v>Calculated overfunding is 10.8% of the Base</v>
      </c>
      <c r="L45" s="429"/>
      <c r="M45" s="429"/>
      <c r="N45" s="430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31" t="s">
        <v>98</v>
      </c>
      <c r="F46" s="432"/>
      <c r="G46" s="432"/>
      <c r="H46" s="432"/>
      <c r="I46" s="432"/>
      <c r="J46" s="433"/>
      <c r="K46" s="437" t="str">
        <f>IF(OR(J45&lt;0,F45&lt;0),"You may not have sufficient funding or authorized FTP, and may need to make additional adjustments to finalize this form.  Please contact both your DFM and LSO analysts.","")</f>
        <v/>
      </c>
      <c r="L46" s="438"/>
      <c r="M46" s="438"/>
      <c r="N46" s="439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4"/>
      <c r="F47" s="435"/>
      <c r="G47" s="435"/>
      <c r="H47" s="435"/>
      <c r="I47" s="435"/>
      <c r="J47" s="436"/>
      <c r="K47" s="440"/>
      <c r="L47" s="441"/>
      <c r="M47" s="441"/>
      <c r="N47" s="442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3"/>
      <c r="D50" s="444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2495500</v>
      </c>
      <c r="F51" s="272">
        <f>AppropFTP</f>
        <v>24.53</v>
      </c>
      <c r="G51" s="274">
        <f>IF(E51=0,0,(G41/$J$41)*$E$51)</f>
        <v>1812859.2610833261</v>
      </c>
      <c r="H51" s="274">
        <f>IF(E51=0,0,(H41/$J$41)*$E$51)</f>
        <v>308085.88698424835</v>
      </c>
      <c r="I51" s="275">
        <f>IF(E51=0,0,(I41/$J$41)*$E$51)</f>
        <v>374554.85193242587</v>
      </c>
      <c r="J51" s="90">
        <f>SUM(G51:I51)</f>
        <v>2495500.0000000005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24.53</v>
      </c>
      <c r="G52" s="79">
        <f>ROUND(G51,-2)</f>
        <v>1812900</v>
      </c>
      <c r="H52" s="79">
        <f>ROUND(H51,-2)</f>
        <v>308100</v>
      </c>
      <c r="I52" s="266">
        <f>ROUND(I51,-2)</f>
        <v>374600</v>
      </c>
      <c r="J52" s="80">
        <f>ROUND(J51,-2)</f>
        <v>2495500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5" t="s">
        <v>47</v>
      </c>
      <c r="D53" s="446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10" t="s">
        <v>48</v>
      </c>
      <c r="D54" s="411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17" t="s">
        <v>49</v>
      </c>
      <c r="D55" s="418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24.53</v>
      </c>
      <c r="G56" s="80">
        <f>SUM(G52:G55)</f>
        <v>1812900</v>
      </c>
      <c r="H56" s="80">
        <f>SUM(H52:H55)</f>
        <v>308100</v>
      </c>
      <c r="I56" s="260">
        <f>SUM(I52:I55)</f>
        <v>374600</v>
      </c>
      <c r="J56" s="80">
        <f>SUM(J52:J55)</f>
        <v>2495500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15" t="s">
        <v>51</v>
      </c>
      <c r="D57" s="419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20" t="s">
        <v>116</v>
      </c>
      <c r="D58" s="421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20" t="s">
        <v>52</v>
      </c>
      <c r="D59" s="421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24.53</v>
      </c>
      <c r="G60" s="80">
        <f>SUM(G56:G59)</f>
        <v>1812900</v>
      </c>
      <c r="H60" s="80">
        <f>SUM(H56:H59)</f>
        <v>308100</v>
      </c>
      <c r="I60" s="260">
        <f>SUM(I56:I59)</f>
        <v>374600</v>
      </c>
      <c r="J60" s="80">
        <f>SUM(J56:J59)</f>
        <v>2495500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15" t="s">
        <v>54</v>
      </c>
      <c r="D61" s="419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10" t="s">
        <v>65</v>
      </c>
      <c r="D62" s="411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10" t="s">
        <v>55</v>
      </c>
      <c r="D63" s="411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22" t="s">
        <v>56</v>
      </c>
      <c r="D64" s="423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24"/>
      <c r="D65" s="425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26"/>
      <c r="D66" s="427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24.53</v>
      </c>
      <c r="G67" s="80">
        <f>SUM(G60:G64)</f>
        <v>1812900</v>
      </c>
      <c r="H67" s="80">
        <f>SUM(H60:H64)</f>
        <v>308100</v>
      </c>
      <c r="I67" s="80">
        <f>SUM(I60:I64)</f>
        <v>374600</v>
      </c>
      <c r="J67" s="80">
        <f>SUM(J60:J64)</f>
        <v>2495500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15" t="s">
        <v>58</v>
      </c>
      <c r="D68" s="416"/>
      <c r="E68" s="112"/>
      <c r="F68" s="288"/>
      <c r="G68" s="287"/>
      <c r="H68" s="113">
        <f>IF(DUNine=0,0,ROUND(SUM(L41:L65),-2))</f>
        <v>27500</v>
      </c>
      <c r="I68" s="113"/>
      <c r="J68" s="287">
        <f>SUM(G68:I68)</f>
        <v>27500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15" t="s">
        <v>59</v>
      </c>
      <c r="D69" s="416"/>
      <c r="E69" s="112"/>
      <c r="F69" s="288"/>
      <c r="G69" s="113"/>
      <c r="H69" s="113"/>
      <c r="I69" s="113">
        <f>IF(DUNine=0,0,ROUND(SUM(M41:M64),-2))</f>
        <v>-11600</v>
      </c>
      <c r="J69" s="287">
        <f>SUM(G69:I69)</f>
        <v>-11600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8"/>
      <c r="D70" s="409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10" t="s">
        <v>60</v>
      </c>
      <c r="D71" s="411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10" t="s">
        <v>99</v>
      </c>
      <c r="D72" s="412"/>
      <c r="E72" s="290">
        <f>CECPerm</f>
        <v>0.01</v>
      </c>
      <c r="F72" s="288"/>
      <c r="G72" s="356">
        <f>IF(DUNine=0,0,IF(DUNine&lt;0,0,ROUND(AdjPermSalary*CECPerm,-2)))</f>
        <v>16200</v>
      </c>
      <c r="H72" s="287"/>
      <c r="I72" s="287">
        <f>ROUND(($G72*PermVBBY+$G72*Retire1BY),-2)</f>
        <v>3200</v>
      </c>
      <c r="J72" s="113">
        <f>SUM(G72:I72)</f>
        <v>19400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10" t="s">
        <v>117</v>
      </c>
      <c r="D73" s="412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24.53</v>
      </c>
      <c r="G75" s="80">
        <f>SUM(G67:G74)</f>
        <v>1829100</v>
      </c>
      <c r="H75" s="80">
        <f>SUM(H67:H74)</f>
        <v>335600</v>
      </c>
      <c r="I75" s="80">
        <f>SUM(I67:I74)</f>
        <v>366200</v>
      </c>
      <c r="J75" s="80">
        <f>SUM(J67:K74)</f>
        <v>2530800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3" t="s">
        <v>63</v>
      </c>
      <c r="D76" s="414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6"/>
      <c r="D77" s="407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6"/>
      <c r="D78" s="407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6"/>
      <c r="D79" s="407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24.53</v>
      </c>
      <c r="G80" s="80">
        <f>SUM(G75:G79)</f>
        <v>1829100</v>
      </c>
      <c r="H80" s="80">
        <f>SUM(H75:H79)</f>
        <v>335600</v>
      </c>
      <c r="I80" s="80">
        <f>SUM(I75:I79)</f>
        <v>366200</v>
      </c>
      <c r="J80" s="80">
        <f>SUM(J75:J79)</f>
        <v>2530800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100" priority="8">
      <formula>$J$44&lt;0</formula>
    </cfRule>
  </conditionalFormatting>
  <conditionalFormatting sqref="K43">
    <cfRule type="expression" dxfId="99" priority="7">
      <formula>$J$43&lt;0</formula>
    </cfRule>
  </conditionalFormatting>
  <conditionalFormatting sqref="L16">
    <cfRule type="expression" dxfId="98" priority="6">
      <formula>$J$16&lt;0</formula>
    </cfRule>
  </conditionalFormatting>
  <conditionalFormatting sqref="K45">
    <cfRule type="expression" dxfId="97" priority="5">
      <formula>$J$44&lt;0</formula>
    </cfRule>
  </conditionalFormatting>
  <conditionalFormatting sqref="K43:N45">
    <cfRule type="containsText" dxfId="96" priority="4" operator="containsText" text="underfunding">
      <formula>NOT(ISERROR(SEARCH("underfunding",K43)))</formula>
    </cfRule>
  </conditionalFormatting>
  <conditionalFormatting sqref="K44">
    <cfRule type="expression" dxfId="95" priority="3">
      <formula>$J$44&lt;0</formula>
    </cfRule>
  </conditionalFormatting>
  <conditionalFormatting sqref="K45">
    <cfRule type="expression" dxfId="94" priority="2">
      <formula>$J$44&lt;0</formula>
    </cfRule>
  </conditionalFormatting>
  <conditionalFormatting sqref="K45">
    <cfRule type="expression" dxfId="93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D992E83-5DAB-41AB-8190-F0EF20ABE84A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62274-7430-4C5A-B0E8-1E3B27E93F17}">
  <sheetPr codeName="Sheet14"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824</v>
      </c>
      <c r="E1" s="15"/>
      <c r="F1" s="15"/>
      <c r="G1" s="15"/>
      <c r="H1" s="15"/>
      <c r="I1" s="15"/>
      <c r="J1" s="15"/>
      <c r="K1" s="15"/>
      <c r="L1" s="16" t="s">
        <v>14</v>
      </c>
      <c r="M1" s="471">
        <v>170</v>
      </c>
      <c r="N1" s="472"/>
      <c r="AA1" s="365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 t="s">
        <v>825</v>
      </c>
      <c r="E2" s="21"/>
      <c r="F2" s="21"/>
      <c r="G2" s="21"/>
      <c r="H2" s="21"/>
      <c r="I2" s="21"/>
      <c r="J2" s="20"/>
      <c r="K2" s="20"/>
      <c r="L2" s="22" t="s">
        <v>111</v>
      </c>
      <c r="M2" s="473" t="s">
        <v>829</v>
      </c>
      <c r="N2" s="474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 t="s">
        <v>847</v>
      </c>
      <c r="E3" s="24"/>
      <c r="F3" s="25"/>
      <c r="G3" s="25"/>
      <c r="H3" s="25"/>
      <c r="I3" s="26"/>
      <c r="J3" s="20"/>
      <c r="K3" s="20"/>
      <c r="L3" s="22" t="s">
        <v>112</v>
      </c>
      <c r="M3" s="471" t="s">
        <v>764</v>
      </c>
      <c r="N3" s="472"/>
      <c r="AA3" s="365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71">
        <v>2024</v>
      </c>
      <c r="N4" s="472"/>
      <c r="AA4" s="365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73" t="s">
        <v>827</v>
      </c>
      <c r="J5" s="475"/>
      <c r="K5" s="475"/>
      <c r="L5" s="474"/>
      <c r="M5" s="352" t="s">
        <v>113</v>
      </c>
      <c r="N5" s="32" t="s">
        <v>828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1" t="s">
        <v>21</v>
      </c>
      <c r="C8" s="476" t="s">
        <v>22</v>
      </c>
      <c r="D8" s="477"/>
      <c r="E8" s="371" t="s">
        <v>23</v>
      </c>
      <c r="F8" s="49" t="s">
        <v>24</v>
      </c>
      <c r="G8" s="50" t="str">
        <f>"FY "&amp;'EDBG|0125-00'!FiscalYear-1&amp;" SALARY"</f>
        <v>FY 2023 SALARY</v>
      </c>
      <c r="H8" s="50" t="str">
        <f>"FY "&amp;'EDBG|0125-00'!FiscalYear-1&amp;" HEALTH BENEFITS"</f>
        <v>FY 2023 HEALTH BENEFITS</v>
      </c>
      <c r="I8" s="50" t="str">
        <f>"FY "&amp;'EDBG|0125-00'!FiscalYear-1&amp;" VAR BENEFITS"</f>
        <v>FY 2023 VAR BENEFITS</v>
      </c>
      <c r="J8" s="50" t="str">
        <f>"FY "&amp;'EDBG|0125-00'!FiscalYear-1&amp;" TOTAL"</f>
        <v>FY 2023 TOTAL</v>
      </c>
      <c r="K8" s="50" t="str">
        <f>"FY "&amp;'EDBG|0125-00'!FiscalYear&amp;" SALARY CHANGE"</f>
        <v>FY 2024 SALARY CHANGE</v>
      </c>
      <c r="L8" s="50" t="str">
        <f>"FY "&amp;'EDBG|0125-00'!FiscalYear&amp;" CHG HEALTH BENEFITS"</f>
        <v>FY 2024 CHG HEALTH BENEFITS</v>
      </c>
      <c r="M8" s="50" t="str">
        <f>"FY "&amp;'EDBG|0125-00'!FiscalYear&amp;"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7" t="s">
        <v>103</v>
      </c>
      <c r="AB8" s="467"/>
      <c r="AC8" s="467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8" t="s">
        <v>26</v>
      </c>
      <c r="D9" s="469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7" t="s">
        <v>27</v>
      </c>
      <c r="D10" s="470"/>
      <c r="E10" s="217">
        <v>1</v>
      </c>
      <c r="F10" s="288">
        <f>[0]!EDBG012500col_INC_FTI</f>
        <v>1</v>
      </c>
      <c r="G10" s="218">
        <f>[0]!EDBG012500col_FTI_SALARY_PERM</f>
        <v>80433.600000000006</v>
      </c>
      <c r="H10" s="218">
        <f>[0]!EDBG012500col_HEALTH_PERM</f>
        <v>12500</v>
      </c>
      <c r="I10" s="218">
        <f>[0]!EDBG012500col_TOT_VB_PERM</f>
        <v>16618.386096000002</v>
      </c>
      <c r="J10" s="219">
        <f>SUM(G10:I10)</f>
        <v>109551.98609600001</v>
      </c>
      <c r="K10" s="219">
        <f>[0]!EDBG012500col_1_27TH_PP</f>
        <v>0</v>
      </c>
      <c r="L10" s="218">
        <f>[0]!EDBG012500col_HEALTH_PERM_CHG</f>
        <v>1250</v>
      </c>
      <c r="M10" s="218">
        <f>[0]!EDBG012500col_TOT_VB_PERM_CHG</f>
        <v>-579.12192000000073</v>
      </c>
      <c r="N10" s="218">
        <f>SUM(L10:M10)</f>
        <v>670.87807999999927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800</v>
      </c>
      <c r="AB10" s="335">
        <f>ROUND(PermVarBen*CECPerm+(CECPerm*PermVarBenChg),-2)</f>
        <v>200</v>
      </c>
      <c r="AC10" s="335">
        <f>SUM(AA10:AB10)</f>
        <v>1000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7" t="s">
        <v>28</v>
      </c>
      <c r="D11" s="470"/>
      <c r="E11" s="217">
        <v>2</v>
      </c>
      <c r="F11" s="288"/>
      <c r="G11" s="218">
        <f>[0]!EDBG012500col_Group_Salary</f>
        <v>0</v>
      </c>
      <c r="H11" s="218">
        <v>0</v>
      </c>
      <c r="I11" s="218">
        <f>[0]!EDBG012500col_Group_Ben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7" t="s">
        <v>29</v>
      </c>
      <c r="D12" s="448"/>
      <c r="E12" s="217">
        <v>3</v>
      </c>
      <c r="F12" s="288">
        <f>[0]!EDBG012500col_TOTAL_ELECT_PCN_FTI</f>
        <v>0</v>
      </c>
      <c r="G12" s="218">
        <f>[0]!EDBG012500col_FTI_SALARY_ELECT</f>
        <v>0</v>
      </c>
      <c r="H12" s="218">
        <f>[0]!EDBG012500col_HEALTH_ELECT</f>
        <v>0</v>
      </c>
      <c r="I12" s="218">
        <f>[0]!EDBG012500col_TOT_VB_ELECT</f>
        <v>0</v>
      </c>
      <c r="J12" s="219">
        <f>SUM(G12:I12)</f>
        <v>0</v>
      </c>
      <c r="K12" s="268"/>
      <c r="L12" s="218">
        <f>[0]!EDBG012500col_HEALTH_ELECT_CHG</f>
        <v>0</v>
      </c>
      <c r="M12" s="218">
        <f>[0]!EDBG012500col_TOT_VB_ELECT_CHG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7" t="s">
        <v>30</v>
      </c>
      <c r="D13" s="470"/>
      <c r="E13" s="217"/>
      <c r="F13" s="220">
        <f>SUM(F10:F12)</f>
        <v>1</v>
      </c>
      <c r="G13" s="221">
        <f>SUM(G10:G12)</f>
        <v>80433.600000000006</v>
      </c>
      <c r="H13" s="221">
        <f>SUM(H10:H12)</f>
        <v>12500</v>
      </c>
      <c r="I13" s="221">
        <f>SUM(I10:I12)</f>
        <v>16618.386096000002</v>
      </c>
      <c r="J13" s="219">
        <f>SUM(G13:I13)</f>
        <v>109551.98609600001</v>
      </c>
      <c r="K13" s="268"/>
      <c r="L13" s="219">
        <f>SUM(L10:L12)</f>
        <v>1250</v>
      </c>
      <c r="M13" s="219">
        <f>SUM(M10:M12)</f>
        <v>-579.12192000000073</v>
      </c>
      <c r="N13" s="219">
        <f>SUM(N10:N12)</f>
        <v>670.87807999999927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"&amp;'EDBG|0125-00'!FiscalYear-1</f>
        <v>FY 2023</v>
      </c>
      <c r="D15" s="158" t="s">
        <v>31</v>
      </c>
      <c r="E15" s="355">
        <v>103900</v>
      </c>
      <c r="F15" s="55">
        <v>1</v>
      </c>
      <c r="G15" s="223">
        <f>IF(OrigApprop=0,0,(G13/$J$13)*OrigApprop)</f>
        <v>76283.884371359076</v>
      </c>
      <c r="H15" s="223">
        <f>IF(OrigApprop=0,0,(H13/$J$13)*OrigApprop)</f>
        <v>11855.102278674438</v>
      </c>
      <c r="I15" s="223">
        <f>IF(G15=0,0,(I13/$J$13)*OrigApprop)</f>
        <v>15761.013349966497</v>
      </c>
      <c r="J15" s="223">
        <f>SUM(G15:I15)</f>
        <v>103900.00000000001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7" t="s">
        <v>32</v>
      </c>
      <c r="D16" s="458"/>
      <c r="E16" s="160" t="s">
        <v>33</v>
      </c>
      <c r="F16" s="161">
        <f>F15-F13</f>
        <v>0</v>
      </c>
      <c r="G16" s="162">
        <f>G15-G13</f>
        <v>-4149.7156286409299</v>
      </c>
      <c r="H16" s="162">
        <f>H15-H13</f>
        <v>-644.89772132556209</v>
      </c>
      <c r="I16" s="162">
        <f>I15-I13</f>
        <v>-857.37274603350488</v>
      </c>
      <c r="J16" s="162">
        <f>J15-J13</f>
        <v>-5651.9860959999933</v>
      </c>
      <c r="K16" s="269"/>
      <c r="L16" s="56" t="str">
        <f>IF('EDBG|0125-00'!OrigApprop=0,"No Original Appropriation amount in DU 3.00 for this fund","Calculated "&amp;IF('EDBG|0125-00'!AdjustedTotal&gt;0,"overfunding ","underfunding ")&amp;"is "&amp;TEXT('EDBG|0125-00'!AdjustedTotal/'EDBG|0125-00'!AppropTotal,"#.0%;(#.0% );0% ;")&amp;" of Original Appropriation")</f>
        <v>Calculated underfunding is (5.4% )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9" t="s">
        <v>34</v>
      </c>
      <c r="D17" s="460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61" t="s">
        <v>35</v>
      </c>
      <c r="D18" s="462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63" t="s">
        <v>37</v>
      </c>
      <c r="D37" s="464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5" t="s">
        <v>105</v>
      </c>
      <c r="AB37" s="466"/>
      <c r="AC37" s="466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7" t="str">
        <f>perm_name</f>
        <v>Permanent Positions</v>
      </c>
      <c r="D38" s="448"/>
      <c r="E38" s="189">
        <v>1</v>
      </c>
      <c r="F38" s="190">
        <f>SUMIF($E9:$E35,$E38,$F9:$F35)</f>
        <v>1</v>
      </c>
      <c r="G38" s="191">
        <f>SUMIF($E10:$E35,$E38,$G10:$G35)</f>
        <v>80433.600000000006</v>
      </c>
      <c r="H38" s="192">
        <f>SUMIF($E10:$E35,$E38,$H10:$H35)</f>
        <v>12500</v>
      </c>
      <c r="I38" s="192">
        <f>SUMIF($E10:$E35,$E38,$I10:$I35)</f>
        <v>16618.386096000002</v>
      </c>
      <c r="J38" s="192">
        <f>SUM(G38:I38)</f>
        <v>109551.98609600001</v>
      </c>
      <c r="K38" s="166"/>
      <c r="L38" s="191">
        <f>SUMIF($E10:$E35,$E38,$L10:$L35)</f>
        <v>1250</v>
      </c>
      <c r="M38" s="192">
        <f>SUMIF($E10:$E35,$E38,$M10:$M35)</f>
        <v>-579.12192000000073</v>
      </c>
      <c r="N38" s="192">
        <f>SUM(L38:M38)</f>
        <v>670.87807999999927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800</v>
      </c>
      <c r="AB38" s="338">
        <f>ROUND((AdjPermVB*CECPerm+AdjPermVBBY*CECPerm),-2)</f>
        <v>200</v>
      </c>
      <c r="AC38" s="338">
        <f>SUM(AA38:AB38)</f>
        <v>1000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7" t="str">
        <f>Group_name</f>
        <v>Board &amp; Group Positions</v>
      </c>
      <c r="D39" s="448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7" t="s">
        <v>38</v>
      </c>
      <c r="D41" s="448"/>
      <c r="E41" s="189"/>
      <c r="F41" s="161">
        <f>SUM(F38:F40)</f>
        <v>1</v>
      </c>
      <c r="G41" s="195">
        <f>SUM($G$38:$G$40)</f>
        <v>80433.600000000006</v>
      </c>
      <c r="H41" s="162">
        <f>SUM($H$38:$H$40)</f>
        <v>12500</v>
      </c>
      <c r="I41" s="162">
        <f>SUM($I$38:$I$40)</f>
        <v>16618.386096000002</v>
      </c>
      <c r="J41" s="162">
        <f>SUM($J$38:$J$40)</f>
        <v>109551.98609600001</v>
      </c>
      <c r="K41" s="259"/>
      <c r="L41" s="195">
        <f>SUM($L$38:$L$40)</f>
        <v>1250</v>
      </c>
      <c r="M41" s="162">
        <f>SUM($M$38:$M$40)</f>
        <v>-579.12192000000073</v>
      </c>
      <c r="N41" s="162">
        <f>SUM(L41:M41)</f>
        <v>670.87807999999927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9"/>
      <c r="D42" s="450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51" t="s">
        <v>39</v>
      </c>
      <c r="D43" s="452"/>
      <c r="E43" s="203" t="s">
        <v>40</v>
      </c>
      <c r="F43" s="205">
        <f>ROUND(F51-F41,2)</f>
        <v>0</v>
      </c>
      <c r="G43" s="206">
        <f>G51-G41</f>
        <v>-4149.7156286409299</v>
      </c>
      <c r="H43" s="159">
        <f>H51-H41</f>
        <v>-644.89772132556209</v>
      </c>
      <c r="I43" s="159">
        <f>I51-I41</f>
        <v>-857.37274603350488</v>
      </c>
      <c r="J43" s="159">
        <f>SUM(G43:I43)</f>
        <v>-5651.9860959999969</v>
      </c>
      <c r="K43" s="428" t="str">
        <f>IF(E51=0,"No Original Appropriation amount in DU 3.00 for this fund","Calculated "&amp;IF(J43&gt;0,"overfunding ","underfunding ")&amp;"is "&amp;TEXT(J43/J51,"#.0%;(#.0% );0%;")&amp;" of Original Appropriation")</f>
        <v>Calculated underfunding is (5.4% ) of Original Appropriation</v>
      </c>
      <c r="L43" s="429"/>
      <c r="M43" s="429"/>
      <c r="N43" s="430"/>
      <c r="O43"/>
      <c r="P43"/>
      <c r="Q43"/>
      <c r="R43"/>
      <c r="S43"/>
      <c r="T43"/>
      <c r="U43"/>
      <c r="V43"/>
      <c r="W43"/>
      <c r="X43"/>
      <c r="Y43"/>
      <c r="Z43" s="344"/>
      <c r="AA43" s="455" t="s">
        <v>106</v>
      </c>
      <c r="AB43" s="456"/>
      <c r="AC43" s="456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3"/>
      <c r="D44" s="454"/>
      <c r="E44" s="204" t="s">
        <v>41</v>
      </c>
      <c r="F44" s="205">
        <f>ROUND(F60-F41,2)</f>
        <v>0</v>
      </c>
      <c r="G44" s="206">
        <f>G60-G41</f>
        <v>-4133.6000000000058</v>
      </c>
      <c r="H44" s="159">
        <f>H60-H41</f>
        <v>-600</v>
      </c>
      <c r="I44" s="159">
        <f>I60-I41</f>
        <v>-818.386096000002</v>
      </c>
      <c r="J44" s="159">
        <f>SUM(G44:I44)</f>
        <v>-5551.9860960000078</v>
      </c>
      <c r="K44" s="428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underfunding is (5.3% ) of Est. Expenditures</v>
      </c>
      <c r="L44" s="429"/>
      <c r="M44" s="429"/>
      <c r="N44" s="430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0</v>
      </c>
      <c r="G45" s="206">
        <f>G67-G41-G63</f>
        <v>-4133.6000000000058</v>
      </c>
      <c r="H45" s="206">
        <f>H67-H41-H63</f>
        <v>-600</v>
      </c>
      <c r="I45" s="206">
        <f>I67-I41-I63</f>
        <v>-818.386096000002</v>
      </c>
      <c r="J45" s="159">
        <f>SUM(G45:I45)</f>
        <v>-5551.9860960000078</v>
      </c>
      <c r="K45" s="428" t="str">
        <f>IF(J67=0,"This fund has a $0 Base in DU 9.00",IF(J67=0,"ERROR! Verify/enter 8 series adjustments!","Calculated "&amp;IF(J45&gt;0,"overfunding ","underfunding ")&amp;"is "&amp;TEXT(J45/J67,"#.0%;(#.0% );0%;")&amp;" of the Base"))</f>
        <v>Calculated underfunding is (5.3% ) of the Base</v>
      </c>
      <c r="L45" s="429"/>
      <c r="M45" s="429"/>
      <c r="N45" s="430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31" t="s">
        <v>98</v>
      </c>
      <c r="F46" s="432"/>
      <c r="G46" s="432"/>
      <c r="H46" s="432"/>
      <c r="I46" s="432"/>
      <c r="J46" s="433"/>
      <c r="K46" s="437" t="str">
        <f>IF(OR(J45&lt;0,F45&lt;0),"You may not have sufficient funding or authorized FTP, and may need to make additional adjustments to finalize this form.  Please contact both your DFM and LSO analysts.","")</f>
        <v>You may not have sufficient funding or authorized FTP, and may need to make additional adjustments to finalize this form.  Please contact both your DFM and LSO analysts.</v>
      </c>
      <c r="L46" s="438"/>
      <c r="M46" s="438"/>
      <c r="N46" s="439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4"/>
      <c r="F47" s="435"/>
      <c r="G47" s="435"/>
      <c r="H47" s="435"/>
      <c r="I47" s="435"/>
      <c r="J47" s="436"/>
      <c r="K47" s="440"/>
      <c r="L47" s="441"/>
      <c r="M47" s="441"/>
      <c r="N47" s="442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3"/>
      <c r="D50" s="444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103900</v>
      </c>
      <c r="F51" s="272">
        <f>AppropFTP</f>
        <v>1</v>
      </c>
      <c r="G51" s="274">
        <f>IF(E51=0,0,(G41/$J$41)*$E$51)</f>
        <v>76283.884371359076</v>
      </c>
      <c r="H51" s="274">
        <f>IF(E51=0,0,(H41/$J$41)*$E$51)</f>
        <v>11855.102278674438</v>
      </c>
      <c r="I51" s="275">
        <f>IF(E51=0,0,(I41/$J$41)*$E$51)</f>
        <v>15761.013349966497</v>
      </c>
      <c r="J51" s="90">
        <f>SUM(G51:I51)</f>
        <v>103900.00000000001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1</v>
      </c>
      <c r="G52" s="79">
        <f>ROUND(G51,-2)</f>
        <v>76300</v>
      </c>
      <c r="H52" s="79">
        <f>ROUND(H51,-2)</f>
        <v>11900</v>
      </c>
      <c r="I52" s="266">
        <f>ROUND(I51,-2)</f>
        <v>15800</v>
      </c>
      <c r="J52" s="80">
        <f>ROUND(J51,-2)</f>
        <v>103900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5" t="s">
        <v>47</v>
      </c>
      <c r="D53" s="446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10" t="s">
        <v>48</v>
      </c>
      <c r="D54" s="411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17" t="s">
        <v>49</v>
      </c>
      <c r="D55" s="418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1</v>
      </c>
      <c r="G56" s="80">
        <f>SUM(G52:G55)</f>
        <v>76300</v>
      </c>
      <c r="H56" s="80">
        <f>SUM(H52:H55)</f>
        <v>11900</v>
      </c>
      <c r="I56" s="260">
        <f>SUM(I52:I55)</f>
        <v>15800</v>
      </c>
      <c r="J56" s="80">
        <f>SUM(J52:J55)</f>
        <v>103900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15" t="s">
        <v>51</v>
      </c>
      <c r="D57" s="419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20" t="s">
        <v>116</v>
      </c>
      <c r="D58" s="421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20" t="s">
        <v>52</v>
      </c>
      <c r="D59" s="421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1</v>
      </c>
      <c r="G60" s="80">
        <f>SUM(G56:G59)</f>
        <v>76300</v>
      </c>
      <c r="H60" s="80">
        <f>SUM(H56:H59)</f>
        <v>11900</v>
      </c>
      <c r="I60" s="260">
        <f>SUM(I56:I59)</f>
        <v>15800</v>
      </c>
      <c r="J60" s="80">
        <f>SUM(J56:J59)</f>
        <v>103900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15" t="s">
        <v>54</v>
      </c>
      <c r="D61" s="419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10" t="s">
        <v>65</v>
      </c>
      <c r="D62" s="411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10" t="s">
        <v>55</v>
      </c>
      <c r="D63" s="411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22" t="s">
        <v>56</v>
      </c>
      <c r="D64" s="423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24"/>
      <c r="D65" s="425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26"/>
      <c r="D66" s="427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1</v>
      </c>
      <c r="G67" s="80">
        <f>SUM(G60:G64)</f>
        <v>76300</v>
      </c>
      <c r="H67" s="80">
        <f>SUM(H60:H64)</f>
        <v>11900</v>
      </c>
      <c r="I67" s="80">
        <f>SUM(I60:I64)</f>
        <v>15800</v>
      </c>
      <c r="J67" s="80">
        <f>SUM(J60:J64)</f>
        <v>103900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15" t="s">
        <v>58</v>
      </c>
      <c r="D68" s="416"/>
      <c r="E68" s="112"/>
      <c r="F68" s="288"/>
      <c r="G68" s="287"/>
      <c r="H68" s="113">
        <f>IF(DUNine=0,0,ROUND(SUM(L41:L65),-2))</f>
        <v>1300</v>
      </c>
      <c r="I68" s="113"/>
      <c r="J68" s="287">
        <f>SUM(G68:I68)</f>
        <v>1300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15" t="s">
        <v>59</v>
      </c>
      <c r="D69" s="416"/>
      <c r="E69" s="112"/>
      <c r="F69" s="288"/>
      <c r="G69" s="113"/>
      <c r="H69" s="113"/>
      <c r="I69" s="113">
        <f>IF(DUNine=0,0,ROUND(SUM(M41:M64),-2))</f>
        <v>-600</v>
      </c>
      <c r="J69" s="287">
        <f>SUM(G69:I69)</f>
        <v>-600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8"/>
      <c r="D70" s="409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10" t="s">
        <v>60</v>
      </c>
      <c r="D71" s="411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10" t="s">
        <v>99</v>
      </c>
      <c r="D72" s="412"/>
      <c r="E72" s="290">
        <f>CECPerm</f>
        <v>0.01</v>
      </c>
      <c r="F72" s="288"/>
      <c r="G72" s="356">
        <f>IF(DUNine=0,0,IF(DUNine&lt;0,0,ROUND(AdjPermSalary*CECPerm,-2)))</f>
        <v>800</v>
      </c>
      <c r="H72" s="287"/>
      <c r="I72" s="287">
        <f>ROUND(($G72*PermVBBY+$G72*Retire1BY),-2)</f>
        <v>200</v>
      </c>
      <c r="J72" s="113">
        <f>SUM(G72:I72)</f>
        <v>1000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10" t="s">
        <v>117</v>
      </c>
      <c r="D73" s="412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1</v>
      </c>
      <c r="G75" s="80">
        <f>SUM(G67:G74)</f>
        <v>77100</v>
      </c>
      <c r="H75" s="80">
        <f>SUM(H67:H74)</f>
        <v>13200</v>
      </c>
      <c r="I75" s="80">
        <f>SUM(I67:I74)</f>
        <v>15400</v>
      </c>
      <c r="J75" s="80">
        <f>SUM(J67:K74)</f>
        <v>105600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3" t="s">
        <v>63</v>
      </c>
      <c r="D76" s="414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6"/>
      <c r="D77" s="407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6"/>
      <c r="D78" s="407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6"/>
      <c r="D79" s="407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1</v>
      </c>
      <c r="G80" s="80">
        <f>SUM(G75:G79)</f>
        <v>77100</v>
      </c>
      <c r="H80" s="80">
        <f>SUM(H75:H79)</f>
        <v>13200</v>
      </c>
      <c r="I80" s="80">
        <f>SUM(I75:I79)</f>
        <v>15400</v>
      </c>
      <c r="J80" s="80">
        <f>SUM(J75:J79)</f>
        <v>105600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92" priority="8">
      <formula>$J$44&lt;0</formula>
    </cfRule>
  </conditionalFormatting>
  <conditionalFormatting sqref="K43">
    <cfRule type="expression" dxfId="91" priority="7">
      <formula>$J$43&lt;0</formula>
    </cfRule>
  </conditionalFormatting>
  <conditionalFormatting sqref="L16">
    <cfRule type="expression" dxfId="90" priority="6">
      <formula>$J$16&lt;0</formula>
    </cfRule>
  </conditionalFormatting>
  <conditionalFormatting sqref="K45">
    <cfRule type="expression" dxfId="89" priority="5">
      <formula>$J$44&lt;0</formula>
    </cfRule>
  </conditionalFormatting>
  <conditionalFormatting sqref="K43:N45">
    <cfRule type="containsText" dxfId="88" priority="4" operator="containsText" text="underfunding">
      <formula>NOT(ISERROR(SEARCH("underfunding",K43)))</formula>
    </cfRule>
  </conditionalFormatting>
  <conditionalFormatting sqref="K44">
    <cfRule type="expression" dxfId="87" priority="3">
      <formula>$J$44&lt;0</formula>
    </cfRule>
  </conditionalFormatting>
  <conditionalFormatting sqref="K45">
    <cfRule type="expression" dxfId="86" priority="2">
      <formula>$J$44&lt;0</formula>
    </cfRule>
  </conditionalFormatting>
  <conditionalFormatting sqref="K45">
    <cfRule type="expression" dxfId="85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A35C70E-7CD7-42AA-95F7-35B8995A7154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B3021-13FA-457D-AE16-94E94B047060}">
  <sheetPr codeName="Sheet15"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824</v>
      </c>
      <c r="E1" s="15"/>
      <c r="F1" s="15"/>
      <c r="G1" s="15"/>
      <c r="H1" s="15"/>
      <c r="I1" s="15"/>
      <c r="J1" s="15"/>
      <c r="K1" s="15"/>
      <c r="L1" s="16" t="s">
        <v>14</v>
      </c>
      <c r="M1" s="471">
        <v>170</v>
      </c>
      <c r="N1" s="472"/>
      <c r="AA1" s="365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 t="s">
        <v>825</v>
      </c>
      <c r="E2" s="21"/>
      <c r="F2" s="21"/>
      <c r="G2" s="21"/>
      <c r="H2" s="21"/>
      <c r="I2" s="21"/>
      <c r="J2" s="20"/>
      <c r="K2" s="20"/>
      <c r="L2" s="22" t="s">
        <v>111</v>
      </c>
      <c r="M2" s="473" t="s">
        <v>886</v>
      </c>
      <c r="N2" s="474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 t="s">
        <v>847</v>
      </c>
      <c r="E3" s="24"/>
      <c r="F3" s="25"/>
      <c r="G3" s="25"/>
      <c r="H3" s="25"/>
      <c r="I3" s="26"/>
      <c r="J3" s="20"/>
      <c r="K3" s="20"/>
      <c r="L3" s="22" t="s">
        <v>112</v>
      </c>
      <c r="M3" s="471" t="s">
        <v>764</v>
      </c>
      <c r="N3" s="472"/>
      <c r="AA3" s="365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71">
        <v>2024</v>
      </c>
      <c r="N4" s="472"/>
      <c r="AA4" s="365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73" t="s">
        <v>884</v>
      </c>
      <c r="J5" s="475"/>
      <c r="K5" s="475"/>
      <c r="L5" s="474"/>
      <c r="M5" s="352" t="s">
        <v>113</v>
      </c>
      <c r="N5" s="32" t="s">
        <v>885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1" t="s">
        <v>21</v>
      </c>
      <c r="C8" s="476" t="s">
        <v>22</v>
      </c>
      <c r="D8" s="477"/>
      <c r="E8" s="371" t="s">
        <v>23</v>
      </c>
      <c r="F8" s="49" t="s">
        <v>24</v>
      </c>
      <c r="G8" s="50" t="str">
        <f>"FY "&amp;'EDBG|0319-00'!FiscalYear-1&amp;" SALARY"</f>
        <v>FY 2023 SALARY</v>
      </c>
      <c r="H8" s="50" t="str">
        <f>"FY "&amp;'EDBG|0319-00'!FiscalYear-1&amp;" HEALTH BENEFITS"</f>
        <v>FY 2023 HEALTH BENEFITS</v>
      </c>
      <c r="I8" s="50" t="str">
        <f>"FY "&amp;'EDBG|0319-00'!FiscalYear-1&amp;" VAR BENEFITS"</f>
        <v>FY 2023 VAR BENEFITS</v>
      </c>
      <c r="J8" s="50" t="str">
        <f>"FY "&amp;'EDBG|0319-00'!FiscalYear-1&amp;" TOTAL"</f>
        <v>FY 2023 TOTAL</v>
      </c>
      <c r="K8" s="50" t="str">
        <f>"FY "&amp;'EDBG|0319-00'!FiscalYear&amp;" SALARY CHANGE"</f>
        <v>FY 2024 SALARY CHANGE</v>
      </c>
      <c r="L8" s="50" t="str">
        <f>"FY "&amp;'EDBG|0319-00'!FiscalYear&amp;" CHG HEALTH BENEFITS"</f>
        <v>FY 2024 CHG HEALTH BENEFITS</v>
      </c>
      <c r="M8" s="50" t="str">
        <f>"FY "&amp;'EDBG|0319-00'!FiscalYear&amp;"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7" t="s">
        <v>103</v>
      </c>
      <c r="AB8" s="467"/>
      <c r="AC8" s="467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8" t="s">
        <v>26</v>
      </c>
      <c r="D9" s="469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7" t="s">
        <v>27</v>
      </c>
      <c r="D10" s="470"/>
      <c r="E10" s="217">
        <v>1</v>
      </c>
      <c r="F10" s="288">
        <f>[0]!EDBG031900col_INC_FTI</f>
        <v>1.17</v>
      </c>
      <c r="G10" s="218">
        <f>[0]!EDBG031900col_FTI_SALARY_PERM</f>
        <v>71007.87</v>
      </c>
      <c r="H10" s="218">
        <f>[0]!EDBG031900col_HEALTH_PERM</f>
        <v>14625</v>
      </c>
      <c r="I10" s="218">
        <f>[0]!EDBG031900col_TOT_VB_PERM</f>
        <v>14670.936020700001</v>
      </c>
      <c r="J10" s="219">
        <f>SUM(G10:I10)</f>
        <v>100303.80602069999</v>
      </c>
      <c r="K10" s="219">
        <f>[0]!EDBG031900col_1_27TH_PP</f>
        <v>0</v>
      </c>
      <c r="L10" s="218">
        <f>[0]!EDBG031900col_HEALTH_PERM_CHG</f>
        <v>1462.5</v>
      </c>
      <c r="M10" s="218">
        <f>[0]!EDBG031900col_TOT_VB_PERM_CHG</f>
        <v>-511.25666400000063</v>
      </c>
      <c r="N10" s="218">
        <f>SUM(L10:M10)</f>
        <v>951.24333599999932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700</v>
      </c>
      <c r="AB10" s="335">
        <f>ROUND(PermVarBen*CECPerm+(CECPerm*PermVarBenChg),-2)</f>
        <v>100</v>
      </c>
      <c r="AC10" s="335">
        <f>SUM(AA10:AB10)</f>
        <v>800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7" t="s">
        <v>28</v>
      </c>
      <c r="D11" s="470"/>
      <c r="E11" s="217">
        <v>2</v>
      </c>
      <c r="F11" s="288"/>
      <c r="G11" s="218">
        <f>[0]!EDBG031900col_Group_Salary</f>
        <v>0</v>
      </c>
      <c r="H11" s="218">
        <v>0</v>
      </c>
      <c r="I11" s="218">
        <f>[0]!EDBG031900col_Group_Ben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7" t="s">
        <v>29</v>
      </c>
      <c r="D12" s="448"/>
      <c r="E12" s="217">
        <v>3</v>
      </c>
      <c r="F12" s="288">
        <f>[0]!EDBG031900col_TOTAL_ELECT_PCN_FTI</f>
        <v>0</v>
      </c>
      <c r="G12" s="218">
        <f>[0]!EDBG031900col_FTI_SALARY_ELECT</f>
        <v>0</v>
      </c>
      <c r="H12" s="218">
        <f>[0]!EDBG031900col_HEALTH_ELECT</f>
        <v>0</v>
      </c>
      <c r="I12" s="218">
        <f>[0]!EDBG031900col_TOT_VB_ELECT</f>
        <v>0</v>
      </c>
      <c r="J12" s="219">
        <f>SUM(G12:I12)</f>
        <v>0</v>
      </c>
      <c r="K12" s="268"/>
      <c r="L12" s="218">
        <f>[0]!EDBG031900col_HEALTH_ELECT_CHG</f>
        <v>0</v>
      </c>
      <c r="M12" s="218">
        <f>[0]!EDBG031900col_TOT_VB_ELECT_CHG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7" t="s">
        <v>30</v>
      </c>
      <c r="D13" s="470"/>
      <c r="E13" s="217"/>
      <c r="F13" s="220">
        <f>SUM(F10:F12)</f>
        <v>1.17</v>
      </c>
      <c r="G13" s="221">
        <f>SUM(G10:G12)</f>
        <v>71007.87</v>
      </c>
      <c r="H13" s="221">
        <f>SUM(H10:H12)</f>
        <v>14625</v>
      </c>
      <c r="I13" s="221">
        <f>SUM(I10:I12)</f>
        <v>14670.936020700001</v>
      </c>
      <c r="J13" s="219">
        <f>SUM(G13:I13)</f>
        <v>100303.80602069999</v>
      </c>
      <c r="K13" s="268"/>
      <c r="L13" s="219">
        <f>SUM(L10:L12)</f>
        <v>1462.5</v>
      </c>
      <c r="M13" s="219">
        <f>SUM(M10:M12)</f>
        <v>-511.25666400000063</v>
      </c>
      <c r="N13" s="219">
        <f>SUM(N10:N12)</f>
        <v>951.24333599999932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"&amp;'EDBG|0319-00'!FiscalYear-1</f>
        <v>FY 2023</v>
      </c>
      <c r="D15" s="158" t="s">
        <v>31</v>
      </c>
      <c r="E15" s="355">
        <v>204000</v>
      </c>
      <c r="F15" s="55">
        <v>1.29</v>
      </c>
      <c r="G15" s="223">
        <f>IF(OrigApprop=0,0,(G13/$J$13)*OrigApprop)</f>
        <v>144417.30632844142</v>
      </c>
      <c r="H15" s="223">
        <f>IF(OrigApprop=0,0,(H13/$J$13)*OrigApprop)</f>
        <v>29744.634011039285</v>
      </c>
      <c r="I15" s="223">
        <f>IF(G15=0,0,(I13/$J$13)*OrigApprop)</f>
        <v>29838.059660519288</v>
      </c>
      <c r="J15" s="223">
        <f>SUM(G15:I15)</f>
        <v>204000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7" t="s">
        <v>32</v>
      </c>
      <c r="D16" s="458"/>
      <c r="E16" s="160" t="s">
        <v>33</v>
      </c>
      <c r="F16" s="161">
        <f>F15-F13</f>
        <v>0.12000000000000011</v>
      </c>
      <c r="G16" s="162">
        <f>G15-G13</f>
        <v>73409.436328441428</v>
      </c>
      <c r="H16" s="162">
        <f>H15-H13</f>
        <v>15119.634011039285</v>
      </c>
      <c r="I16" s="162">
        <f>I15-I13</f>
        <v>15167.123639819287</v>
      </c>
      <c r="J16" s="162">
        <f>J15-J13</f>
        <v>103696.19397930001</v>
      </c>
      <c r="K16" s="269"/>
      <c r="L16" s="56" t="str">
        <f>IF('EDBG|0319-00'!OrigApprop=0,"No Original Appropriation amount in DU 3.00 for this fund","Calculated "&amp;IF('EDBG|0319-00'!AdjustedTotal&gt;0,"overfunding ","underfunding ")&amp;"is "&amp;TEXT('EDBG|0319-00'!AdjustedTotal/'EDBG|0319-00'!AppropTotal,"#.0%;(#.0% );0% ;")&amp;" of Original Appropriation")</f>
        <v>Calculated overfunding is 50.8%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9" t="s">
        <v>34</v>
      </c>
      <c r="D17" s="460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61" t="s">
        <v>35</v>
      </c>
      <c r="D18" s="462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63" t="s">
        <v>37</v>
      </c>
      <c r="D37" s="464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5" t="s">
        <v>105</v>
      </c>
      <c r="AB37" s="466"/>
      <c r="AC37" s="466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7" t="str">
        <f>perm_name</f>
        <v>Permanent Positions</v>
      </c>
      <c r="D38" s="448"/>
      <c r="E38" s="189">
        <v>1</v>
      </c>
      <c r="F38" s="190">
        <f>SUMIF($E9:$E35,$E38,$F9:$F35)</f>
        <v>1.17</v>
      </c>
      <c r="G38" s="191">
        <f>SUMIF($E10:$E35,$E38,$G10:$G35)</f>
        <v>71007.87</v>
      </c>
      <c r="H38" s="192">
        <f>SUMIF($E10:$E35,$E38,$H10:$H35)</f>
        <v>14625</v>
      </c>
      <c r="I38" s="192">
        <f>SUMIF($E10:$E35,$E38,$I10:$I35)</f>
        <v>14670.936020700001</v>
      </c>
      <c r="J38" s="192">
        <f>SUM(G38:I38)</f>
        <v>100303.80602069999</v>
      </c>
      <c r="K38" s="166"/>
      <c r="L38" s="191">
        <f>SUMIF($E10:$E35,$E38,$L10:$L35)</f>
        <v>1462.5</v>
      </c>
      <c r="M38" s="192">
        <f>SUMIF($E10:$E35,$E38,$M10:$M35)</f>
        <v>-511.25666400000063</v>
      </c>
      <c r="N38" s="192">
        <f>SUM(L38:M38)</f>
        <v>951.24333599999932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700</v>
      </c>
      <c r="AB38" s="338">
        <f>ROUND((AdjPermVB*CECPerm+AdjPermVBBY*CECPerm),-2)</f>
        <v>100</v>
      </c>
      <c r="AC38" s="338">
        <f>SUM(AA38:AB38)</f>
        <v>800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7" t="str">
        <f>Group_name</f>
        <v>Board &amp; Group Positions</v>
      </c>
      <c r="D39" s="448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7" t="s">
        <v>38</v>
      </c>
      <c r="D41" s="448"/>
      <c r="E41" s="189"/>
      <c r="F41" s="161">
        <f>SUM(F38:F40)</f>
        <v>1.17</v>
      </c>
      <c r="G41" s="195">
        <f>SUM($G$38:$G$40)</f>
        <v>71007.87</v>
      </c>
      <c r="H41" s="162">
        <f>SUM($H$38:$H$40)</f>
        <v>14625</v>
      </c>
      <c r="I41" s="162">
        <f>SUM($I$38:$I$40)</f>
        <v>14670.936020700001</v>
      </c>
      <c r="J41" s="162">
        <f>SUM($J$38:$J$40)</f>
        <v>100303.80602069999</v>
      </c>
      <c r="K41" s="259"/>
      <c r="L41" s="195">
        <f>SUM($L$38:$L$40)</f>
        <v>1462.5</v>
      </c>
      <c r="M41" s="162">
        <f>SUM($M$38:$M$40)</f>
        <v>-511.25666400000063</v>
      </c>
      <c r="N41" s="162">
        <f>SUM(L41:M41)</f>
        <v>951.24333599999932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9"/>
      <c r="D42" s="450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51" t="s">
        <v>39</v>
      </c>
      <c r="D43" s="452"/>
      <c r="E43" s="203" t="s">
        <v>40</v>
      </c>
      <c r="F43" s="205">
        <f>ROUND(F51-F41,2)</f>
        <v>0.12</v>
      </c>
      <c r="G43" s="206">
        <f>G51-G41</f>
        <v>73409.436328441428</v>
      </c>
      <c r="H43" s="159">
        <f>H51-H41</f>
        <v>15119.634011039285</v>
      </c>
      <c r="I43" s="159">
        <f>I51-I41</f>
        <v>15167.123639819287</v>
      </c>
      <c r="J43" s="159">
        <f>SUM(G43:I43)</f>
        <v>103696.19397929999</v>
      </c>
      <c r="K43" s="428" t="str">
        <f>IF(E51=0,"No Original Appropriation amount in DU 3.00 for this fund","Calculated "&amp;IF(J43&gt;0,"overfunding ","underfunding ")&amp;"is "&amp;TEXT(J43/J51,"#.0%;(#.0% );0%;")&amp;" of Original Appropriation")</f>
        <v>Calculated overfunding is 50.8% of Original Appropriation</v>
      </c>
      <c r="L43" s="429"/>
      <c r="M43" s="429"/>
      <c r="N43" s="430"/>
      <c r="O43"/>
      <c r="P43"/>
      <c r="Q43"/>
      <c r="R43"/>
      <c r="S43"/>
      <c r="T43"/>
      <c r="U43"/>
      <c r="V43"/>
      <c r="W43"/>
      <c r="X43"/>
      <c r="Y43"/>
      <c r="Z43" s="344"/>
      <c r="AA43" s="455" t="s">
        <v>106</v>
      </c>
      <c r="AB43" s="456"/>
      <c r="AC43" s="456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3"/>
      <c r="D44" s="454"/>
      <c r="E44" s="204" t="s">
        <v>41</v>
      </c>
      <c r="F44" s="205">
        <f>ROUND(F60-F41,2)</f>
        <v>0.12</v>
      </c>
      <c r="G44" s="206">
        <f>G60-G41</f>
        <v>73392.13</v>
      </c>
      <c r="H44" s="159">
        <f>H60-H41</f>
        <v>15075</v>
      </c>
      <c r="I44" s="159">
        <f>I60-I41</f>
        <v>15129.063979299999</v>
      </c>
      <c r="J44" s="159">
        <f>SUM(G44:I44)</f>
        <v>103596.19397930001</v>
      </c>
      <c r="K44" s="428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overfunding is 50.8% of Est. Expenditures</v>
      </c>
      <c r="L44" s="429"/>
      <c r="M44" s="429"/>
      <c r="N44" s="430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0.12</v>
      </c>
      <c r="G45" s="206">
        <f>G67-G41-G63</f>
        <v>73392.13</v>
      </c>
      <c r="H45" s="206">
        <f>H67-H41-H63</f>
        <v>15075</v>
      </c>
      <c r="I45" s="206">
        <f>I67-I41-I63</f>
        <v>15129.063979299999</v>
      </c>
      <c r="J45" s="159">
        <f>SUM(G45:I45)</f>
        <v>103596.19397930001</v>
      </c>
      <c r="K45" s="428" t="str">
        <f>IF(J67=0,"This fund has a $0 Base in DU 9.00",IF(J67=0,"ERROR! Verify/enter 8 series adjustments!","Calculated "&amp;IF(J45&gt;0,"overfunding ","underfunding ")&amp;"is "&amp;TEXT(J45/J67,"#.0%;(#.0% );0%;")&amp;" of the Base"))</f>
        <v>Calculated overfunding is 50.8% of the Base</v>
      </c>
      <c r="L45" s="429"/>
      <c r="M45" s="429"/>
      <c r="N45" s="430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31" t="s">
        <v>98</v>
      </c>
      <c r="F46" s="432"/>
      <c r="G46" s="432"/>
      <c r="H46" s="432"/>
      <c r="I46" s="432"/>
      <c r="J46" s="433"/>
      <c r="K46" s="437" t="str">
        <f>IF(OR(J45&lt;0,F45&lt;0),"You may not have sufficient funding or authorized FTP, and may need to make additional adjustments to finalize this form.  Please contact both your DFM and LSO analysts.","")</f>
        <v/>
      </c>
      <c r="L46" s="438"/>
      <c r="M46" s="438"/>
      <c r="N46" s="439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4"/>
      <c r="F47" s="435"/>
      <c r="G47" s="435"/>
      <c r="H47" s="435"/>
      <c r="I47" s="435"/>
      <c r="J47" s="436"/>
      <c r="K47" s="440"/>
      <c r="L47" s="441"/>
      <c r="M47" s="441"/>
      <c r="N47" s="442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3"/>
      <c r="D50" s="444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204000</v>
      </c>
      <c r="F51" s="272">
        <f>AppropFTP</f>
        <v>1.29</v>
      </c>
      <c r="G51" s="274">
        <f>IF(E51=0,0,(G41/$J$41)*$E$51)</f>
        <v>144417.30632844142</v>
      </c>
      <c r="H51" s="274">
        <f>IF(E51=0,0,(H41/$J$41)*$E$51)</f>
        <v>29744.634011039285</v>
      </c>
      <c r="I51" s="275">
        <f>IF(E51=0,0,(I41/$J$41)*$E$51)</f>
        <v>29838.059660519288</v>
      </c>
      <c r="J51" s="90">
        <f>SUM(G51:I51)</f>
        <v>204000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1.29</v>
      </c>
      <c r="G52" s="79">
        <f>ROUND(G51,-2)</f>
        <v>144400</v>
      </c>
      <c r="H52" s="79">
        <f>ROUND(H51,-2)</f>
        <v>29700</v>
      </c>
      <c r="I52" s="266">
        <f>ROUND(I51,-2)</f>
        <v>29800</v>
      </c>
      <c r="J52" s="80">
        <f>ROUND(J51,-2)</f>
        <v>204000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5" t="s">
        <v>47</v>
      </c>
      <c r="D53" s="446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10" t="s">
        <v>48</v>
      </c>
      <c r="D54" s="411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17" t="s">
        <v>49</v>
      </c>
      <c r="D55" s="418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1.29</v>
      </c>
      <c r="G56" s="80">
        <f>SUM(G52:G55)</f>
        <v>144400</v>
      </c>
      <c r="H56" s="80">
        <f>SUM(H52:H55)</f>
        <v>29700</v>
      </c>
      <c r="I56" s="260">
        <f>SUM(I52:I55)</f>
        <v>29800</v>
      </c>
      <c r="J56" s="80">
        <f>SUM(J52:J55)</f>
        <v>204000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15" t="s">
        <v>51</v>
      </c>
      <c r="D57" s="419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20" t="s">
        <v>116</v>
      </c>
      <c r="D58" s="421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20" t="s">
        <v>52</v>
      </c>
      <c r="D59" s="421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1.29</v>
      </c>
      <c r="G60" s="80">
        <f>SUM(G56:G59)</f>
        <v>144400</v>
      </c>
      <c r="H60" s="80">
        <f>SUM(H56:H59)</f>
        <v>29700</v>
      </c>
      <c r="I60" s="260">
        <f>SUM(I56:I59)</f>
        <v>29800</v>
      </c>
      <c r="J60" s="80">
        <f>SUM(J56:J59)</f>
        <v>204000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15" t="s">
        <v>54</v>
      </c>
      <c r="D61" s="419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10" t="s">
        <v>65</v>
      </c>
      <c r="D62" s="411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10" t="s">
        <v>55</v>
      </c>
      <c r="D63" s="411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22" t="s">
        <v>56</v>
      </c>
      <c r="D64" s="423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24"/>
      <c r="D65" s="425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26"/>
      <c r="D66" s="427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1.29</v>
      </c>
      <c r="G67" s="80">
        <f>SUM(G60:G64)</f>
        <v>144400</v>
      </c>
      <c r="H67" s="80">
        <f>SUM(H60:H64)</f>
        <v>29700</v>
      </c>
      <c r="I67" s="80">
        <f>SUM(I60:I64)</f>
        <v>29800</v>
      </c>
      <c r="J67" s="80">
        <f>SUM(J60:J64)</f>
        <v>204000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15" t="s">
        <v>58</v>
      </c>
      <c r="D68" s="416"/>
      <c r="E68" s="112"/>
      <c r="F68" s="288"/>
      <c r="G68" s="287"/>
      <c r="H68" s="113">
        <f>IF(DUNine=0,0,ROUND(SUM(L41:L65),-2))</f>
        <v>1500</v>
      </c>
      <c r="I68" s="113"/>
      <c r="J68" s="287">
        <f>SUM(G68:I68)</f>
        <v>1500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15" t="s">
        <v>59</v>
      </c>
      <c r="D69" s="416"/>
      <c r="E69" s="112"/>
      <c r="F69" s="288"/>
      <c r="G69" s="113"/>
      <c r="H69" s="113"/>
      <c r="I69" s="113">
        <f>IF(DUNine=0,0,ROUND(SUM(M41:M64),-2))</f>
        <v>-500</v>
      </c>
      <c r="J69" s="287">
        <f>SUM(G69:I69)</f>
        <v>-500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8"/>
      <c r="D70" s="409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10" t="s">
        <v>60</v>
      </c>
      <c r="D71" s="411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10" t="s">
        <v>99</v>
      </c>
      <c r="D72" s="412"/>
      <c r="E72" s="290">
        <f>CECPerm</f>
        <v>0.01</v>
      </c>
      <c r="F72" s="288"/>
      <c r="G72" s="356">
        <f>IF(DUNine=0,0,IF(DUNine&lt;0,0,ROUND(AdjPermSalary*CECPerm,-2)))</f>
        <v>700</v>
      </c>
      <c r="H72" s="287"/>
      <c r="I72" s="287">
        <f>ROUND(($G72*PermVBBY+$G72*Retire1BY),-2)</f>
        <v>100</v>
      </c>
      <c r="J72" s="113">
        <f>SUM(G72:I72)</f>
        <v>800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10" t="s">
        <v>117</v>
      </c>
      <c r="D73" s="412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1.29</v>
      </c>
      <c r="G75" s="80">
        <f>SUM(G67:G74)</f>
        <v>145100</v>
      </c>
      <c r="H75" s="80">
        <f>SUM(H67:H74)</f>
        <v>31200</v>
      </c>
      <c r="I75" s="80">
        <f>SUM(I67:I74)</f>
        <v>29400</v>
      </c>
      <c r="J75" s="80">
        <f>SUM(J67:K74)</f>
        <v>205800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3" t="s">
        <v>63</v>
      </c>
      <c r="D76" s="414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6"/>
      <c r="D77" s="407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6"/>
      <c r="D78" s="407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6"/>
      <c r="D79" s="407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1.29</v>
      </c>
      <c r="G80" s="80">
        <f>SUM(G75:G79)</f>
        <v>145100</v>
      </c>
      <c r="H80" s="80">
        <f>SUM(H75:H79)</f>
        <v>31200</v>
      </c>
      <c r="I80" s="80">
        <f>SUM(I75:I79)</f>
        <v>29400</v>
      </c>
      <c r="J80" s="80">
        <f>SUM(J75:J79)</f>
        <v>205800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84" priority="8">
      <formula>$J$44&lt;0</formula>
    </cfRule>
  </conditionalFormatting>
  <conditionalFormatting sqref="K43">
    <cfRule type="expression" dxfId="83" priority="7">
      <formula>$J$43&lt;0</formula>
    </cfRule>
  </conditionalFormatting>
  <conditionalFormatting sqref="L16">
    <cfRule type="expression" dxfId="82" priority="6">
      <formula>$J$16&lt;0</formula>
    </cfRule>
  </conditionalFormatting>
  <conditionalFormatting sqref="K45">
    <cfRule type="expression" dxfId="81" priority="5">
      <formula>$J$44&lt;0</formula>
    </cfRule>
  </conditionalFormatting>
  <conditionalFormatting sqref="K43:N45">
    <cfRule type="containsText" dxfId="80" priority="4" operator="containsText" text="underfunding">
      <formula>NOT(ISERROR(SEARCH("underfunding",K43)))</formula>
    </cfRule>
  </conditionalFormatting>
  <conditionalFormatting sqref="K44">
    <cfRule type="expression" dxfId="79" priority="3">
      <formula>$J$44&lt;0</formula>
    </cfRule>
  </conditionalFormatting>
  <conditionalFormatting sqref="K45">
    <cfRule type="expression" dxfId="78" priority="2">
      <formula>$J$44&lt;0</formula>
    </cfRule>
  </conditionalFormatting>
  <conditionalFormatting sqref="K45">
    <cfRule type="expression" dxfId="77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D425130-6B4E-470A-8982-A3FC917636E7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025C1-B0A4-4734-90A8-5036D60CD2D6}">
  <sheetPr codeName="Sheet10"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824</v>
      </c>
      <c r="E1" s="15"/>
      <c r="F1" s="15"/>
      <c r="G1" s="15"/>
      <c r="H1" s="15"/>
      <c r="I1" s="15"/>
      <c r="J1" s="15"/>
      <c r="K1" s="15"/>
      <c r="L1" s="16" t="s">
        <v>14</v>
      </c>
      <c r="M1" s="471">
        <v>170</v>
      </c>
      <c r="N1" s="472"/>
      <c r="AA1" s="365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 t="s">
        <v>825</v>
      </c>
      <c r="E2" s="21"/>
      <c r="F2" s="21"/>
      <c r="G2" s="21"/>
      <c r="H2" s="21"/>
      <c r="I2" s="21"/>
      <c r="J2" s="20"/>
      <c r="K2" s="20"/>
      <c r="L2" s="22" t="s">
        <v>111</v>
      </c>
      <c r="M2" s="473" t="s">
        <v>843</v>
      </c>
      <c r="N2" s="474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 t="s">
        <v>847</v>
      </c>
      <c r="E3" s="24"/>
      <c r="F3" s="25"/>
      <c r="G3" s="25"/>
      <c r="H3" s="25"/>
      <c r="I3" s="26"/>
      <c r="J3" s="20"/>
      <c r="K3" s="20"/>
      <c r="L3" s="22" t="s">
        <v>112</v>
      </c>
      <c r="M3" s="471" t="s">
        <v>439</v>
      </c>
      <c r="N3" s="472"/>
      <c r="AA3" s="365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71">
        <v>2024</v>
      </c>
      <c r="N4" s="472"/>
      <c r="AA4" s="365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73" t="s">
        <v>841</v>
      </c>
      <c r="J5" s="475"/>
      <c r="K5" s="475"/>
      <c r="L5" s="474"/>
      <c r="M5" s="352" t="s">
        <v>113</v>
      </c>
      <c r="N5" s="32" t="s">
        <v>842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1" t="s">
        <v>21</v>
      </c>
      <c r="C8" s="476" t="s">
        <v>22</v>
      </c>
      <c r="D8" s="477"/>
      <c r="E8" s="371" t="s">
        <v>23</v>
      </c>
      <c r="F8" s="49" t="s">
        <v>24</v>
      </c>
      <c r="G8" s="50" t="str">
        <f>"FY "&amp;'EDBE|0325-00'!FiscalYear-1&amp;" SALARY"</f>
        <v>FY 2023 SALARY</v>
      </c>
      <c r="H8" s="50" t="str">
        <f>"FY "&amp;'EDBE|0325-00'!FiscalYear-1&amp;" HEALTH BENEFITS"</f>
        <v>FY 2023 HEALTH BENEFITS</v>
      </c>
      <c r="I8" s="50" t="str">
        <f>"FY "&amp;'EDBE|0325-00'!FiscalYear-1&amp;" VAR BENEFITS"</f>
        <v>FY 2023 VAR BENEFITS</v>
      </c>
      <c r="J8" s="50" t="str">
        <f>"FY "&amp;'EDBE|0325-00'!FiscalYear-1&amp;" TOTAL"</f>
        <v>FY 2023 TOTAL</v>
      </c>
      <c r="K8" s="50" t="str">
        <f>"FY "&amp;'EDBE|0325-00'!FiscalYear&amp;" SALARY CHANGE"</f>
        <v>FY 2024 SALARY CHANGE</v>
      </c>
      <c r="L8" s="50" t="str">
        <f>"FY "&amp;'EDBE|0325-00'!FiscalYear&amp;" CHG HEALTH BENEFITS"</f>
        <v>FY 2024 CHG HEALTH BENEFITS</v>
      </c>
      <c r="M8" s="50" t="str">
        <f>"FY "&amp;'EDBE|0325-00'!FiscalYear&amp;"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7" t="s">
        <v>103</v>
      </c>
      <c r="AB8" s="467"/>
      <c r="AC8" s="467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8" t="s">
        <v>26</v>
      </c>
      <c r="D9" s="469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7" t="s">
        <v>27</v>
      </c>
      <c r="D10" s="470"/>
      <c r="E10" s="217">
        <v>1</v>
      </c>
      <c r="F10" s="288">
        <f>[0]!EDBE032500col_INC_FTI</f>
        <v>1.63</v>
      </c>
      <c r="G10" s="218">
        <f>[0]!EDBE032500col_FTI_SALARY_PERM</f>
        <v>99741.4</v>
      </c>
      <c r="H10" s="218">
        <f>[0]!EDBE032500col_HEALTH_PERM</f>
        <v>20375</v>
      </c>
      <c r="I10" s="218">
        <f>[0]!EDBE032500col_TOT_VB_PERM</f>
        <v>20607.570653999999</v>
      </c>
      <c r="J10" s="219">
        <f>SUM(G10:I10)</f>
        <v>140723.970654</v>
      </c>
      <c r="K10" s="219">
        <f>[0]!EDBE032500col_1_27TH_PP</f>
        <v>0</v>
      </c>
      <c r="L10" s="218">
        <f>[0]!EDBE032500col_HEALTH_PERM_CHG</f>
        <v>2037.5</v>
      </c>
      <c r="M10" s="218">
        <f>[0]!EDBE032500col_TOT_VB_PERM_CHG</f>
        <v>-718.13808000000097</v>
      </c>
      <c r="N10" s="218">
        <f>SUM(L10:M10)</f>
        <v>1319.3619199999989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1000</v>
      </c>
      <c r="AB10" s="335">
        <f>ROUND(PermVarBen*CECPerm+(CECPerm*PermVarBenChg),-2)</f>
        <v>200</v>
      </c>
      <c r="AC10" s="335">
        <f>SUM(AA10:AB10)</f>
        <v>1200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7" t="s">
        <v>28</v>
      </c>
      <c r="D11" s="470"/>
      <c r="E11" s="217">
        <v>2</v>
      </c>
      <c r="F11" s="288"/>
      <c r="G11" s="218">
        <f>[0]!EDBE032500col_Group_Salary</f>
        <v>0</v>
      </c>
      <c r="H11" s="218">
        <v>0</v>
      </c>
      <c r="I11" s="218">
        <f>[0]!EDBE032500col_Group_Ben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7" t="s">
        <v>29</v>
      </c>
      <c r="D12" s="448"/>
      <c r="E12" s="217">
        <v>3</v>
      </c>
      <c r="F12" s="288">
        <f>[0]!EDBE032500col_TOTAL_ELECT_PCN_FTI</f>
        <v>0</v>
      </c>
      <c r="G12" s="218">
        <f>[0]!EDBE032500col_FTI_SALARY_ELECT</f>
        <v>0</v>
      </c>
      <c r="H12" s="218">
        <f>[0]!EDBE032500col_HEALTH_ELECT</f>
        <v>0</v>
      </c>
      <c r="I12" s="218">
        <f>[0]!EDBE032500col_TOT_VB_ELECT</f>
        <v>0</v>
      </c>
      <c r="J12" s="219">
        <f>SUM(G12:I12)</f>
        <v>0</v>
      </c>
      <c r="K12" s="268"/>
      <c r="L12" s="218">
        <f>[0]!EDBE032500col_HEALTH_ELECT_CHG</f>
        <v>0</v>
      </c>
      <c r="M12" s="218">
        <f>[0]!EDBE032500col_TOT_VB_ELECT_CHG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7" t="s">
        <v>30</v>
      </c>
      <c r="D13" s="470"/>
      <c r="E13" s="217"/>
      <c r="F13" s="220">
        <f>SUM(F10:F12)</f>
        <v>1.63</v>
      </c>
      <c r="G13" s="221">
        <f>SUM(G10:G12)</f>
        <v>99741.4</v>
      </c>
      <c r="H13" s="221">
        <f>SUM(H10:H12)</f>
        <v>20375</v>
      </c>
      <c r="I13" s="221">
        <f>SUM(I10:I12)</f>
        <v>20607.570653999999</v>
      </c>
      <c r="J13" s="219">
        <f>SUM(G13:I13)</f>
        <v>140723.970654</v>
      </c>
      <c r="K13" s="268"/>
      <c r="L13" s="219">
        <f>SUM(L10:L12)</f>
        <v>2037.5</v>
      </c>
      <c r="M13" s="219">
        <f>SUM(M10:M12)</f>
        <v>-718.13808000000097</v>
      </c>
      <c r="N13" s="219">
        <f>SUM(N10:N12)</f>
        <v>1319.3619199999989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"&amp;'EDBE|0325-00'!FiscalYear-1</f>
        <v>FY 2023</v>
      </c>
      <c r="D15" s="158" t="s">
        <v>31</v>
      </c>
      <c r="E15" s="355">
        <v>379600</v>
      </c>
      <c r="F15" s="55">
        <v>1.65</v>
      </c>
      <c r="G15" s="223">
        <f>IF(OrigApprop=0,0,(G13/$J$13)*OrigApprop)</f>
        <v>269050.36337477586</v>
      </c>
      <c r="H15" s="223">
        <f>IF(OrigApprop=0,0,(H13/$J$13)*OrigApprop)</f>
        <v>54961.141048361656</v>
      </c>
      <c r="I15" s="223">
        <f>IF(G15=0,0,(I13/$J$13)*OrigApprop)</f>
        <v>55588.495576862442</v>
      </c>
      <c r="J15" s="223">
        <f>SUM(G15:I15)</f>
        <v>379599.99999999994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7" t="s">
        <v>32</v>
      </c>
      <c r="D16" s="458"/>
      <c r="E16" s="160" t="s">
        <v>33</v>
      </c>
      <c r="F16" s="161">
        <f>F15-F13</f>
        <v>2.0000000000000018E-2</v>
      </c>
      <c r="G16" s="162">
        <f>G15-G13</f>
        <v>169308.96337477586</v>
      </c>
      <c r="H16" s="162">
        <f>H15-H13</f>
        <v>34586.141048361656</v>
      </c>
      <c r="I16" s="162">
        <f>I15-I13</f>
        <v>34980.924922862439</v>
      </c>
      <c r="J16" s="162">
        <f>J15-J13</f>
        <v>238876.02934599994</v>
      </c>
      <c r="K16" s="269"/>
      <c r="L16" s="56" t="str">
        <f>IF('EDBE|0325-00'!OrigApprop=0,"No Original Appropriation amount in DU 3.00 for this fund","Calculated "&amp;IF('EDBE|0325-00'!AdjustedTotal&gt;0,"overfunding ","underfunding ")&amp;"is "&amp;TEXT('EDBE|0325-00'!AdjustedTotal/'EDBE|0325-00'!AppropTotal,"#.0%;(#.0% );0% ;")&amp;" of Original Appropriation")</f>
        <v>Calculated overfunding is 62.9%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9" t="s">
        <v>34</v>
      </c>
      <c r="D17" s="460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61" t="s">
        <v>35</v>
      </c>
      <c r="D18" s="462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63" t="s">
        <v>37</v>
      </c>
      <c r="D37" s="464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5" t="s">
        <v>105</v>
      </c>
      <c r="AB37" s="466"/>
      <c r="AC37" s="466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7" t="str">
        <f>perm_name</f>
        <v>Permanent Positions</v>
      </c>
      <c r="D38" s="448"/>
      <c r="E38" s="189">
        <v>1</v>
      </c>
      <c r="F38" s="190">
        <f>SUMIF($E9:$E35,$E38,$F9:$F35)</f>
        <v>1.63</v>
      </c>
      <c r="G38" s="191">
        <f>SUMIF($E10:$E35,$E38,$G10:$G35)</f>
        <v>99741.4</v>
      </c>
      <c r="H38" s="192">
        <f>SUMIF($E10:$E35,$E38,$H10:$H35)</f>
        <v>20375</v>
      </c>
      <c r="I38" s="192">
        <f>SUMIF($E10:$E35,$E38,$I10:$I35)</f>
        <v>20607.570653999999</v>
      </c>
      <c r="J38" s="192">
        <f>SUM(G38:I38)</f>
        <v>140723.970654</v>
      </c>
      <c r="K38" s="166"/>
      <c r="L38" s="191">
        <f>SUMIF($E10:$E35,$E38,$L10:$L35)</f>
        <v>2037.5</v>
      </c>
      <c r="M38" s="192">
        <f>SUMIF($E10:$E35,$E38,$M10:$M35)</f>
        <v>-718.13808000000097</v>
      </c>
      <c r="N38" s="192">
        <f>SUM(L38:M38)</f>
        <v>1319.3619199999989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1000</v>
      </c>
      <c r="AB38" s="338">
        <f>ROUND((AdjPermVB*CECPerm+AdjPermVBBY*CECPerm),-2)</f>
        <v>200</v>
      </c>
      <c r="AC38" s="338">
        <f>SUM(AA38:AB38)</f>
        <v>1200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7" t="str">
        <f>Group_name</f>
        <v>Board &amp; Group Positions</v>
      </c>
      <c r="D39" s="448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7" t="s">
        <v>38</v>
      </c>
      <c r="D41" s="448"/>
      <c r="E41" s="189"/>
      <c r="F41" s="161">
        <f>SUM(F38:F40)</f>
        <v>1.63</v>
      </c>
      <c r="G41" s="195">
        <f>SUM($G$38:$G$40)</f>
        <v>99741.4</v>
      </c>
      <c r="H41" s="162">
        <f>SUM($H$38:$H$40)</f>
        <v>20375</v>
      </c>
      <c r="I41" s="162">
        <f>SUM($I$38:$I$40)</f>
        <v>20607.570653999999</v>
      </c>
      <c r="J41" s="162">
        <f>SUM($J$38:$J$40)</f>
        <v>140723.970654</v>
      </c>
      <c r="K41" s="259"/>
      <c r="L41" s="195">
        <f>SUM($L$38:$L$40)</f>
        <v>2037.5</v>
      </c>
      <c r="M41" s="162">
        <f>SUM($M$38:$M$40)</f>
        <v>-718.13808000000097</v>
      </c>
      <c r="N41" s="162">
        <f>SUM(L41:M41)</f>
        <v>1319.3619199999989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9"/>
      <c r="D42" s="450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51" t="s">
        <v>39</v>
      </c>
      <c r="D43" s="452"/>
      <c r="E43" s="203" t="s">
        <v>40</v>
      </c>
      <c r="F43" s="205">
        <f>ROUND(F51-F41,2)</f>
        <v>0.02</v>
      </c>
      <c r="G43" s="206">
        <f>G51-G41</f>
        <v>169308.96337477586</v>
      </c>
      <c r="H43" s="159">
        <f>H51-H41</f>
        <v>34586.141048361656</v>
      </c>
      <c r="I43" s="159">
        <f>I51-I41</f>
        <v>34980.924922862439</v>
      </c>
      <c r="J43" s="159">
        <f>SUM(G43:I43)</f>
        <v>238876.02934599997</v>
      </c>
      <c r="K43" s="428" t="str">
        <f>IF(E51=0,"No Original Appropriation amount in DU 3.00 for this fund","Calculated "&amp;IF(J43&gt;0,"overfunding ","underfunding ")&amp;"is "&amp;TEXT(J43/J51,"#.0%;(#.0% );0%;")&amp;" of Original Appropriation")</f>
        <v>Calculated overfunding is 62.9% of Original Appropriation</v>
      </c>
      <c r="L43" s="429"/>
      <c r="M43" s="429"/>
      <c r="N43" s="430"/>
      <c r="O43"/>
      <c r="P43"/>
      <c r="Q43"/>
      <c r="R43"/>
      <c r="S43"/>
      <c r="T43"/>
      <c r="U43"/>
      <c r="V43"/>
      <c r="W43"/>
      <c r="X43"/>
      <c r="Y43"/>
      <c r="Z43" s="344"/>
      <c r="AA43" s="455" t="s">
        <v>106</v>
      </c>
      <c r="AB43" s="456"/>
      <c r="AC43" s="456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3"/>
      <c r="D44" s="454"/>
      <c r="E44" s="204" t="s">
        <v>41</v>
      </c>
      <c r="F44" s="205">
        <f>ROUND(F60-F41,2)</f>
        <v>0.02</v>
      </c>
      <c r="G44" s="206">
        <f>G60-G41</f>
        <v>169358.6</v>
      </c>
      <c r="H44" s="159">
        <f>H60-H41</f>
        <v>34625</v>
      </c>
      <c r="I44" s="159">
        <f>I60-I41</f>
        <v>34992.429346000004</v>
      </c>
      <c r="J44" s="159">
        <f>SUM(G44:I44)</f>
        <v>238976.029346</v>
      </c>
      <c r="K44" s="428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overfunding is 63.0% of Est. Expenditures</v>
      </c>
      <c r="L44" s="429"/>
      <c r="M44" s="429"/>
      <c r="N44" s="430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0.02</v>
      </c>
      <c r="G45" s="206">
        <f>G67-G41-G63</f>
        <v>169358.6</v>
      </c>
      <c r="H45" s="206">
        <f>H67-H41-H63</f>
        <v>34625</v>
      </c>
      <c r="I45" s="206">
        <f>I67-I41-I63</f>
        <v>34992.429346000004</v>
      </c>
      <c r="J45" s="159">
        <f>SUM(G45:I45)</f>
        <v>238976.029346</v>
      </c>
      <c r="K45" s="428" t="str">
        <f>IF(J67=0,"This fund has a $0 Base in DU 9.00",IF(J67=0,"ERROR! Verify/enter 8 series adjustments!","Calculated "&amp;IF(J45&gt;0,"overfunding ","underfunding ")&amp;"is "&amp;TEXT(J45/J67,"#.0%;(#.0% );0%;")&amp;" of the Base"))</f>
        <v>Calculated overfunding is 63.0% of the Base</v>
      </c>
      <c r="L45" s="429"/>
      <c r="M45" s="429"/>
      <c r="N45" s="430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31" t="s">
        <v>98</v>
      </c>
      <c r="F46" s="432"/>
      <c r="G46" s="432"/>
      <c r="H46" s="432"/>
      <c r="I46" s="432"/>
      <c r="J46" s="433"/>
      <c r="K46" s="437" t="str">
        <f>IF(OR(J45&lt;0,F45&lt;0),"You may not have sufficient funding or authorized FTP, and may need to make additional adjustments to finalize this form.  Please contact both your DFM and LSO analysts.","")</f>
        <v/>
      </c>
      <c r="L46" s="438"/>
      <c r="M46" s="438"/>
      <c r="N46" s="439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4"/>
      <c r="F47" s="435"/>
      <c r="G47" s="435"/>
      <c r="H47" s="435"/>
      <c r="I47" s="435"/>
      <c r="J47" s="436"/>
      <c r="K47" s="440"/>
      <c r="L47" s="441"/>
      <c r="M47" s="441"/>
      <c r="N47" s="442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3"/>
      <c r="D50" s="444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379600</v>
      </c>
      <c r="F51" s="272">
        <f>AppropFTP</f>
        <v>1.65</v>
      </c>
      <c r="G51" s="274">
        <f>IF(E51=0,0,(G41/$J$41)*$E$51)</f>
        <v>269050.36337477586</v>
      </c>
      <c r="H51" s="274">
        <f>IF(E51=0,0,(H41/$J$41)*$E$51)</f>
        <v>54961.141048361656</v>
      </c>
      <c r="I51" s="275">
        <f>IF(E51=0,0,(I41/$J$41)*$E$51)</f>
        <v>55588.495576862442</v>
      </c>
      <c r="J51" s="90">
        <f>SUM(G51:I51)</f>
        <v>379599.99999999994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1.65</v>
      </c>
      <c r="G52" s="79">
        <f>ROUND(G51,-2)</f>
        <v>269100</v>
      </c>
      <c r="H52" s="79">
        <f>ROUND(H51,-2)</f>
        <v>55000</v>
      </c>
      <c r="I52" s="266">
        <f>ROUND(I51,-2)</f>
        <v>55600</v>
      </c>
      <c r="J52" s="80">
        <f>ROUND(J51,-2)</f>
        <v>379600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5" t="s">
        <v>47</v>
      </c>
      <c r="D53" s="446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10" t="s">
        <v>48</v>
      </c>
      <c r="D54" s="411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17" t="s">
        <v>49</v>
      </c>
      <c r="D55" s="418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1.65</v>
      </c>
      <c r="G56" s="80">
        <f>SUM(G52:G55)</f>
        <v>269100</v>
      </c>
      <c r="H56" s="80">
        <f>SUM(H52:H55)</f>
        <v>55000</v>
      </c>
      <c r="I56" s="260">
        <f>SUM(I52:I55)</f>
        <v>55600</v>
      </c>
      <c r="J56" s="80">
        <f>SUM(J52:J55)</f>
        <v>379600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15" t="s">
        <v>51</v>
      </c>
      <c r="D57" s="419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20" t="s">
        <v>116</v>
      </c>
      <c r="D58" s="421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20" t="s">
        <v>52</v>
      </c>
      <c r="D59" s="421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1.65</v>
      </c>
      <c r="G60" s="80">
        <f>SUM(G56:G59)</f>
        <v>269100</v>
      </c>
      <c r="H60" s="80">
        <f>SUM(H56:H59)</f>
        <v>55000</v>
      </c>
      <c r="I60" s="260">
        <f>SUM(I56:I59)</f>
        <v>55600</v>
      </c>
      <c r="J60" s="80">
        <f>SUM(J56:J59)</f>
        <v>379600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15" t="s">
        <v>54</v>
      </c>
      <c r="D61" s="419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10" t="s">
        <v>65</v>
      </c>
      <c r="D62" s="411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10" t="s">
        <v>55</v>
      </c>
      <c r="D63" s="411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22" t="s">
        <v>56</v>
      </c>
      <c r="D64" s="423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24"/>
      <c r="D65" s="425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26"/>
      <c r="D66" s="427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1.65</v>
      </c>
      <c r="G67" s="80">
        <f>SUM(G60:G64)</f>
        <v>269100</v>
      </c>
      <c r="H67" s="80">
        <f>SUM(H60:H64)</f>
        <v>55000</v>
      </c>
      <c r="I67" s="80">
        <f>SUM(I60:I64)</f>
        <v>55600</v>
      </c>
      <c r="J67" s="80">
        <f>SUM(J60:J64)</f>
        <v>379600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15" t="s">
        <v>58</v>
      </c>
      <c r="D68" s="416"/>
      <c r="E68" s="112"/>
      <c r="F68" s="288"/>
      <c r="G68" s="287"/>
      <c r="H68" s="113">
        <f>IF(DUNine=0,0,ROUND(SUM(L41:L65),-2))</f>
        <v>2000</v>
      </c>
      <c r="I68" s="113"/>
      <c r="J68" s="287">
        <f>SUM(G68:I68)</f>
        <v>2000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15" t="s">
        <v>59</v>
      </c>
      <c r="D69" s="416"/>
      <c r="E69" s="112"/>
      <c r="F69" s="288"/>
      <c r="G69" s="113"/>
      <c r="H69" s="113"/>
      <c r="I69" s="113">
        <f>IF(DUNine=0,0,ROUND(SUM(M41:M64),-2))</f>
        <v>-700</v>
      </c>
      <c r="J69" s="287">
        <f>SUM(G69:I69)</f>
        <v>-700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8"/>
      <c r="D70" s="409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10" t="s">
        <v>60</v>
      </c>
      <c r="D71" s="411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10" t="s">
        <v>99</v>
      </c>
      <c r="D72" s="412"/>
      <c r="E72" s="290">
        <f>CECPerm</f>
        <v>0.01</v>
      </c>
      <c r="F72" s="288"/>
      <c r="G72" s="356">
        <f>IF(DUNine=0,0,IF(DUNine&lt;0,0,ROUND(AdjPermSalary*CECPerm,-2)))</f>
        <v>1000</v>
      </c>
      <c r="H72" s="287"/>
      <c r="I72" s="287">
        <f>ROUND(($G72*PermVBBY+$G72*Retire1BY),-2)</f>
        <v>200</v>
      </c>
      <c r="J72" s="113">
        <f>SUM(G72:I72)</f>
        <v>1200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10" t="s">
        <v>117</v>
      </c>
      <c r="D73" s="412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1.65</v>
      </c>
      <c r="G75" s="80">
        <f>SUM(G67:G74)</f>
        <v>270100</v>
      </c>
      <c r="H75" s="80">
        <f>SUM(H67:H74)</f>
        <v>57000</v>
      </c>
      <c r="I75" s="80">
        <f>SUM(I67:I74)</f>
        <v>55100</v>
      </c>
      <c r="J75" s="80">
        <f>SUM(J67:K74)</f>
        <v>382100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3" t="s">
        <v>63</v>
      </c>
      <c r="D76" s="414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6"/>
      <c r="D77" s="407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6"/>
      <c r="D78" s="407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6"/>
      <c r="D79" s="407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1.65</v>
      </c>
      <c r="G80" s="80">
        <f>SUM(G75:G79)</f>
        <v>270100</v>
      </c>
      <c r="H80" s="80">
        <f>SUM(H75:H79)</f>
        <v>57000</v>
      </c>
      <c r="I80" s="80">
        <f>SUM(I75:I79)</f>
        <v>55100</v>
      </c>
      <c r="J80" s="80">
        <f>SUM(J75:J79)</f>
        <v>382100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76" priority="8">
      <formula>$J$44&lt;0</formula>
    </cfRule>
  </conditionalFormatting>
  <conditionalFormatting sqref="K43">
    <cfRule type="expression" dxfId="75" priority="7">
      <formula>$J$43&lt;0</formula>
    </cfRule>
  </conditionalFormatting>
  <conditionalFormatting sqref="L16">
    <cfRule type="expression" dxfId="74" priority="6">
      <formula>$J$16&lt;0</formula>
    </cfRule>
  </conditionalFormatting>
  <conditionalFormatting sqref="K45">
    <cfRule type="expression" dxfId="73" priority="5">
      <formula>$J$44&lt;0</formula>
    </cfRule>
  </conditionalFormatting>
  <conditionalFormatting sqref="K43:N45">
    <cfRule type="containsText" dxfId="72" priority="4" operator="containsText" text="underfunding">
      <formula>NOT(ISERROR(SEARCH("underfunding",K43)))</formula>
    </cfRule>
  </conditionalFormatting>
  <conditionalFormatting sqref="K44">
    <cfRule type="expression" dxfId="71" priority="3">
      <formula>$J$44&lt;0</formula>
    </cfRule>
  </conditionalFormatting>
  <conditionalFormatting sqref="K45">
    <cfRule type="expression" dxfId="70" priority="2">
      <formula>$J$44&lt;0</formula>
    </cfRule>
  </conditionalFormatting>
  <conditionalFormatting sqref="K45">
    <cfRule type="expression" dxfId="69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1E57BC6-43D2-42E4-A8C6-345F27DBCB68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0B361-C50E-4454-A8EA-11716C6B2400}">
  <sheetPr codeName="Sheet13"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824</v>
      </c>
      <c r="E1" s="15"/>
      <c r="F1" s="15"/>
      <c r="G1" s="15"/>
      <c r="H1" s="15"/>
      <c r="I1" s="15"/>
      <c r="J1" s="15"/>
      <c r="K1" s="15"/>
      <c r="L1" s="16" t="s">
        <v>14</v>
      </c>
      <c r="M1" s="471">
        <v>170</v>
      </c>
      <c r="N1" s="472"/>
      <c r="AA1" s="365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 t="s">
        <v>825</v>
      </c>
      <c r="E2" s="21"/>
      <c r="F2" s="21"/>
      <c r="G2" s="21"/>
      <c r="H2" s="21"/>
      <c r="I2" s="21"/>
      <c r="J2" s="20"/>
      <c r="K2" s="20"/>
      <c r="L2" s="22" t="s">
        <v>111</v>
      </c>
      <c r="M2" s="473" t="s">
        <v>877</v>
      </c>
      <c r="N2" s="474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 t="s">
        <v>847</v>
      </c>
      <c r="E3" s="24"/>
      <c r="F3" s="25"/>
      <c r="G3" s="25"/>
      <c r="H3" s="25"/>
      <c r="I3" s="26"/>
      <c r="J3" s="20"/>
      <c r="K3" s="20"/>
      <c r="L3" s="22" t="s">
        <v>112</v>
      </c>
      <c r="M3" s="471" t="s">
        <v>439</v>
      </c>
      <c r="N3" s="472"/>
      <c r="AA3" s="365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71">
        <v>2024</v>
      </c>
      <c r="N4" s="472"/>
      <c r="AA4" s="365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73" t="s">
        <v>875</v>
      </c>
      <c r="J5" s="475"/>
      <c r="K5" s="475"/>
      <c r="L5" s="474"/>
      <c r="M5" s="352" t="s">
        <v>113</v>
      </c>
      <c r="N5" s="32" t="s">
        <v>876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1" t="s">
        <v>21</v>
      </c>
      <c r="C8" s="476" t="s">
        <v>22</v>
      </c>
      <c r="D8" s="477"/>
      <c r="E8" s="371" t="s">
        <v>23</v>
      </c>
      <c r="F8" s="49" t="s">
        <v>24</v>
      </c>
      <c r="G8" s="50" t="str">
        <f>"FY "&amp;'EDBE|0349-00'!FiscalYear-1&amp;" SALARY"</f>
        <v>FY 2023 SALARY</v>
      </c>
      <c r="H8" s="50" t="str">
        <f>"FY "&amp;'EDBE|0349-00'!FiscalYear-1&amp;" HEALTH BENEFITS"</f>
        <v>FY 2023 HEALTH BENEFITS</v>
      </c>
      <c r="I8" s="50" t="str">
        <f>"FY "&amp;'EDBE|0349-00'!FiscalYear-1&amp;" VAR BENEFITS"</f>
        <v>FY 2023 VAR BENEFITS</v>
      </c>
      <c r="J8" s="50" t="str">
        <f>"FY "&amp;'EDBE|0349-00'!FiscalYear-1&amp;" TOTAL"</f>
        <v>FY 2023 TOTAL</v>
      </c>
      <c r="K8" s="50" t="str">
        <f>"FY "&amp;'EDBE|0349-00'!FiscalYear&amp;" SALARY CHANGE"</f>
        <v>FY 2024 SALARY CHANGE</v>
      </c>
      <c r="L8" s="50" t="str">
        <f>"FY "&amp;'EDBE|0349-00'!FiscalYear&amp;" CHG HEALTH BENEFITS"</f>
        <v>FY 2024 CHG HEALTH BENEFITS</v>
      </c>
      <c r="M8" s="50" t="str">
        <f>"FY "&amp;'EDBE|0349-00'!FiscalYear&amp;"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7" t="s">
        <v>103</v>
      </c>
      <c r="AB8" s="467"/>
      <c r="AC8" s="467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8" t="s">
        <v>26</v>
      </c>
      <c r="D9" s="469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7" t="s">
        <v>27</v>
      </c>
      <c r="D10" s="470"/>
      <c r="E10" s="217">
        <v>1</v>
      </c>
      <c r="F10" s="288">
        <f>[0]!EDBE034900col_INC_FTI</f>
        <v>2.5</v>
      </c>
      <c r="G10" s="218">
        <f>[0]!EDBE034900col_FTI_SALARY_PERM</f>
        <v>173406.48</v>
      </c>
      <c r="H10" s="218">
        <f>[0]!EDBE034900col_HEALTH_PERM</f>
        <v>31250</v>
      </c>
      <c r="I10" s="218">
        <f>[0]!EDBE034900col_TOT_VB_PERM</f>
        <v>35827.512832799999</v>
      </c>
      <c r="J10" s="219">
        <f>SUM(G10:I10)</f>
        <v>240483.99283280002</v>
      </c>
      <c r="K10" s="219">
        <f>[0]!EDBE034900col_1_27TH_PP</f>
        <v>0</v>
      </c>
      <c r="L10" s="218">
        <f>[0]!EDBE034900col_HEALTH_PERM_CHG</f>
        <v>3125</v>
      </c>
      <c r="M10" s="218">
        <f>[0]!EDBE034900col_TOT_VB_PERM_CHG</f>
        <v>-1248.5266560000018</v>
      </c>
      <c r="N10" s="218">
        <f>SUM(L10:M10)</f>
        <v>1876.4733439999982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1700</v>
      </c>
      <c r="AB10" s="335">
        <f>ROUND(PermVarBen*CECPerm+(CECPerm*PermVarBenChg),-2)</f>
        <v>300</v>
      </c>
      <c r="AC10" s="335">
        <f>SUM(AA10:AB10)</f>
        <v>2000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7" t="s">
        <v>28</v>
      </c>
      <c r="D11" s="470"/>
      <c r="E11" s="217">
        <v>2</v>
      </c>
      <c r="F11" s="288"/>
      <c r="G11" s="218">
        <f>[0]!EDBE034900col_Group_Salary</f>
        <v>0</v>
      </c>
      <c r="H11" s="218">
        <v>0</v>
      </c>
      <c r="I11" s="218">
        <f>[0]!EDBE034900col_Group_Ben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7" t="s">
        <v>29</v>
      </c>
      <c r="D12" s="448"/>
      <c r="E12" s="217">
        <v>3</v>
      </c>
      <c r="F12" s="288">
        <f>[0]!EDBE034900col_TOTAL_ELECT_PCN_FTI</f>
        <v>0</v>
      </c>
      <c r="G12" s="218">
        <f>[0]!EDBE034900col_FTI_SALARY_ELECT</f>
        <v>0</v>
      </c>
      <c r="H12" s="218">
        <f>[0]!EDBE034900col_HEALTH_ELECT</f>
        <v>0</v>
      </c>
      <c r="I12" s="218">
        <f>[0]!EDBE034900col_TOT_VB_ELECT</f>
        <v>0</v>
      </c>
      <c r="J12" s="219">
        <f>SUM(G12:I12)</f>
        <v>0</v>
      </c>
      <c r="K12" s="268"/>
      <c r="L12" s="218">
        <f>[0]!EDBE034900col_HEALTH_ELECT_CHG</f>
        <v>0</v>
      </c>
      <c r="M12" s="218">
        <f>[0]!EDBE034900col_TOT_VB_ELECT_CHG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7" t="s">
        <v>30</v>
      </c>
      <c r="D13" s="470"/>
      <c r="E13" s="217"/>
      <c r="F13" s="220">
        <f>SUM(F10:F12)</f>
        <v>2.5</v>
      </c>
      <c r="G13" s="221">
        <f>SUM(G10:G12)</f>
        <v>173406.48</v>
      </c>
      <c r="H13" s="221">
        <f>SUM(H10:H12)</f>
        <v>31250</v>
      </c>
      <c r="I13" s="221">
        <f>SUM(I10:I12)</f>
        <v>35827.512832799999</v>
      </c>
      <c r="J13" s="219">
        <f>SUM(G13:I13)</f>
        <v>240483.99283280002</v>
      </c>
      <c r="K13" s="268"/>
      <c r="L13" s="219">
        <f>SUM(L10:L12)</f>
        <v>3125</v>
      </c>
      <c r="M13" s="219">
        <f>SUM(M10:M12)</f>
        <v>-1248.5266560000018</v>
      </c>
      <c r="N13" s="219">
        <f>SUM(N10:N12)</f>
        <v>1876.4733439999982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"&amp;'EDBE|0349-00'!FiscalYear-1</f>
        <v>FY 2023</v>
      </c>
      <c r="D15" s="158" t="s">
        <v>31</v>
      </c>
      <c r="E15" s="355">
        <v>343900</v>
      </c>
      <c r="F15" s="55">
        <v>3.48</v>
      </c>
      <c r="G15" s="223">
        <f>IF(OrigApprop=0,0,(G13/$J$13)*OrigApprop)</f>
        <v>247976.95584446547</v>
      </c>
      <c r="H15" s="223">
        <f>IF(OrigApprop=0,0,(H13/$J$13)*OrigApprop)</f>
        <v>44688.525308509496</v>
      </c>
      <c r="I15" s="223">
        <f>IF(G15=0,0,(I13/$J$13)*OrigApprop)</f>
        <v>51234.518847025007</v>
      </c>
      <c r="J15" s="223">
        <f>SUM(G15:I15)</f>
        <v>343899.99999999994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7" t="s">
        <v>32</v>
      </c>
      <c r="D16" s="458"/>
      <c r="E16" s="160" t="s">
        <v>33</v>
      </c>
      <c r="F16" s="161">
        <f>F15-F13</f>
        <v>0.98</v>
      </c>
      <c r="G16" s="162">
        <f>G15-G13</f>
        <v>74570.475844465458</v>
      </c>
      <c r="H16" s="162">
        <f>H15-H13</f>
        <v>13438.525308509496</v>
      </c>
      <c r="I16" s="162">
        <f>I15-I13</f>
        <v>15407.006014225008</v>
      </c>
      <c r="J16" s="162">
        <f>J15-J13</f>
        <v>103416.00716719992</v>
      </c>
      <c r="K16" s="269"/>
      <c r="L16" s="56" t="str">
        <f>IF('EDBE|0349-00'!OrigApprop=0,"No Original Appropriation amount in DU 3.00 for this fund","Calculated "&amp;IF('EDBE|0349-00'!AdjustedTotal&gt;0,"overfunding ","underfunding ")&amp;"is "&amp;TEXT('EDBE|0349-00'!AdjustedTotal/'EDBE|0349-00'!AppropTotal,"#.0%;(#.0% );0% ;")&amp;" of Original Appropriation")</f>
        <v>Calculated overfunding is 30.1%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9" t="s">
        <v>34</v>
      </c>
      <c r="D17" s="460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61" t="s">
        <v>35</v>
      </c>
      <c r="D18" s="462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63" t="s">
        <v>37</v>
      </c>
      <c r="D37" s="464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5" t="s">
        <v>105</v>
      </c>
      <c r="AB37" s="466"/>
      <c r="AC37" s="466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7" t="str">
        <f>perm_name</f>
        <v>Permanent Positions</v>
      </c>
      <c r="D38" s="448"/>
      <c r="E38" s="189">
        <v>1</v>
      </c>
      <c r="F38" s="190">
        <f>SUMIF($E9:$E35,$E38,$F9:$F35)</f>
        <v>2.5</v>
      </c>
      <c r="G38" s="191">
        <f>SUMIF($E10:$E35,$E38,$G10:$G35)</f>
        <v>173406.48</v>
      </c>
      <c r="H38" s="192">
        <f>SUMIF($E10:$E35,$E38,$H10:$H35)</f>
        <v>31250</v>
      </c>
      <c r="I38" s="192">
        <f>SUMIF($E10:$E35,$E38,$I10:$I35)</f>
        <v>35827.512832799999</v>
      </c>
      <c r="J38" s="192">
        <f>SUM(G38:I38)</f>
        <v>240483.99283280002</v>
      </c>
      <c r="K38" s="166"/>
      <c r="L38" s="191">
        <f>SUMIF($E10:$E35,$E38,$L10:$L35)</f>
        <v>3125</v>
      </c>
      <c r="M38" s="192">
        <f>SUMIF($E10:$E35,$E38,$M10:$M35)</f>
        <v>-1248.5266560000018</v>
      </c>
      <c r="N38" s="192">
        <f>SUM(L38:M38)</f>
        <v>1876.4733439999982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1700</v>
      </c>
      <c r="AB38" s="338">
        <f>ROUND((AdjPermVB*CECPerm+AdjPermVBBY*CECPerm),-2)</f>
        <v>300</v>
      </c>
      <c r="AC38" s="338">
        <f>SUM(AA38:AB38)</f>
        <v>2000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7" t="str">
        <f>Group_name</f>
        <v>Board &amp; Group Positions</v>
      </c>
      <c r="D39" s="448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7" t="s">
        <v>38</v>
      </c>
      <c r="D41" s="448"/>
      <c r="E41" s="189"/>
      <c r="F41" s="161">
        <f>SUM(F38:F40)</f>
        <v>2.5</v>
      </c>
      <c r="G41" s="195">
        <f>SUM($G$38:$G$40)</f>
        <v>173406.48</v>
      </c>
      <c r="H41" s="162">
        <f>SUM($H$38:$H$40)</f>
        <v>31250</v>
      </c>
      <c r="I41" s="162">
        <f>SUM($I$38:$I$40)</f>
        <v>35827.512832799999</v>
      </c>
      <c r="J41" s="162">
        <f>SUM($J$38:$J$40)</f>
        <v>240483.99283280002</v>
      </c>
      <c r="K41" s="259"/>
      <c r="L41" s="195">
        <f>SUM($L$38:$L$40)</f>
        <v>3125</v>
      </c>
      <c r="M41" s="162">
        <f>SUM($M$38:$M$40)</f>
        <v>-1248.5266560000018</v>
      </c>
      <c r="N41" s="162">
        <f>SUM(L41:M41)</f>
        <v>1876.4733439999982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9"/>
      <c r="D42" s="450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51" t="s">
        <v>39</v>
      </c>
      <c r="D43" s="452"/>
      <c r="E43" s="203" t="s">
        <v>40</v>
      </c>
      <c r="F43" s="205">
        <f>ROUND(F51-F41,2)</f>
        <v>0.98</v>
      </c>
      <c r="G43" s="206">
        <f>G51-G41</f>
        <v>74570.475844465458</v>
      </c>
      <c r="H43" s="159">
        <f>H51-H41</f>
        <v>13438.525308509496</v>
      </c>
      <c r="I43" s="159">
        <f>I51-I41</f>
        <v>15407.006014225008</v>
      </c>
      <c r="J43" s="159">
        <f>SUM(G43:I43)</f>
        <v>103416.00716719998</v>
      </c>
      <c r="K43" s="428" t="str">
        <f>IF(E51=0,"No Original Appropriation amount in DU 3.00 for this fund","Calculated "&amp;IF(J43&gt;0,"overfunding ","underfunding ")&amp;"is "&amp;TEXT(J43/J51,"#.0%;(#.0% );0%;")&amp;" of Original Appropriation")</f>
        <v>Calculated overfunding is 30.1% of Original Appropriation</v>
      </c>
      <c r="L43" s="429"/>
      <c r="M43" s="429"/>
      <c r="N43" s="430"/>
      <c r="O43"/>
      <c r="P43"/>
      <c r="Q43"/>
      <c r="R43"/>
      <c r="S43"/>
      <c r="T43"/>
      <c r="U43"/>
      <c r="V43"/>
      <c r="W43"/>
      <c r="X43"/>
      <c r="Y43"/>
      <c r="Z43" s="344"/>
      <c r="AA43" s="455" t="s">
        <v>106</v>
      </c>
      <c r="AB43" s="456"/>
      <c r="AC43" s="456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3"/>
      <c r="D44" s="454"/>
      <c r="E44" s="204" t="s">
        <v>41</v>
      </c>
      <c r="F44" s="205">
        <f>ROUND(F60-F41,2)</f>
        <v>0.98</v>
      </c>
      <c r="G44" s="206">
        <f>G60-G41</f>
        <v>74593.51999999999</v>
      </c>
      <c r="H44" s="159">
        <f>H60-H41</f>
        <v>13450</v>
      </c>
      <c r="I44" s="159">
        <f>I60-I41</f>
        <v>15372.487167200001</v>
      </c>
      <c r="J44" s="159">
        <f>SUM(G44:I44)</f>
        <v>103416.00716719999</v>
      </c>
      <c r="K44" s="428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overfunding is 30.1% of Est. Expenditures</v>
      </c>
      <c r="L44" s="429"/>
      <c r="M44" s="429"/>
      <c r="N44" s="430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0.98</v>
      </c>
      <c r="G45" s="206">
        <f>G67-G41-G63</f>
        <v>74593.51999999999</v>
      </c>
      <c r="H45" s="206">
        <f>H67-H41-H63</f>
        <v>13450</v>
      </c>
      <c r="I45" s="206">
        <f>I67-I41-I63</f>
        <v>15372.487167200001</v>
      </c>
      <c r="J45" s="159">
        <f>SUM(G45:I45)</f>
        <v>103416.00716719999</v>
      </c>
      <c r="K45" s="428" t="str">
        <f>IF(J67=0,"This fund has a $0 Base in DU 9.00",IF(J67=0,"ERROR! Verify/enter 8 series adjustments!","Calculated "&amp;IF(J45&gt;0,"overfunding ","underfunding ")&amp;"is "&amp;TEXT(J45/J67,"#.0%;(#.0% );0%;")&amp;" of the Base"))</f>
        <v>Calculated overfunding is 30.1% of the Base</v>
      </c>
      <c r="L45" s="429"/>
      <c r="M45" s="429"/>
      <c r="N45" s="430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31" t="s">
        <v>98</v>
      </c>
      <c r="F46" s="432"/>
      <c r="G46" s="432"/>
      <c r="H46" s="432"/>
      <c r="I46" s="432"/>
      <c r="J46" s="433"/>
      <c r="K46" s="437" t="str">
        <f>IF(OR(J45&lt;0,F45&lt;0),"You may not have sufficient funding or authorized FTP, and may need to make additional adjustments to finalize this form.  Please contact both your DFM and LSO analysts.","")</f>
        <v/>
      </c>
      <c r="L46" s="438"/>
      <c r="M46" s="438"/>
      <c r="N46" s="439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4"/>
      <c r="F47" s="435"/>
      <c r="G47" s="435"/>
      <c r="H47" s="435"/>
      <c r="I47" s="435"/>
      <c r="J47" s="436"/>
      <c r="K47" s="440"/>
      <c r="L47" s="441"/>
      <c r="M47" s="441"/>
      <c r="N47" s="442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3"/>
      <c r="D50" s="444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343900</v>
      </c>
      <c r="F51" s="272">
        <f>AppropFTP</f>
        <v>3.48</v>
      </c>
      <c r="G51" s="274">
        <f>IF(E51=0,0,(G41/$J$41)*$E$51)</f>
        <v>247976.95584446547</v>
      </c>
      <c r="H51" s="274">
        <f>IF(E51=0,0,(H41/$J$41)*$E$51)</f>
        <v>44688.525308509496</v>
      </c>
      <c r="I51" s="275">
        <f>IF(E51=0,0,(I41/$J$41)*$E$51)</f>
        <v>51234.518847025007</v>
      </c>
      <c r="J51" s="90">
        <f>SUM(G51:I51)</f>
        <v>343899.99999999994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3.48</v>
      </c>
      <c r="G52" s="79">
        <f>ROUND(G51,-2)</f>
        <v>248000</v>
      </c>
      <c r="H52" s="79">
        <f>ROUND(H51,-2)</f>
        <v>44700</v>
      </c>
      <c r="I52" s="266">
        <f>ROUND(I51,-2)</f>
        <v>51200</v>
      </c>
      <c r="J52" s="80">
        <f>ROUND(J51,-2)</f>
        <v>343900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5" t="s">
        <v>47</v>
      </c>
      <c r="D53" s="446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10" t="s">
        <v>48</v>
      </c>
      <c r="D54" s="411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17" t="s">
        <v>49</v>
      </c>
      <c r="D55" s="418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3.48</v>
      </c>
      <c r="G56" s="80">
        <f>SUM(G52:G55)</f>
        <v>248000</v>
      </c>
      <c r="H56" s="80">
        <f>SUM(H52:H55)</f>
        <v>44700</v>
      </c>
      <c r="I56" s="260">
        <f>SUM(I52:I55)</f>
        <v>51200</v>
      </c>
      <c r="J56" s="80">
        <f>SUM(J52:J55)</f>
        <v>343900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15" t="s">
        <v>51</v>
      </c>
      <c r="D57" s="419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20" t="s">
        <v>116</v>
      </c>
      <c r="D58" s="421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20" t="s">
        <v>52</v>
      </c>
      <c r="D59" s="421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3.48</v>
      </c>
      <c r="G60" s="80">
        <f>SUM(G56:G59)</f>
        <v>248000</v>
      </c>
      <c r="H60" s="80">
        <f>SUM(H56:H59)</f>
        <v>44700</v>
      </c>
      <c r="I60" s="260">
        <f>SUM(I56:I59)</f>
        <v>51200</v>
      </c>
      <c r="J60" s="80">
        <f>SUM(J56:J59)</f>
        <v>343900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15" t="s">
        <v>54</v>
      </c>
      <c r="D61" s="419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10" t="s">
        <v>65</v>
      </c>
      <c r="D62" s="411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10" t="s">
        <v>55</v>
      </c>
      <c r="D63" s="411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22" t="s">
        <v>56</v>
      </c>
      <c r="D64" s="423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24"/>
      <c r="D65" s="425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26"/>
      <c r="D66" s="427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3.48</v>
      </c>
      <c r="G67" s="80">
        <f>SUM(G60:G64)</f>
        <v>248000</v>
      </c>
      <c r="H67" s="80">
        <f>SUM(H60:H64)</f>
        <v>44700</v>
      </c>
      <c r="I67" s="80">
        <f>SUM(I60:I64)</f>
        <v>51200</v>
      </c>
      <c r="J67" s="80">
        <f>SUM(J60:J64)</f>
        <v>343900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15" t="s">
        <v>58</v>
      </c>
      <c r="D68" s="416"/>
      <c r="E68" s="112"/>
      <c r="F68" s="288"/>
      <c r="G68" s="287"/>
      <c r="H68" s="113">
        <f>IF(DUNine=0,0,ROUND(SUM(L41:L65),-2))</f>
        <v>3100</v>
      </c>
      <c r="I68" s="113"/>
      <c r="J68" s="287">
        <f>SUM(G68:I68)</f>
        <v>3100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15" t="s">
        <v>59</v>
      </c>
      <c r="D69" s="416"/>
      <c r="E69" s="112"/>
      <c r="F69" s="288"/>
      <c r="G69" s="113"/>
      <c r="H69" s="113"/>
      <c r="I69" s="113">
        <f>IF(DUNine=0,0,ROUND(SUM(M41:M64),-2))</f>
        <v>-1200</v>
      </c>
      <c r="J69" s="287">
        <f>SUM(G69:I69)</f>
        <v>-1200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8"/>
      <c r="D70" s="409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10" t="s">
        <v>60</v>
      </c>
      <c r="D71" s="411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10" t="s">
        <v>99</v>
      </c>
      <c r="D72" s="412"/>
      <c r="E72" s="290">
        <f>CECPerm</f>
        <v>0.01</v>
      </c>
      <c r="F72" s="288"/>
      <c r="G72" s="356">
        <f>IF(DUNine=0,0,IF(DUNine&lt;0,0,ROUND(AdjPermSalary*CECPerm,-2)))</f>
        <v>1700</v>
      </c>
      <c r="H72" s="287"/>
      <c r="I72" s="287">
        <f>ROUND(($G72*PermVBBY+$G72*Retire1BY),-2)</f>
        <v>300</v>
      </c>
      <c r="J72" s="113">
        <f>SUM(G72:I72)</f>
        <v>2000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10" t="s">
        <v>117</v>
      </c>
      <c r="D73" s="412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3.48</v>
      </c>
      <c r="G75" s="80">
        <f>SUM(G67:G74)</f>
        <v>249700</v>
      </c>
      <c r="H75" s="80">
        <f>SUM(H67:H74)</f>
        <v>47800</v>
      </c>
      <c r="I75" s="80">
        <f>SUM(I67:I74)</f>
        <v>50300</v>
      </c>
      <c r="J75" s="80">
        <f>SUM(J67:K74)</f>
        <v>347800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3" t="s">
        <v>63</v>
      </c>
      <c r="D76" s="414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6"/>
      <c r="D77" s="407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6"/>
      <c r="D78" s="407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6"/>
      <c r="D79" s="407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3.48</v>
      </c>
      <c r="G80" s="80">
        <f>SUM(G75:G79)</f>
        <v>249700</v>
      </c>
      <c r="H80" s="80">
        <f>SUM(H75:H79)</f>
        <v>47800</v>
      </c>
      <c r="I80" s="80">
        <f>SUM(I75:I79)</f>
        <v>50300</v>
      </c>
      <c r="J80" s="80">
        <f>SUM(J75:J79)</f>
        <v>347800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68" priority="8">
      <formula>$J$44&lt;0</formula>
    </cfRule>
  </conditionalFormatting>
  <conditionalFormatting sqref="K43">
    <cfRule type="expression" dxfId="67" priority="7">
      <formula>$J$43&lt;0</formula>
    </cfRule>
  </conditionalFormatting>
  <conditionalFormatting sqref="L16">
    <cfRule type="expression" dxfId="66" priority="6">
      <formula>$J$16&lt;0</formula>
    </cfRule>
  </conditionalFormatting>
  <conditionalFormatting sqref="K45">
    <cfRule type="expression" dxfId="65" priority="5">
      <formula>$J$44&lt;0</formula>
    </cfRule>
  </conditionalFormatting>
  <conditionalFormatting sqref="K43:N45">
    <cfRule type="containsText" dxfId="64" priority="4" operator="containsText" text="underfunding">
      <formula>NOT(ISERROR(SEARCH("underfunding",K43)))</formula>
    </cfRule>
  </conditionalFormatting>
  <conditionalFormatting sqref="K44">
    <cfRule type="expression" dxfId="63" priority="3">
      <formula>$J$44&lt;0</formula>
    </cfRule>
  </conditionalFormatting>
  <conditionalFormatting sqref="K45">
    <cfRule type="expression" dxfId="62" priority="2">
      <formula>$J$44&lt;0</formula>
    </cfRule>
  </conditionalFormatting>
  <conditionalFormatting sqref="K45">
    <cfRule type="expression" dxfId="61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B3CD140-B38A-4D94-A9D7-37E0FD03E9B9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14C04-F074-434F-B424-3D5E9B814396}">
  <sheetPr codeName="Sheet17"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824</v>
      </c>
      <c r="E1" s="15"/>
      <c r="F1" s="15"/>
      <c r="G1" s="15"/>
      <c r="H1" s="15"/>
      <c r="I1" s="15"/>
      <c r="J1" s="15"/>
      <c r="K1" s="15"/>
      <c r="L1" s="16" t="s">
        <v>14</v>
      </c>
      <c r="M1" s="471">
        <v>170</v>
      </c>
      <c r="N1" s="472"/>
      <c r="AA1" s="365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 t="s">
        <v>825</v>
      </c>
      <c r="E2" s="21"/>
      <c r="F2" s="21"/>
      <c r="G2" s="21"/>
      <c r="H2" s="21"/>
      <c r="I2" s="21"/>
      <c r="J2" s="20"/>
      <c r="K2" s="20"/>
      <c r="L2" s="22" t="s">
        <v>111</v>
      </c>
      <c r="M2" s="473" t="s">
        <v>899</v>
      </c>
      <c r="N2" s="474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 t="s">
        <v>847</v>
      </c>
      <c r="E3" s="24"/>
      <c r="F3" s="25"/>
      <c r="G3" s="25"/>
      <c r="H3" s="25"/>
      <c r="I3" s="26"/>
      <c r="J3" s="20"/>
      <c r="K3" s="20"/>
      <c r="L3" s="22" t="s">
        <v>112</v>
      </c>
      <c r="M3" s="471" t="s">
        <v>764</v>
      </c>
      <c r="N3" s="472"/>
      <c r="AA3" s="365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71">
        <v>2024</v>
      </c>
      <c r="N4" s="472"/>
      <c r="AA4" s="365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73" t="s">
        <v>897</v>
      </c>
      <c r="J5" s="475"/>
      <c r="K5" s="475"/>
      <c r="L5" s="474"/>
      <c r="M5" s="352" t="s">
        <v>113</v>
      </c>
      <c r="N5" s="32" t="s">
        <v>898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1" t="s">
        <v>21</v>
      </c>
      <c r="C8" s="476" t="s">
        <v>22</v>
      </c>
      <c r="D8" s="477"/>
      <c r="E8" s="371" t="s">
        <v>23</v>
      </c>
      <c r="F8" s="49" t="s">
        <v>24</v>
      </c>
      <c r="G8" s="50" t="str">
        <f>"FY "&amp;'EDBG|0481-10'!FiscalYear-1&amp;" SALARY"</f>
        <v>FY 2023 SALARY</v>
      </c>
      <c r="H8" s="50" t="str">
        <f>"FY "&amp;'EDBG|0481-10'!FiscalYear-1&amp;" HEALTH BENEFITS"</f>
        <v>FY 2023 HEALTH BENEFITS</v>
      </c>
      <c r="I8" s="50" t="str">
        <f>"FY "&amp;'EDBG|0481-10'!FiscalYear-1&amp;" VAR BENEFITS"</f>
        <v>FY 2023 VAR BENEFITS</v>
      </c>
      <c r="J8" s="50" t="str">
        <f>"FY "&amp;'EDBG|0481-10'!FiscalYear-1&amp;" TOTAL"</f>
        <v>FY 2023 TOTAL</v>
      </c>
      <c r="K8" s="50" t="str">
        <f>"FY "&amp;'EDBG|0481-10'!FiscalYear&amp;" SALARY CHANGE"</f>
        <v>FY 2024 SALARY CHANGE</v>
      </c>
      <c r="L8" s="50" t="str">
        <f>"FY "&amp;'EDBG|0481-10'!FiscalYear&amp;" CHG HEALTH BENEFITS"</f>
        <v>FY 2024 CHG HEALTH BENEFITS</v>
      </c>
      <c r="M8" s="50" t="str">
        <f>"FY "&amp;'EDBG|0481-10'!FiscalYear&amp;"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7" t="s">
        <v>103</v>
      </c>
      <c r="AB8" s="467"/>
      <c r="AC8" s="467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8" t="s">
        <v>26</v>
      </c>
      <c r="D9" s="469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7" t="s">
        <v>27</v>
      </c>
      <c r="D10" s="470"/>
      <c r="E10" s="217">
        <v>1</v>
      </c>
      <c r="F10" s="288">
        <f>[0]!EDBG048110col_INC_FTI</f>
        <v>0</v>
      </c>
      <c r="G10" s="218">
        <f>[0]!EDBG048110col_FTI_SALARY_PERM</f>
        <v>0</v>
      </c>
      <c r="H10" s="218">
        <f>[0]!EDBG048110col_HEALTH_PERM</f>
        <v>0</v>
      </c>
      <c r="I10" s="218">
        <f>[0]!EDBG048110col_TOT_VB_PERM</f>
        <v>0</v>
      </c>
      <c r="J10" s="219">
        <f>SUM(G10:I10)</f>
        <v>0</v>
      </c>
      <c r="K10" s="219">
        <f>[0]!EDBG048110col_1_27TH_PP</f>
        <v>0</v>
      </c>
      <c r="L10" s="218">
        <f>[0]!EDBG048110col_HEALTH_PERM_CHG</f>
        <v>0</v>
      </c>
      <c r="M10" s="218">
        <f>[0]!EDBG048110col_TOT_VB_PERM_CHG</f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7" t="s">
        <v>28</v>
      </c>
      <c r="D11" s="470"/>
      <c r="E11" s="217">
        <v>2</v>
      </c>
      <c r="F11" s="288"/>
      <c r="G11" s="218">
        <f>[0]!EDBG048110col_Group_Salary</f>
        <v>0</v>
      </c>
      <c r="H11" s="218">
        <v>0</v>
      </c>
      <c r="I11" s="218">
        <f>[0]!EDBG048110col_Group_Ben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7" t="s">
        <v>29</v>
      </c>
      <c r="D12" s="448"/>
      <c r="E12" s="217">
        <v>3</v>
      </c>
      <c r="F12" s="288">
        <f>[0]!EDBG048110col_TOTAL_ELECT_PCN_FTI</f>
        <v>0</v>
      </c>
      <c r="G12" s="218">
        <f>[0]!EDBG048110col_FTI_SALARY_ELECT</f>
        <v>0</v>
      </c>
      <c r="H12" s="218">
        <f>[0]!EDBG048110col_HEALTH_ELECT</f>
        <v>0</v>
      </c>
      <c r="I12" s="218">
        <f>[0]!EDBG048110col_TOT_VB_ELECT</f>
        <v>0</v>
      </c>
      <c r="J12" s="219">
        <f>SUM(G12:I12)</f>
        <v>0</v>
      </c>
      <c r="K12" s="268"/>
      <c r="L12" s="218">
        <f>[0]!EDBG048110col_HEALTH_ELECT_CHG</f>
        <v>0</v>
      </c>
      <c r="M12" s="218">
        <f>[0]!EDBG048110col_TOT_VB_ELECT_CHG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7" t="s">
        <v>30</v>
      </c>
      <c r="D13" s="470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"&amp;'EDBG|0481-10'!FiscalYear-1</f>
        <v>FY 2023</v>
      </c>
      <c r="D15" s="158" t="s">
        <v>31</v>
      </c>
      <c r="E15" s="355">
        <v>107200</v>
      </c>
      <c r="F15" s="55">
        <v>1</v>
      </c>
      <c r="G15" s="223" t="e">
        <f>IF(OrigApprop=0,0,(G13/$J$13)*OrigApprop)</f>
        <v>#DIV/0!</v>
      </c>
      <c r="H15" s="223" t="e">
        <f>IF(OrigApprop=0,0,(H13/$J$13)*OrigApprop)</f>
        <v>#DIV/0!</v>
      </c>
      <c r="I15" s="223" t="e">
        <f>IF(G15=0,0,(I13/$J$13)*OrigApprop)</f>
        <v>#DIV/0!</v>
      </c>
      <c r="J15" s="223" t="e">
        <f>SUM(G15:I15)</f>
        <v>#DIV/0!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7" t="s">
        <v>32</v>
      </c>
      <c r="D16" s="458"/>
      <c r="E16" s="160" t="s">
        <v>33</v>
      </c>
      <c r="F16" s="161">
        <f>F15-F13</f>
        <v>1</v>
      </c>
      <c r="G16" s="162" t="e">
        <f>G15-G13</f>
        <v>#DIV/0!</v>
      </c>
      <c r="H16" s="162" t="e">
        <f>H15-H13</f>
        <v>#DIV/0!</v>
      </c>
      <c r="I16" s="162" t="e">
        <f>I15-I13</f>
        <v>#DIV/0!</v>
      </c>
      <c r="J16" s="162" t="e">
        <f>J15-J13</f>
        <v>#DIV/0!</v>
      </c>
      <c r="K16" s="269"/>
      <c r="L16" s="56" t="e">
        <f>IF('EDBG|0481-10'!OrigApprop=0,"No Original Appropriation amount in DU 3.00 for this fund","Calculated "&amp;IF('EDBG|0481-10'!AdjustedTotal&gt;0,"overfunding ","underfunding ")&amp;"is "&amp;TEXT('EDBG|0481-10'!AdjustedTotal/'EDBG|0481-10'!AppropTotal,"#.0%;(#.0% );0% ;")&amp;" of Original Appropriation")</f>
        <v>#DIV/0!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9" t="s">
        <v>34</v>
      </c>
      <c r="D17" s="460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61" t="s">
        <v>35</v>
      </c>
      <c r="D18" s="462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63" t="s">
        <v>37</v>
      </c>
      <c r="D37" s="464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5" t="s">
        <v>105</v>
      </c>
      <c r="AB37" s="466"/>
      <c r="AC37" s="466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7" t="str">
        <f>perm_name</f>
        <v>Permanent Positions</v>
      </c>
      <c r="D38" s="448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7" t="str">
        <f>Group_name</f>
        <v>Board &amp; Group Positions</v>
      </c>
      <c r="D39" s="448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7" t="s">
        <v>38</v>
      </c>
      <c r="D41" s="448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9"/>
      <c r="D42" s="450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51" t="s">
        <v>39</v>
      </c>
      <c r="D43" s="452"/>
      <c r="E43" s="203" t="s">
        <v>40</v>
      </c>
      <c r="F43" s="205">
        <f>ROUND(F51-F41,2)</f>
        <v>1</v>
      </c>
      <c r="G43" s="206" t="e">
        <f>G51-G41</f>
        <v>#DIV/0!</v>
      </c>
      <c r="H43" s="159" t="e">
        <f>H51-H41</f>
        <v>#DIV/0!</v>
      </c>
      <c r="I43" s="159" t="e">
        <f>I51-I41</f>
        <v>#DIV/0!</v>
      </c>
      <c r="J43" s="159" t="e">
        <f>SUM(G43:I43)</f>
        <v>#DIV/0!</v>
      </c>
      <c r="K43" s="428" t="e">
        <f>IF(E51=0,"No Original Appropriation amount in DU 3.00 for this fund","Calculated "&amp;IF(J43&gt;0,"overfunding ","underfunding ")&amp;"is "&amp;TEXT(J43/J51,"#.0%;(#.0% );0%;")&amp;" of Original Appropriation")</f>
        <v>#DIV/0!</v>
      </c>
      <c r="L43" s="429"/>
      <c r="M43" s="429"/>
      <c r="N43" s="430"/>
      <c r="O43"/>
      <c r="P43"/>
      <c r="Q43"/>
      <c r="R43"/>
      <c r="S43"/>
      <c r="T43"/>
      <c r="U43"/>
      <c r="V43"/>
      <c r="W43"/>
      <c r="X43"/>
      <c r="Y43"/>
      <c r="Z43" s="344"/>
      <c r="AA43" s="455" t="s">
        <v>106</v>
      </c>
      <c r="AB43" s="456"/>
      <c r="AC43" s="456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3"/>
      <c r="D44" s="454"/>
      <c r="E44" s="204" t="s">
        <v>41</v>
      </c>
      <c r="F44" s="205">
        <f>ROUND(F60-F41,2)</f>
        <v>1</v>
      </c>
      <c r="G44" s="206" t="e">
        <f>G60-G41</f>
        <v>#DIV/0!</v>
      </c>
      <c r="H44" s="159" t="e">
        <f>H60-H41</f>
        <v>#DIV/0!</v>
      </c>
      <c r="I44" s="159" t="e">
        <f>I60-I41</f>
        <v>#DIV/0!</v>
      </c>
      <c r="J44" s="159" t="e">
        <f>SUM(G44:I44)</f>
        <v>#DIV/0!</v>
      </c>
      <c r="K44" s="428" t="e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#DIV/0!</v>
      </c>
      <c r="L44" s="429"/>
      <c r="M44" s="429"/>
      <c r="N44" s="430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1</v>
      </c>
      <c r="G45" s="206" t="e">
        <f>G67-G41-G63</f>
        <v>#DIV/0!</v>
      </c>
      <c r="H45" s="206" t="e">
        <f>H67-H41-H63</f>
        <v>#DIV/0!</v>
      </c>
      <c r="I45" s="206" t="e">
        <f>I67-I41-I63</f>
        <v>#DIV/0!</v>
      </c>
      <c r="J45" s="159" t="e">
        <f>SUM(G45:I45)</f>
        <v>#DIV/0!</v>
      </c>
      <c r="K45" s="428" t="e">
        <f>IF(J67=0,"This fund has a $0 Base in DU 9.00",IF(J67=0,"ERROR! Verify/enter 8 series adjustments!","Calculated "&amp;IF(J45&gt;0,"overfunding ","underfunding ")&amp;"is "&amp;TEXT(J45/J67,"#.0%;(#.0% );0%;")&amp;" of the Base"))</f>
        <v>#DIV/0!</v>
      </c>
      <c r="L45" s="429"/>
      <c r="M45" s="429"/>
      <c r="N45" s="430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31" t="s">
        <v>98</v>
      </c>
      <c r="F46" s="432"/>
      <c r="G46" s="432"/>
      <c r="H46" s="432"/>
      <c r="I46" s="432"/>
      <c r="J46" s="433"/>
      <c r="K46" s="437" t="e">
        <f>IF(OR(J45&lt;0,F45&lt;0),"You may not have sufficient funding or authorized FTP, and may need to make additional adjustments to finalize this form.  Please contact both your DFM and LSO analysts.","")</f>
        <v>#DIV/0!</v>
      </c>
      <c r="L46" s="438"/>
      <c r="M46" s="438"/>
      <c r="N46" s="439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4"/>
      <c r="F47" s="435"/>
      <c r="G47" s="435"/>
      <c r="H47" s="435"/>
      <c r="I47" s="435"/>
      <c r="J47" s="436"/>
      <c r="K47" s="440"/>
      <c r="L47" s="441"/>
      <c r="M47" s="441"/>
      <c r="N47" s="442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3"/>
      <c r="D50" s="444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107200</v>
      </c>
      <c r="F51" s="272">
        <f>AppropFTP</f>
        <v>1</v>
      </c>
      <c r="G51" s="274" t="e">
        <f>IF(E51=0,0,(G41/$J$41)*$E$51)</f>
        <v>#DIV/0!</v>
      </c>
      <c r="H51" s="274" t="e">
        <f>IF(E51=0,0,(H41/$J$41)*$E$51)</f>
        <v>#DIV/0!</v>
      </c>
      <c r="I51" s="275" t="e">
        <f>IF(E51=0,0,(I41/$J$41)*$E$51)</f>
        <v>#DIV/0!</v>
      </c>
      <c r="J51" s="90" t="e">
        <f>SUM(G51:I51)</f>
        <v>#DIV/0!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1</v>
      </c>
      <c r="G52" s="79" t="e">
        <f>ROUND(G51,-2)</f>
        <v>#DIV/0!</v>
      </c>
      <c r="H52" s="79" t="e">
        <f>ROUND(H51,-2)</f>
        <v>#DIV/0!</v>
      </c>
      <c r="I52" s="266" t="e">
        <f>ROUND(I51,-2)</f>
        <v>#DIV/0!</v>
      </c>
      <c r="J52" s="80" t="e">
        <f>ROUND(J51,-2)</f>
        <v>#DIV/0!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5" t="s">
        <v>47</v>
      </c>
      <c r="D53" s="446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10" t="s">
        <v>48</v>
      </c>
      <c r="D54" s="411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17" t="s">
        <v>49</v>
      </c>
      <c r="D55" s="418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1</v>
      </c>
      <c r="G56" s="80" t="e">
        <f>SUM(G52:G55)</f>
        <v>#DIV/0!</v>
      </c>
      <c r="H56" s="80" t="e">
        <f>SUM(H52:H55)</f>
        <v>#DIV/0!</v>
      </c>
      <c r="I56" s="260" t="e">
        <f>SUM(I52:I55)</f>
        <v>#DIV/0!</v>
      </c>
      <c r="J56" s="80" t="e">
        <f>SUM(J52:J55)</f>
        <v>#DIV/0!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15" t="s">
        <v>51</v>
      </c>
      <c r="D57" s="419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20" t="s">
        <v>116</v>
      </c>
      <c r="D58" s="421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20" t="s">
        <v>52</v>
      </c>
      <c r="D59" s="421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1</v>
      </c>
      <c r="G60" s="80" t="e">
        <f>SUM(G56:G59)</f>
        <v>#DIV/0!</v>
      </c>
      <c r="H60" s="80" t="e">
        <f>SUM(H56:H59)</f>
        <v>#DIV/0!</v>
      </c>
      <c r="I60" s="260" t="e">
        <f>SUM(I56:I59)</f>
        <v>#DIV/0!</v>
      </c>
      <c r="J60" s="80" t="e">
        <f>SUM(J56:J59)</f>
        <v>#DIV/0!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15" t="s">
        <v>54</v>
      </c>
      <c r="D61" s="419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10" t="s">
        <v>65</v>
      </c>
      <c r="D62" s="411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10" t="s">
        <v>55</v>
      </c>
      <c r="D63" s="411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22" t="s">
        <v>56</v>
      </c>
      <c r="D64" s="423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24"/>
      <c r="D65" s="425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26"/>
      <c r="D66" s="427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1</v>
      </c>
      <c r="G67" s="80" t="e">
        <f>SUM(G60:G64)</f>
        <v>#DIV/0!</v>
      </c>
      <c r="H67" s="80" t="e">
        <f>SUM(H60:H64)</f>
        <v>#DIV/0!</v>
      </c>
      <c r="I67" s="80" t="e">
        <f>SUM(I60:I64)</f>
        <v>#DIV/0!</v>
      </c>
      <c r="J67" s="80" t="e">
        <f>SUM(J60:J64)</f>
        <v>#DIV/0!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15" t="s">
        <v>58</v>
      </c>
      <c r="D68" s="416"/>
      <c r="E68" s="112"/>
      <c r="F68" s="288"/>
      <c r="G68" s="287"/>
      <c r="H68" s="113" t="e">
        <f>IF(DUNine=0,0,ROUND(SUM(L41:L65),-2))</f>
        <v>#DIV/0!</v>
      </c>
      <c r="I68" s="113"/>
      <c r="J68" s="287" t="e">
        <f>SUM(G68:I68)</f>
        <v>#DIV/0!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15" t="s">
        <v>59</v>
      </c>
      <c r="D69" s="416"/>
      <c r="E69" s="112"/>
      <c r="F69" s="288"/>
      <c r="G69" s="113"/>
      <c r="H69" s="113"/>
      <c r="I69" s="113" t="e">
        <f>IF(DUNine=0,0,ROUND(SUM(M41:M64),-2))</f>
        <v>#DIV/0!</v>
      </c>
      <c r="J69" s="287" t="e">
        <f>SUM(G69:I69)</f>
        <v>#DIV/0!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8"/>
      <c r="D70" s="409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10" t="s">
        <v>60</v>
      </c>
      <c r="D71" s="411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10" t="s">
        <v>99</v>
      </c>
      <c r="D72" s="412"/>
      <c r="E72" s="290">
        <f>CECPerm</f>
        <v>0.01</v>
      </c>
      <c r="F72" s="288"/>
      <c r="G72" s="356" t="e">
        <f>IF(DUNine=0,0,IF(DUNine&lt;0,0,ROUND(AdjPermSalary*CECPerm,-2)))</f>
        <v>#DIV/0!</v>
      </c>
      <c r="H72" s="287"/>
      <c r="I72" s="287" t="e">
        <f>ROUND(($G72*PermVBBY+$G72*Retire1BY),-2)</f>
        <v>#DIV/0!</v>
      </c>
      <c r="J72" s="113" t="e">
        <f>SUM(G72:I72)</f>
        <v>#DIV/0!</v>
      </c>
      <c r="K72" s="296"/>
      <c r="L72" s="298"/>
      <c r="M72" s="350" t="e">
        <f>IF(DUNine=0,0,IF(((#REF!-G39-G40)*E72)&lt;0,0,ROUND(((#REF!-G39-G40)*E72),-2)))</f>
        <v>#DIV/0!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#DIV/0!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10" t="s">
        <v>117</v>
      </c>
      <c r="D73" s="412"/>
      <c r="E73" s="289">
        <f>CECGroup</f>
        <v>0.01</v>
      </c>
      <c r="F73" s="288"/>
      <c r="G73" s="356" t="e">
        <f>IF(DUNine=0,0,IF(DUNine&lt;0,0,ROUND(AdjGroupSalary*CECGroup,-2)))</f>
        <v>#DIV/0!</v>
      </c>
      <c r="H73" s="287"/>
      <c r="I73" s="287" t="e">
        <f>ROUND(($G73*GroupVBBY),-2)</f>
        <v>#DIV/0!</v>
      </c>
      <c r="J73" s="113" t="e">
        <f t="shared" si="11"/>
        <v>#DIV/0!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1</v>
      </c>
      <c r="G75" s="80" t="e">
        <f>SUM(G67:G74)</f>
        <v>#DIV/0!</v>
      </c>
      <c r="H75" s="80" t="e">
        <f>SUM(H67:H74)</f>
        <v>#DIV/0!</v>
      </c>
      <c r="I75" s="80" t="e">
        <f>SUM(I67:I74)</f>
        <v>#DIV/0!</v>
      </c>
      <c r="J75" s="80" t="e">
        <f>SUM(J67:K74)</f>
        <v>#DIV/0!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3" t="s">
        <v>63</v>
      </c>
      <c r="D76" s="414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6"/>
      <c r="D77" s="407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6"/>
      <c r="D78" s="407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6"/>
      <c r="D79" s="407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1</v>
      </c>
      <c r="G80" s="80" t="e">
        <f>SUM(G75:G79)</f>
        <v>#DIV/0!</v>
      </c>
      <c r="H80" s="80" t="e">
        <f>SUM(H75:H79)</f>
        <v>#DIV/0!</v>
      </c>
      <c r="I80" s="80" t="e">
        <f>SUM(I75:I79)</f>
        <v>#DIV/0!</v>
      </c>
      <c r="J80" s="80" t="e">
        <f>SUM(J75:J79)</f>
        <v>#DIV/0!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60" priority="8">
      <formula>$J$44&lt;0</formula>
    </cfRule>
  </conditionalFormatting>
  <conditionalFormatting sqref="K43">
    <cfRule type="expression" dxfId="59" priority="7">
      <formula>$J$43&lt;0</formula>
    </cfRule>
  </conditionalFormatting>
  <conditionalFormatting sqref="L16">
    <cfRule type="expression" dxfId="58" priority="6">
      <formula>$J$16&lt;0</formula>
    </cfRule>
  </conditionalFormatting>
  <conditionalFormatting sqref="K45">
    <cfRule type="expression" dxfId="57" priority="5">
      <formula>$J$44&lt;0</formula>
    </cfRule>
  </conditionalFormatting>
  <conditionalFormatting sqref="K43:N45">
    <cfRule type="containsText" dxfId="56" priority="4" operator="containsText" text="underfunding">
      <formula>NOT(ISERROR(SEARCH("underfunding",K43)))</formula>
    </cfRule>
  </conditionalFormatting>
  <conditionalFormatting sqref="K44">
    <cfRule type="expression" dxfId="55" priority="3">
      <formula>$J$44&lt;0</formula>
    </cfRule>
  </conditionalFormatting>
  <conditionalFormatting sqref="K45">
    <cfRule type="expression" dxfId="54" priority="2">
      <formula>$J$44&lt;0</formula>
    </cfRule>
  </conditionalFormatting>
  <conditionalFormatting sqref="K45">
    <cfRule type="expression" dxfId="53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AB84599-500F-44C8-AD62-180B47815244}">
          <x14:formula1>
            <xm:f>Benefits!$A$20:$A$26</xm:f>
          </x14:formula1>
          <xm:sqref>C20:C30 C32:C36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1920</vt:i4>
      </vt:variant>
    </vt:vector>
  </HeadingPairs>
  <TitlesOfParts>
    <vt:vector size="1938" baseType="lpstr">
      <vt:lpstr>EDBD|0001-00</vt:lpstr>
      <vt:lpstr>EDBC|0125-00</vt:lpstr>
      <vt:lpstr>EDBD|0325-00</vt:lpstr>
      <vt:lpstr>EDBE|0001-00</vt:lpstr>
      <vt:lpstr>EDBG|0125-00</vt:lpstr>
      <vt:lpstr>EDBG|0319-00</vt:lpstr>
      <vt:lpstr>EDBE|0325-00</vt:lpstr>
      <vt:lpstr>EDBE|0349-00</vt:lpstr>
      <vt:lpstr>EDBG|0481-10</vt:lpstr>
      <vt:lpstr>EDBG|0481-54</vt:lpstr>
      <vt:lpstr>EDBE|0344-00</vt:lpstr>
      <vt:lpstr>EDBG|0345-00</vt:lpstr>
      <vt:lpstr>EDBE|0348-00</vt:lpstr>
      <vt:lpstr>Data</vt:lpstr>
      <vt:lpstr>Benefits</vt:lpstr>
      <vt:lpstr>B6</vt:lpstr>
      <vt:lpstr>Summary</vt:lpstr>
      <vt:lpstr>FundSummary</vt:lpstr>
      <vt:lpstr>'EDBC|0125-00'!AdjGroupHlth</vt:lpstr>
      <vt:lpstr>'EDBD|0001-00'!AdjGroupHlth</vt:lpstr>
      <vt:lpstr>'EDBD|0325-00'!AdjGroupHlth</vt:lpstr>
      <vt:lpstr>'EDBE|0001-00'!AdjGroupHlth</vt:lpstr>
      <vt:lpstr>'EDBE|0325-00'!AdjGroupHlth</vt:lpstr>
      <vt:lpstr>'EDBE|0344-00'!AdjGroupHlth</vt:lpstr>
      <vt:lpstr>'EDBE|0348-00'!AdjGroupHlth</vt:lpstr>
      <vt:lpstr>'EDBE|0349-00'!AdjGroupHlth</vt:lpstr>
      <vt:lpstr>'EDBG|0125-00'!AdjGroupHlth</vt:lpstr>
      <vt:lpstr>'EDBG|0319-00'!AdjGroupHlth</vt:lpstr>
      <vt:lpstr>'EDBG|0345-00'!AdjGroupHlth</vt:lpstr>
      <vt:lpstr>'EDBG|0481-10'!AdjGroupHlth</vt:lpstr>
      <vt:lpstr>'EDBG|0481-54'!AdjGroupHlth</vt:lpstr>
      <vt:lpstr>AdjGroupHlth</vt:lpstr>
      <vt:lpstr>'EDBC|0125-00'!AdjGroupSalary</vt:lpstr>
      <vt:lpstr>'EDBD|0001-00'!AdjGroupSalary</vt:lpstr>
      <vt:lpstr>'EDBD|0325-00'!AdjGroupSalary</vt:lpstr>
      <vt:lpstr>'EDBE|0001-00'!AdjGroupSalary</vt:lpstr>
      <vt:lpstr>'EDBE|0325-00'!AdjGroupSalary</vt:lpstr>
      <vt:lpstr>'EDBE|0344-00'!AdjGroupSalary</vt:lpstr>
      <vt:lpstr>'EDBE|0348-00'!AdjGroupSalary</vt:lpstr>
      <vt:lpstr>'EDBE|0349-00'!AdjGroupSalary</vt:lpstr>
      <vt:lpstr>'EDBG|0125-00'!AdjGroupSalary</vt:lpstr>
      <vt:lpstr>'EDBG|0319-00'!AdjGroupSalary</vt:lpstr>
      <vt:lpstr>'EDBG|0345-00'!AdjGroupSalary</vt:lpstr>
      <vt:lpstr>'EDBG|0481-10'!AdjGroupSalary</vt:lpstr>
      <vt:lpstr>'EDBG|0481-54'!AdjGroupSalary</vt:lpstr>
      <vt:lpstr>AdjGroupSalary</vt:lpstr>
      <vt:lpstr>'EDBC|0125-00'!AdjGroupVB</vt:lpstr>
      <vt:lpstr>'EDBD|0001-00'!AdjGroupVB</vt:lpstr>
      <vt:lpstr>'EDBD|0325-00'!AdjGroupVB</vt:lpstr>
      <vt:lpstr>'EDBE|0001-00'!AdjGroupVB</vt:lpstr>
      <vt:lpstr>'EDBE|0325-00'!AdjGroupVB</vt:lpstr>
      <vt:lpstr>'EDBE|0344-00'!AdjGroupVB</vt:lpstr>
      <vt:lpstr>'EDBE|0348-00'!AdjGroupVB</vt:lpstr>
      <vt:lpstr>'EDBE|0349-00'!AdjGroupVB</vt:lpstr>
      <vt:lpstr>'EDBG|0125-00'!AdjGroupVB</vt:lpstr>
      <vt:lpstr>'EDBG|0319-00'!AdjGroupVB</vt:lpstr>
      <vt:lpstr>'EDBG|0345-00'!AdjGroupVB</vt:lpstr>
      <vt:lpstr>'EDBG|0481-10'!AdjGroupVB</vt:lpstr>
      <vt:lpstr>'EDBG|0481-54'!AdjGroupVB</vt:lpstr>
      <vt:lpstr>AdjGroupVB</vt:lpstr>
      <vt:lpstr>'EDBC|0125-00'!AdjGroupVBBY</vt:lpstr>
      <vt:lpstr>'EDBD|0001-00'!AdjGroupVBBY</vt:lpstr>
      <vt:lpstr>'EDBD|0325-00'!AdjGroupVBBY</vt:lpstr>
      <vt:lpstr>'EDBE|0001-00'!AdjGroupVBBY</vt:lpstr>
      <vt:lpstr>'EDBE|0325-00'!AdjGroupVBBY</vt:lpstr>
      <vt:lpstr>'EDBE|0344-00'!AdjGroupVBBY</vt:lpstr>
      <vt:lpstr>'EDBE|0348-00'!AdjGroupVBBY</vt:lpstr>
      <vt:lpstr>'EDBE|0349-00'!AdjGroupVBBY</vt:lpstr>
      <vt:lpstr>'EDBG|0125-00'!AdjGroupVBBY</vt:lpstr>
      <vt:lpstr>'EDBG|0319-00'!AdjGroupVBBY</vt:lpstr>
      <vt:lpstr>'EDBG|0345-00'!AdjGroupVBBY</vt:lpstr>
      <vt:lpstr>'EDBG|0481-10'!AdjGroupVBBY</vt:lpstr>
      <vt:lpstr>'EDBG|0481-54'!AdjGroupVBBY</vt:lpstr>
      <vt:lpstr>AdjGroupVBBY</vt:lpstr>
      <vt:lpstr>'EDBC|0125-00'!AdjPermHlth</vt:lpstr>
      <vt:lpstr>'EDBD|0001-00'!AdjPermHlth</vt:lpstr>
      <vt:lpstr>'EDBD|0325-00'!AdjPermHlth</vt:lpstr>
      <vt:lpstr>'EDBE|0001-00'!AdjPermHlth</vt:lpstr>
      <vt:lpstr>'EDBE|0325-00'!AdjPermHlth</vt:lpstr>
      <vt:lpstr>'EDBE|0344-00'!AdjPermHlth</vt:lpstr>
      <vt:lpstr>'EDBE|0348-00'!AdjPermHlth</vt:lpstr>
      <vt:lpstr>'EDBE|0349-00'!AdjPermHlth</vt:lpstr>
      <vt:lpstr>'EDBG|0125-00'!AdjPermHlth</vt:lpstr>
      <vt:lpstr>'EDBG|0319-00'!AdjPermHlth</vt:lpstr>
      <vt:lpstr>'EDBG|0345-00'!AdjPermHlth</vt:lpstr>
      <vt:lpstr>'EDBG|0481-10'!AdjPermHlth</vt:lpstr>
      <vt:lpstr>'EDBG|0481-54'!AdjPermHlth</vt:lpstr>
      <vt:lpstr>AdjPermHlth</vt:lpstr>
      <vt:lpstr>'EDBC|0125-00'!AdjPermHlthBY</vt:lpstr>
      <vt:lpstr>'EDBD|0001-00'!AdjPermHlthBY</vt:lpstr>
      <vt:lpstr>'EDBD|0325-00'!AdjPermHlthBY</vt:lpstr>
      <vt:lpstr>'EDBE|0001-00'!AdjPermHlthBY</vt:lpstr>
      <vt:lpstr>'EDBE|0325-00'!AdjPermHlthBY</vt:lpstr>
      <vt:lpstr>'EDBE|0344-00'!AdjPermHlthBY</vt:lpstr>
      <vt:lpstr>'EDBE|0348-00'!AdjPermHlthBY</vt:lpstr>
      <vt:lpstr>'EDBE|0349-00'!AdjPermHlthBY</vt:lpstr>
      <vt:lpstr>'EDBG|0125-00'!AdjPermHlthBY</vt:lpstr>
      <vt:lpstr>'EDBG|0319-00'!AdjPermHlthBY</vt:lpstr>
      <vt:lpstr>'EDBG|0345-00'!AdjPermHlthBY</vt:lpstr>
      <vt:lpstr>'EDBG|0481-10'!AdjPermHlthBY</vt:lpstr>
      <vt:lpstr>'EDBG|0481-54'!AdjPermHlthBY</vt:lpstr>
      <vt:lpstr>AdjPermHlthBY</vt:lpstr>
      <vt:lpstr>'EDBC|0125-00'!AdjPermSalary</vt:lpstr>
      <vt:lpstr>'EDBD|0001-00'!AdjPermSalary</vt:lpstr>
      <vt:lpstr>'EDBD|0325-00'!AdjPermSalary</vt:lpstr>
      <vt:lpstr>'EDBE|0001-00'!AdjPermSalary</vt:lpstr>
      <vt:lpstr>'EDBE|0325-00'!AdjPermSalary</vt:lpstr>
      <vt:lpstr>'EDBE|0344-00'!AdjPermSalary</vt:lpstr>
      <vt:lpstr>'EDBE|0348-00'!AdjPermSalary</vt:lpstr>
      <vt:lpstr>'EDBE|0349-00'!AdjPermSalary</vt:lpstr>
      <vt:lpstr>'EDBG|0125-00'!AdjPermSalary</vt:lpstr>
      <vt:lpstr>'EDBG|0319-00'!AdjPermSalary</vt:lpstr>
      <vt:lpstr>'EDBG|0345-00'!AdjPermSalary</vt:lpstr>
      <vt:lpstr>'EDBG|0481-10'!AdjPermSalary</vt:lpstr>
      <vt:lpstr>'EDBG|0481-54'!AdjPermSalary</vt:lpstr>
      <vt:lpstr>AdjPermSalary</vt:lpstr>
      <vt:lpstr>'EDBC|0125-00'!AdjPermVB</vt:lpstr>
      <vt:lpstr>'EDBD|0001-00'!AdjPermVB</vt:lpstr>
      <vt:lpstr>'EDBD|0325-00'!AdjPermVB</vt:lpstr>
      <vt:lpstr>'EDBE|0001-00'!AdjPermVB</vt:lpstr>
      <vt:lpstr>'EDBE|0325-00'!AdjPermVB</vt:lpstr>
      <vt:lpstr>'EDBE|0344-00'!AdjPermVB</vt:lpstr>
      <vt:lpstr>'EDBE|0348-00'!AdjPermVB</vt:lpstr>
      <vt:lpstr>'EDBE|0349-00'!AdjPermVB</vt:lpstr>
      <vt:lpstr>'EDBG|0125-00'!AdjPermVB</vt:lpstr>
      <vt:lpstr>'EDBG|0319-00'!AdjPermVB</vt:lpstr>
      <vt:lpstr>'EDBG|0345-00'!AdjPermVB</vt:lpstr>
      <vt:lpstr>'EDBG|0481-10'!AdjPermVB</vt:lpstr>
      <vt:lpstr>'EDBG|0481-54'!AdjPermVB</vt:lpstr>
      <vt:lpstr>AdjPermVB</vt:lpstr>
      <vt:lpstr>'EDBC|0125-00'!AdjPermVBBY</vt:lpstr>
      <vt:lpstr>'EDBD|0001-00'!AdjPermVBBY</vt:lpstr>
      <vt:lpstr>'EDBD|0325-00'!AdjPermVBBY</vt:lpstr>
      <vt:lpstr>'EDBE|0001-00'!AdjPermVBBY</vt:lpstr>
      <vt:lpstr>'EDBE|0325-00'!AdjPermVBBY</vt:lpstr>
      <vt:lpstr>'EDBE|0344-00'!AdjPermVBBY</vt:lpstr>
      <vt:lpstr>'EDBE|0348-00'!AdjPermVBBY</vt:lpstr>
      <vt:lpstr>'EDBE|0349-00'!AdjPermVBBY</vt:lpstr>
      <vt:lpstr>'EDBG|0125-00'!AdjPermVBBY</vt:lpstr>
      <vt:lpstr>'EDBG|0319-00'!AdjPermVBBY</vt:lpstr>
      <vt:lpstr>'EDBG|0345-00'!AdjPermVBBY</vt:lpstr>
      <vt:lpstr>'EDBG|0481-10'!AdjPermVBBY</vt:lpstr>
      <vt:lpstr>'EDBG|0481-54'!AdjPermVBBY</vt:lpstr>
      <vt:lpstr>AdjPermVBBY</vt:lpstr>
      <vt:lpstr>'EDBC|0125-00'!AdjustedTotal</vt:lpstr>
      <vt:lpstr>'EDBD|0001-00'!AdjustedTotal</vt:lpstr>
      <vt:lpstr>'EDBD|0325-00'!AdjustedTotal</vt:lpstr>
      <vt:lpstr>'EDBE|0001-00'!AdjustedTotal</vt:lpstr>
      <vt:lpstr>'EDBE|0325-00'!AdjustedTotal</vt:lpstr>
      <vt:lpstr>'EDBE|0344-00'!AdjustedTotal</vt:lpstr>
      <vt:lpstr>'EDBE|0348-00'!AdjustedTotal</vt:lpstr>
      <vt:lpstr>'EDBE|0349-00'!AdjustedTotal</vt:lpstr>
      <vt:lpstr>'EDBG|0125-00'!AdjustedTotal</vt:lpstr>
      <vt:lpstr>'EDBG|0319-00'!AdjustedTotal</vt:lpstr>
      <vt:lpstr>'EDBG|0345-00'!AdjustedTotal</vt:lpstr>
      <vt:lpstr>'EDBG|0481-10'!AdjustedTotal</vt:lpstr>
      <vt:lpstr>'EDBG|0481-54'!AdjustedTotal</vt:lpstr>
      <vt:lpstr>AdjustedTotal</vt:lpstr>
      <vt:lpstr>'EDBC|0125-00'!AgencyNum</vt:lpstr>
      <vt:lpstr>'EDBD|0001-00'!AgencyNum</vt:lpstr>
      <vt:lpstr>'EDBD|0325-00'!AgencyNum</vt:lpstr>
      <vt:lpstr>'EDBE|0001-00'!AgencyNum</vt:lpstr>
      <vt:lpstr>'EDBE|0325-00'!AgencyNum</vt:lpstr>
      <vt:lpstr>'EDBE|0344-00'!AgencyNum</vt:lpstr>
      <vt:lpstr>'EDBE|0348-00'!AgencyNum</vt:lpstr>
      <vt:lpstr>'EDBE|0349-00'!AgencyNum</vt:lpstr>
      <vt:lpstr>'EDBG|0125-00'!AgencyNum</vt:lpstr>
      <vt:lpstr>'EDBG|0319-00'!AgencyNum</vt:lpstr>
      <vt:lpstr>'EDBG|0345-00'!AgencyNum</vt:lpstr>
      <vt:lpstr>'EDBG|0481-10'!AgencyNum</vt:lpstr>
      <vt:lpstr>'EDBG|0481-54'!AgencyNum</vt:lpstr>
      <vt:lpstr>AgencyNum</vt:lpstr>
      <vt:lpstr>'EDBC|0125-00'!AppropFTP</vt:lpstr>
      <vt:lpstr>'EDBD|0001-00'!AppropFTP</vt:lpstr>
      <vt:lpstr>'EDBD|0325-00'!AppropFTP</vt:lpstr>
      <vt:lpstr>'EDBE|0001-00'!AppropFTP</vt:lpstr>
      <vt:lpstr>'EDBE|0325-00'!AppropFTP</vt:lpstr>
      <vt:lpstr>'EDBE|0344-00'!AppropFTP</vt:lpstr>
      <vt:lpstr>'EDBE|0348-00'!AppropFTP</vt:lpstr>
      <vt:lpstr>'EDBE|0349-00'!AppropFTP</vt:lpstr>
      <vt:lpstr>'EDBG|0125-00'!AppropFTP</vt:lpstr>
      <vt:lpstr>'EDBG|0319-00'!AppropFTP</vt:lpstr>
      <vt:lpstr>'EDBG|0345-00'!AppropFTP</vt:lpstr>
      <vt:lpstr>'EDBG|0481-10'!AppropFTP</vt:lpstr>
      <vt:lpstr>'EDBG|0481-54'!AppropFTP</vt:lpstr>
      <vt:lpstr>AppropFTP</vt:lpstr>
      <vt:lpstr>'EDBC|0125-00'!AppropTotal</vt:lpstr>
      <vt:lpstr>'EDBD|0001-00'!AppropTotal</vt:lpstr>
      <vt:lpstr>'EDBD|0325-00'!AppropTotal</vt:lpstr>
      <vt:lpstr>'EDBE|0001-00'!AppropTotal</vt:lpstr>
      <vt:lpstr>'EDBE|0325-00'!AppropTotal</vt:lpstr>
      <vt:lpstr>'EDBE|0344-00'!AppropTotal</vt:lpstr>
      <vt:lpstr>'EDBE|0348-00'!AppropTotal</vt:lpstr>
      <vt:lpstr>'EDBE|0349-00'!AppropTotal</vt:lpstr>
      <vt:lpstr>'EDBG|0125-00'!AppropTotal</vt:lpstr>
      <vt:lpstr>'EDBG|0319-00'!AppropTotal</vt:lpstr>
      <vt:lpstr>'EDBG|0345-00'!AppropTotal</vt:lpstr>
      <vt:lpstr>'EDBG|0481-10'!AppropTotal</vt:lpstr>
      <vt:lpstr>'EDBG|0481-54'!AppropTotal</vt:lpstr>
      <vt:lpstr>AppropTotal</vt:lpstr>
      <vt:lpstr>'EDBC|0125-00'!AtZHealth</vt:lpstr>
      <vt:lpstr>'EDBD|0001-00'!AtZHealth</vt:lpstr>
      <vt:lpstr>'EDBD|0325-00'!AtZHealth</vt:lpstr>
      <vt:lpstr>'EDBE|0001-00'!AtZHealth</vt:lpstr>
      <vt:lpstr>'EDBE|0325-00'!AtZHealth</vt:lpstr>
      <vt:lpstr>'EDBE|0344-00'!AtZHealth</vt:lpstr>
      <vt:lpstr>'EDBE|0348-00'!AtZHealth</vt:lpstr>
      <vt:lpstr>'EDBE|0349-00'!AtZHealth</vt:lpstr>
      <vt:lpstr>'EDBG|0125-00'!AtZHealth</vt:lpstr>
      <vt:lpstr>'EDBG|0319-00'!AtZHealth</vt:lpstr>
      <vt:lpstr>'EDBG|0345-00'!AtZHealth</vt:lpstr>
      <vt:lpstr>'EDBG|0481-10'!AtZHealth</vt:lpstr>
      <vt:lpstr>'EDBG|0481-54'!AtZHealth</vt:lpstr>
      <vt:lpstr>AtZHealth</vt:lpstr>
      <vt:lpstr>'EDBC|0125-00'!AtZSalary</vt:lpstr>
      <vt:lpstr>'EDBD|0001-00'!AtZSalary</vt:lpstr>
      <vt:lpstr>'EDBD|0325-00'!AtZSalary</vt:lpstr>
      <vt:lpstr>'EDBE|0001-00'!AtZSalary</vt:lpstr>
      <vt:lpstr>'EDBE|0325-00'!AtZSalary</vt:lpstr>
      <vt:lpstr>'EDBE|0344-00'!AtZSalary</vt:lpstr>
      <vt:lpstr>'EDBE|0348-00'!AtZSalary</vt:lpstr>
      <vt:lpstr>'EDBE|0349-00'!AtZSalary</vt:lpstr>
      <vt:lpstr>'EDBG|0125-00'!AtZSalary</vt:lpstr>
      <vt:lpstr>'EDBG|0319-00'!AtZSalary</vt:lpstr>
      <vt:lpstr>'EDBG|0345-00'!AtZSalary</vt:lpstr>
      <vt:lpstr>'EDBG|0481-10'!AtZSalary</vt:lpstr>
      <vt:lpstr>'EDBG|0481-54'!AtZSalary</vt:lpstr>
      <vt:lpstr>AtZSalary</vt:lpstr>
      <vt:lpstr>'EDBC|0125-00'!AtZTotal</vt:lpstr>
      <vt:lpstr>'EDBD|0001-00'!AtZTotal</vt:lpstr>
      <vt:lpstr>'EDBD|0325-00'!AtZTotal</vt:lpstr>
      <vt:lpstr>'EDBE|0001-00'!AtZTotal</vt:lpstr>
      <vt:lpstr>'EDBE|0325-00'!AtZTotal</vt:lpstr>
      <vt:lpstr>'EDBE|0344-00'!AtZTotal</vt:lpstr>
      <vt:lpstr>'EDBE|0348-00'!AtZTotal</vt:lpstr>
      <vt:lpstr>'EDBE|0349-00'!AtZTotal</vt:lpstr>
      <vt:lpstr>'EDBG|0125-00'!AtZTotal</vt:lpstr>
      <vt:lpstr>'EDBG|0319-00'!AtZTotal</vt:lpstr>
      <vt:lpstr>'EDBG|0345-00'!AtZTotal</vt:lpstr>
      <vt:lpstr>'EDBG|0481-10'!AtZTotal</vt:lpstr>
      <vt:lpstr>'EDBG|0481-54'!AtZTotal</vt:lpstr>
      <vt:lpstr>AtZTotal</vt:lpstr>
      <vt:lpstr>'EDBC|0125-00'!AtZVarBen</vt:lpstr>
      <vt:lpstr>'EDBD|0001-00'!AtZVarBen</vt:lpstr>
      <vt:lpstr>'EDBD|0325-00'!AtZVarBen</vt:lpstr>
      <vt:lpstr>'EDBE|0001-00'!AtZVarBen</vt:lpstr>
      <vt:lpstr>'EDBE|0325-00'!AtZVarBen</vt:lpstr>
      <vt:lpstr>'EDBE|0344-00'!AtZVarBen</vt:lpstr>
      <vt:lpstr>'EDBE|0348-00'!AtZVarBen</vt:lpstr>
      <vt:lpstr>'EDBE|0349-00'!AtZVarBen</vt:lpstr>
      <vt:lpstr>'EDBG|0125-00'!AtZVarBen</vt:lpstr>
      <vt:lpstr>'EDBG|0319-00'!AtZVarBen</vt:lpstr>
      <vt:lpstr>'EDBG|0345-00'!AtZVarBen</vt:lpstr>
      <vt:lpstr>'EDBG|0481-10'!AtZVarBen</vt:lpstr>
      <vt:lpstr>'EDBG|0481-54'!AtZVarBen</vt:lpstr>
      <vt:lpstr>AtZVarBen</vt:lpstr>
      <vt:lpstr>'EDBC|0125-00'!BudgetUnit</vt:lpstr>
      <vt:lpstr>'EDBD|0001-00'!BudgetUnit</vt:lpstr>
      <vt:lpstr>'EDBD|0325-00'!BudgetUnit</vt:lpstr>
      <vt:lpstr>'EDBE|0001-00'!BudgetUnit</vt:lpstr>
      <vt:lpstr>'EDBE|0325-00'!BudgetUnit</vt:lpstr>
      <vt:lpstr>'EDBE|0344-00'!BudgetUnit</vt:lpstr>
      <vt:lpstr>'EDBE|0348-00'!BudgetUnit</vt:lpstr>
      <vt:lpstr>'EDBE|0349-00'!BudgetUnit</vt:lpstr>
      <vt:lpstr>'EDBG|0125-00'!BudgetUnit</vt:lpstr>
      <vt:lpstr>'EDBG|0319-00'!BudgetUnit</vt:lpstr>
      <vt:lpstr>'EDBG|0345-00'!BudgetUnit</vt:lpstr>
      <vt:lpstr>'EDBG|0481-10'!BudgetUnit</vt:lpstr>
      <vt:lpstr>'EDBG|0481-54'!BudgetUnit</vt:lpstr>
      <vt:lpstr>BudgetUnit</vt:lpstr>
      <vt:lpstr>BudgetYear</vt:lpstr>
      <vt:lpstr>CECGroup</vt:lpstr>
      <vt:lpstr>'EDBC|0125-00'!CECOrigElectSalary</vt:lpstr>
      <vt:lpstr>'EDBD|0001-00'!CECOrigElectSalary</vt:lpstr>
      <vt:lpstr>'EDBD|0325-00'!CECOrigElectSalary</vt:lpstr>
      <vt:lpstr>'EDBE|0001-00'!CECOrigElectSalary</vt:lpstr>
      <vt:lpstr>'EDBE|0325-00'!CECOrigElectSalary</vt:lpstr>
      <vt:lpstr>'EDBE|0344-00'!CECOrigElectSalary</vt:lpstr>
      <vt:lpstr>'EDBE|0348-00'!CECOrigElectSalary</vt:lpstr>
      <vt:lpstr>'EDBE|0349-00'!CECOrigElectSalary</vt:lpstr>
      <vt:lpstr>'EDBG|0125-00'!CECOrigElectSalary</vt:lpstr>
      <vt:lpstr>'EDBG|0319-00'!CECOrigElectSalary</vt:lpstr>
      <vt:lpstr>'EDBG|0345-00'!CECOrigElectSalary</vt:lpstr>
      <vt:lpstr>'EDBG|0481-10'!CECOrigElectSalary</vt:lpstr>
      <vt:lpstr>'EDBG|0481-54'!CECOrigElectSalary</vt:lpstr>
      <vt:lpstr>CECOrigElectSalary</vt:lpstr>
      <vt:lpstr>'EDBC|0125-00'!CECOrigElectVB</vt:lpstr>
      <vt:lpstr>'EDBD|0001-00'!CECOrigElectVB</vt:lpstr>
      <vt:lpstr>'EDBD|0325-00'!CECOrigElectVB</vt:lpstr>
      <vt:lpstr>'EDBE|0001-00'!CECOrigElectVB</vt:lpstr>
      <vt:lpstr>'EDBE|0325-00'!CECOrigElectVB</vt:lpstr>
      <vt:lpstr>'EDBE|0344-00'!CECOrigElectVB</vt:lpstr>
      <vt:lpstr>'EDBE|0348-00'!CECOrigElectVB</vt:lpstr>
      <vt:lpstr>'EDBE|0349-00'!CECOrigElectVB</vt:lpstr>
      <vt:lpstr>'EDBG|0125-00'!CECOrigElectVB</vt:lpstr>
      <vt:lpstr>'EDBG|0319-00'!CECOrigElectVB</vt:lpstr>
      <vt:lpstr>'EDBG|0345-00'!CECOrigElectVB</vt:lpstr>
      <vt:lpstr>'EDBG|0481-10'!CECOrigElectVB</vt:lpstr>
      <vt:lpstr>'EDBG|0481-54'!CECOrigElectVB</vt:lpstr>
      <vt:lpstr>CECOrigElectVB</vt:lpstr>
      <vt:lpstr>'EDBC|0125-00'!CECOrigGroupSalary</vt:lpstr>
      <vt:lpstr>'EDBD|0001-00'!CECOrigGroupSalary</vt:lpstr>
      <vt:lpstr>'EDBD|0325-00'!CECOrigGroupSalary</vt:lpstr>
      <vt:lpstr>'EDBE|0001-00'!CECOrigGroupSalary</vt:lpstr>
      <vt:lpstr>'EDBE|0325-00'!CECOrigGroupSalary</vt:lpstr>
      <vt:lpstr>'EDBE|0344-00'!CECOrigGroupSalary</vt:lpstr>
      <vt:lpstr>'EDBE|0348-00'!CECOrigGroupSalary</vt:lpstr>
      <vt:lpstr>'EDBE|0349-00'!CECOrigGroupSalary</vt:lpstr>
      <vt:lpstr>'EDBG|0125-00'!CECOrigGroupSalary</vt:lpstr>
      <vt:lpstr>'EDBG|0319-00'!CECOrigGroupSalary</vt:lpstr>
      <vt:lpstr>'EDBG|0345-00'!CECOrigGroupSalary</vt:lpstr>
      <vt:lpstr>'EDBG|0481-10'!CECOrigGroupSalary</vt:lpstr>
      <vt:lpstr>'EDBG|0481-54'!CECOrigGroupSalary</vt:lpstr>
      <vt:lpstr>CECOrigGroupSalary</vt:lpstr>
      <vt:lpstr>'EDBC|0125-00'!CECOrigGroupVB</vt:lpstr>
      <vt:lpstr>'EDBD|0001-00'!CECOrigGroupVB</vt:lpstr>
      <vt:lpstr>'EDBD|0325-00'!CECOrigGroupVB</vt:lpstr>
      <vt:lpstr>'EDBE|0001-00'!CECOrigGroupVB</vt:lpstr>
      <vt:lpstr>'EDBE|0325-00'!CECOrigGroupVB</vt:lpstr>
      <vt:lpstr>'EDBE|0344-00'!CECOrigGroupVB</vt:lpstr>
      <vt:lpstr>'EDBE|0348-00'!CECOrigGroupVB</vt:lpstr>
      <vt:lpstr>'EDBE|0349-00'!CECOrigGroupVB</vt:lpstr>
      <vt:lpstr>'EDBG|0125-00'!CECOrigGroupVB</vt:lpstr>
      <vt:lpstr>'EDBG|0319-00'!CECOrigGroupVB</vt:lpstr>
      <vt:lpstr>'EDBG|0345-00'!CECOrigGroupVB</vt:lpstr>
      <vt:lpstr>'EDBG|0481-10'!CECOrigGroupVB</vt:lpstr>
      <vt:lpstr>'EDBG|0481-54'!CECOrigGroupVB</vt:lpstr>
      <vt:lpstr>CECOrigGroupVB</vt:lpstr>
      <vt:lpstr>'EDBC|0125-00'!CECOrigPermSalary</vt:lpstr>
      <vt:lpstr>'EDBD|0001-00'!CECOrigPermSalary</vt:lpstr>
      <vt:lpstr>'EDBD|0325-00'!CECOrigPermSalary</vt:lpstr>
      <vt:lpstr>'EDBE|0001-00'!CECOrigPermSalary</vt:lpstr>
      <vt:lpstr>'EDBE|0325-00'!CECOrigPermSalary</vt:lpstr>
      <vt:lpstr>'EDBE|0344-00'!CECOrigPermSalary</vt:lpstr>
      <vt:lpstr>'EDBE|0348-00'!CECOrigPermSalary</vt:lpstr>
      <vt:lpstr>'EDBE|0349-00'!CECOrigPermSalary</vt:lpstr>
      <vt:lpstr>'EDBG|0125-00'!CECOrigPermSalary</vt:lpstr>
      <vt:lpstr>'EDBG|0319-00'!CECOrigPermSalary</vt:lpstr>
      <vt:lpstr>'EDBG|0345-00'!CECOrigPermSalary</vt:lpstr>
      <vt:lpstr>'EDBG|0481-10'!CECOrigPermSalary</vt:lpstr>
      <vt:lpstr>'EDBG|0481-54'!CECOrigPermSalary</vt:lpstr>
      <vt:lpstr>CECOrigPermSalary</vt:lpstr>
      <vt:lpstr>'EDBC|0125-00'!CECOrigPermVB</vt:lpstr>
      <vt:lpstr>'EDBD|0001-00'!CECOrigPermVB</vt:lpstr>
      <vt:lpstr>'EDBD|0325-00'!CECOrigPermVB</vt:lpstr>
      <vt:lpstr>'EDBE|0001-00'!CECOrigPermVB</vt:lpstr>
      <vt:lpstr>'EDBE|0325-00'!CECOrigPermVB</vt:lpstr>
      <vt:lpstr>'EDBE|0344-00'!CECOrigPermVB</vt:lpstr>
      <vt:lpstr>'EDBE|0348-00'!CECOrigPermVB</vt:lpstr>
      <vt:lpstr>'EDBE|0349-00'!CECOrigPermVB</vt:lpstr>
      <vt:lpstr>'EDBG|0125-00'!CECOrigPermVB</vt:lpstr>
      <vt:lpstr>'EDBG|0319-00'!CECOrigPermVB</vt:lpstr>
      <vt:lpstr>'EDBG|0345-00'!CECOrigPermVB</vt:lpstr>
      <vt:lpstr>'EDBG|0481-10'!CECOrigPermVB</vt:lpstr>
      <vt:lpstr>'EDBG|0481-54'!CECOrigPermVB</vt:lpstr>
      <vt:lpstr>CECOrigPermVB</vt:lpstr>
      <vt:lpstr>CECPerm</vt:lpstr>
      <vt:lpstr>'EDBC|0125-00'!CECpermCalc</vt:lpstr>
      <vt:lpstr>'EDBD|0001-00'!CECpermCalc</vt:lpstr>
      <vt:lpstr>'EDBD|0325-00'!CECpermCalc</vt:lpstr>
      <vt:lpstr>'EDBE|0001-00'!CECpermCalc</vt:lpstr>
      <vt:lpstr>'EDBE|0325-00'!CECpermCalc</vt:lpstr>
      <vt:lpstr>'EDBE|0344-00'!CECpermCalc</vt:lpstr>
      <vt:lpstr>'EDBE|0348-00'!CECpermCalc</vt:lpstr>
      <vt:lpstr>'EDBE|0349-00'!CECpermCalc</vt:lpstr>
      <vt:lpstr>'EDBG|0125-00'!CECpermCalc</vt:lpstr>
      <vt:lpstr>'EDBG|0319-00'!CECpermCalc</vt:lpstr>
      <vt:lpstr>'EDBG|0345-00'!CECpermCalc</vt:lpstr>
      <vt:lpstr>'EDBG|0481-10'!CECpermCalc</vt:lpstr>
      <vt:lpstr>'EDBG|0481-54'!CECpermCalc</vt:lpstr>
      <vt:lpstr>CECpermCalc</vt:lpstr>
      <vt:lpstr>'EDBC|0125-00'!Department</vt:lpstr>
      <vt:lpstr>'EDBD|0001-00'!Department</vt:lpstr>
      <vt:lpstr>'EDBD|0325-00'!Department</vt:lpstr>
      <vt:lpstr>'EDBE|0001-00'!Department</vt:lpstr>
      <vt:lpstr>'EDBE|0325-00'!Department</vt:lpstr>
      <vt:lpstr>'EDBE|0344-00'!Department</vt:lpstr>
      <vt:lpstr>'EDBE|0348-00'!Department</vt:lpstr>
      <vt:lpstr>'EDBE|0349-00'!Department</vt:lpstr>
      <vt:lpstr>'EDBG|0125-00'!Department</vt:lpstr>
      <vt:lpstr>'EDBG|0319-00'!Department</vt:lpstr>
      <vt:lpstr>'EDBG|0345-00'!Department</vt:lpstr>
      <vt:lpstr>'EDBG|0481-10'!Department</vt:lpstr>
      <vt:lpstr>'EDBG|0481-54'!Department</vt:lpstr>
      <vt:lpstr>Department</vt:lpstr>
      <vt:lpstr>DHR</vt:lpstr>
      <vt:lpstr>DHRBY</vt:lpstr>
      <vt:lpstr>DHRCHG</vt:lpstr>
      <vt:lpstr>'EDBC|0125-00'!Division</vt:lpstr>
      <vt:lpstr>'EDBD|0001-00'!Division</vt:lpstr>
      <vt:lpstr>'EDBD|0325-00'!Division</vt:lpstr>
      <vt:lpstr>'EDBE|0001-00'!Division</vt:lpstr>
      <vt:lpstr>'EDBE|0325-00'!Division</vt:lpstr>
      <vt:lpstr>'EDBE|0344-00'!Division</vt:lpstr>
      <vt:lpstr>'EDBE|0348-00'!Division</vt:lpstr>
      <vt:lpstr>'EDBE|0349-00'!Division</vt:lpstr>
      <vt:lpstr>'EDBG|0125-00'!Division</vt:lpstr>
      <vt:lpstr>'EDBG|0319-00'!Division</vt:lpstr>
      <vt:lpstr>'EDBG|0345-00'!Division</vt:lpstr>
      <vt:lpstr>'EDBG|0481-10'!Division</vt:lpstr>
      <vt:lpstr>'EDBG|0481-54'!Division</vt:lpstr>
      <vt:lpstr>Division</vt:lpstr>
      <vt:lpstr>'EDBC|0125-00'!DUCECElect</vt:lpstr>
      <vt:lpstr>'EDBD|0001-00'!DUCECElect</vt:lpstr>
      <vt:lpstr>'EDBD|0325-00'!DUCECElect</vt:lpstr>
      <vt:lpstr>'EDBE|0001-00'!DUCECElect</vt:lpstr>
      <vt:lpstr>'EDBE|0325-00'!DUCECElect</vt:lpstr>
      <vt:lpstr>'EDBE|0344-00'!DUCECElect</vt:lpstr>
      <vt:lpstr>'EDBE|0348-00'!DUCECElect</vt:lpstr>
      <vt:lpstr>'EDBE|0349-00'!DUCECElect</vt:lpstr>
      <vt:lpstr>'EDBG|0125-00'!DUCECElect</vt:lpstr>
      <vt:lpstr>'EDBG|0319-00'!DUCECElect</vt:lpstr>
      <vt:lpstr>'EDBG|0345-00'!DUCECElect</vt:lpstr>
      <vt:lpstr>'EDBG|0481-10'!DUCECElect</vt:lpstr>
      <vt:lpstr>'EDBG|0481-54'!DUCECElect</vt:lpstr>
      <vt:lpstr>DUCECElect</vt:lpstr>
      <vt:lpstr>'EDBC|0125-00'!DUCECGroup</vt:lpstr>
      <vt:lpstr>'EDBD|0001-00'!DUCECGroup</vt:lpstr>
      <vt:lpstr>'EDBD|0325-00'!DUCECGroup</vt:lpstr>
      <vt:lpstr>'EDBE|0001-00'!DUCECGroup</vt:lpstr>
      <vt:lpstr>'EDBE|0325-00'!DUCECGroup</vt:lpstr>
      <vt:lpstr>'EDBE|0344-00'!DUCECGroup</vt:lpstr>
      <vt:lpstr>'EDBE|0348-00'!DUCECGroup</vt:lpstr>
      <vt:lpstr>'EDBE|0349-00'!DUCECGroup</vt:lpstr>
      <vt:lpstr>'EDBG|0125-00'!DUCECGroup</vt:lpstr>
      <vt:lpstr>'EDBG|0319-00'!DUCECGroup</vt:lpstr>
      <vt:lpstr>'EDBG|0345-00'!DUCECGroup</vt:lpstr>
      <vt:lpstr>'EDBG|0481-10'!DUCECGroup</vt:lpstr>
      <vt:lpstr>'EDBG|0481-54'!DUCECGroup</vt:lpstr>
      <vt:lpstr>DUCECGroup</vt:lpstr>
      <vt:lpstr>'EDBC|0125-00'!DUCECPerm</vt:lpstr>
      <vt:lpstr>'EDBD|0001-00'!DUCECPerm</vt:lpstr>
      <vt:lpstr>'EDBD|0325-00'!DUCECPerm</vt:lpstr>
      <vt:lpstr>'EDBE|0001-00'!DUCECPerm</vt:lpstr>
      <vt:lpstr>'EDBE|0325-00'!DUCECPerm</vt:lpstr>
      <vt:lpstr>'EDBE|0344-00'!DUCECPerm</vt:lpstr>
      <vt:lpstr>'EDBE|0348-00'!DUCECPerm</vt:lpstr>
      <vt:lpstr>'EDBE|0349-00'!DUCECPerm</vt:lpstr>
      <vt:lpstr>'EDBG|0125-00'!DUCECPerm</vt:lpstr>
      <vt:lpstr>'EDBG|0319-00'!DUCECPerm</vt:lpstr>
      <vt:lpstr>'EDBG|0345-00'!DUCECPerm</vt:lpstr>
      <vt:lpstr>'EDBG|0481-10'!DUCECPerm</vt:lpstr>
      <vt:lpstr>'EDBG|0481-54'!DUCECPerm</vt:lpstr>
      <vt:lpstr>DUCECPerm</vt:lpstr>
      <vt:lpstr>'EDBC|0125-00'!DUEleven</vt:lpstr>
      <vt:lpstr>'EDBD|0001-00'!DUEleven</vt:lpstr>
      <vt:lpstr>'EDBD|0325-00'!DUEleven</vt:lpstr>
      <vt:lpstr>'EDBE|0001-00'!DUEleven</vt:lpstr>
      <vt:lpstr>'EDBE|0325-00'!DUEleven</vt:lpstr>
      <vt:lpstr>'EDBE|0344-00'!DUEleven</vt:lpstr>
      <vt:lpstr>'EDBE|0348-00'!DUEleven</vt:lpstr>
      <vt:lpstr>'EDBE|0349-00'!DUEleven</vt:lpstr>
      <vt:lpstr>'EDBG|0125-00'!DUEleven</vt:lpstr>
      <vt:lpstr>'EDBG|0319-00'!DUEleven</vt:lpstr>
      <vt:lpstr>'EDBG|0345-00'!DUEleven</vt:lpstr>
      <vt:lpstr>'EDBG|0481-10'!DUEleven</vt:lpstr>
      <vt:lpstr>'EDBG|0481-54'!DUEleven</vt:lpstr>
      <vt:lpstr>DUEleven</vt:lpstr>
      <vt:lpstr>'EDBC|0125-00'!DUHealthBen</vt:lpstr>
      <vt:lpstr>'EDBD|0001-00'!DUHealthBen</vt:lpstr>
      <vt:lpstr>'EDBD|0325-00'!DUHealthBen</vt:lpstr>
      <vt:lpstr>'EDBE|0001-00'!DUHealthBen</vt:lpstr>
      <vt:lpstr>'EDBE|0325-00'!DUHealthBen</vt:lpstr>
      <vt:lpstr>'EDBE|0344-00'!DUHealthBen</vt:lpstr>
      <vt:lpstr>'EDBE|0348-00'!DUHealthBen</vt:lpstr>
      <vt:lpstr>'EDBE|0349-00'!DUHealthBen</vt:lpstr>
      <vt:lpstr>'EDBG|0125-00'!DUHealthBen</vt:lpstr>
      <vt:lpstr>'EDBG|0319-00'!DUHealthBen</vt:lpstr>
      <vt:lpstr>'EDBG|0345-00'!DUHealthBen</vt:lpstr>
      <vt:lpstr>'EDBG|0481-10'!DUHealthBen</vt:lpstr>
      <vt:lpstr>'EDBG|0481-54'!DUHealthBen</vt:lpstr>
      <vt:lpstr>DUHealthBen</vt:lpstr>
      <vt:lpstr>'EDBC|0125-00'!DUNine</vt:lpstr>
      <vt:lpstr>'EDBD|0001-00'!DUNine</vt:lpstr>
      <vt:lpstr>'EDBD|0325-00'!DUNine</vt:lpstr>
      <vt:lpstr>'EDBE|0001-00'!DUNine</vt:lpstr>
      <vt:lpstr>'EDBE|0325-00'!DUNine</vt:lpstr>
      <vt:lpstr>'EDBE|0344-00'!DUNine</vt:lpstr>
      <vt:lpstr>'EDBE|0348-00'!DUNine</vt:lpstr>
      <vt:lpstr>'EDBE|0349-00'!DUNine</vt:lpstr>
      <vt:lpstr>'EDBG|0125-00'!DUNine</vt:lpstr>
      <vt:lpstr>'EDBG|0319-00'!DUNine</vt:lpstr>
      <vt:lpstr>'EDBG|0345-00'!DUNine</vt:lpstr>
      <vt:lpstr>'EDBG|0481-10'!DUNine</vt:lpstr>
      <vt:lpstr>'EDBG|0481-54'!DUNine</vt:lpstr>
      <vt:lpstr>DUNine</vt:lpstr>
      <vt:lpstr>'EDBC|0125-00'!DUThirteen</vt:lpstr>
      <vt:lpstr>'EDBD|0001-00'!DUThirteen</vt:lpstr>
      <vt:lpstr>'EDBD|0325-00'!DUThirteen</vt:lpstr>
      <vt:lpstr>'EDBE|0001-00'!DUThirteen</vt:lpstr>
      <vt:lpstr>'EDBE|0325-00'!DUThirteen</vt:lpstr>
      <vt:lpstr>'EDBE|0344-00'!DUThirteen</vt:lpstr>
      <vt:lpstr>'EDBE|0348-00'!DUThirteen</vt:lpstr>
      <vt:lpstr>'EDBE|0349-00'!DUThirteen</vt:lpstr>
      <vt:lpstr>'EDBG|0125-00'!DUThirteen</vt:lpstr>
      <vt:lpstr>'EDBG|0319-00'!DUThirteen</vt:lpstr>
      <vt:lpstr>'EDBG|0345-00'!DUThirteen</vt:lpstr>
      <vt:lpstr>'EDBG|0481-10'!DUThirteen</vt:lpstr>
      <vt:lpstr>'EDBG|0481-54'!DUThirteen</vt:lpstr>
      <vt:lpstr>DUThirteen</vt:lpstr>
      <vt:lpstr>'EDBC|0125-00'!DUVariableBen</vt:lpstr>
      <vt:lpstr>'EDBD|0001-00'!DUVariableBen</vt:lpstr>
      <vt:lpstr>'EDBD|0325-00'!DUVariableBen</vt:lpstr>
      <vt:lpstr>'EDBE|0001-00'!DUVariableBen</vt:lpstr>
      <vt:lpstr>'EDBE|0325-00'!DUVariableBen</vt:lpstr>
      <vt:lpstr>'EDBE|0344-00'!DUVariableBen</vt:lpstr>
      <vt:lpstr>'EDBE|0348-00'!DUVariableBen</vt:lpstr>
      <vt:lpstr>'EDBE|0349-00'!DUVariableBen</vt:lpstr>
      <vt:lpstr>'EDBG|0125-00'!DUVariableBen</vt:lpstr>
      <vt:lpstr>'EDBG|0319-00'!DUVariableBen</vt:lpstr>
      <vt:lpstr>'EDBG|0345-00'!DUVariableBen</vt:lpstr>
      <vt:lpstr>'EDBG|0481-10'!DUVariableBen</vt:lpstr>
      <vt:lpstr>'EDBG|0481-54'!DUVariableBen</vt:lpstr>
      <vt:lpstr>DUVariableBen</vt:lpstr>
      <vt:lpstr>EDBC012500col_1_27TH_PP</vt:lpstr>
      <vt:lpstr>EDBC012500col_DHR</vt:lpstr>
      <vt:lpstr>EDBC012500col_DHR_BY</vt:lpstr>
      <vt:lpstr>EDBC012500col_DHR_CHG</vt:lpstr>
      <vt:lpstr>EDBC012500col_FTI_SALARY_ELECT</vt:lpstr>
      <vt:lpstr>EDBC012500col_FTI_SALARY_PERM</vt:lpstr>
      <vt:lpstr>EDBC012500col_FTI_SALARY_SSDI</vt:lpstr>
      <vt:lpstr>EDBC012500col_Group_Ben</vt:lpstr>
      <vt:lpstr>EDBC012500col_Group_Salary</vt:lpstr>
      <vt:lpstr>EDBC012500col_HEALTH_ELECT</vt:lpstr>
      <vt:lpstr>EDBC012500col_HEALTH_ELECT_BY</vt:lpstr>
      <vt:lpstr>EDBC012500col_HEALTH_ELECT_CHG</vt:lpstr>
      <vt:lpstr>EDBC012500col_HEALTH_PERM</vt:lpstr>
      <vt:lpstr>EDBC012500col_HEALTH_PERM_BY</vt:lpstr>
      <vt:lpstr>EDBC012500col_HEALTH_PERM_CHG</vt:lpstr>
      <vt:lpstr>EDBC012500col_INC_FTI</vt:lpstr>
      <vt:lpstr>EDBC012500col_LIFE_INS</vt:lpstr>
      <vt:lpstr>EDBC012500col_LIFE_INS_BY</vt:lpstr>
      <vt:lpstr>EDBC012500col_LIFE_INS_CHG</vt:lpstr>
      <vt:lpstr>EDBC012500col_RETIREMENT</vt:lpstr>
      <vt:lpstr>EDBC012500col_RETIREMENT_BY</vt:lpstr>
      <vt:lpstr>EDBC012500col_RETIREMENT_CHG</vt:lpstr>
      <vt:lpstr>EDBC012500col_ROWS_PER_PCN</vt:lpstr>
      <vt:lpstr>EDBC012500col_SICK</vt:lpstr>
      <vt:lpstr>EDBC012500col_SICK_BY</vt:lpstr>
      <vt:lpstr>EDBC012500col_SICK_CHG</vt:lpstr>
      <vt:lpstr>EDBC012500col_SSDI</vt:lpstr>
      <vt:lpstr>EDBC012500col_SSDI_BY</vt:lpstr>
      <vt:lpstr>EDBC012500col_SSDI_CHG</vt:lpstr>
      <vt:lpstr>EDBC012500col_SSHI</vt:lpstr>
      <vt:lpstr>EDBC012500col_SSHI_BY</vt:lpstr>
      <vt:lpstr>EDBC012500col_SSHI_CHGv</vt:lpstr>
      <vt:lpstr>EDBC012500col_TOT_VB_ELECT</vt:lpstr>
      <vt:lpstr>EDBC012500col_TOT_VB_ELECT_BY</vt:lpstr>
      <vt:lpstr>EDBC012500col_TOT_VB_ELECT_CHG</vt:lpstr>
      <vt:lpstr>EDBC012500col_TOT_VB_PERM</vt:lpstr>
      <vt:lpstr>EDBC012500col_TOT_VB_PERM_BY</vt:lpstr>
      <vt:lpstr>EDBC012500col_TOT_VB_PERM_CHG</vt:lpstr>
      <vt:lpstr>EDBC012500col_TOTAL_ELECT_PCN_FTI</vt:lpstr>
      <vt:lpstr>EDBC012500col_TOTAL_ELECT_PCN_FTI_ALT</vt:lpstr>
      <vt:lpstr>EDBC012500col_TOTAL_PERM_PCN_FTI</vt:lpstr>
      <vt:lpstr>EDBC012500col_UNEMP_INS</vt:lpstr>
      <vt:lpstr>EDBC012500col_UNEMP_INS_BY</vt:lpstr>
      <vt:lpstr>EDBC012500col_UNEMP_INS_CHG</vt:lpstr>
      <vt:lpstr>EDBC012500col_WORKERS_COMP</vt:lpstr>
      <vt:lpstr>EDBC012500col_WORKERS_COMP_BY</vt:lpstr>
      <vt:lpstr>EDBC012500col_WORKERS_COMP_CHG</vt:lpstr>
      <vt:lpstr>EDBD000100col_1_27TH_PP</vt:lpstr>
      <vt:lpstr>EDBD000100col_DHR</vt:lpstr>
      <vt:lpstr>EDBD000100col_DHR_BY</vt:lpstr>
      <vt:lpstr>EDBD000100col_DHR_CHG</vt:lpstr>
      <vt:lpstr>EDBD000100col_FTI_SALARY_ELECT</vt:lpstr>
      <vt:lpstr>EDBD000100col_FTI_SALARY_PERM</vt:lpstr>
      <vt:lpstr>EDBD000100col_FTI_SALARY_SSDI</vt:lpstr>
      <vt:lpstr>EDBD000100col_Group_Ben</vt:lpstr>
      <vt:lpstr>EDBD000100col_Group_Salary</vt:lpstr>
      <vt:lpstr>EDBD000100col_HEALTH_ELECT</vt:lpstr>
      <vt:lpstr>EDBD000100col_HEALTH_ELECT_BY</vt:lpstr>
      <vt:lpstr>EDBD000100col_HEALTH_ELECT_CHG</vt:lpstr>
      <vt:lpstr>EDBD000100col_HEALTH_PERM</vt:lpstr>
      <vt:lpstr>EDBD000100col_HEALTH_PERM_BY</vt:lpstr>
      <vt:lpstr>EDBD000100col_HEALTH_PERM_CHG</vt:lpstr>
      <vt:lpstr>EDBD000100col_INC_FTI</vt:lpstr>
      <vt:lpstr>EDBD000100col_LIFE_INS</vt:lpstr>
      <vt:lpstr>EDBD000100col_LIFE_INS_BY</vt:lpstr>
      <vt:lpstr>EDBD000100col_LIFE_INS_CHG</vt:lpstr>
      <vt:lpstr>EDBD000100col_RETIREMENT</vt:lpstr>
      <vt:lpstr>EDBD000100col_RETIREMENT_BY</vt:lpstr>
      <vt:lpstr>EDBD000100col_RETIREMENT_CHG</vt:lpstr>
      <vt:lpstr>EDBD000100col_ROWS_PER_PCN</vt:lpstr>
      <vt:lpstr>EDBD000100col_SICK</vt:lpstr>
      <vt:lpstr>EDBD000100col_SICK_BY</vt:lpstr>
      <vt:lpstr>EDBD000100col_SICK_CHG</vt:lpstr>
      <vt:lpstr>EDBD000100col_SSDI</vt:lpstr>
      <vt:lpstr>EDBD000100col_SSDI_BY</vt:lpstr>
      <vt:lpstr>EDBD000100col_SSDI_CHG</vt:lpstr>
      <vt:lpstr>EDBD000100col_SSHI</vt:lpstr>
      <vt:lpstr>EDBD000100col_SSHI_BY</vt:lpstr>
      <vt:lpstr>EDBD000100col_SSHI_CHGv</vt:lpstr>
      <vt:lpstr>EDBD000100col_TOT_VB_ELECT</vt:lpstr>
      <vt:lpstr>EDBD000100col_TOT_VB_ELECT_BY</vt:lpstr>
      <vt:lpstr>EDBD000100col_TOT_VB_ELECT_CHG</vt:lpstr>
      <vt:lpstr>EDBD000100col_TOT_VB_PERM</vt:lpstr>
      <vt:lpstr>EDBD000100col_TOT_VB_PERM_BY</vt:lpstr>
      <vt:lpstr>EDBD000100col_TOT_VB_PERM_CHG</vt:lpstr>
      <vt:lpstr>EDBD000100col_TOTAL_ELECT_PCN_FTI</vt:lpstr>
      <vt:lpstr>EDBD000100col_TOTAL_ELECT_PCN_FTI_ALT</vt:lpstr>
      <vt:lpstr>EDBD000100col_TOTAL_PERM_PCN_FTI</vt:lpstr>
      <vt:lpstr>EDBD000100col_UNEMP_INS</vt:lpstr>
      <vt:lpstr>EDBD000100col_UNEMP_INS_BY</vt:lpstr>
      <vt:lpstr>EDBD000100col_UNEMP_INS_CHG</vt:lpstr>
      <vt:lpstr>EDBD000100col_WORKERS_COMP</vt:lpstr>
      <vt:lpstr>EDBD000100col_WORKERS_COMP_BY</vt:lpstr>
      <vt:lpstr>EDBD000100col_WORKERS_COMP_CHG</vt:lpstr>
      <vt:lpstr>EDBD032500col_1_27TH_PP</vt:lpstr>
      <vt:lpstr>EDBD032500col_DHR</vt:lpstr>
      <vt:lpstr>EDBD032500col_DHR_BY</vt:lpstr>
      <vt:lpstr>EDBD032500col_DHR_CHG</vt:lpstr>
      <vt:lpstr>EDBD032500col_FTI_SALARY_ELECT</vt:lpstr>
      <vt:lpstr>EDBD032500col_FTI_SALARY_PERM</vt:lpstr>
      <vt:lpstr>EDBD032500col_FTI_SALARY_SSDI</vt:lpstr>
      <vt:lpstr>EDBD032500col_Group_Ben</vt:lpstr>
      <vt:lpstr>EDBD032500col_Group_Salary</vt:lpstr>
      <vt:lpstr>EDBD032500col_HEALTH_ELECT</vt:lpstr>
      <vt:lpstr>EDBD032500col_HEALTH_ELECT_BY</vt:lpstr>
      <vt:lpstr>EDBD032500col_HEALTH_ELECT_CHG</vt:lpstr>
      <vt:lpstr>EDBD032500col_HEALTH_PERM</vt:lpstr>
      <vt:lpstr>EDBD032500col_HEALTH_PERM_BY</vt:lpstr>
      <vt:lpstr>EDBD032500col_HEALTH_PERM_CHG</vt:lpstr>
      <vt:lpstr>EDBD032500col_INC_FTI</vt:lpstr>
      <vt:lpstr>EDBD032500col_LIFE_INS</vt:lpstr>
      <vt:lpstr>EDBD032500col_LIFE_INS_BY</vt:lpstr>
      <vt:lpstr>EDBD032500col_LIFE_INS_CHG</vt:lpstr>
      <vt:lpstr>EDBD032500col_RETIREMENT</vt:lpstr>
      <vt:lpstr>EDBD032500col_RETIREMENT_BY</vt:lpstr>
      <vt:lpstr>EDBD032500col_RETIREMENT_CHG</vt:lpstr>
      <vt:lpstr>EDBD032500col_ROWS_PER_PCN</vt:lpstr>
      <vt:lpstr>EDBD032500col_SICK</vt:lpstr>
      <vt:lpstr>EDBD032500col_SICK_BY</vt:lpstr>
      <vt:lpstr>EDBD032500col_SICK_CHG</vt:lpstr>
      <vt:lpstr>EDBD032500col_SSDI</vt:lpstr>
      <vt:lpstr>EDBD032500col_SSDI_BY</vt:lpstr>
      <vt:lpstr>EDBD032500col_SSDI_CHG</vt:lpstr>
      <vt:lpstr>EDBD032500col_SSHI</vt:lpstr>
      <vt:lpstr>EDBD032500col_SSHI_BY</vt:lpstr>
      <vt:lpstr>EDBD032500col_SSHI_CHGv</vt:lpstr>
      <vt:lpstr>EDBD032500col_TOT_VB_ELECT</vt:lpstr>
      <vt:lpstr>EDBD032500col_TOT_VB_ELECT_BY</vt:lpstr>
      <vt:lpstr>EDBD032500col_TOT_VB_ELECT_CHG</vt:lpstr>
      <vt:lpstr>EDBD032500col_TOT_VB_PERM</vt:lpstr>
      <vt:lpstr>EDBD032500col_TOT_VB_PERM_BY</vt:lpstr>
      <vt:lpstr>EDBD032500col_TOT_VB_PERM_CHG</vt:lpstr>
      <vt:lpstr>EDBD032500col_TOTAL_ELECT_PCN_FTI</vt:lpstr>
      <vt:lpstr>EDBD032500col_TOTAL_ELECT_PCN_FTI_ALT</vt:lpstr>
      <vt:lpstr>EDBD032500col_TOTAL_PERM_PCN_FTI</vt:lpstr>
      <vt:lpstr>EDBD032500col_UNEMP_INS</vt:lpstr>
      <vt:lpstr>EDBD032500col_UNEMP_INS_BY</vt:lpstr>
      <vt:lpstr>EDBD032500col_UNEMP_INS_CHG</vt:lpstr>
      <vt:lpstr>EDBD032500col_WORKERS_COMP</vt:lpstr>
      <vt:lpstr>EDBD032500col_WORKERS_COMP_BY</vt:lpstr>
      <vt:lpstr>EDBD032500col_WORKERS_COMP_CHG</vt:lpstr>
      <vt:lpstr>EDBE000100col_1_27TH_PP</vt:lpstr>
      <vt:lpstr>EDBE000100col_DHR</vt:lpstr>
      <vt:lpstr>EDBE000100col_DHR_BY</vt:lpstr>
      <vt:lpstr>EDBE000100col_DHR_CHG</vt:lpstr>
      <vt:lpstr>EDBE000100col_FTI_SALARY_ELECT</vt:lpstr>
      <vt:lpstr>EDBE000100col_FTI_SALARY_PERM</vt:lpstr>
      <vt:lpstr>EDBE000100col_FTI_SALARY_SSDI</vt:lpstr>
      <vt:lpstr>EDBE000100col_Group_Ben</vt:lpstr>
      <vt:lpstr>EDBE000100col_Group_Salary</vt:lpstr>
      <vt:lpstr>EDBE000100col_HEALTH_ELECT</vt:lpstr>
      <vt:lpstr>EDBE000100col_HEALTH_ELECT_BY</vt:lpstr>
      <vt:lpstr>EDBE000100col_HEALTH_ELECT_CHG</vt:lpstr>
      <vt:lpstr>EDBE000100col_HEALTH_PERM</vt:lpstr>
      <vt:lpstr>EDBE000100col_HEALTH_PERM_BY</vt:lpstr>
      <vt:lpstr>EDBE000100col_HEALTH_PERM_CHG</vt:lpstr>
      <vt:lpstr>EDBE000100col_INC_FTI</vt:lpstr>
      <vt:lpstr>EDBE000100col_LIFE_INS</vt:lpstr>
      <vt:lpstr>EDBE000100col_LIFE_INS_BY</vt:lpstr>
      <vt:lpstr>EDBE000100col_LIFE_INS_CHG</vt:lpstr>
      <vt:lpstr>EDBE000100col_RETIREMENT</vt:lpstr>
      <vt:lpstr>EDBE000100col_RETIREMENT_BY</vt:lpstr>
      <vt:lpstr>EDBE000100col_RETIREMENT_CHG</vt:lpstr>
      <vt:lpstr>EDBE000100col_ROWS_PER_PCN</vt:lpstr>
      <vt:lpstr>EDBE000100col_SICK</vt:lpstr>
      <vt:lpstr>EDBE000100col_SICK_BY</vt:lpstr>
      <vt:lpstr>EDBE000100col_SICK_CHG</vt:lpstr>
      <vt:lpstr>EDBE000100col_SSDI</vt:lpstr>
      <vt:lpstr>EDBE000100col_SSDI_BY</vt:lpstr>
      <vt:lpstr>EDBE000100col_SSDI_CHG</vt:lpstr>
      <vt:lpstr>EDBE000100col_SSHI</vt:lpstr>
      <vt:lpstr>EDBE000100col_SSHI_BY</vt:lpstr>
      <vt:lpstr>EDBE000100col_SSHI_CHGv</vt:lpstr>
      <vt:lpstr>EDBE000100col_TOT_VB_ELECT</vt:lpstr>
      <vt:lpstr>EDBE000100col_TOT_VB_ELECT_BY</vt:lpstr>
      <vt:lpstr>EDBE000100col_TOT_VB_ELECT_CHG</vt:lpstr>
      <vt:lpstr>EDBE000100col_TOT_VB_PERM</vt:lpstr>
      <vt:lpstr>EDBE000100col_TOT_VB_PERM_BY</vt:lpstr>
      <vt:lpstr>EDBE000100col_TOT_VB_PERM_CHG</vt:lpstr>
      <vt:lpstr>EDBE000100col_TOTAL_ELECT_PCN_FTI</vt:lpstr>
      <vt:lpstr>EDBE000100col_TOTAL_ELECT_PCN_FTI_ALT</vt:lpstr>
      <vt:lpstr>EDBE000100col_TOTAL_PERM_PCN_FTI</vt:lpstr>
      <vt:lpstr>EDBE000100col_UNEMP_INS</vt:lpstr>
      <vt:lpstr>EDBE000100col_UNEMP_INS_BY</vt:lpstr>
      <vt:lpstr>EDBE000100col_UNEMP_INS_CHG</vt:lpstr>
      <vt:lpstr>EDBE000100col_WORKERS_COMP</vt:lpstr>
      <vt:lpstr>EDBE000100col_WORKERS_COMP_BY</vt:lpstr>
      <vt:lpstr>EDBE000100col_WORKERS_COMP_CHG</vt:lpstr>
      <vt:lpstr>EDBE032500col_1_27TH_PP</vt:lpstr>
      <vt:lpstr>EDBE032500col_DHR</vt:lpstr>
      <vt:lpstr>EDBE032500col_DHR_BY</vt:lpstr>
      <vt:lpstr>EDBE032500col_DHR_CHG</vt:lpstr>
      <vt:lpstr>EDBE032500col_FTI_SALARY_ELECT</vt:lpstr>
      <vt:lpstr>EDBE032500col_FTI_SALARY_PERM</vt:lpstr>
      <vt:lpstr>EDBE032500col_FTI_SALARY_SSDI</vt:lpstr>
      <vt:lpstr>EDBE032500col_Group_Ben</vt:lpstr>
      <vt:lpstr>EDBE032500col_Group_Salary</vt:lpstr>
      <vt:lpstr>EDBE032500col_HEALTH_ELECT</vt:lpstr>
      <vt:lpstr>EDBE032500col_HEALTH_ELECT_BY</vt:lpstr>
      <vt:lpstr>EDBE032500col_HEALTH_ELECT_CHG</vt:lpstr>
      <vt:lpstr>EDBE032500col_HEALTH_PERM</vt:lpstr>
      <vt:lpstr>EDBE032500col_HEALTH_PERM_BY</vt:lpstr>
      <vt:lpstr>EDBE032500col_HEALTH_PERM_CHG</vt:lpstr>
      <vt:lpstr>EDBE032500col_INC_FTI</vt:lpstr>
      <vt:lpstr>EDBE032500col_LIFE_INS</vt:lpstr>
      <vt:lpstr>EDBE032500col_LIFE_INS_BY</vt:lpstr>
      <vt:lpstr>EDBE032500col_LIFE_INS_CHG</vt:lpstr>
      <vt:lpstr>EDBE032500col_RETIREMENT</vt:lpstr>
      <vt:lpstr>EDBE032500col_RETIREMENT_BY</vt:lpstr>
      <vt:lpstr>EDBE032500col_RETIREMENT_CHG</vt:lpstr>
      <vt:lpstr>EDBE032500col_ROWS_PER_PCN</vt:lpstr>
      <vt:lpstr>EDBE032500col_SICK</vt:lpstr>
      <vt:lpstr>EDBE032500col_SICK_BY</vt:lpstr>
      <vt:lpstr>EDBE032500col_SICK_CHG</vt:lpstr>
      <vt:lpstr>EDBE032500col_SSDI</vt:lpstr>
      <vt:lpstr>EDBE032500col_SSDI_BY</vt:lpstr>
      <vt:lpstr>EDBE032500col_SSDI_CHG</vt:lpstr>
      <vt:lpstr>EDBE032500col_SSHI</vt:lpstr>
      <vt:lpstr>EDBE032500col_SSHI_BY</vt:lpstr>
      <vt:lpstr>EDBE032500col_SSHI_CHGv</vt:lpstr>
      <vt:lpstr>EDBE032500col_TOT_VB_ELECT</vt:lpstr>
      <vt:lpstr>EDBE032500col_TOT_VB_ELECT_BY</vt:lpstr>
      <vt:lpstr>EDBE032500col_TOT_VB_ELECT_CHG</vt:lpstr>
      <vt:lpstr>EDBE032500col_TOT_VB_PERM</vt:lpstr>
      <vt:lpstr>EDBE032500col_TOT_VB_PERM_BY</vt:lpstr>
      <vt:lpstr>EDBE032500col_TOT_VB_PERM_CHG</vt:lpstr>
      <vt:lpstr>EDBE032500col_TOTAL_ELECT_PCN_FTI</vt:lpstr>
      <vt:lpstr>EDBE032500col_TOTAL_ELECT_PCN_FTI_ALT</vt:lpstr>
      <vt:lpstr>EDBE032500col_TOTAL_PERM_PCN_FTI</vt:lpstr>
      <vt:lpstr>EDBE032500col_UNEMP_INS</vt:lpstr>
      <vt:lpstr>EDBE032500col_UNEMP_INS_BY</vt:lpstr>
      <vt:lpstr>EDBE032500col_UNEMP_INS_CHG</vt:lpstr>
      <vt:lpstr>EDBE032500col_WORKERS_COMP</vt:lpstr>
      <vt:lpstr>EDBE032500col_WORKERS_COMP_BY</vt:lpstr>
      <vt:lpstr>EDBE032500col_WORKERS_COMP_CHG</vt:lpstr>
      <vt:lpstr>EDBE034400col_1_27TH_PP</vt:lpstr>
      <vt:lpstr>EDBE034400col_DHR</vt:lpstr>
      <vt:lpstr>EDBE034400col_DHR_BY</vt:lpstr>
      <vt:lpstr>EDBE034400col_DHR_CHG</vt:lpstr>
      <vt:lpstr>EDBE034400col_FTI_SALARY_ELECT</vt:lpstr>
      <vt:lpstr>EDBE034400col_FTI_SALARY_PERM</vt:lpstr>
      <vt:lpstr>EDBE034400col_FTI_SALARY_SSDI</vt:lpstr>
      <vt:lpstr>EDBE034400col_Group_Ben</vt:lpstr>
      <vt:lpstr>EDBE034400col_Group_Salary</vt:lpstr>
      <vt:lpstr>EDBE034400col_HEALTH_ELECT</vt:lpstr>
      <vt:lpstr>EDBE034400col_HEALTH_ELECT_BY</vt:lpstr>
      <vt:lpstr>EDBE034400col_HEALTH_ELECT_CHG</vt:lpstr>
      <vt:lpstr>EDBE034400col_HEALTH_PERM</vt:lpstr>
      <vt:lpstr>EDBE034400col_HEALTH_PERM_BY</vt:lpstr>
      <vt:lpstr>EDBE034400col_HEALTH_PERM_CHG</vt:lpstr>
      <vt:lpstr>EDBE034400col_INC_FTI</vt:lpstr>
      <vt:lpstr>EDBE034400col_LIFE_INS</vt:lpstr>
      <vt:lpstr>EDBE034400col_LIFE_INS_BY</vt:lpstr>
      <vt:lpstr>EDBE034400col_LIFE_INS_CHG</vt:lpstr>
      <vt:lpstr>EDBE034400col_RETIREMENT</vt:lpstr>
      <vt:lpstr>EDBE034400col_RETIREMENT_BY</vt:lpstr>
      <vt:lpstr>EDBE034400col_RETIREMENT_CHG</vt:lpstr>
      <vt:lpstr>EDBE034400col_ROWS_PER_PCN</vt:lpstr>
      <vt:lpstr>EDBE034400col_SICK</vt:lpstr>
      <vt:lpstr>EDBE034400col_SICK_BY</vt:lpstr>
      <vt:lpstr>EDBE034400col_SICK_CHG</vt:lpstr>
      <vt:lpstr>EDBE034400col_SSDI</vt:lpstr>
      <vt:lpstr>EDBE034400col_SSDI_BY</vt:lpstr>
      <vt:lpstr>EDBE034400col_SSDI_CHG</vt:lpstr>
      <vt:lpstr>EDBE034400col_SSHI</vt:lpstr>
      <vt:lpstr>EDBE034400col_SSHI_BY</vt:lpstr>
      <vt:lpstr>EDBE034400col_SSHI_CHGv</vt:lpstr>
      <vt:lpstr>EDBE034400col_TOT_VB_ELECT</vt:lpstr>
      <vt:lpstr>EDBE034400col_TOT_VB_ELECT_BY</vt:lpstr>
      <vt:lpstr>EDBE034400col_TOT_VB_ELECT_CHG</vt:lpstr>
      <vt:lpstr>EDBE034400col_TOT_VB_PERM</vt:lpstr>
      <vt:lpstr>EDBE034400col_TOT_VB_PERM_BY</vt:lpstr>
      <vt:lpstr>EDBE034400col_TOT_VB_PERM_CHG</vt:lpstr>
      <vt:lpstr>EDBE034400col_TOTAL_ELECT_PCN_FTI</vt:lpstr>
      <vt:lpstr>EDBE034400col_TOTAL_ELECT_PCN_FTI_ALT</vt:lpstr>
      <vt:lpstr>EDBE034400col_TOTAL_PERM_PCN_FTI</vt:lpstr>
      <vt:lpstr>EDBE034400col_UNEMP_INS</vt:lpstr>
      <vt:lpstr>EDBE034400col_UNEMP_INS_BY</vt:lpstr>
      <vt:lpstr>EDBE034400col_UNEMP_INS_CHG</vt:lpstr>
      <vt:lpstr>EDBE034400col_WORKERS_COMP</vt:lpstr>
      <vt:lpstr>EDBE034400col_WORKERS_COMP_BY</vt:lpstr>
      <vt:lpstr>EDBE034400col_WORKERS_COMP_CHG</vt:lpstr>
      <vt:lpstr>EDBE034800col_1_27TH_PP</vt:lpstr>
      <vt:lpstr>EDBE034800col_DHR</vt:lpstr>
      <vt:lpstr>EDBE034800col_DHR_BY</vt:lpstr>
      <vt:lpstr>EDBE034800col_DHR_CHG</vt:lpstr>
      <vt:lpstr>EDBE034800col_FTI_SALARY_ELECT</vt:lpstr>
      <vt:lpstr>EDBE034800col_FTI_SALARY_PERM</vt:lpstr>
      <vt:lpstr>EDBE034800col_FTI_SALARY_SSDI</vt:lpstr>
      <vt:lpstr>EDBE034800col_Group_Ben</vt:lpstr>
      <vt:lpstr>EDBE034800col_Group_Salary</vt:lpstr>
      <vt:lpstr>EDBE034800col_HEALTH_ELECT</vt:lpstr>
      <vt:lpstr>EDBE034800col_HEALTH_ELECT_BY</vt:lpstr>
      <vt:lpstr>EDBE034800col_HEALTH_ELECT_CHG</vt:lpstr>
      <vt:lpstr>EDBE034800col_HEALTH_PERM</vt:lpstr>
      <vt:lpstr>EDBE034800col_HEALTH_PERM_BY</vt:lpstr>
      <vt:lpstr>EDBE034800col_HEALTH_PERM_CHG</vt:lpstr>
      <vt:lpstr>EDBE034800col_INC_FTI</vt:lpstr>
      <vt:lpstr>EDBE034800col_LIFE_INS</vt:lpstr>
      <vt:lpstr>EDBE034800col_LIFE_INS_BY</vt:lpstr>
      <vt:lpstr>EDBE034800col_LIFE_INS_CHG</vt:lpstr>
      <vt:lpstr>EDBE034800col_RETIREMENT</vt:lpstr>
      <vt:lpstr>EDBE034800col_RETIREMENT_BY</vt:lpstr>
      <vt:lpstr>EDBE034800col_RETIREMENT_CHG</vt:lpstr>
      <vt:lpstr>EDBE034800col_ROWS_PER_PCN</vt:lpstr>
      <vt:lpstr>EDBE034800col_SICK</vt:lpstr>
      <vt:lpstr>EDBE034800col_SICK_BY</vt:lpstr>
      <vt:lpstr>EDBE034800col_SICK_CHG</vt:lpstr>
      <vt:lpstr>EDBE034800col_SSDI</vt:lpstr>
      <vt:lpstr>EDBE034800col_SSDI_BY</vt:lpstr>
      <vt:lpstr>EDBE034800col_SSDI_CHG</vt:lpstr>
      <vt:lpstr>EDBE034800col_SSHI</vt:lpstr>
      <vt:lpstr>EDBE034800col_SSHI_BY</vt:lpstr>
      <vt:lpstr>EDBE034800col_SSHI_CHGv</vt:lpstr>
      <vt:lpstr>EDBE034800col_TOT_VB_ELECT</vt:lpstr>
      <vt:lpstr>EDBE034800col_TOT_VB_ELECT_BY</vt:lpstr>
      <vt:lpstr>EDBE034800col_TOT_VB_ELECT_CHG</vt:lpstr>
      <vt:lpstr>EDBE034800col_TOT_VB_PERM</vt:lpstr>
      <vt:lpstr>EDBE034800col_TOT_VB_PERM_BY</vt:lpstr>
      <vt:lpstr>EDBE034800col_TOT_VB_PERM_CHG</vt:lpstr>
      <vt:lpstr>EDBE034800col_TOTAL_ELECT_PCN_FTI</vt:lpstr>
      <vt:lpstr>EDBE034800col_TOTAL_ELECT_PCN_FTI_ALT</vt:lpstr>
      <vt:lpstr>EDBE034800col_TOTAL_PERM_PCN_FTI</vt:lpstr>
      <vt:lpstr>EDBE034800col_UNEMP_INS</vt:lpstr>
      <vt:lpstr>EDBE034800col_UNEMP_INS_BY</vt:lpstr>
      <vt:lpstr>EDBE034800col_UNEMP_INS_CHG</vt:lpstr>
      <vt:lpstr>EDBE034800col_WORKERS_COMP</vt:lpstr>
      <vt:lpstr>EDBE034800col_WORKERS_COMP_BY</vt:lpstr>
      <vt:lpstr>EDBE034800col_WORKERS_COMP_CHG</vt:lpstr>
      <vt:lpstr>EDBE034900col_1_27TH_PP</vt:lpstr>
      <vt:lpstr>EDBE034900col_DHR</vt:lpstr>
      <vt:lpstr>EDBE034900col_DHR_BY</vt:lpstr>
      <vt:lpstr>EDBE034900col_DHR_CHG</vt:lpstr>
      <vt:lpstr>EDBE034900col_FTI_SALARY_ELECT</vt:lpstr>
      <vt:lpstr>EDBE034900col_FTI_SALARY_PERM</vt:lpstr>
      <vt:lpstr>EDBE034900col_FTI_SALARY_SSDI</vt:lpstr>
      <vt:lpstr>EDBE034900col_Group_Ben</vt:lpstr>
      <vt:lpstr>EDBE034900col_Group_Salary</vt:lpstr>
      <vt:lpstr>EDBE034900col_HEALTH_ELECT</vt:lpstr>
      <vt:lpstr>EDBE034900col_HEALTH_ELECT_BY</vt:lpstr>
      <vt:lpstr>EDBE034900col_HEALTH_ELECT_CHG</vt:lpstr>
      <vt:lpstr>EDBE034900col_HEALTH_PERM</vt:lpstr>
      <vt:lpstr>EDBE034900col_HEALTH_PERM_BY</vt:lpstr>
      <vt:lpstr>EDBE034900col_HEALTH_PERM_CHG</vt:lpstr>
      <vt:lpstr>EDBE034900col_INC_FTI</vt:lpstr>
      <vt:lpstr>EDBE034900col_LIFE_INS</vt:lpstr>
      <vt:lpstr>EDBE034900col_LIFE_INS_BY</vt:lpstr>
      <vt:lpstr>EDBE034900col_LIFE_INS_CHG</vt:lpstr>
      <vt:lpstr>EDBE034900col_RETIREMENT</vt:lpstr>
      <vt:lpstr>EDBE034900col_RETIREMENT_BY</vt:lpstr>
      <vt:lpstr>EDBE034900col_RETIREMENT_CHG</vt:lpstr>
      <vt:lpstr>EDBE034900col_ROWS_PER_PCN</vt:lpstr>
      <vt:lpstr>EDBE034900col_SICK</vt:lpstr>
      <vt:lpstr>EDBE034900col_SICK_BY</vt:lpstr>
      <vt:lpstr>EDBE034900col_SICK_CHG</vt:lpstr>
      <vt:lpstr>EDBE034900col_SSDI</vt:lpstr>
      <vt:lpstr>EDBE034900col_SSDI_BY</vt:lpstr>
      <vt:lpstr>EDBE034900col_SSDI_CHG</vt:lpstr>
      <vt:lpstr>EDBE034900col_SSHI</vt:lpstr>
      <vt:lpstr>EDBE034900col_SSHI_BY</vt:lpstr>
      <vt:lpstr>EDBE034900col_SSHI_CHGv</vt:lpstr>
      <vt:lpstr>EDBE034900col_TOT_VB_ELECT</vt:lpstr>
      <vt:lpstr>EDBE034900col_TOT_VB_ELECT_BY</vt:lpstr>
      <vt:lpstr>EDBE034900col_TOT_VB_ELECT_CHG</vt:lpstr>
      <vt:lpstr>EDBE034900col_TOT_VB_PERM</vt:lpstr>
      <vt:lpstr>EDBE034900col_TOT_VB_PERM_BY</vt:lpstr>
      <vt:lpstr>EDBE034900col_TOT_VB_PERM_CHG</vt:lpstr>
      <vt:lpstr>EDBE034900col_TOTAL_ELECT_PCN_FTI</vt:lpstr>
      <vt:lpstr>EDBE034900col_TOTAL_ELECT_PCN_FTI_ALT</vt:lpstr>
      <vt:lpstr>EDBE034900col_TOTAL_PERM_PCN_FTI</vt:lpstr>
      <vt:lpstr>EDBE034900col_UNEMP_INS</vt:lpstr>
      <vt:lpstr>EDBE034900col_UNEMP_INS_BY</vt:lpstr>
      <vt:lpstr>EDBE034900col_UNEMP_INS_CHG</vt:lpstr>
      <vt:lpstr>EDBE034900col_WORKERS_COMP</vt:lpstr>
      <vt:lpstr>EDBE034900col_WORKERS_COMP_BY</vt:lpstr>
      <vt:lpstr>EDBE034900col_WORKERS_COMP_CHG</vt:lpstr>
      <vt:lpstr>EDBG012500col_1_27TH_PP</vt:lpstr>
      <vt:lpstr>EDBG012500col_DHR</vt:lpstr>
      <vt:lpstr>EDBG012500col_DHR_BY</vt:lpstr>
      <vt:lpstr>EDBG012500col_DHR_CHG</vt:lpstr>
      <vt:lpstr>EDBG012500col_FTI_SALARY_ELECT</vt:lpstr>
      <vt:lpstr>EDBG012500col_FTI_SALARY_PERM</vt:lpstr>
      <vt:lpstr>EDBG012500col_FTI_SALARY_SSDI</vt:lpstr>
      <vt:lpstr>EDBG012500col_Group_Ben</vt:lpstr>
      <vt:lpstr>EDBG012500col_Group_Salary</vt:lpstr>
      <vt:lpstr>EDBG012500col_HEALTH_ELECT</vt:lpstr>
      <vt:lpstr>EDBG012500col_HEALTH_ELECT_BY</vt:lpstr>
      <vt:lpstr>EDBG012500col_HEALTH_ELECT_CHG</vt:lpstr>
      <vt:lpstr>EDBG012500col_HEALTH_PERM</vt:lpstr>
      <vt:lpstr>EDBG012500col_HEALTH_PERM_BY</vt:lpstr>
      <vt:lpstr>EDBG012500col_HEALTH_PERM_CHG</vt:lpstr>
      <vt:lpstr>EDBG012500col_INC_FTI</vt:lpstr>
      <vt:lpstr>EDBG012500col_LIFE_INS</vt:lpstr>
      <vt:lpstr>EDBG012500col_LIFE_INS_BY</vt:lpstr>
      <vt:lpstr>EDBG012500col_LIFE_INS_CHG</vt:lpstr>
      <vt:lpstr>EDBG012500col_RETIREMENT</vt:lpstr>
      <vt:lpstr>EDBG012500col_RETIREMENT_BY</vt:lpstr>
      <vt:lpstr>EDBG012500col_RETIREMENT_CHG</vt:lpstr>
      <vt:lpstr>EDBG012500col_ROWS_PER_PCN</vt:lpstr>
      <vt:lpstr>EDBG012500col_SICK</vt:lpstr>
      <vt:lpstr>EDBG012500col_SICK_BY</vt:lpstr>
      <vt:lpstr>EDBG012500col_SICK_CHG</vt:lpstr>
      <vt:lpstr>EDBG012500col_SSDI</vt:lpstr>
      <vt:lpstr>EDBG012500col_SSDI_BY</vt:lpstr>
      <vt:lpstr>EDBG012500col_SSDI_CHG</vt:lpstr>
      <vt:lpstr>EDBG012500col_SSHI</vt:lpstr>
      <vt:lpstr>EDBG012500col_SSHI_BY</vt:lpstr>
      <vt:lpstr>EDBG012500col_SSHI_CHGv</vt:lpstr>
      <vt:lpstr>EDBG012500col_TOT_VB_ELECT</vt:lpstr>
      <vt:lpstr>EDBG012500col_TOT_VB_ELECT_BY</vt:lpstr>
      <vt:lpstr>EDBG012500col_TOT_VB_ELECT_CHG</vt:lpstr>
      <vt:lpstr>EDBG012500col_TOT_VB_PERM</vt:lpstr>
      <vt:lpstr>EDBG012500col_TOT_VB_PERM_BY</vt:lpstr>
      <vt:lpstr>EDBG012500col_TOT_VB_PERM_CHG</vt:lpstr>
      <vt:lpstr>EDBG012500col_TOTAL_ELECT_PCN_FTI</vt:lpstr>
      <vt:lpstr>EDBG012500col_TOTAL_ELECT_PCN_FTI_ALT</vt:lpstr>
      <vt:lpstr>EDBG012500col_TOTAL_PERM_PCN_FTI</vt:lpstr>
      <vt:lpstr>EDBG012500col_UNEMP_INS</vt:lpstr>
      <vt:lpstr>EDBG012500col_UNEMP_INS_BY</vt:lpstr>
      <vt:lpstr>EDBG012500col_UNEMP_INS_CHG</vt:lpstr>
      <vt:lpstr>EDBG012500col_WORKERS_COMP</vt:lpstr>
      <vt:lpstr>EDBG012500col_WORKERS_COMP_BY</vt:lpstr>
      <vt:lpstr>EDBG012500col_WORKERS_COMP_CHG</vt:lpstr>
      <vt:lpstr>EDBG031900col_1_27TH_PP</vt:lpstr>
      <vt:lpstr>EDBG031900col_DHR</vt:lpstr>
      <vt:lpstr>EDBG031900col_DHR_BY</vt:lpstr>
      <vt:lpstr>EDBG031900col_DHR_CHG</vt:lpstr>
      <vt:lpstr>EDBG031900col_FTI_SALARY_ELECT</vt:lpstr>
      <vt:lpstr>EDBG031900col_FTI_SALARY_PERM</vt:lpstr>
      <vt:lpstr>EDBG031900col_FTI_SALARY_SSDI</vt:lpstr>
      <vt:lpstr>EDBG031900col_Group_Ben</vt:lpstr>
      <vt:lpstr>EDBG031900col_Group_Salary</vt:lpstr>
      <vt:lpstr>EDBG031900col_HEALTH_ELECT</vt:lpstr>
      <vt:lpstr>EDBG031900col_HEALTH_ELECT_BY</vt:lpstr>
      <vt:lpstr>EDBG031900col_HEALTH_ELECT_CHG</vt:lpstr>
      <vt:lpstr>EDBG031900col_HEALTH_PERM</vt:lpstr>
      <vt:lpstr>EDBG031900col_HEALTH_PERM_BY</vt:lpstr>
      <vt:lpstr>EDBG031900col_HEALTH_PERM_CHG</vt:lpstr>
      <vt:lpstr>EDBG031900col_INC_FTI</vt:lpstr>
      <vt:lpstr>EDBG031900col_LIFE_INS</vt:lpstr>
      <vt:lpstr>EDBG031900col_LIFE_INS_BY</vt:lpstr>
      <vt:lpstr>EDBG031900col_LIFE_INS_CHG</vt:lpstr>
      <vt:lpstr>EDBG031900col_RETIREMENT</vt:lpstr>
      <vt:lpstr>EDBG031900col_RETIREMENT_BY</vt:lpstr>
      <vt:lpstr>EDBG031900col_RETIREMENT_CHG</vt:lpstr>
      <vt:lpstr>EDBG031900col_ROWS_PER_PCN</vt:lpstr>
      <vt:lpstr>EDBG031900col_SICK</vt:lpstr>
      <vt:lpstr>EDBG031900col_SICK_BY</vt:lpstr>
      <vt:lpstr>EDBG031900col_SICK_CHG</vt:lpstr>
      <vt:lpstr>EDBG031900col_SSDI</vt:lpstr>
      <vt:lpstr>EDBG031900col_SSDI_BY</vt:lpstr>
      <vt:lpstr>EDBG031900col_SSDI_CHG</vt:lpstr>
      <vt:lpstr>EDBG031900col_SSHI</vt:lpstr>
      <vt:lpstr>EDBG031900col_SSHI_BY</vt:lpstr>
      <vt:lpstr>EDBG031900col_SSHI_CHGv</vt:lpstr>
      <vt:lpstr>EDBG031900col_TOT_VB_ELECT</vt:lpstr>
      <vt:lpstr>EDBG031900col_TOT_VB_ELECT_BY</vt:lpstr>
      <vt:lpstr>EDBG031900col_TOT_VB_ELECT_CHG</vt:lpstr>
      <vt:lpstr>EDBG031900col_TOT_VB_PERM</vt:lpstr>
      <vt:lpstr>EDBG031900col_TOT_VB_PERM_BY</vt:lpstr>
      <vt:lpstr>EDBG031900col_TOT_VB_PERM_CHG</vt:lpstr>
      <vt:lpstr>EDBG031900col_TOTAL_ELECT_PCN_FTI</vt:lpstr>
      <vt:lpstr>EDBG031900col_TOTAL_ELECT_PCN_FTI_ALT</vt:lpstr>
      <vt:lpstr>EDBG031900col_TOTAL_PERM_PCN_FTI</vt:lpstr>
      <vt:lpstr>EDBG031900col_UNEMP_INS</vt:lpstr>
      <vt:lpstr>EDBG031900col_UNEMP_INS_BY</vt:lpstr>
      <vt:lpstr>EDBG031900col_UNEMP_INS_CHG</vt:lpstr>
      <vt:lpstr>EDBG031900col_WORKERS_COMP</vt:lpstr>
      <vt:lpstr>EDBG031900col_WORKERS_COMP_BY</vt:lpstr>
      <vt:lpstr>EDBG031900col_WORKERS_COMP_CHG</vt:lpstr>
      <vt:lpstr>EDBG034500col_1_27TH_PP</vt:lpstr>
      <vt:lpstr>EDBG034500col_DHR</vt:lpstr>
      <vt:lpstr>EDBG034500col_DHR_BY</vt:lpstr>
      <vt:lpstr>EDBG034500col_DHR_CHG</vt:lpstr>
      <vt:lpstr>EDBG034500col_FTI_SALARY_ELECT</vt:lpstr>
      <vt:lpstr>EDBG034500col_FTI_SALARY_PERM</vt:lpstr>
      <vt:lpstr>EDBG034500col_FTI_SALARY_SSDI</vt:lpstr>
      <vt:lpstr>EDBG034500col_Group_Ben</vt:lpstr>
      <vt:lpstr>EDBG034500col_Group_Salary</vt:lpstr>
      <vt:lpstr>EDBG034500col_HEALTH_ELECT</vt:lpstr>
      <vt:lpstr>EDBG034500col_HEALTH_ELECT_BY</vt:lpstr>
      <vt:lpstr>EDBG034500col_HEALTH_ELECT_CHG</vt:lpstr>
      <vt:lpstr>EDBG034500col_HEALTH_PERM</vt:lpstr>
      <vt:lpstr>EDBG034500col_HEALTH_PERM_BY</vt:lpstr>
      <vt:lpstr>EDBG034500col_HEALTH_PERM_CHG</vt:lpstr>
      <vt:lpstr>EDBG034500col_INC_FTI</vt:lpstr>
      <vt:lpstr>EDBG034500col_LIFE_INS</vt:lpstr>
      <vt:lpstr>EDBG034500col_LIFE_INS_BY</vt:lpstr>
      <vt:lpstr>EDBG034500col_LIFE_INS_CHG</vt:lpstr>
      <vt:lpstr>EDBG034500col_RETIREMENT</vt:lpstr>
      <vt:lpstr>EDBG034500col_RETIREMENT_BY</vt:lpstr>
      <vt:lpstr>EDBG034500col_RETIREMENT_CHG</vt:lpstr>
      <vt:lpstr>EDBG034500col_ROWS_PER_PCN</vt:lpstr>
      <vt:lpstr>EDBG034500col_SICK</vt:lpstr>
      <vt:lpstr>EDBG034500col_SICK_BY</vt:lpstr>
      <vt:lpstr>EDBG034500col_SICK_CHG</vt:lpstr>
      <vt:lpstr>EDBG034500col_SSDI</vt:lpstr>
      <vt:lpstr>EDBG034500col_SSDI_BY</vt:lpstr>
      <vt:lpstr>EDBG034500col_SSDI_CHG</vt:lpstr>
      <vt:lpstr>EDBG034500col_SSHI</vt:lpstr>
      <vt:lpstr>EDBG034500col_SSHI_BY</vt:lpstr>
      <vt:lpstr>EDBG034500col_SSHI_CHGv</vt:lpstr>
      <vt:lpstr>EDBG034500col_TOT_VB_ELECT</vt:lpstr>
      <vt:lpstr>EDBG034500col_TOT_VB_ELECT_BY</vt:lpstr>
      <vt:lpstr>EDBG034500col_TOT_VB_ELECT_CHG</vt:lpstr>
      <vt:lpstr>EDBG034500col_TOT_VB_PERM</vt:lpstr>
      <vt:lpstr>EDBG034500col_TOT_VB_PERM_BY</vt:lpstr>
      <vt:lpstr>EDBG034500col_TOT_VB_PERM_CHG</vt:lpstr>
      <vt:lpstr>EDBG034500col_TOTAL_ELECT_PCN_FTI</vt:lpstr>
      <vt:lpstr>EDBG034500col_TOTAL_ELECT_PCN_FTI_ALT</vt:lpstr>
      <vt:lpstr>EDBG034500col_TOTAL_PERM_PCN_FTI</vt:lpstr>
      <vt:lpstr>EDBG034500col_UNEMP_INS</vt:lpstr>
      <vt:lpstr>EDBG034500col_UNEMP_INS_BY</vt:lpstr>
      <vt:lpstr>EDBG034500col_UNEMP_INS_CHG</vt:lpstr>
      <vt:lpstr>EDBG034500col_WORKERS_COMP</vt:lpstr>
      <vt:lpstr>EDBG034500col_WORKERS_COMP_BY</vt:lpstr>
      <vt:lpstr>EDBG034500col_WORKERS_COMP_CHG</vt:lpstr>
      <vt:lpstr>EDBG048101col_1_27TH_PP</vt:lpstr>
      <vt:lpstr>EDBG048101col_DHR</vt:lpstr>
      <vt:lpstr>EDBG048101col_DHR_BY</vt:lpstr>
      <vt:lpstr>EDBG048101col_DHR_CHG</vt:lpstr>
      <vt:lpstr>EDBG048101col_FTI_SALARY_ELECT</vt:lpstr>
      <vt:lpstr>EDBG048101col_FTI_SALARY_PERM</vt:lpstr>
      <vt:lpstr>EDBG048101col_FTI_SALARY_SSDI</vt:lpstr>
      <vt:lpstr>EDBG048101col_Group_Ben</vt:lpstr>
      <vt:lpstr>EDBG048101col_Group_Salary</vt:lpstr>
      <vt:lpstr>EDBG048101col_HEALTH_ELECT</vt:lpstr>
      <vt:lpstr>EDBG048101col_HEALTH_ELECT_BY</vt:lpstr>
      <vt:lpstr>EDBG048101col_HEALTH_ELECT_CHG</vt:lpstr>
      <vt:lpstr>EDBG048101col_HEALTH_PERM</vt:lpstr>
      <vt:lpstr>EDBG048101col_HEALTH_PERM_BY</vt:lpstr>
      <vt:lpstr>EDBG048101col_HEALTH_PERM_CHG</vt:lpstr>
      <vt:lpstr>EDBG048101col_INC_FTI</vt:lpstr>
      <vt:lpstr>EDBG048101col_LIFE_INS</vt:lpstr>
      <vt:lpstr>EDBG048101col_LIFE_INS_BY</vt:lpstr>
      <vt:lpstr>EDBG048101col_LIFE_INS_CHG</vt:lpstr>
      <vt:lpstr>EDBG048101col_RETIREMENT</vt:lpstr>
      <vt:lpstr>EDBG048101col_RETIREMENT_BY</vt:lpstr>
      <vt:lpstr>EDBG048101col_RETIREMENT_CHG</vt:lpstr>
      <vt:lpstr>EDBG048101col_ROWS_PER_PCN</vt:lpstr>
      <vt:lpstr>EDBG048101col_SICK</vt:lpstr>
      <vt:lpstr>EDBG048101col_SICK_BY</vt:lpstr>
      <vt:lpstr>EDBG048101col_SICK_CHG</vt:lpstr>
      <vt:lpstr>EDBG048101col_SSDI</vt:lpstr>
      <vt:lpstr>EDBG048101col_SSDI_BY</vt:lpstr>
      <vt:lpstr>EDBG048101col_SSDI_CHG</vt:lpstr>
      <vt:lpstr>EDBG048101col_SSHI</vt:lpstr>
      <vt:lpstr>EDBG048101col_SSHI_BY</vt:lpstr>
      <vt:lpstr>EDBG048101col_SSHI_CHGv</vt:lpstr>
      <vt:lpstr>EDBG048101col_TOT_VB_ELECT</vt:lpstr>
      <vt:lpstr>EDBG048101col_TOT_VB_ELECT_BY</vt:lpstr>
      <vt:lpstr>EDBG048101col_TOT_VB_ELECT_CHG</vt:lpstr>
      <vt:lpstr>EDBG048101col_TOT_VB_PERM</vt:lpstr>
      <vt:lpstr>EDBG048101col_TOT_VB_PERM_BY</vt:lpstr>
      <vt:lpstr>EDBG048101col_TOT_VB_PERM_CHG</vt:lpstr>
      <vt:lpstr>EDBG048101col_TOTAL_ELECT_PCN_FTI</vt:lpstr>
      <vt:lpstr>EDBG048101col_TOTAL_ELECT_PCN_FTI_ALT</vt:lpstr>
      <vt:lpstr>EDBG048101col_TOTAL_PERM_PCN_FTI</vt:lpstr>
      <vt:lpstr>EDBG048101col_UNEMP_INS</vt:lpstr>
      <vt:lpstr>EDBG048101col_UNEMP_INS_BY</vt:lpstr>
      <vt:lpstr>EDBG048101col_UNEMP_INS_CHG</vt:lpstr>
      <vt:lpstr>EDBG048101col_WORKERS_COMP</vt:lpstr>
      <vt:lpstr>EDBG048101col_WORKERS_COMP_BY</vt:lpstr>
      <vt:lpstr>EDBG048101col_WORKERS_COMP_CHG</vt:lpstr>
      <vt:lpstr>EDBG048110col_1_27TH_PP</vt:lpstr>
      <vt:lpstr>EDBG048110col_DHR</vt:lpstr>
      <vt:lpstr>EDBG048110col_DHR_BY</vt:lpstr>
      <vt:lpstr>EDBG048110col_DHR_CHG</vt:lpstr>
      <vt:lpstr>EDBG048110col_FTI_SALARY_ELECT</vt:lpstr>
      <vt:lpstr>EDBG048110col_FTI_SALARY_PERM</vt:lpstr>
      <vt:lpstr>EDBG048110col_FTI_SALARY_SSDI</vt:lpstr>
      <vt:lpstr>EDBG048110col_Group_Ben</vt:lpstr>
      <vt:lpstr>EDBG048110col_Group_Salary</vt:lpstr>
      <vt:lpstr>EDBG048110col_HEALTH_ELECT</vt:lpstr>
      <vt:lpstr>EDBG048110col_HEALTH_ELECT_BY</vt:lpstr>
      <vt:lpstr>EDBG048110col_HEALTH_ELECT_CHG</vt:lpstr>
      <vt:lpstr>EDBG048110col_HEALTH_PERM</vt:lpstr>
      <vt:lpstr>EDBG048110col_HEALTH_PERM_BY</vt:lpstr>
      <vt:lpstr>EDBG048110col_HEALTH_PERM_CHG</vt:lpstr>
      <vt:lpstr>EDBG048110col_INC_FTI</vt:lpstr>
      <vt:lpstr>EDBG048110col_LIFE_INS</vt:lpstr>
      <vt:lpstr>EDBG048110col_LIFE_INS_BY</vt:lpstr>
      <vt:lpstr>EDBG048110col_LIFE_INS_CHG</vt:lpstr>
      <vt:lpstr>EDBG048110col_RETIREMENT</vt:lpstr>
      <vt:lpstr>EDBG048110col_RETIREMENT_BY</vt:lpstr>
      <vt:lpstr>EDBG048110col_RETIREMENT_CHG</vt:lpstr>
      <vt:lpstr>EDBG048110col_ROWS_PER_PCN</vt:lpstr>
      <vt:lpstr>EDBG048110col_SICK</vt:lpstr>
      <vt:lpstr>EDBG048110col_SICK_BY</vt:lpstr>
      <vt:lpstr>EDBG048110col_SICK_CHG</vt:lpstr>
      <vt:lpstr>EDBG048110col_SSDI</vt:lpstr>
      <vt:lpstr>EDBG048110col_SSDI_BY</vt:lpstr>
      <vt:lpstr>EDBG048110col_SSDI_CHG</vt:lpstr>
      <vt:lpstr>EDBG048110col_SSHI</vt:lpstr>
      <vt:lpstr>EDBG048110col_SSHI_BY</vt:lpstr>
      <vt:lpstr>EDBG048110col_SSHI_CHGv</vt:lpstr>
      <vt:lpstr>EDBG048110col_TOT_VB_ELECT</vt:lpstr>
      <vt:lpstr>EDBG048110col_TOT_VB_ELECT_BY</vt:lpstr>
      <vt:lpstr>EDBG048110col_TOT_VB_ELECT_CHG</vt:lpstr>
      <vt:lpstr>EDBG048110col_TOT_VB_PERM</vt:lpstr>
      <vt:lpstr>EDBG048110col_TOT_VB_PERM_BY</vt:lpstr>
      <vt:lpstr>EDBG048110col_TOT_VB_PERM_CHG</vt:lpstr>
      <vt:lpstr>EDBG048110col_TOTAL_ELECT_PCN_FTI</vt:lpstr>
      <vt:lpstr>EDBG048110col_TOTAL_ELECT_PCN_FTI_ALT</vt:lpstr>
      <vt:lpstr>EDBG048110col_TOTAL_PERM_PCN_FTI</vt:lpstr>
      <vt:lpstr>EDBG048110col_UNEMP_INS</vt:lpstr>
      <vt:lpstr>EDBG048110col_UNEMP_INS_BY</vt:lpstr>
      <vt:lpstr>EDBG048110col_UNEMP_INS_CHG</vt:lpstr>
      <vt:lpstr>EDBG048110col_WORKERS_COMP</vt:lpstr>
      <vt:lpstr>EDBG048110col_WORKERS_COMP_BY</vt:lpstr>
      <vt:lpstr>EDBG048110col_WORKERS_COMP_CHG</vt:lpstr>
      <vt:lpstr>EDBG048154col_1_27TH_PP</vt:lpstr>
      <vt:lpstr>EDBG048154col_DHR</vt:lpstr>
      <vt:lpstr>EDBG048154col_DHR_BY</vt:lpstr>
      <vt:lpstr>EDBG048154col_DHR_CHG</vt:lpstr>
      <vt:lpstr>EDBG048154col_FTI_SALARY_ELECT</vt:lpstr>
      <vt:lpstr>EDBG048154col_FTI_SALARY_PERM</vt:lpstr>
      <vt:lpstr>EDBG048154col_FTI_SALARY_SSDI</vt:lpstr>
      <vt:lpstr>EDBG048154col_Group_Ben</vt:lpstr>
      <vt:lpstr>EDBG048154col_Group_Salary</vt:lpstr>
      <vt:lpstr>EDBG048154col_HEALTH_ELECT</vt:lpstr>
      <vt:lpstr>EDBG048154col_HEALTH_ELECT_BY</vt:lpstr>
      <vt:lpstr>EDBG048154col_HEALTH_ELECT_CHG</vt:lpstr>
      <vt:lpstr>EDBG048154col_HEALTH_PERM</vt:lpstr>
      <vt:lpstr>EDBG048154col_HEALTH_PERM_BY</vt:lpstr>
      <vt:lpstr>EDBG048154col_HEALTH_PERM_CHG</vt:lpstr>
      <vt:lpstr>EDBG048154col_INC_FTI</vt:lpstr>
      <vt:lpstr>EDBG048154col_LIFE_INS</vt:lpstr>
      <vt:lpstr>EDBG048154col_LIFE_INS_BY</vt:lpstr>
      <vt:lpstr>EDBG048154col_LIFE_INS_CHG</vt:lpstr>
      <vt:lpstr>EDBG048154col_RETIREMENT</vt:lpstr>
      <vt:lpstr>EDBG048154col_RETIREMENT_BY</vt:lpstr>
      <vt:lpstr>EDBG048154col_RETIREMENT_CHG</vt:lpstr>
      <vt:lpstr>EDBG048154col_ROWS_PER_PCN</vt:lpstr>
      <vt:lpstr>EDBG048154col_SICK</vt:lpstr>
      <vt:lpstr>EDBG048154col_SICK_BY</vt:lpstr>
      <vt:lpstr>EDBG048154col_SICK_CHG</vt:lpstr>
      <vt:lpstr>EDBG048154col_SSDI</vt:lpstr>
      <vt:lpstr>EDBG048154col_SSDI_BY</vt:lpstr>
      <vt:lpstr>EDBG048154col_SSDI_CHG</vt:lpstr>
      <vt:lpstr>EDBG048154col_SSHI</vt:lpstr>
      <vt:lpstr>EDBG048154col_SSHI_BY</vt:lpstr>
      <vt:lpstr>EDBG048154col_SSHI_CHGv</vt:lpstr>
      <vt:lpstr>EDBG048154col_TOT_VB_ELECT</vt:lpstr>
      <vt:lpstr>EDBG048154col_TOT_VB_ELECT_BY</vt:lpstr>
      <vt:lpstr>EDBG048154col_TOT_VB_ELECT_CHG</vt:lpstr>
      <vt:lpstr>EDBG048154col_TOT_VB_PERM</vt:lpstr>
      <vt:lpstr>EDBG048154col_TOT_VB_PERM_BY</vt:lpstr>
      <vt:lpstr>EDBG048154col_TOT_VB_PERM_CHG</vt:lpstr>
      <vt:lpstr>EDBG048154col_TOTAL_ELECT_PCN_FTI</vt:lpstr>
      <vt:lpstr>EDBG048154col_TOTAL_ELECT_PCN_FTI_ALT</vt:lpstr>
      <vt:lpstr>EDBG048154col_TOTAL_PERM_PCN_FTI</vt:lpstr>
      <vt:lpstr>EDBG048154col_UNEMP_INS</vt:lpstr>
      <vt:lpstr>EDBG048154col_UNEMP_INS_BY</vt:lpstr>
      <vt:lpstr>EDBG048154col_UNEMP_INS_CHG</vt:lpstr>
      <vt:lpstr>EDBG048154col_WORKERS_COMP</vt:lpstr>
      <vt:lpstr>EDBG048154col_WORKERS_COMP_BY</vt:lpstr>
      <vt:lpstr>EDBG048154col_WORKERS_COMP_CHG</vt:lpstr>
      <vt:lpstr>'EDBC|0125-00'!Elect_chg_health</vt:lpstr>
      <vt:lpstr>'EDBD|0001-00'!Elect_chg_health</vt:lpstr>
      <vt:lpstr>'EDBD|0325-00'!Elect_chg_health</vt:lpstr>
      <vt:lpstr>'EDBE|0001-00'!Elect_chg_health</vt:lpstr>
      <vt:lpstr>'EDBE|0325-00'!Elect_chg_health</vt:lpstr>
      <vt:lpstr>'EDBE|0344-00'!Elect_chg_health</vt:lpstr>
      <vt:lpstr>'EDBE|0348-00'!Elect_chg_health</vt:lpstr>
      <vt:lpstr>'EDBE|0349-00'!Elect_chg_health</vt:lpstr>
      <vt:lpstr>'EDBG|0125-00'!Elect_chg_health</vt:lpstr>
      <vt:lpstr>'EDBG|0319-00'!Elect_chg_health</vt:lpstr>
      <vt:lpstr>'EDBG|0345-00'!Elect_chg_health</vt:lpstr>
      <vt:lpstr>'EDBG|0481-10'!Elect_chg_health</vt:lpstr>
      <vt:lpstr>'EDBG|0481-54'!Elect_chg_health</vt:lpstr>
      <vt:lpstr>Elect_chg_health</vt:lpstr>
      <vt:lpstr>'EDBC|0125-00'!Elect_chg_Var</vt:lpstr>
      <vt:lpstr>'EDBD|0001-00'!Elect_chg_Var</vt:lpstr>
      <vt:lpstr>'EDBD|0325-00'!Elect_chg_Var</vt:lpstr>
      <vt:lpstr>'EDBE|0001-00'!Elect_chg_Var</vt:lpstr>
      <vt:lpstr>'EDBE|0325-00'!Elect_chg_Var</vt:lpstr>
      <vt:lpstr>'EDBE|0344-00'!Elect_chg_Var</vt:lpstr>
      <vt:lpstr>'EDBE|0348-00'!Elect_chg_Var</vt:lpstr>
      <vt:lpstr>'EDBE|0349-00'!Elect_chg_Var</vt:lpstr>
      <vt:lpstr>'EDBG|0125-00'!Elect_chg_Var</vt:lpstr>
      <vt:lpstr>'EDBG|0319-00'!Elect_chg_Var</vt:lpstr>
      <vt:lpstr>'EDBG|0345-00'!Elect_chg_Var</vt:lpstr>
      <vt:lpstr>'EDBG|0481-10'!Elect_chg_Var</vt:lpstr>
      <vt:lpstr>'EDBG|0481-54'!Elect_chg_Var</vt:lpstr>
      <vt:lpstr>Elect_chg_Var</vt:lpstr>
      <vt:lpstr>'EDBC|0125-00'!elect_FTP</vt:lpstr>
      <vt:lpstr>'EDBD|0001-00'!elect_FTP</vt:lpstr>
      <vt:lpstr>'EDBD|0325-00'!elect_FTP</vt:lpstr>
      <vt:lpstr>'EDBE|0001-00'!elect_FTP</vt:lpstr>
      <vt:lpstr>'EDBE|0325-00'!elect_FTP</vt:lpstr>
      <vt:lpstr>'EDBE|0344-00'!elect_FTP</vt:lpstr>
      <vt:lpstr>'EDBE|0348-00'!elect_FTP</vt:lpstr>
      <vt:lpstr>'EDBE|0349-00'!elect_FTP</vt:lpstr>
      <vt:lpstr>'EDBG|0125-00'!elect_FTP</vt:lpstr>
      <vt:lpstr>'EDBG|0319-00'!elect_FTP</vt:lpstr>
      <vt:lpstr>'EDBG|0345-00'!elect_FTP</vt:lpstr>
      <vt:lpstr>'EDBG|0481-10'!elect_FTP</vt:lpstr>
      <vt:lpstr>'EDBG|0481-54'!elect_FTP</vt:lpstr>
      <vt:lpstr>elect_FTP</vt:lpstr>
      <vt:lpstr>'EDBC|0125-00'!Elect_health</vt:lpstr>
      <vt:lpstr>'EDBD|0001-00'!Elect_health</vt:lpstr>
      <vt:lpstr>'EDBD|0325-00'!Elect_health</vt:lpstr>
      <vt:lpstr>'EDBE|0001-00'!Elect_health</vt:lpstr>
      <vt:lpstr>'EDBE|0325-00'!Elect_health</vt:lpstr>
      <vt:lpstr>'EDBE|0344-00'!Elect_health</vt:lpstr>
      <vt:lpstr>'EDBE|0348-00'!Elect_health</vt:lpstr>
      <vt:lpstr>'EDBE|0349-00'!Elect_health</vt:lpstr>
      <vt:lpstr>'EDBG|0125-00'!Elect_health</vt:lpstr>
      <vt:lpstr>'EDBG|0319-00'!Elect_health</vt:lpstr>
      <vt:lpstr>'EDBG|0345-00'!Elect_health</vt:lpstr>
      <vt:lpstr>'EDBG|0481-10'!Elect_health</vt:lpstr>
      <vt:lpstr>'EDBG|0481-54'!Elect_health</vt:lpstr>
      <vt:lpstr>Elect_health</vt:lpstr>
      <vt:lpstr>'EDBC|0125-00'!Elect_name</vt:lpstr>
      <vt:lpstr>'EDBD|0001-00'!Elect_name</vt:lpstr>
      <vt:lpstr>'EDBD|0325-00'!Elect_name</vt:lpstr>
      <vt:lpstr>'EDBE|0001-00'!Elect_name</vt:lpstr>
      <vt:lpstr>'EDBE|0325-00'!Elect_name</vt:lpstr>
      <vt:lpstr>'EDBE|0344-00'!Elect_name</vt:lpstr>
      <vt:lpstr>'EDBE|0348-00'!Elect_name</vt:lpstr>
      <vt:lpstr>'EDBE|0349-00'!Elect_name</vt:lpstr>
      <vt:lpstr>'EDBG|0125-00'!Elect_name</vt:lpstr>
      <vt:lpstr>'EDBG|0319-00'!Elect_name</vt:lpstr>
      <vt:lpstr>'EDBG|0345-00'!Elect_name</vt:lpstr>
      <vt:lpstr>'EDBG|0481-10'!Elect_name</vt:lpstr>
      <vt:lpstr>'EDBG|0481-54'!Elect_name</vt:lpstr>
      <vt:lpstr>Elect_name</vt:lpstr>
      <vt:lpstr>'EDBC|0125-00'!Elect_salary</vt:lpstr>
      <vt:lpstr>'EDBD|0001-00'!Elect_salary</vt:lpstr>
      <vt:lpstr>'EDBD|0325-00'!Elect_salary</vt:lpstr>
      <vt:lpstr>'EDBE|0001-00'!Elect_salary</vt:lpstr>
      <vt:lpstr>'EDBE|0325-00'!Elect_salary</vt:lpstr>
      <vt:lpstr>'EDBE|0344-00'!Elect_salary</vt:lpstr>
      <vt:lpstr>'EDBE|0348-00'!Elect_salary</vt:lpstr>
      <vt:lpstr>'EDBE|0349-00'!Elect_salary</vt:lpstr>
      <vt:lpstr>'EDBG|0125-00'!Elect_salary</vt:lpstr>
      <vt:lpstr>'EDBG|0319-00'!Elect_salary</vt:lpstr>
      <vt:lpstr>'EDBG|0345-00'!Elect_salary</vt:lpstr>
      <vt:lpstr>'EDBG|0481-10'!Elect_salary</vt:lpstr>
      <vt:lpstr>'EDBG|0481-54'!Elect_salary</vt:lpstr>
      <vt:lpstr>Elect_salary</vt:lpstr>
      <vt:lpstr>'EDBC|0125-00'!Elect_Var</vt:lpstr>
      <vt:lpstr>'EDBD|0001-00'!Elect_Var</vt:lpstr>
      <vt:lpstr>'EDBD|0325-00'!Elect_Var</vt:lpstr>
      <vt:lpstr>'EDBE|0001-00'!Elect_Var</vt:lpstr>
      <vt:lpstr>'EDBE|0325-00'!Elect_Var</vt:lpstr>
      <vt:lpstr>'EDBE|0344-00'!Elect_Var</vt:lpstr>
      <vt:lpstr>'EDBE|0348-00'!Elect_Var</vt:lpstr>
      <vt:lpstr>'EDBE|0349-00'!Elect_Var</vt:lpstr>
      <vt:lpstr>'EDBG|0125-00'!Elect_Var</vt:lpstr>
      <vt:lpstr>'EDBG|0319-00'!Elect_Var</vt:lpstr>
      <vt:lpstr>'EDBG|0345-00'!Elect_Var</vt:lpstr>
      <vt:lpstr>'EDBG|0481-10'!Elect_Var</vt:lpstr>
      <vt:lpstr>'EDBG|0481-54'!Elect_Var</vt:lpstr>
      <vt:lpstr>Elect_Var</vt:lpstr>
      <vt:lpstr>'EDBC|0125-00'!Elect_VarBen</vt:lpstr>
      <vt:lpstr>'EDBD|0001-00'!Elect_VarBen</vt:lpstr>
      <vt:lpstr>'EDBD|0325-00'!Elect_VarBen</vt:lpstr>
      <vt:lpstr>'EDBE|0001-00'!Elect_VarBen</vt:lpstr>
      <vt:lpstr>'EDBE|0325-00'!Elect_VarBen</vt:lpstr>
      <vt:lpstr>'EDBE|0344-00'!Elect_VarBen</vt:lpstr>
      <vt:lpstr>'EDBE|0348-00'!Elect_VarBen</vt:lpstr>
      <vt:lpstr>'EDBE|0349-00'!Elect_VarBen</vt:lpstr>
      <vt:lpstr>'EDBG|0125-00'!Elect_VarBen</vt:lpstr>
      <vt:lpstr>'EDBG|0319-00'!Elect_VarBen</vt:lpstr>
      <vt:lpstr>'EDBG|0345-00'!Elect_VarBen</vt:lpstr>
      <vt:lpstr>'EDBG|0481-10'!Elect_VarBen</vt:lpstr>
      <vt:lpstr>'EDBG|0481-54'!Elect_VarBen</vt:lpstr>
      <vt:lpstr>Elect_VarBen</vt:lpstr>
      <vt:lpstr>ElectVB</vt:lpstr>
      <vt:lpstr>ElectVBBY</vt:lpstr>
      <vt:lpstr>ElectVBCHG</vt:lpstr>
      <vt:lpstr>FillRate_Avg</vt:lpstr>
      <vt:lpstr>'EDBC|0125-00'!FiscalYear</vt:lpstr>
      <vt:lpstr>'EDBD|0001-00'!FiscalYear</vt:lpstr>
      <vt:lpstr>'EDBD|0325-00'!FiscalYear</vt:lpstr>
      <vt:lpstr>'EDBE|0001-00'!FiscalYear</vt:lpstr>
      <vt:lpstr>'EDBE|0325-00'!FiscalYear</vt:lpstr>
      <vt:lpstr>'EDBE|0344-00'!FiscalYear</vt:lpstr>
      <vt:lpstr>'EDBE|0348-00'!FiscalYear</vt:lpstr>
      <vt:lpstr>'EDBE|0349-00'!FiscalYear</vt:lpstr>
      <vt:lpstr>'EDBG|0125-00'!FiscalYear</vt:lpstr>
      <vt:lpstr>'EDBG|0319-00'!FiscalYear</vt:lpstr>
      <vt:lpstr>'EDBG|0345-00'!FiscalYear</vt:lpstr>
      <vt:lpstr>'EDBG|0481-10'!FiscalYear</vt:lpstr>
      <vt:lpstr>'EDBG|0481-54'!FiscalYear</vt:lpstr>
      <vt:lpstr>FiscalYear</vt:lpstr>
      <vt:lpstr>'EDBC|0125-00'!FundName</vt:lpstr>
      <vt:lpstr>'EDBD|0001-00'!FundName</vt:lpstr>
      <vt:lpstr>'EDBD|0325-00'!FundName</vt:lpstr>
      <vt:lpstr>'EDBE|0001-00'!FundName</vt:lpstr>
      <vt:lpstr>'EDBE|0325-00'!FundName</vt:lpstr>
      <vt:lpstr>'EDBE|0344-00'!FundName</vt:lpstr>
      <vt:lpstr>'EDBE|0348-00'!FundName</vt:lpstr>
      <vt:lpstr>'EDBE|0349-00'!FundName</vt:lpstr>
      <vt:lpstr>'EDBG|0125-00'!FundName</vt:lpstr>
      <vt:lpstr>'EDBG|0319-00'!FundName</vt:lpstr>
      <vt:lpstr>'EDBG|0345-00'!FundName</vt:lpstr>
      <vt:lpstr>'EDBG|0481-10'!FundName</vt:lpstr>
      <vt:lpstr>'EDBG|0481-54'!FundName</vt:lpstr>
      <vt:lpstr>FundName</vt:lpstr>
      <vt:lpstr>'EDBC|0125-00'!FundNum</vt:lpstr>
      <vt:lpstr>'EDBD|0001-00'!FundNum</vt:lpstr>
      <vt:lpstr>'EDBD|0325-00'!FundNum</vt:lpstr>
      <vt:lpstr>'EDBE|0001-00'!FundNum</vt:lpstr>
      <vt:lpstr>'EDBE|0325-00'!FundNum</vt:lpstr>
      <vt:lpstr>'EDBE|0344-00'!FundNum</vt:lpstr>
      <vt:lpstr>'EDBE|0348-00'!FundNum</vt:lpstr>
      <vt:lpstr>'EDBE|0349-00'!FundNum</vt:lpstr>
      <vt:lpstr>'EDBG|0125-00'!FundNum</vt:lpstr>
      <vt:lpstr>'EDBG|0319-00'!FundNum</vt:lpstr>
      <vt:lpstr>'EDBG|0345-00'!FundNum</vt:lpstr>
      <vt:lpstr>'EDBG|0481-10'!FundNum</vt:lpstr>
      <vt:lpstr>'EDBG|0481-54'!FundNum</vt:lpstr>
      <vt:lpstr>FundNum</vt:lpstr>
      <vt:lpstr>'EDBC|0125-00'!FundNumber</vt:lpstr>
      <vt:lpstr>'EDBD|0001-00'!FundNumber</vt:lpstr>
      <vt:lpstr>'EDBD|0325-00'!FundNumber</vt:lpstr>
      <vt:lpstr>'EDBE|0001-00'!FundNumber</vt:lpstr>
      <vt:lpstr>'EDBE|0325-00'!FundNumber</vt:lpstr>
      <vt:lpstr>'EDBE|0344-00'!FundNumber</vt:lpstr>
      <vt:lpstr>'EDBE|0348-00'!FundNumber</vt:lpstr>
      <vt:lpstr>'EDBE|0349-00'!FundNumber</vt:lpstr>
      <vt:lpstr>'EDBG|0125-00'!FundNumber</vt:lpstr>
      <vt:lpstr>'EDBG|0319-00'!FundNumber</vt:lpstr>
      <vt:lpstr>'EDBG|0345-00'!FundNumber</vt:lpstr>
      <vt:lpstr>'EDBG|0481-10'!FundNumber</vt:lpstr>
      <vt:lpstr>'EDBG|0481-54'!FundNumber</vt:lpstr>
      <vt:lpstr>FundNumber</vt:lpstr>
      <vt:lpstr>FundSummaryEst</vt:lpstr>
      <vt:lpstr>FundSummaryLastColumn</vt:lpstr>
      <vt:lpstr>FundSummaryPermActual</vt:lpstr>
      <vt:lpstr>FundSummaryPermBY</vt:lpstr>
      <vt:lpstr>FundSummaryPermCY</vt:lpstr>
      <vt:lpstr>FundSummaryProj</vt:lpstr>
      <vt:lpstr>FundSummaryStartData</vt:lpstr>
      <vt:lpstr>'EDBC|0125-00'!Group_name</vt:lpstr>
      <vt:lpstr>'EDBD|0001-00'!Group_name</vt:lpstr>
      <vt:lpstr>'EDBD|0325-00'!Group_name</vt:lpstr>
      <vt:lpstr>'EDBE|0001-00'!Group_name</vt:lpstr>
      <vt:lpstr>'EDBE|0325-00'!Group_name</vt:lpstr>
      <vt:lpstr>'EDBE|0344-00'!Group_name</vt:lpstr>
      <vt:lpstr>'EDBE|0348-00'!Group_name</vt:lpstr>
      <vt:lpstr>'EDBE|0349-00'!Group_name</vt:lpstr>
      <vt:lpstr>'EDBG|0125-00'!Group_name</vt:lpstr>
      <vt:lpstr>'EDBG|0319-00'!Group_name</vt:lpstr>
      <vt:lpstr>'EDBG|0345-00'!Group_name</vt:lpstr>
      <vt:lpstr>'EDBG|0481-10'!Group_name</vt:lpstr>
      <vt:lpstr>'EDBG|0481-54'!Group_name</vt:lpstr>
      <vt:lpstr>Group_name</vt:lpstr>
      <vt:lpstr>'EDBC|0125-00'!GroupFxdBen</vt:lpstr>
      <vt:lpstr>'EDBD|0001-00'!GroupFxdBen</vt:lpstr>
      <vt:lpstr>'EDBD|0325-00'!GroupFxdBen</vt:lpstr>
      <vt:lpstr>'EDBE|0001-00'!GroupFxdBen</vt:lpstr>
      <vt:lpstr>'EDBE|0325-00'!GroupFxdBen</vt:lpstr>
      <vt:lpstr>'EDBE|0344-00'!GroupFxdBen</vt:lpstr>
      <vt:lpstr>'EDBE|0348-00'!GroupFxdBen</vt:lpstr>
      <vt:lpstr>'EDBE|0349-00'!GroupFxdBen</vt:lpstr>
      <vt:lpstr>'EDBG|0125-00'!GroupFxdBen</vt:lpstr>
      <vt:lpstr>'EDBG|0319-00'!GroupFxdBen</vt:lpstr>
      <vt:lpstr>'EDBG|0345-00'!GroupFxdBen</vt:lpstr>
      <vt:lpstr>'EDBG|0481-10'!GroupFxdBen</vt:lpstr>
      <vt:lpstr>'EDBG|0481-54'!GroupFxdBen</vt:lpstr>
      <vt:lpstr>GroupFxdBen</vt:lpstr>
      <vt:lpstr>'EDBC|0125-00'!GroupSalary</vt:lpstr>
      <vt:lpstr>'EDBD|0001-00'!GroupSalary</vt:lpstr>
      <vt:lpstr>'EDBD|0325-00'!GroupSalary</vt:lpstr>
      <vt:lpstr>'EDBE|0001-00'!GroupSalary</vt:lpstr>
      <vt:lpstr>'EDBE|0325-00'!GroupSalary</vt:lpstr>
      <vt:lpstr>'EDBE|0344-00'!GroupSalary</vt:lpstr>
      <vt:lpstr>'EDBE|0348-00'!GroupSalary</vt:lpstr>
      <vt:lpstr>'EDBE|0349-00'!GroupSalary</vt:lpstr>
      <vt:lpstr>'EDBG|0125-00'!GroupSalary</vt:lpstr>
      <vt:lpstr>'EDBG|0319-00'!GroupSalary</vt:lpstr>
      <vt:lpstr>'EDBG|0345-00'!GroupSalary</vt:lpstr>
      <vt:lpstr>'EDBG|0481-10'!GroupSalary</vt:lpstr>
      <vt:lpstr>'EDBG|0481-54'!GroupSalary</vt:lpstr>
      <vt:lpstr>GroupSalary</vt:lpstr>
      <vt:lpstr>'EDBC|0125-00'!GroupVarBen</vt:lpstr>
      <vt:lpstr>'EDBD|0001-00'!GroupVarBen</vt:lpstr>
      <vt:lpstr>'EDBD|0325-00'!GroupVarBen</vt:lpstr>
      <vt:lpstr>'EDBE|0001-00'!GroupVarBen</vt:lpstr>
      <vt:lpstr>'EDBE|0325-00'!GroupVarBen</vt:lpstr>
      <vt:lpstr>'EDBE|0344-00'!GroupVarBen</vt:lpstr>
      <vt:lpstr>'EDBE|0348-00'!GroupVarBen</vt:lpstr>
      <vt:lpstr>'EDBE|0349-00'!GroupVarBen</vt:lpstr>
      <vt:lpstr>'EDBG|0125-00'!GroupVarBen</vt:lpstr>
      <vt:lpstr>'EDBG|0319-00'!GroupVarBen</vt:lpstr>
      <vt:lpstr>'EDBG|0345-00'!GroupVarBen</vt:lpstr>
      <vt:lpstr>'EDBG|0481-10'!GroupVarBen</vt:lpstr>
      <vt:lpstr>'EDBG|0481-54'!GroupVarBen</vt:lpstr>
      <vt:lpstr>GroupVarBen</vt:lpstr>
      <vt:lpstr>GroupVB</vt:lpstr>
      <vt:lpstr>GroupVBBY</vt:lpstr>
      <vt:lpstr>GroupVBCHG</vt:lpstr>
      <vt:lpstr>Health</vt:lpstr>
      <vt:lpstr>HealthBY</vt:lpstr>
      <vt:lpstr>HealthCHG</vt:lpstr>
      <vt:lpstr>Life</vt:lpstr>
      <vt:lpstr>LifeBY</vt:lpstr>
      <vt:lpstr>LifeCHG</vt:lpstr>
      <vt:lpstr>'EDBC|0125-00'!LUMAFund</vt:lpstr>
      <vt:lpstr>'EDBD|0001-00'!LUMAFund</vt:lpstr>
      <vt:lpstr>'EDBD|0325-00'!LUMAFund</vt:lpstr>
      <vt:lpstr>'EDBE|0001-00'!LUMAFund</vt:lpstr>
      <vt:lpstr>'EDBE|0325-00'!LUMAFund</vt:lpstr>
      <vt:lpstr>'EDBE|0344-00'!LUMAFund</vt:lpstr>
      <vt:lpstr>'EDBE|0348-00'!LUMAFund</vt:lpstr>
      <vt:lpstr>'EDBE|0349-00'!LUMAFund</vt:lpstr>
      <vt:lpstr>'EDBG|0125-00'!LUMAFund</vt:lpstr>
      <vt:lpstr>'EDBG|0319-00'!LUMAFund</vt:lpstr>
      <vt:lpstr>'EDBG|0345-00'!LUMAFund</vt:lpstr>
      <vt:lpstr>'EDBG|0481-10'!LUMAFund</vt:lpstr>
      <vt:lpstr>'EDBG|0481-54'!LUMAFund</vt:lpstr>
      <vt:lpstr>LUMAFund</vt:lpstr>
      <vt:lpstr>MAXSSDI</vt:lpstr>
      <vt:lpstr>MAXSSDIBY</vt:lpstr>
      <vt:lpstr>'EDBC|0125-00'!NEW_AdjGroup</vt:lpstr>
      <vt:lpstr>'EDBD|0001-00'!NEW_AdjGroup</vt:lpstr>
      <vt:lpstr>'EDBD|0325-00'!NEW_AdjGroup</vt:lpstr>
      <vt:lpstr>'EDBE|0001-00'!NEW_AdjGroup</vt:lpstr>
      <vt:lpstr>'EDBE|0325-00'!NEW_AdjGroup</vt:lpstr>
      <vt:lpstr>'EDBE|0344-00'!NEW_AdjGroup</vt:lpstr>
      <vt:lpstr>'EDBE|0348-00'!NEW_AdjGroup</vt:lpstr>
      <vt:lpstr>'EDBE|0349-00'!NEW_AdjGroup</vt:lpstr>
      <vt:lpstr>'EDBG|0125-00'!NEW_AdjGroup</vt:lpstr>
      <vt:lpstr>'EDBG|0319-00'!NEW_AdjGroup</vt:lpstr>
      <vt:lpstr>'EDBG|0345-00'!NEW_AdjGroup</vt:lpstr>
      <vt:lpstr>'EDBG|0481-10'!NEW_AdjGroup</vt:lpstr>
      <vt:lpstr>'EDBG|0481-54'!NEW_AdjGroup</vt:lpstr>
      <vt:lpstr>NEW_AdjGroup</vt:lpstr>
      <vt:lpstr>'EDBC|0125-00'!NEW_AdjGroupSalary</vt:lpstr>
      <vt:lpstr>'EDBD|0001-00'!NEW_AdjGroupSalary</vt:lpstr>
      <vt:lpstr>'EDBD|0325-00'!NEW_AdjGroupSalary</vt:lpstr>
      <vt:lpstr>'EDBE|0001-00'!NEW_AdjGroupSalary</vt:lpstr>
      <vt:lpstr>'EDBE|0325-00'!NEW_AdjGroupSalary</vt:lpstr>
      <vt:lpstr>'EDBE|0344-00'!NEW_AdjGroupSalary</vt:lpstr>
      <vt:lpstr>'EDBE|0348-00'!NEW_AdjGroupSalary</vt:lpstr>
      <vt:lpstr>'EDBE|0349-00'!NEW_AdjGroupSalary</vt:lpstr>
      <vt:lpstr>'EDBG|0125-00'!NEW_AdjGroupSalary</vt:lpstr>
      <vt:lpstr>'EDBG|0319-00'!NEW_AdjGroupSalary</vt:lpstr>
      <vt:lpstr>'EDBG|0345-00'!NEW_AdjGroupSalary</vt:lpstr>
      <vt:lpstr>'EDBG|0481-10'!NEW_AdjGroupSalary</vt:lpstr>
      <vt:lpstr>'EDBG|0481-54'!NEW_AdjGroupSalary</vt:lpstr>
      <vt:lpstr>NEW_AdjGroupSalary</vt:lpstr>
      <vt:lpstr>'EDBC|0125-00'!NEW_AdjGroupVB</vt:lpstr>
      <vt:lpstr>'EDBD|0001-00'!NEW_AdjGroupVB</vt:lpstr>
      <vt:lpstr>'EDBD|0325-00'!NEW_AdjGroupVB</vt:lpstr>
      <vt:lpstr>'EDBE|0001-00'!NEW_AdjGroupVB</vt:lpstr>
      <vt:lpstr>'EDBE|0325-00'!NEW_AdjGroupVB</vt:lpstr>
      <vt:lpstr>'EDBE|0344-00'!NEW_AdjGroupVB</vt:lpstr>
      <vt:lpstr>'EDBE|0348-00'!NEW_AdjGroupVB</vt:lpstr>
      <vt:lpstr>'EDBE|0349-00'!NEW_AdjGroupVB</vt:lpstr>
      <vt:lpstr>'EDBG|0125-00'!NEW_AdjGroupVB</vt:lpstr>
      <vt:lpstr>'EDBG|0319-00'!NEW_AdjGroupVB</vt:lpstr>
      <vt:lpstr>'EDBG|0345-00'!NEW_AdjGroupVB</vt:lpstr>
      <vt:lpstr>'EDBG|0481-10'!NEW_AdjGroupVB</vt:lpstr>
      <vt:lpstr>'EDBG|0481-54'!NEW_AdjGroupVB</vt:lpstr>
      <vt:lpstr>NEW_AdjGroupVB</vt:lpstr>
      <vt:lpstr>'EDBC|0125-00'!NEW_AdjONLYGroup</vt:lpstr>
      <vt:lpstr>'EDBD|0001-00'!NEW_AdjONLYGroup</vt:lpstr>
      <vt:lpstr>'EDBD|0325-00'!NEW_AdjONLYGroup</vt:lpstr>
      <vt:lpstr>'EDBE|0001-00'!NEW_AdjONLYGroup</vt:lpstr>
      <vt:lpstr>'EDBE|0325-00'!NEW_AdjONLYGroup</vt:lpstr>
      <vt:lpstr>'EDBE|0344-00'!NEW_AdjONLYGroup</vt:lpstr>
      <vt:lpstr>'EDBE|0348-00'!NEW_AdjONLYGroup</vt:lpstr>
      <vt:lpstr>'EDBE|0349-00'!NEW_AdjONLYGroup</vt:lpstr>
      <vt:lpstr>'EDBG|0125-00'!NEW_AdjONLYGroup</vt:lpstr>
      <vt:lpstr>'EDBG|0319-00'!NEW_AdjONLYGroup</vt:lpstr>
      <vt:lpstr>'EDBG|0345-00'!NEW_AdjONLYGroup</vt:lpstr>
      <vt:lpstr>'EDBG|0481-10'!NEW_AdjONLYGroup</vt:lpstr>
      <vt:lpstr>'EDBG|0481-54'!NEW_AdjONLYGroup</vt:lpstr>
      <vt:lpstr>NEW_AdjONLYGroup</vt:lpstr>
      <vt:lpstr>'EDBC|0125-00'!NEW_AdjONLYGroupSalary</vt:lpstr>
      <vt:lpstr>'EDBD|0001-00'!NEW_AdjONLYGroupSalary</vt:lpstr>
      <vt:lpstr>'EDBD|0325-00'!NEW_AdjONLYGroupSalary</vt:lpstr>
      <vt:lpstr>'EDBE|0001-00'!NEW_AdjONLYGroupSalary</vt:lpstr>
      <vt:lpstr>'EDBE|0325-00'!NEW_AdjONLYGroupSalary</vt:lpstr>
      <vt:lpstr>'EDBE|0344-00'!NEW_AdjONLYGroupSalary</vt:lpstr>
      <vt:lpstr>'EDBE|0348-00'!NEW_AdjONLYGroupSalary</vt:lpstr>
      <vt:lpstr>'EDBE|0349-00'!NEW_AdjONLYGroupSalary</vt:lpstr>
      <vt:lpstr>'EDBG|0125-00'!NEW_AdjONLYGroupSalary</vt:lpstr>
      <vt:lpstr>'EDBG|0319-00'!NEW_AdjONLYGroupSalary</vt:lpstr>
      <vt:lpstr>'EDBG|0345-00'!NEW_AdjONLYGroupSalary</vt:lpstr>
      <vt:lpstr>'EDBG|0481-10'!NEW_AdjONLYGroupSalary</vt:lpstr>
      <vt:lpstr>'EDBG|0481-54'!NEW_AdjONLYGroupSalary</vt:lpstr>
      <vt:lpstr>NEW_AdjONLYGroupSalary</vt:lpstr>
      <vt:lpstr>'EDBC|0125-00'!NEW_AdjONLYGroupVB</vt:lpstr>
      <vt:lpstr>'EDBD|0001-00'!NEW_AdjONLYGroupVB</vt:lpstr>
      <vt:lpstr>'EDBD|0325-00'!NEW_AdjONLYGroupVB</vt:lpstr>
      <vt:lpstr>'EDBE|0001-00'!NEW_AdjONLYGroupVB</vt:lpstr>
      <vt:lpstr>'EDBE|0325-00'!NEW_AdjONLYGroupVB</vt:lpstr>
      <vt:lpstr>'EDBE|0344-00'!NEW_AdjONLYGroupVB</vt:lpstr>
      <vt:lpstr>'EDBE|0348-00'!NEW_AdjONLYGroupVB</vt:lpstr>
      <vt:lpstr>'EDBE|0349-00'!NEW_AdjONLYGroupVB</vt:lpstr>
      <vt:lpstr>'EDBG|0125-00'!NEW_AdjONLYGroupVB</vt:lpstr>
      <vt:lpstr>'EDBG|0319-00'!NEW_AdjONLYGroupVB</vt:lpstr>
      <vt:lpstr>'EDBG|0345-00'!NEW_AdjONLYGroupVB</vt:lpstr>
      <vt:lpstr>'EDBG|0481-10'!NEW_AdjONLYGroupVB</vt:lpstr>
      <vt:lpstr>'EDBG|0481-54'!NEW_AdjONLYGroupVB</vt:lpstr>
      <vt:lpstr>NEW_AdjONLYGroupVB</vt:lpstr>
      <vt:lpstr>'EDBC|0125-00'!NEW_AdjONLYPerm</vt:lpstr>
      <vt:lpstr>'EDBD|0001-00'!NEW_AdjONLYPerm</vt:lpstr>
      <vt:lpstr>'EDBD|0325-00'!NEW_AdjONLYPerm</vt:lpstr>
      <vt:lpstr>'EDBE|0001-00'!NEW_AdjONLYPerm</vt:lpstr>
      <vt:lpstr>'EDBE|0325-00'!NEW_AdjONLYPerm</vt:lpstr>
      <vt:lpstr>'EDBE|0344-00'!NEW_AdjONLYPerm</vt:lpstr>
      <vt:lpstr>'EDBE|0348-00'!NEW_AdjONLYPerm</vt:lpstr>
      <vt:lpstr>'EDBE|0349-00'!NEW_AdjONLYPerm</vt:lpstr>
      <vt:lpstr>'EDBG|0125-00'!NEW_AdjONLYPerm</vt:lpstr>
      <vt:lpstr>'EDBG|0319-00'!NEW_AdjONLYPerm</vt:lpstr>
      <vt:lpstr>'EDBG|0345-00'!NEW_AdjONLYPerm</vt:lpstr>
      <vt:lpstr>'EDBG|0481-10'!NEW_AdjONLYPerm</vt:lpstr>
      <vt:lpstr>'EDBG|0481-54'!NEW_AdjONLYPerm</vt:lpstr>
      <vt:lpstr>NEW_AdjONLYPerm</vt:lpstr>
      <vt:lpstr>'EDBC|0125-00'!NEW_AdjONLYPermSalary</vt:lpstr>
      <vt:lpstr>'EDBD|0001-00'!NEW_AdjONLYPermSalary</vt:lpstr>
      <vt:lpstr>'EDBD|0325-00'!NEW_AdjONLYPermSalary</vt:lpstr>
      <vt:lpstr>'EDBE|0001-00'!NEW_AdjONLYPermSalary</vt:lpstr>
      <vt:lpstr>'EDBE|0325-00'!NEW_AdjONLYPermSalary</vt:lpstr>
      <vt:lpstr>'EDBE|0344-00'!NEW_AdjONLYPermSalary</vt:lpstr>
      <vt:lpstr>'EDBE|0348-00'!NEW_AdjONLYPermSalary</vt:lpstr>
      <vt:lpstr>'EDBE|0349-00'!NEW_AdjONLYPermSalary</vt:lpstr>
      <vt:lpstr>'EDBG|0125-00'!NEW_AdjONLYPermSalary</vt:lpstr>
      <vt:lpstr>'EDBG|0319-00'!NEW_AdjONLYPermSalary</vt:lpstr>
      <vt:lpstr>'EDBG|0345-00'!NEW_AdjONLYPermSalary</vt:lpstr>
      <vt:lpstr>'EDBG|0481-10'!NEW_AdjONLYPermSalary</vt:lpstr>
      <vt:lpstr>'EDBG|0481-54'!NEW_AdjONLYPermSalary</vt:lpstr>
      <vt:lpstr>NEW_AdjONLYPermSalary</vt:lpstr>
      <vt:lpstr>'EDBC|0125-00'!NEW_AdjONLYPermVB</vt:lpstr>
      <vt:lpstr>'EDBD|0001-00'!NEW_AdjONLYPermVB</vt:lpstr>
      <vt:lpstr>'EDBD|0325-00'!NEW_AdjONLYPermVB</vt:lpstr>
      <vt:lpstr>'EDBE|0001-00'!NEW_AdjONLYPermVB</vt:lpstr>
      <vt:lpstr>'EDBE|0325-00'!NEW_AdjONLYPermVB</vt:lpstr>
      <vt:lpstr>'EDBE|0344-00'!NEW_AdjONLYPermVB</vt:lpstr>
      <vt:lpstr>'EDBE|0348-00'!NEW_AdjONLYPermVB</vt:lpstr>
      <vt:lpstr>'EDBE|0349-00'!NEW_AdjONLYPermVB</vt:lpstr>
      <vt:lpstr>'EDBG|0125-00'!NEW_AdjONLYPermVB</vt:lpstr>
      <vt:lpstr>'EDBG|0319-00'!NEW_AdjONLYPermVB</vt:lpstr>
      <vt:lpstr>'EDBG|0345-00'!NEW_AdjONLYPermVB</vt:lpstr>
      <vt:lpstr>'EDBG|0481-10'!NEW_AdjONLYPermVB</vt:lpstr>
      <vt:lpstr>'EDBG|0481-54'!NEW_AdjONLYPermVB</vt:lpstr>
      <vt:lpstr>NEW_AdjONLYPermVB</vt:lpstr>
      <vt:lpstr>'EDBC|0125-00'!NEW_AdjPerm</vt:lpstr>
      <vt:lpstr>'EDBD|0001-00'!NEW_AdjPerm</vt:lpstr>
      <vt:lpstr>'EDBD|0325-00'!NEW_AdjPerm</vt:lpstr>
      <vt:lpstr>'EDBE|0001-00'!NEW_AdjPerm</vt:lpstr>
      <vt:lpstr>'EDBE|0325-00'!NEW_AdjPerm</vt:lpstr>
      <vt:lpstr>'EDBE|0344-00'!NEW_AdjPerm</vt:lpstr>
      <vt:lpstr>'EDBE|0348-00'!NEW_AdjPerm</vt:lpstr>
      <vt:lpstr>'EDBE|0349-00'!NEW_AdjPerm</vt:lpstr>
      <vt:lpstr>'EDBG|0125-00'!NEW_AdjPerm</vt:lpstr>
      <vt:lpstr>'EDBG|0319-00'!NEW_AdjPerm</vt:lpstr>
      <vt:lpstr>'EDBG|0345-00'!NEW_AdjPerm</vt:lpstr>
      <vt:lpstr>'EDBG|0481-10'!NEW_AdjPerm</vt:lpstr>
      <vt:lpstr>'EDBG|0481-54'!NEW_AdjPerm</vt:lpstr>
      <vt:lpstr>NEW_AdjPerm</vt:lpstr>
      <vt:lpstr>'EDBC|0125-00'!NEW_AdjPermSalary</vt:lpstr>
      <vt:lpstr>'EDBD|0001-00'!NEW_AdjPermSalary</vt:lpstr>
      <vt:lpstr>'EDBD|0325-00'!NEW_AdjPermSalary</vt:lpstr>
      <vt:lpstr>'EDBE|0001-00'!NEW_AdjPermSalary</vt:lpstr>
      <vt:lpstr>'EDBE|0325-00'!NEW_AdjPermSalary</vt:lpstr>
      <vt:lpstr>'EDBE|0344-00'!NEW_AdjPermSalary</vt:lpstr>
      <vt:lpstr>'EDBE|0348-00'!NEW_AdjPermSalary</vt:lpstr>
      <vt:lpstr>'EDBE|0349-00'!NEW_AdjPermSalary</vt:lpstr>
      <vt:lpstr>'EDBG|0125-00'!NEW_AdjPermSalary</vt:lpstr>
      <vt:lpstr>'EDBG|0319-00'!NEW_AdjPermSalary</vt:lpstr>
      <vt:lpstr>'EDBG|0345-00'!NEW_AdjPermSalary</vt:lpstr>
      <vt:lpstr>'EDBG|0481-10'!NEW_AdjPermSalary</vt:lpstr>
      <vt:lpstr>'EDBG|0481-54'!NEW_AdjPermSalary</vt:lpstr>
      <vt:lpstr>NEW_AdjPermSalary</vt:lpstr>
      <vt:lpstr>'EDBC|0125-00'!NEW_AdjPermVB</vt:lpstr>
      <vt:lpstr>'EDBD|0001-00'!NEW_AdjPermVB</vt:lpstr>
      <vt:lpstr>'EDBD|0325-00'!NEW_AdjPermVB</vt:lpstr>
      <vt:lpstr>'EDBE|0001-00'!NEW_AdjPermVB</vt:lpstr>
      <vt:lpstr>'EDBE|0325-00'!NEW_AdjPermVB</vt:lpstr>
      <vt:lpstr>'EDBE|0344-00'!NEW_AdjPermVB</vt:lpstr>
      <vt:lpstr>'EDBE|0348-00'!NEW_AdjPermVB</vt:lpstr>
      <vt:lpstr>'EDBE|0349-00'!NEW_AdjPermVB</vt:lpstr>
      <vt:lpstr>'EDBG|0125-00'!NEW_AdjPermVB</vt:lpstr>
      <vt:lpstr>'EDBG|0319-00'!NEW_AdjPermVB</vt:lpstr>
      <vt:lpstr>'EDBG|0345-00'!NEW_AdjPermVB</vt:lpstr>
      <vt:lpstr>'EDBG|0481-10'!NEW_AdjPermVB</vt:lpstr>
      <vt:lpstr>'EDBG|0481-54'!NEW_AdjPermVB</vt:lpstr>
      <vt:lpstr>NEW_AdjPermVB</vt:lpstr>
      <vt:lpstr>'EDBC|0125-00'!NEW_GroupFilled</vt:lpstr>
      <vt:lpstr>'EDBD|0001-00'!NEW_GroupFilled</vt:lpstr>
      <vt:lpstr>'EDBD|0325-00'!NEW_GroupFilled</vt:lpstr>
      <vt:lpstr>'EDBE|0001-00'!NEW_GroupFilled</vt:lpstr>
      <vt:lpstr>'EDBE|0325-00'!NEW_GroupFilled</vt:lpstr>
      <vt:lpstr>'EDBE|0344-00'!NEW_GroupFilled</vt:lpstr>
      <vt:lpstr>'EDBE|0348-00'!NEW_GroupFilled</vt:lpstr>
      <vt:lpstr>'EDBE|0349-00'!NEW_GroupFilled</vt:lpstr>
      <vt:lpstr>'EDBG|0125-00'!NEW_GroupFilled</vt:lpstr>
      <vt:lpstr>'EDBG|0319-00'!NEW_GroupFilled</vt:lpstr>
      <vt:lpstr>'EDBG|0345-00'!NEW_GroupFilled</vt:lpstr>
      <vt:lpstr>'EDBG|0481-10'!NEW_GroupFilled</vt:lpstr>
      <vt:lpstr>'EDBG|0481-54'!NEW_GroupFilled</vt:lpstr>
      <vt:lpstr>NEW_GroupFilled</vt:lpstr>
      <vt:lpstr>'EDBC|0125-00'!NEW_GroupSalaryFilled</vt:lpstr>
      <vt:lpstr>'EDBD|0001-00'!NEW_GroupSalaryFilled</vt:lpstr>
      <vt:lpstr>'EDBD|0325-00'!NEW_GroupSalaryFilled</vt:lpstr>
      <vt:lpstr>'EDBE|0001-00'!NEW_GroupSalaryFilled</vt:lpstr>
      <vt:lpstr>'EDBE|0325-00'!NEW_GroupSalaryFilled</vt:lpstr>
      <vt:lpstr>'EDBE|0344-00'!NEW_GroupSalaryFilled</vt:lpstr>
      <vt:lpstr>'EDBE|0348-00'!NEW_GroupSalaryFilled</vt:lpstr>
      <vt:lpstr>'EDBE|0349-00'!NEW_GroupSalaryFilled</vt:lpstr>
      <vt:lpstr>'EDBG|0125-00'!NEW_GroupSalaryFilled</vt:lpstr>
      <vt:lpstr>'EDBG|0319-00'!NEW_GroupSalaryFilled</vt:lpstr>
      <vt:lpstr>'EDBG|0345-00'!NEW_GroupSalaryFilled</vt:lpstr>
      <vt:lpstr>'EDBG|0481-10'!NEW_GroupSalaryFilled</vt:lpstr>
      <vt:lpstr>'EDBG|0481-54'!NEW_GroupSalaryFilled</vt:lpstr>
      <vt:lpstr>NEW_GroupSalaryFilled</vt:lpstr>
      <vt:lpstr>'EDBC|0125-00'!NEW_GroupVBFilled</vt:lpstr>
      <vt:lpstr>'EDBD|0001-00'!NEW_GroupVBFilled</vt:lpstr>
      <vt:lpstr>'EDBD|0325-00'!NEW_GroupVBFilled</vt:lpstr>
      <vt:lpstr>'EDBE|0001-00'!NEW_GroupVBFilled</vt:lpstr>
      <vt:lpstr>'EDBE|0325-00'!NEW_GroupVBFilled</vt:lpstr>
      <vt:lpstr>'EDBE|0344-00'!NEW_GroupVBFilled</vt:lpstr>
      <vt:lpstr>'EDBE|0348-00'!NEW_GroupVBFilled</vt:lpstr>
      <vt:lpstr>'EDBE|0349-00'!NEW_GroupVBFilled</vt:lpstr>
      <vt:lpstr>'EDBG|0125-00'!NEW_GroupVBFilled</vt:lpstr>
      <vt:lpstr>'EDBG|0319-00'!NEW_GroupVBFilled</vt:lpstr>
      <vt:lpstr>'EDBG|0345-00'!NEW_GroupVBFilled</vt:lpstr>
      <vt:lpstr>'EDBG|0481-10'!NEW_GroupVBFilled</vt:lpstr>
      <vt:lpstr>'EDBG|0481-54'!NEW_GroupVBFilled</vt:lpstr>
      <vt:lpstr>NEW_GroupVBFilled</vt:lpstr>
      <vt:lpstr>'EDBC|0125-00'!NEW_PermFilled</vt:lpstr>
      <vt:lpstr>'EDBD|0001-00'!NEW_PermFilled</vt:lpstr>
      <vt:lpstr>'EDBD|0325-00'!NEW_PermFilled</vt:lpstr>
      <vt:lpstr>'EDBE|0001-00'!NEW_PermFilled</vt:lpstr>
      <vt:lpstr>'EDBE|0325-00'!NEW_PermFilled</vt:lpstr>
      <vt:lpstr>'EDBE|0344-00'!NEW_PermFilled</vt:lpstr>
      <vt:lpstr>'EDBE|0348-00'!NEW_PermFilled</vt:lpstr>
      <vt:lpstr>'EDBE|0349-00'!NEW_PermFilled</vt:lpstr>
      <vt:lpstr>'EDBG|0125-00'!NEW_PermFilled</vt:lpstr>
      <vt:lpstr>'EDBG|0319-00'!NEW_PermFilled</vt:lpstr>
      <vt:lpstr>'EDBG|0345-00'!NEW_PermFilled</vt:lpstr>
      <vt:lpstr>'EDBG|0481-10'!NEW_PermFilled</vt:lpstr>
      <vt:lpstr>'EDBG|0481-54'!NEW_PermFilled</vt:lpstr>
      <vt:lpstr>NEW_PermFilled</vt:lpstr>
      <vt:lpstr>'EDBC|0125-00'!NEW_PermSalaryFilled</vt:lpstr>
      <vt:lpstr>'EDBD|0001-00'!NEW_PermSalaryFilled</vt:lpstr>
      <vt:lpstr>'EDBD|0325-00'!NEW_PermSalaryFilled</vt:lpstr>
      <vt:lpstr>'EDBE|0001-00'!NEW_PermSalaryFilled</vt:lpstr>
      <vt:lpstr>'EDBE|0325-00'!NEW_PermSalaryFilled</vt:lpstr>
      <vt:lpstr>'EDBE|0344-00'!NEW_PermSalaryFilled</vt:lpstr>
      <vt:lpstr>'EDBE|0348-00'!NEW_PermSalaryFilled</vt:lpstr>
      <vt:lpstr>'EDBE|0349-00'!NEW_PermSalaryFilled</vt:lpstr>
      <vt:lpstr>'EDBG|0125-00'!NEW_PermSalaryFilled</vt:lpstr>
      <vt:lpstr>'EDBG|0319-00'!NEW_PermSalaryFilled</vt:lpstr>
      <vt:lpstr>'EDBG|0345-00'!NEW_PermSalaryFilled</vt:lpstr>
      <vt:lpstr>'EDBG|0481-10'!NEW_PermSalaryFilled</vt:lpstr>
      <vt:lpstr>'EDBG|0481-54'!NEW_PermSalaryFilled</vt:lpstr>
      <vt:lpstr>NEW_PermSalaryFilled</vt:lpstr>
      <vt:lpstr>'EDBC|0125-00'!NEW_PermVBFilled</vt:lpstr>
      <vt:lpstr>'EDBD|0001-00'!NEW_PermVBFilled</vt:lpstr>
      <vt:lpstr>'EDBD|0325-00'!NEW_PermVBFilled</vt:lpstr>
      <vt:lpstr>'EDBE|0001-00'!NEW_PermVBFilled</vt:lpstr>
      <vt:lpstr>'EDBE|0325-00'!NEW_PermVBFilled</vt:lpstr>
      <vt:lpstr>'EDBE|0344-00'!NEW_PermVBFilled</vt:lpstr>
      <vt:lpstr>'EDBE|0348-00'!NEW_PermVBFilled</vt:lpstr>
      <vt:lpstr>'EDBE|0349-00'!NEW_PermVBFilled</vt:lpstr>
      <vt:lpstr>'EDBG|0125-00'!NEW_PermVBFilled</vt:lpstr>
      <vt:lpstr>'EDBG|0319-00'!NEW_PermVBFilled</vt:lpstr>
      <vt:lpstr>'EDBG|0345-00'!NEW_PermVBFilled</vt:lpstr>
      <vt:lpstr>'EDBG|0481-10'!NEW_PermVBFilled</vt:lpstr>
      <vt:lpstr>'EDBG|0481-54'!NEW_PermVBFilled</vt:lpstr>
      <vt:lpstr>NEW_PermVBFilled</vt:lpstr>
      <vt:lpstr>'EDBC|0125-00'!OneTimePC_Total</vt:lpstr>
      <vt:lpstr>'EDBD|0001-00'!OneTimePC_Total</vt:lpstr>
      <vt:lpstr>'EDBD|0325-00'!OneTimePC_Total</vt:lpstr>
      <vt:lpstr>'EDBE|0001-00'!OneTimePC_Total</vt:lpstr>
      <vt:lpstr>'EDBE|0325-00'!OneTimePC_Total</vt:lpstr>
      <vt:lpstr>'EDBE|0344-00'!OneTimePC_Total</vt:lpstr>
      <vt:lpstr>'EDBE|0348-00'!OneTimePC_Total</vt:lpstr>
      <vt:lpstr>'EDBE|0349-00'!OneTimePC_Total</vt:lpstr>
      <vt:lpstr>'EDBG|0125-00'!OneTimePC_Total</vt:lpstr>
      <vt:lpstr>'EDBG|0319-00'!OneTimePC_Total</vt:lpstr>
      <vt:lpstr>'EDBG|0345-00'!OneTimePC_Total</vt:lpstr>
      <vt:lpstr>'EDBG|0481-10'!OneTimePC_Total</vt:lpstr>
      <vt:lpstr>'EDBG|0481-54'!OneTimePC_Total</vt:lpstr>
      <vt:lpstr>OneTimePC_Total</vt:lpstr>
      <vt:lpstr>'EDBC|0125-00'!OrigApprop</vt:lpstr>
      <vt:lpstr>'EDBD|0001-00'!OrigApprop</vt:lpstr>
      <vt:lpstr>'EDBD|0325-00'!OrigApprop</vt:lpstr>
      <vt:lpstr>'EDBE|0001-00'!OrigApprop</vt:lpstr>
      <vt:lpstr>'EDBE|0325-00'!OrigApprop</vt:lpstr>
      <vt:lpstr>'EDBE|0344-00'!OrigApprop</vt:lpstr>
      <vt:lpstr>'EDBE|0348-00'!OrigApprop</vt:lpstr>
      <vt:lpstr>'EDBE|0349-00'!OrigApprop</vt:lpstr>
      <vt:lpstr>'EDBG|0125-00'!OrigApprop</vt:lpstr>
      <vt:lpstr>'EDBG|0319-00'!OrigApprop</vt:lpstr>
      <vt:lpstr>'EDBG|0345-00'!OrigApprop</vt:lpstr>
      <vt:lpstr>'EDBG|0481-10'!OrigApprop</vt:lpstr>
      <vt:lpstr>'EDBG|0481-54'!OrigApprop</vt:lpstr>
      <vt:lpstr>OrigApprop</vt:lpstr>
      <vt:lpstr>'EDBC|0125-00'!perm_name</vt:lpstr>
      <vt:lpstr>'EDBD|0001-00'!perm_name</vt:lpstr>
      <vt:lpstr>'EDBD|0325-00'!perm_name</vt:lpstr>
      <vt:lpstr>'EDBE|0001-00'!perm_name</vt:lpstr>
      <vt:lpstr>'EDBE|0325-00'!perm_name</vt:lpstr>
      <vt:lpstr>'EDBE|0344-00'!perm_name</vt:lpstr>
      <vt:lpstr>'EDBE|0348-00'!perm_name</vt:lpstr>
      <vt:lpstr>'EDBE|0349-00'!perm_name</vt:lpstr>
      <vt:lpstr>'EDBG|0125-00'!perm_name</vt:lpstr>
      <vt:lpstr>'EDBG|0319-00'!perm_name</vt:lpstr>
      <vt:lpstr>'EDBG|0345-00'!perm_name</vt:lpstr>
      <vt:lpstr>'EDBG|0481-10'!perm_name</vt:lpstr>
      <vt:lpstr>'EDBG|0481-54'!perm_name</vt:lpstr>
      <vt:lpstr>perm_name</vt:lpstr>
      <vt:lpstr>'EDBC|0125-00'!PermFTP</vt:lpstr>
      <vt:lpstr>'EDBD|0001-00'!PermFTP</vt:lpstr>
      <vt:lpstr>'EDBD|0325-00'!PermFTP</vt:lpstr>
      <vt:lpstr>'EDBE|0001-00'!PermFTP</vt:lpstr>
      <vt:lpstr>'EDBE|0325-00'!PermFTP</vt:lpstr>
      <vt:lpstr>'EDBE|0344-00'!PermFTP</vt:lpstr>
      <vt:lpstr>'EDBE|0348-00'!PermFTP</vt:lpstr>
      <vt:lpstr>'EDBE|0349-00'!PermFTP</vt:lpstr>
      <vt:lpstr>'EDBG|0125-00'!PermFTP</vt:lpstr>
      <vt:lpstr>'EDBG|0319-00'!PermFTP</vt:lpstr>
      <vt:lpstr>'EDBG|0345-00'!PermFTP</vt:lpstr>
      <vt:lpstr>'EDBG|0481-10'!PermFTP</vt:lpstr>
      <vt:lpstr>'EDBG|0481-54'!PermFTP</vt:lpstr>
      <vt:lpstr>PermFTP</vt:lpstr>
      <vt:lpstr>'EDBC|0125-00'!PermFxdBen</vt:lpstr>
      <vt:lpstr>'EDBD|0001-00'!PermFxdBen</vt:lpstr>
      <vt:lpstr>'EDBD|0325-00'!PermFxdBen</vt:lpstr>
      <vt:lpstr>'EDBE|0001-00'!PermFxdBen</vt:lpstr>
      <vt:lpstr>'EDBE|0325-00'!PermFxdBen</vt:lpstr>
      <vt:lpstr>'EDBE|0344-00'!PermFxdBen</vt:lpstr>
      <vt:lpstr>'EDBE|0348-00'!PermFxdBen</vt:lpstr>
      <vt:lpstr>'EDBE|0349-00'!PermFxdBen</vt:lpstr>
      <vt:lpstr>'EDBG|0125-00'!PermFxdBen</vt:lpstr>
      <vt:lpstr>'EDBG|0319-00'!PermFxdBen</vt:lpstr>
      <vt:lpstr>'EDBG|0345-00'!PermFxdBen</vt:lpstr>
      <vt:lpstr>'EDBG|0481-10'!PermFxdBen</vt:lpstr>
      <vt:lpstr>'EDBG|0481-54'!PermFxdBen</vt:lpstr>
      <vt:lpstr>PermFxdBen</vt:lpstr>
      <vt:lpstr>'EDBC|0125-00'!PermFxdBenChg</vt:lpstr>
      <vt:lpstr>'EDBD|0001-00'!PermFxdBenChg</vt:lpstr>
      <vt:lpstr>'EDBD|0325-00'!PermFxdBenChg</vt:lpstr>
      <vt:lpstr>'EDBE|0001-00'!PermFxdBenChg</vt:lpstr>
      <vt:lpstr>'EDBE|0325-00'!PermFxdBenChg</vt:lpstr>
      <vt:lpstr>'EDBE|0344-00'!PermFxdBenChg</vt:lpstr>
      <vt:lpstr>'EDBE|0348-00'!PermFxdBenChg</vt:lpstr>
      <vt:lpstr>'EDBE|0349-00'!PermFxdBenChg</vt:lpstr>
      <vt:lpstr>'EDBG|0125-00'!PermFxdBenChg</vt:lpstr>
      <vt:lpstr>'EDBG|0319-00'!PermFxdBenChg</vt:lpstr>
      <vt:lpstr>'EDBG|0345-00'!PermFxdBenChg</vt:lpstr>
      <vt:lpstr>'EDBG|0481-10'!PermFxdBenChg</vt:lpstr>
      <vt:lpstr>'EDBG|0481-54'!PermFxdBenChg</vt:lpstr>
      <vt:lpstr>PermFxdBenChg</vt:lpstr>
      <vt:lpstr>'EDBC|0125-00'!PermFxdChg</vt:lpstr>
      <vt:lpstr>'EDBD|0001-00'!PermFxdChg</vt:lpstr>
      <vt:lpstr>'EDBD|0325-00'!PermFxdChg</vt:lpstr>
      <vt:lpstr>'EDBE|0001-00'!PermFxdChg</vt:lpstr>
      <vt:lpstr>'EDBE|0325-00'!PermFxdChg</vt:lpstr>
      <vt:lpstr>'EDBE|0344-00'!PermFxdChg</vt:lpstr>
      <vt:lpstr>'EDBE|0348-00'!PermFxdChg</vt:lpstr>
      <vt:lpstr>'EDBE|0349-00'!PermFxdChg</vt:lpstr>
      <vt:lpstr>'EDBG|0125-00'!PermFxdChg</vt:lpstr>
      <vt:lpstr>'EDBG|0319-00'!PermFxdChg</vt:lpstr>
      <vt:lpstr>'EDBG|0345-00'!PermFxdChg</vt:lpstr>
      <vt:lpstr>'EDBG|0481-10'!PermFxdChg</vt:lpstr>
      <vt:lpstr>'EDBG|0481-54'!PermFxdChg</vt:lpstr>
      <vt:lpstr>PermFxdChg</vt:lpstr>
      <vt:lpstr>'EDBC|0125-00'!PermSalary</vt:lpstr>
      <vt:lpstr>'EDBD|0001-00'!PermSalary</vt:lpstr>
      <vt:lpstr>'EDBD|0325-00'!PermSalary</vt:lpstr>
      <vt:lpstr>'EDBE|0001-00'!PermSalary</vt:lpstr>
      <vt:lpstr>'EDBE|0325-00'!PermSalary</vt:lpstr>
      <vt:lpstr>'EDBE|0344-00'!PermSalary</vt:lpstr>
      <vt:lpstr>'EDBE|0348-00'!PermSalary</vt:lpstr>
      <vt:lpstr>'EDBE|0349-00'!PermSalary</vt:lpstr>
      <vt:lpstr>'EDBG|0125-00'!PermSalary</vt:lpstr>
      <vt:lpstr>'EDBG|0319-00'!PermSalary</vt:lpstr>
      <vt:lpstr>'EDBG|0345-00'!PermSalary</vt:lpstr>
      <vt:lpstr>'EDBG|0481-10'!PermSalary</vt:lpstr>
      <vt:lpstr>'EDBG|0481-54'!PermSalary</vt:lpstr>
      <vt:lpstr>PermSalary</vt:lpstr>
      <vt:lpstr>'EDBC|0125-00'!PermVarBen</vt:lpstr>
      <vt:lpstr>'EDBD|0001-00'!PermVarBen</vt:lpstr>
      <vt:lpstr>'EDBD|0325-00'!PermVarBen</vt:lpstr>
      <vt:lpstr>'EDBE|0001-00'!PermVarBen</vt:lpstr>
      <vt:lpstr>'EDBE|0325-00'!PermVarBen</vt:lpstr>
      <vt:lpstr>'EDBE|0344-00'!PermVarBen</vt:lpstr>
      <vt:lpstr>'EDBE|0348-00'!PermVarBen</vt:lpstr>
      <vt:lpstr>'EDBE|0349-00'!PermVarBen</vt:lpstr>
      <vt:lpstr>'EDBG|0125-00'!PermVarBen</vt:lpstr>
      <vt:lpstr>'EDBG|0319-00'!PermVarBen</vt:lpstr>
      <vt:lpstr>'EDBG|0345-00'!PermVarBen</vt:lpstr>
      <vt:lpstr>'EDBG|0481-10'!PermVarBen</vt:lpstr>
      <vt:lpstr>'EDBG|0481-54'!PermVarBen</vt:lpstr>
      <vt:lpstr>PermVarBen</vt:lpstr>
      <vt:lpstr>'EDBC|0125-00'!PermVarBenChg</vt:lpstr>
      <vt:lpstr>'EDBD|0001-00'!PermVarBenChg</vt:lpstr>
      <vt:lpstr>'EDBD|0325-00'!PermVarBenChg</vt:lpstr>
      <vt:lpstr>'EDBE|0001-00'!PermVarBenChg</vt:lpstr>
      <vt:lpstr>'EDBE|0325-00'!PermVarBenChg</vt:lpstr>
      <vt:lpstr>'EDBE|0344-00'!PermVarBenChg</vt:lpstr>
      <vt:lpstr>'EDBE|0348-00'!PermVarBenChg</vt:lpstr>
      <vt:lpstr>'EDBE|0349-00'!PermVarBenChg</vt:lpstr>
      <vt:lpstr>'EDBG|0125-00'!PermVarBenChg</vt:lpstr>
      <vt:lpstr>'EDBG|0319-00'!PermVarBenChg</vt:lpstr>
      <vt:lpstr>'EDBG|0345-00'!PermVarBenChg</vt:lpstr>
      <vt:lpstr>'EDBG|0481-10'!PermVarBenChg</vt:lpstr>
      <vt:lpstr>'EDBG|0481-54'!PermVarBenChg</vt:lpstr>
      <vt:lpstr>PermVarBenChg</vt:lpstr>
      <vt:lpstr>PermVB</vt:lpstr>
      <vt:lpstr>PermVBBY</vt:lpstr>
      <vt:lpstr>PermVBCHG</vt:lpstr>
      <vt:lpstr>'B6'!Print_Area</vt:lpstr>
      <vt:lpstr>Benefits!Print_Area</vt:lpstr>
      <vt:lpstr>'EDBC|0125-00'!Print_Area</vt:lpstr>
      <vt:lpstr>'EDBD|0001-00'!Print_Area</vt:lpstr>
      <vt:lpstr>'EDBD|0325-00'!Print_Area</vt:lpstr>
      <vt:lpstr>'EDBE|0001-00'!Print_Area</vt:lpstr>
      <vt:lpstr>'EDBE|0325-00'!Print_Area</vt:lpstr>
      <vt:lpstr>'EDBE|0344-00'!Print_Area</vt:lpstr>
      <vt:lpstr>'EDBE|0348-00'!Print_Area</vt:lpstr>
      <vt:lpstr>'EDBE|0349-00'!Print_Area</vt:lpstr>
      <vt:lpstr>'EDBG|0125-00'!Print_Area</vt:lpstr>
      <vt:lpstr>'EDBG|0319-00'!Print_Area</vt:lpstr>
      <vt:lpstr>'EDBG|0345-00'!Print_Area</vt:lpstr>
      <vt:lpstr>'EDBG|0481-10'!Print_Area</vt:lpstr>
      <vt:lpstr>'EDBG|0481-54'!Print_Area</vt:lpstr>
      <vt:lpstr>'EDBC|0125-00'!Prog_Unadjusted_Total</vt:lpstr>
      <vt:lpstr>'EDBD|0001-00'!Prog_Unadjusted_Total</vt:lpstr>
      <vt:lpstr>'EDBD|0325-00'!Prog_Unadjusted_Total</vt:lpstr>
      <vt:lpstr>'EDBE|0001-00'!Prog_Unadjusted_Total</vt:lpstr>
      <vt:lpstr>'EDBE|0325-00'!Prog_Unadjusted_Total</vt:lpstr>
      <vt:lpstr>'EDBE|0344-00'!Prog_Unadjusted_Total</vt:lpstr>
      <vt:lpstr>'EDBE|0348-00'!Prog_Unadjusted_Total</vt:lpstr>
      <vt:lpstr>'EDBE|0349-00'!Prog_Unadjusted_Total</vt:lpstr>
      <vt:lpstr>'EDBG|0125-00'!Prog_Unadjusted_Total</vt:lpstr>
      <vt:lpstr>'EDBG|0319-00'!Prog_Unadjusted_Total</vt:lpstr>
      <vt:lpstr>'EDBG|0345-00'!Prog_Unadjusted_Total</vt:lpstr>
      <vt:lpstr>'EDBG|0481-10'!Prog_Unadjusted_Total</vt:lpstr>
      <vt:lpstr>'EDBG|0481-54'!Prog_Unadjusted_Total</vt:lpstr>
      <vt:lpstr>Prog_Unadjusted_Total</vt:lpstr>
      <vt:lpstr>'EDBC|0125-00'!Program</vt:lpstr>
      <vt:lpstr>'EDBD|0001-00'!Program</vt:lpstr>
      <vt:lpstr>'EDBD|0325-00'!Program</vt:lpstr>
      <vt:lpstr>'EDBE|0001-00'!Program</vt:lpstr>
      <vt:lpstr>'EDBE|0325-00'!Program</vt:lpstr>
      <vt:lpstr>'EDBE|0344-00'!Program</vt:lpstr>
      <vt:lpstr>'EDBE|0348-00'!Program</vt:lpstr>
      <vt:lpstr>'EDBE|0349-00'!Program</vt:lpstr>
      <vt:lpstr>'EDBG|0125-00'!Program</vt:lpstr>
      <vt:lpstr>'EDBG|0319-00'!Program</vt:lpstr>
      <vt:lpstr>'EDBG|0345-00'!Program</vt:lpstr>
      <vt:lpstr>'EDBG|0481-10'!Program</vt:lpstr>
      <vt:lpstr>'EDBG|0481-54'!Program</vt:lpstr>
      <vt:lpstr>Program</vt:lpstr>
      <vt:lpstr>PTHealth</vt:lpstr>
      <vt:lpstr>PTHealthBY</vt:lpstr>
      <vt:lpstr>PTHealthChg</vt:lpstr>
      <vt:lpstr>Retire1</vt:lpstr>
      <vt:lpstr>Retire1BY</vt:lpstr>
      <vt:lpstr>Retire1CHG</vt:lpstr>
      <vt:lpstr>Retire2</vt:lpstr>
      <vt:lpstr>Retire2BY</vt:lpstr>
      <vt:lpstr>Retire2CHG</vt:lpstr>
      <vt:lpstr>Retire4</vt:lpstr>
      <vt:lpstr>Retire4BY</vt:lpstr>
      <vt:lpstr>Retire4CHG</vt:lpstr>
      <vt:lpstr>Retire5</vt:lpstr>
      <vt:lpstr>Retire5BY</vt:lpstr>
      <vt:lpstr>Retire5CHG</vt:lpstr>
      <vt:lpstr>Retire6</vt:lpstr>
      <vt:lpstr>Retire6BY</vt:lpstr>
      <vt:lpstr>Retire6CHG</vt:lpstr>
      <vt:lpstr>Retire7</vt:lpstr>
      <vt:lpstr>Retire7BY</vt:lpstr>
      <vt:lpstr>Retire7CHG</vt:lpstr>
      <vt:lpstr>Retire8</vt:lpstr>
      <vt:lpstr>Retire8BY</vt:lpstr>
      <vt:lpstr>Retire8CHG</vt:lpstr>
      <vt:lpstr>Retirement_Rates</vt:lpstr>
      <vt:lpstr>'EDBC|0125-00'!RoundedAppropSalary</vt:lpstr>
      <vt:lpstr>'EDBD|0001-00'!RoundedAppropSalary</vt:lpstr>
      <vt:lpstr>'EDBD|0325-00'!RoundedAppropSalary</vt:lpstr>
      <vt:lpstr>'EDBE|0001-00'!RoundedAppropSalary</vt:lpstr>
      <vt:lpstr>'EDBE|0325-00'!RoundedAppropSalary</vt:lpstr>
      <vt:lpstr>'EDBE|0344-00'!RoundedAppropSalary</vt:lpstr>
      <vt:lpstr>'EDBE|0348-00'!RoundedAppropSalary</vt:lpstr>
      <vt:lpstr>'EDBE|0349-00'!RoundedAppropSalary</vt:lpstr>
      <vt:lpstr>'EDBG|0125-00'!RoundedAppropSalary</vt:lpstr>
      <vt:lpstr>'EDBG|0319-00'!RoundedAppropSalary</vt:lpstr>
      <vt:lpstr>'EDBG|0345-00'!RoundedAppropSalary</vt:lpstr>
      <vt:lpstr>'EDBG|0481-10'!RoundedAppropSalary</vt:lpstr>
      <vt:lpstr>'EDBG|0481-54'!RoundedAppropSalary</vt:lpstr>
      <vt:lpstr>RoundedAppropSalary</vt:lpstr>
      <vt:lpstr>'EDBC|0125-00'!SalaryChg</vt:lpstr>
      <vt:lpstr>'EDBD|0001-00'!SalaryChg</vt:lpstr>
      <vt:lpstr>'EDBD|0325-00'!SalaryChg</vt:lpstr>
      <vt:lpstr>'EDBE|0001-00'!SalaryChg</vt:lpstr>
      <vt:lpstr>'EDBE|0325-00'!SalaryChg</vt:lpstr>
      <vt:lpstr>'EDBE|0344-00'!SalaryChg</vt:lpstr>
      <vt:lpstr>'EDBE|0348-00'!SalaryChg</vt:lpstr>
      <vt:lpstr>'EDBE|0349-00'!SalaryChg</vt:lpstr>
      <vt:lpstr>'EDBG|0125-00'!SalaryChg</vt:lpstr>
      <vt:lpstr>'EDBG|0319-00'!SalaryChg</vt:lpstr>
      <vt:lpstr>'EDBG|0345-00'!SalaryChg</vt:lpstr>
      <vt:lpstr>'EDBG|0481-10'!SalaryChg</vt:lpstr>
      <vt:lpstr>'EDBG|0481-54'!SalaryChg</vt:lpstr>
      <vt:lpstr>SalaryChg</vt:lpstr>
      <vt:lpstr>Sick</vt:lpstr>
      <vt:lpstr>SickBY</vt:lpstr>
      <vt:lpstr>SickCHG</vt:lpstr>
      <vt:lpstr>SSDI</vt:lpstr>
      <vt:lpstr>SSDIBY</vt:lpstr>
      <vt:lpstr>SSDICHG</vt:lpstr>
      <vt:lpstr>SSHI</vt:lpstr>
      <vt:lpstr>SSHIBY</vt:lpstr>
      <vt:lpstr>SSHICHG</vt:lpstr>
      <vt:lpstr>UI</vt:lpstr>
      <vt:lpstr>UIBY</vt:lpstr>
      <vt:lpstr>UICHG</vt:lpstr>
      <vt:lpstr>WC</vt:lpstr>
      <vt:lpstr>WCBY</vt:lpstr>
      <vt:lpstr>WCCHG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Agency 177 B6</dc:title>
  <dc:subject>B6</dc:subject>
  <dc:creator>Shane Winslow</dc:creator>
  <cp:lastModifiedBy>Jared Tatro</cp:lastModifiedBy>
  <cp:lastPrinted>2019-06-21T15:46:35Z</cp:lastPrinted>
  <dcterms:created xsi:type="dcterms:W3CDTF">2013-05-01T19:55:41Z</dcterms:created>
  <dcterms:modified xsi:type="dcterms:W3CDTF">2022-07-28T15:58:38Z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980daa53-e238-4358-81e3-d1b7452f1532</vt:lpwstr>
  </property>
</Properties>
</file>