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tatro\Documents\B6Run\FY2024\"/>
    </mc:Choice>
  </mc:AlternateContent>
  <xr:revisionPtr revIDLastSave="0" documentId="13_ncr:1_{53066B05-1E49-4D19-A264-E50A969ECE54}" xr6:coauthVersionLast="47" xr6:coauthVersionMax="47" xr10:uidLastSave="{00000000-0000-0000-0000-000000000000}"/>
  <bookViews>
    <workbookView xWindow="1560" yWindow="1560" windowWidth="21600" windowHeight="11325" xr2:uid="{00000000-000D-0000-FFFF-FFFF00000000}"/>
  </bookViews>
  <sheets>
    <sheet name="GVWD|0305-00" sheetId="12" r:id="rId1"/>
    <sheet name="GVWD|0344-30" sheetId="13" r:id="rId2"/>
    <sheet name="GVWD|0348-00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'GVWD|0305-00'!$H$39</definedName>
    <definedName name="AdjGroupHlth" localSheetId="1">'GVWD|0344-30'!$H$39</definedName>
    <definedName name="AdjGroupHlth" localSheetId="2">'GVWD|0348-00'!$H$39</definedName>
    <definedName name="AdjGroupHlth">'B6'!$H$39</definedName>
    <definedName name="AdjGroupSalary" localSheetId="0">'GVWD|0305-00'!$G$39</definedName>
    <definedName name="AdjGroupSalary" localSheetId="1">'GVWD|0344-30'!$G$39</definedName>
    <definedName name="AdjGroupSalary" localSheetId="2">'GVWD|0348-00'!$G$39</definedName>
    <definedName name="AdjGroupSalary">'B6'!$G$39</definedName>
    <definedName name="AdjGroupVB" localSheetId="0">'GVWD|0305-00'!$I$39</definedName>
    <definedName name="AdjGroupVB" localSheetId="1">'GVWD|0344-30'!$I$39</definedName>
    <definedName name="AdjGroupVB" localSheetId="2">'GVWD|0348-00'!$I$39</definedName>
    <definedName name="AdjGroupVB">'B6'!$I$39</definedName>
    <definedName name="AdjGroupVBBY" localSheetId="0">'GVWD|0305-00'!$M$39</definedName>
    <definedName name="AdjGroupVBBY" localSheetId="1">'GVWD|0344-30'!$M$39</definedName>
    <definedName name="AdjGroupVBBY" localSheetId="2">'GVWD|0348-00'!$M$39</definedName>
    <definedName name="AdjGroupVBBY">'B6'!$M$39</definedName>
    <definedName name="AdjPermHlth" localSheetId="0">'GVWD|0305-00'!$H$38</definedName>
    <definedName name="AdjPermHlth" localSheetId="1">'GVWD|0344-30'!$H$38</definedName>
    <definedName name="AdjPermHlth" localSheetId="2">'GVWD|0348-00'!$H$38</definedName>
    <definedName name="AdjPermHlth">'B6'!$H$38</definedName>
    <definedName name="AdjPermHlthBY" localSheetId="0">'GVWD|0305-00'!$L$38</definedName>
    <definedName name="AdjPermHlthBY" localSheetId="1">'GVWD|0344-30'!$L$38</definedName>
    <definedName name="AdjPermHlthBY" localSheetId="2">'GVWD|0348-00'!$L$38</definedName>
    <definedName name="AdjPermHlthBY">'B6'!$L$38</definedName>
    <definedName name="AdjPermSalary" localSheetId="0">'GVWD|0305-00'!$G$38</definedName>
    <definedName name="AdjPermSalary" localSheetId="1">'GVWD|0344-30'!$G$38</definedName>
    <definedName name="AdjPermSalary" localSheetId="2">'GVWD|0348-00'!$G$38</definedName>
    <definedName name="AdjPermSalary">'B6'!$G$38</definedName>
    <definedName name="AdjPermVB" localSheetId="0">'GVWD|0305-00'!$I$38</definedName>
    <definedName name="AdjPermVB" localSheetId="1">'GVWD|0344-30'!$I$38</definedName>
    <definedName name="AdjPermVB" localSheetId="2">'GVWD|0348-00'!$I$38</definedName>
    <definedName name="AdjPermVB">'B6'!$I$38</definedName>
    <definedName name="AdjPermVBBY" localSheetId="0">'GVWD|0305-00'!$M$38</definedName>
    <definedName name="AdjPermVBBY" localSheetId="1">'GVWD|0344-30'!$M$38</definedName>
    <definedName name="AdjPermVBBY" localSheetId="2">'GVWD|0348-00'!$M$38</definedName>
    <definedName name="AdjPermVBBY">'B6'!$M$38</definedName>
    <definedName name="AdjustedTotal" localSheetId="0">'GVWD|0305-00'!$J$16</definedName>
    <definedName name="AdjustedTotal" localSheetId="1">'GVWD|0344-30'!$J$16</definedName>
    <definedName name="AdjustedTotal" localSheetId="2">'GVWD|0348-00'!$J$16</definedName>
    <definedName name="AdjustedTotal">'B6'!$J$16</definedName>
    <definedName name="AgencyNum" localSheetId="0">'GVWD|0305-00'!$M$1</definedName>
    <definedName name="AgencyNum" localSheetId="1">'GVWD|0344-30'!$M$1</definedName>
    <definedName name="AgencyNum" localSheetId="2">'GVWD|0348-00'!$M$1</definedName>
    <definedName name="AgencyNum">'B6'!$M$1</definedName>
    <definedName name="AppropFTP" localSheetId="0">'GVWD|0305-00'!$F$15</definedName>
    <definedName name="AppropFTP" localSheetId="1">'GVWD|0344-30'!$F$15</definedName>
    <definedName name="AppropFTP" localSheetId="2">'GVWD|0348-00'!$F$15</definedName>
    <definedName name="AppropFTP">'B6'!$F$15</definedName>
    <definedName name="AppropTotal" localSheetId="0">'GVWD|0305-00'!$J$15</definedName>
    <definedName name="AppropTotal" localSheetId="1">'GVWD|0344-30'!$J$15</definedName>
    <definedName name="AppropTotal" localSheetId="2">'GVWD|0348-00'!$J$15</definedName>
    <definedName name="AppropTotal">'B6'!$J$15</definedName>
    <definedName name="AtZHealth" localSheetId="0">'GVWD|0305-00'!$H$45</definedName>
    <definedName name="AtZHealth" localSheetId="1">'GVWD|0344-30'!$H$45</definedName>
    <definedName name="AtZHealth" localSheetId="2">'GVWD|0348-00'!$H$45</definedName>
    <definedName name="AtZHealth">'B6'!$H$45</definedName>
    <definedName name="AtZSalary" localSheetId="0">'GVWD|0305-00'!$G$45</definedName>
    <definedName name="AtZSalary" localSheetId="1">'GVWD|0344-30'!$G$45</definedName>
    <definedName name="AtZSalary" localSheetId="2">'GVWD|0348-00'!$G$45</definedName>
    <definedName name="AtZSalary">'B6'!$G$45</definedName>
    <definedName name="AtZTotal" localSheetId="0">'GVWD|0305-00'!$J$45</definedName>
    <definedName name="AtZTotal" localSheetId="1">'GVWD|0344-30'!$J$45</definedName>
    <definedName name="AtZTotal" localSheetId="2">'GVWD|0348-00'!$J$45</definedName>
    <definedName name="AtZTotal">'B6'!$J$45</definedName>
    <definedName name="AtZVarBen" localSheetId="0">'GVWD|0305-00'!$I$45</definedName>
    <definedName name="AtZVarBen" localSheetId="1">'GVWD|0344-30'!$I$45</definedName>
    <definedName name="AtZVarBen" localSheetId="2">'GVWD|0348-00'!$I$45</definedName>
    <definedName name="AtZVarBen">'B6'!$I$45</definedName>
    <definedName name="BudgetUnit" localSheetId="0">'GVWD|0305-00'!$M$3</definedName>
    <definedName name="BudgetUnit" localSheetId="1">'GVWD|0344-30'!$M$3</definedName>
    <definedName name="BudgetUnit" localSheetId="2">'GVWD|0348-00'!$M$3</definedName>
    <definedName name="BudgetUnit">'B6'!$M$3</definedName>
    <definedName name="BudgetYear">Benefits!$D$4</definedName>
    <definedName name="CECGroup">Benefits!$C$39</definedName>
    <definedName name="CECOrigElectSalary" localSheetId="0">'GVWD|0305-00'!$G$74</definedName>
    <definedName name="CECOrigElectSalary" localSheetId="1">'GVWD|0344-30'!$G$74</definedName>
    <definedName name="CECOrigElectSalary" localSheetId="2">'GVWD|0348-00'!$G$74</definedName>
    <definedName name="CECOrigElectSalary">'B6'!$G$74</definedName>
    <definedName name="CECOrigElectVB" localSheetId="0">'GVWD|0305-00'!$I$74</definedName>
    <definedName name="CECOrigElectVB" localSheetId="1">'GVWD|0344-30'!$I$74</definedName>
    <definedName name="CECOrigElectVB" localSheetId="2">'GVWD|0348-00'!$I$74</definedName>
    <definedName name="CECOrigElectVB">'B6'!$I$74</definedName>
    <definedName name="CECOrigGroupSalary" localSheetId="0">'GVWD|0305-00'!$G$73</definedName>
    <definedName name="CECOrigGroupSalary" localSheetId="1">'GVWD|0344-30'!$G$73</definedName>
    <definedName name="CECOrigGroupSalary" localSheetId="2">'GVWD|0348-00'!$G$73</definedName>
    <definedName name="CECOrigGroupSalary">'B6'!$G$73</definedName>
    <definedName name="CECOrigGroupVB" localSheetId="0">'GVWD|0305-00'!$I$73</definedName>
    <definedName name="CECOrigGroupVB" localSheetId="1">'GVWD|0344-30'!$I$73</definedName>
    <definedName name="CECOrigGroupVB" localSheetId="2">'GVWD|0348-00'!$I$73</definedName>
    <definedName name="CECOrigGroupVB">'B6'!$I$73</definedName>
    <definedName name="CECOrigPermSalary" localSheetId="0">'GVWD|0305-00'!$G$72</definedName>
    <definedName name="CECOrigPermSalary" localSheetId="1">'GVWD|0344-30'!$G$72</definedName>
    <definedName name="CECOrigPermSalary" localSheetId="2">'GVWD|0348-00'!$G$72</definedName>
    <definedName name="CECOrigPermSalary">'B6'!$G$72</definedName>
    <definedName name="CECOrigPermVB" localSheetId="0">'GVWD|0305-00'!$I$72</definedName>
    <definedName name="CECOrigPermVB" localSheetId="1">'GVWD|0344-30'!$I$72</definedName>
    <definedName name="CECOrigPermVB" localSheetId="2">'GVWD|0348-00'!$I$72</definedName>
    <definedName name="CECOrigPermVB">'B6'!$I$72</definedName>
    <definedName name="CECPerm">Benefits!$C$38</definedName>
    <definedName name="CECpermCalc" localSheetId="0">'GVWD|0305-00'!$E$72</definedName>
    <definedName name="CECpermCalc" localSheetId="1">'GVWD|0344-30'!$E$72</definedName>
    <definedName name="CECpermCalc" localSheetId="2">'GVWD|0348-00'!$E$72</definedName>
    <definedName name="CECpermCalc">'B6'!$E$72</definedName>
    <definedName name="Department" localSheetId="0">'GVWD|0305-00'!$D$1</definedName>
    <definedName name="Department" localSheetId="1">'GVWD|0344-30'!$D$1</definedName>
    <definedName name="Department" localSheetId="2">'GVWD|0348-00'!$D$1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'GVWD|0305-00'!$D$2</definedName>
    <definedName name="Division" localSheetId="1">'GVWD|0344-30'!$D$2</definedName>
    <definedName name="Division" localSheetId="2">'GVWD|0348-00'!$D$2</definedName>
    <definedName name="Division">'B6'!$D$2</definedName>
    <definedName name="DUCECElect" localSheetId="0">'GVWD|0305-00'!$J$74</definedName>
    <definedName name="DUCECElect" localSheetId="1">'GVWD|0344-30'!$J$74</definedName>
    <definedName name="DUCECElect" localSheetId="2">'GVWD|0348-00'!$J$74</definedName>
    <definedName name="DUCECElect">'B6'!$J$74</definedName>
    <definedName name="DUCECGroup" localSheetId="0">'GVWD|0305-00'!$J$73</definedName>
    <definedName name="DUCECGroup" localSheetId="1">'GVWD|0344-30'!$J$73</definedName>
    <definedName name="DUCECGroup" localSheetId="2">'GVWD|0348-00'!$J$73</definedName>
    <definedName name="DUCECGroup">'B6'!$J$73</definedName>
    <definedName name="DUCECPerm" localSheetId="0">'GVWD|0305-00'!$J$72</definedName>
    <definedName name="DUCECPerm" localSheetId="1">'GVWD|0344-30'!$J$72</definedName>
    <definedName name="DUCECPerm" localSheetId="2">'GVWD|0348-00'!$J$72</definedName>
    <definedName name="DUCECPerm">'B6'!$J$72</definedName>
    <definedName name="DUEleven" localSheetId="0">'GVWD|0305-00'!$J$75</definedName>
    <definedName name="DUEleven" localSheetId="1">'GVWD|0344-30'!$J$75</definedName>
    <definedName name="DUEleven" localSheetId="2">'GVWD|0348-00'!$J$75</definedName>
    <definedName name="DUEleven">'B6'!$J$75</definedName>
    <definedName name="DUHealthBen" localSheetId="0">'GVWD|0305-00'!$J$68</definedName>
    <definedName name="DUHealthBen" localSheetId="1">'GVWD|0344-30'!$J$68</definedName>
    <definedName name="DUHealthBen" localSheetId="2">'GVWD|0348-00'!$J$68</definedName>
    <definedName name="DUHealthBen">'B6'!$J$68</definedName>
    <definedName name="DUNine" localSheetId="0">'GVWD|0305-00'!$J$67</definedName>
    <definedName name="DUNine" localSheetId="1">'GVWD|0344-30'!$J$67</definedName>
    <definedName name="DUNine" localSheetId="2">'GVWD|0348-00'!$J$67</definedName>
    <definedName name="DUNine">'B6'!$J$67</definedName>
    <definedName name="DUThirteen" localSheetId="0">'GVWD|0305-00'!$J$80</definedName>
    <definedName name="DUThirteen" localSheetId="1">'GVWD|0344-30'!$J$80</definedName>
    <definedName name="DUThirteen" localSheetId="2">'GVWD|0348-00'!$J$80</definedName>
    <definedName name="DUThirteen">'B6'!$J$80</definedName>
    <definedName name="DUVariableBen" localSheetId="0">'GVWD|0305-00'!$J$69</definedName>
    <definedName name="DUVariableBen" localSheetId="1">'GVWD|0344-30'!$J$69</definedName>
    <definedName name="DUVariableBen" localSheetId="2">'GVWD|0348-00'!$J$69</definedName>
    <definedName name="DUVariableBen">'B6'!$J$69</definedName>
    <definedName name="Elect_chg_health" localSheetId="0">'GVWD|0305-00'!$L$12</definedName>
    <definedName name="Elect_chg_health" localSheetId="1">'GVWD|0344-30'!$L$12</definedName>
    <definedName name="Elect_chg_health" localSheetId="2">'GVWD|0348-00'!$L$12</definedName>
    <definedName name="Elect_chg_health">'B6'!$L$12</definedName>
    <definedName name="Elect_chg_Var" localSheetId="0">'GVWD|0305-00'!$M$12</definedName>
    <definedName name="Elect_chg_Var" localSheetId="1">'GVWD|0344-30'!$M$12</definedName>
    <definedName name="Elect_chg_Var" localSheetId="2">'GVWD|0348-00'!$M$12</definedName>
    <definedName name="Elect_chg_Var">'B6'!$M$12</definedName>
    <definedName name="elect_FTP" localSheetId="0">'GVWD|0305-00'!$F$12</definedName>
    <definedName name="elect_FTP" localSheetId="1">'GVWD|0344-30'!$F$12</definedName>
    <definedName name="elect_FTP" localSheetId="2">'GVWD|0348-00'!$F$12</definedName>
    <definedName name="elect_FTP">'B6'!$F$12</definedName>
    <definedName name="Elect_health" localSheetId="0">'GVWD|0305-00'!$H$12</definedName>
    <definedName name="Elect_health" localSheetId="1">'GVWD|0344-30'!$H$12</definedName>
    <definedName name="Elect_health" localSheetId="2">'GVWD|0348-00'!$H$12</definedName>
    <definedName name="Elect_health">'B6'!$H$12</definedName>
    <definedName name="Elect_name" localSheetId="0">'GVWD|0305-00'!$C$12</definedName>
    <definedName name="Elect_name" localSheetId="1">'GVWD|0344-30'!$C$12</definedName>
    <definedName name="Elect_name" localSheetId="2">'GVWD|0348-00'!$C$12</definedName>
    <definedName name="Elect_name">'B6'!$C$12</definedName>
    <definedName name="Elect_salary" localSheetId="0">'GVWD|0305-00'!$G$12</definedName>
    <definedName name="Elect_salary" localSheetId="1">'GVWD|0344-30'!$G$12</definedName>
    <definedName name="Elect_salary" localSheetId="2">'GVWD|0348-00'!$G$12</definedName>
    <definedName name="Elect_salary">'B6'!$G$12</definedName>
    <definedName name="Elect_Var" localSheetId="0">'GVWD|0305-00'!$I$12</definedName>
    <definedName name="Elect_Var" localSheetId="1">'GVWD|0344-30'!$I$12</definedName>
    <definedName name="Elect_Var" localSheetId="2">'GVWD|0348-00'!$I$12</definedName>
    <definedName name="Elect_Var">'B6'!$I$12</definedName>
    <definedName name="Elect_VarBen" localSheetId="0">'GVWD|0305-00'!$I$12</definedName>
    <definedName name="Elect_VarBen" localSheetId="1">'GVWD|0344-30'!$I$12</definedName>
    <definedName name="Elect_VarBen" localSheetId="2">'GVWD|0348-00'!$I$12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'GVWD|0305-00'!#REF!</definedName>
    <definedName name="FillRateAvg_B6" localSheetId="1">'GVWD|0344-30'!#REF!</definedName>
    <definedName name="FillRateAvg_B6" localSheetId="2">'GVWD|0348-00'!#REF!</definedName>
    <definedName name="FillRateAvg_B6">'B6'!#REF!</definedName>
    <definedName name="FiscalYear" localSheetId="0">'GVWD|0305-00'!$M$4</definedName>
    <definedName name="FiscalYear" localSheetId="1">'GVWD|0344-30'!$M$4</definedName>
    <definedName name="FiscalYear" localSheetId="2">'GVWD|0348-00'!$M$4</definedName>
    <definedName name="FiscalYear">'B6'!$M$4</definedName>
    <definedName name="FundName" localSheetId="0">'GVWD|0305-00'!$I$5</definedName>
    <definedName name="FundName" localSheetId="1">'GVWD|0344-30'!$I$5</definedName>
    <definedName name="FundName" localSheetId="2">'GVWD|0348-00'!$I$5</definedName>
    <definedName name="FundName">'B6'!$I$5</definedName>
    <definedName name="FundNum" localSheetId="0">'GVWD|0305-00'!$N$5</definedName>
    <definedName name="FundNum" localSheetId="1">'GVWD|0344-30'!$N$5</definedName>
    <definedName name="FundNum" localSheetId="2">'GVWD|0348-00'!$N$5</definedName>
    <definedName name="FundNum">'B6'!$N$5</definedName>
    <definedName name="FundNumber" localSheetId="0">'GVWD|0305-00'!$N$5</definedName>
    <definedName name="FundNumber" localSheetId="1">'GVWD|0344-30'!$N$5</definedName>
    <definedName name="FundNumber" localSheetId="2">'GVWD|0348-00'!$N$5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'GVWD|0305-00'!$C$11</definedName>
    <definedName name="Group_name" localSheetId="1">'GVWD|0344-30'!$C$11</definedName>
    <definedName name="Group_name" localSheetId="2">'GVWD|0348-00'!$C$11</definedName>
    <definedName name="Group_name">'B6'!$C$11</definedName>
    <definedName name="GroupFxdBen" localSheetId="0">'GVWD|0305-00'!$H$11</definedName>
    <definedName name="GroupFxdBen" localSheetId="1">'GVWD|0344-30'!$H$11</definedName>
    <definedName name="GroupFxdBen" localSheetId="2">'GVWD|0348-00'!$H$11</definedName>
    <definedName name="GroupFxdBen">'B6'!$H$11</definedName>
    <definedName name="GroupSalary" localSheetId="0">'GVWD|0305-00'!$G$11</definedName>
    <definedName name="GroupSalary" localSheetId="1">'GVWD|0344-30'!$G$11</definedName>
    <definedName name="GroupSalary" localSheetId="2">'GVWD|0348-00'!$G$11</definedName>
    <definedName name="GroupSalary">'B6'!$G$11</definedName>
    <definedName name="GroupVarBen" localSheetId="0">'GVWD|0305-00'!$I$11</definedName>
    <definedName name="GroupVarBen" localSheetId="1">'GVWD|0344-30'!$I$11</definedName>
    <definedName name="GroupVarBen" localSheetId="2">'GVWD|0348-00'!$I$11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WD030500col_1_27TH_PP">Data!$BA$17</definedName>
    <definedName name="GVWD030500col_DHR">Data!$BI$17</definedName>
    <definedName name="GVWD030500col_DHR_BY">Data!$BU$17</definedName>
    <definedName name="GVWD030500col_DHR_CHG">Data!$CG$17</definedName>
    <definedName name="GVWD030500col_FTI_SALARY_ELECT">Data!$AZ$17</definedName>
    <definedName name="GVWD030500col_FTI_SALARY_PERM">Data!$AY$17</definedName>
    <definedName name="GVWD030500col_FTI_SALARY_SSDI">Data!$AX$17</definedName>
    <definedName name="GVWD030500col_Group_Ben">Data!$CM$17</definedName>
    <definedName name="GVWD030500col_Group_Salary">Data!$CL$17</definedName>
    <definedName name="GVWD030500col_HEALTH_ELECT">Data!$BC$17</definedName>
    <definedName name="GVWD030500col_HEALTH_ELECT_BY">Data!$BO$17</definedName>
    <definedName name="GVWD030500col_HEALTH_ELECT_CHG">Data!$CA$17</definedName>
    <definedName name="GVWD030500col_HEALTH_PERM">Data!$BB$17</definedName>
    <definedName name="GVWD030500col_HEALTH_PERM_BY">Data!$BN$17</definedName>
    <definedName name="GVWD030500col_HEALTH_PERM_CHG">Data!$BZ$17</definedName>
    <definedName name="GVWD030500col_INC_FTI">Data!$AS$17</definedName>
    <definedName name="GVWD030500col_LIFE_INS">Data!$BG$17</definedName>
    <definedName name="GVWD030500col_LIFE_INS_BY">Data!$BS$17</definedName>
    <definedName name="GVWD030500col_LIFE_INS_CHG">Data!$CE$17</definedName>
    <definedName name="GVWD030500col_RETIREMENT">Data!$BF$17</definedName>
    <definedName name="GVWD030500col_RETIREMENT_BY">Data!$BR$17</definedName>
    <definedName name="GVWD030500col_RETIREMENT_CHG">Data!$CD$17</definedName>
    <definedName name="GVWD030500col_ROWS_PER_PCN">Data!$AW$17</definedName>
    <definedName name="GVWD030500col_SICK">Data!$BK$17</definedName>
    <definedName name="GVWD030500col_SICK_BY">Data!$BW$17</definedName>
    <definedName name="GVWD030500col_SICK_CHG">Data!$CI$17</definedName>
    <definedName name="GVWD030500col_SSDI">Data!$BD$17</definedName>
    <definedName name="GVWD030500col_SSDI_BY">Data!$BP$17</definedName>
    <definedName name="GVWD030500col_SSDI_CHG">Data!$CB$17</definedName>
    <definedName name="GVWD030500col_SSHI">Data!$BE$17</definedName>
    <definedName name="GVWD030500col_SSHI_BY">Data!$BQ$17</definedName>
    <definedName name="GVWD030500col_SSHI_CHGv">Data!$CC$17</definedName>
    <definedName name="GVWD030500col_TOT_VB_ELECT">Data!$BM$17</definedName>
    <definedName name="GVWD030500col_TOT_VB_ELECT_BY">Data!$BY$17</definedName>
    <definedName name="GVWD030500col_TOT_VB_ELECT_CHG">Data!$CK$17</definedName>
    <definedName name="GVWD030500col_TOT_VB_PERM">Data!$BL$17</definedName>
    <definedName name="GVWD030500col_TOT_VB_PERM_BY">Data!$BX$17</definedName>
    <definedName name="GVWD030500col_TOT_VB_PERM_CHG">Data!$CJ$17</definedName>
    <definedName name="GVWD030500col_TOTAL_ELECT_PCN_FTI">Data!$AT$17</definedName>
    <definedName name="GVWD030500col_TOTAL_ELECT_PCN_FTI_ALT">Data!$AV$17</definedName>
    <definedName name="GVWD030500col_TOTAL_PERM_PCN_FTI">Data!$AU$17</definedName>
    <definedName name="GVWD030500col_UNEMP_INS">Data!$BH$17</definedName>
    <definedName name="GVWD030500col_UNEMP_INS_BY">Data!$BT$17</definedName>
    <definedName name="GVWD030500col_UNEMP_INS_CHG">Data!$CF$17</definedName>
    <definedName name="GVWD030500col_WORKERS_COMP">Data!$BJ$17</definedName>
    <definedName name="GVWD030500col_WORKERS_COMP_BY">Data!$BV$17</definedName>
    <definedName name="GVWD030500col_WORKERS_COMP_CHG">Data!$CH$17</definedName>
    <definedName name="GVWD034430col_1_27TH_PP">Data!$BA$19</definedName>
    <definedName name="GVWD034430col_DHR">Data!$BI$19</definedName>
    <definedName name="GVWD034430col_DHR_BY">Data!$BU$19</definedName>
    <definedName name="GVWD034430col_DHR_CHG">Data!$CG$19</definedName>
    <definedName name="GVWD034430col_FTI_SALARY_ELECT">Data!$AZ$19</definedName>
    <definedName name="GVWD034430col_FTI_SALARY_PERM">Data!$AY$19</definedName>
    <definedName name="GVWD034430col_FTI_SALARY_SSDI">Data!$AX$19</definedName>
    <definedName name="GVWD034430col_Group_Ben">Data!$CM$19</definedName>
    <definedName name="GVWD034430col_Group_Salary">Data!$CL$19</definedName>
    <definedName name="GVWD034430col_HEALTH_ELECT">Data!$BC$19</definedName>
    <definedName name="GVWD034430col_HEALTH_ELECT_BY">Data!$BO$19</definedName>
    <definedName name="GVWD034430col_HEALTH_ELECT_CHG">Data!$CA$19</definedName>
    <definedName name="GVWD034430col_HEALTH_PERM">Data!$BB$19</definedName>
    <definedName name="GVWD034430col_HEALTH_PERM_BY">Data!$BN$19</definedName>
    <definedName name="GVWD034430col_HEALTH_PERM_CHG">Data!$BZ$19</definedName>
    <definedName name="GVWD034430col_INC_FTI">Data!$AS$19</definedName>
    <definedName name="GVWD034430col_LIFE_INS">Data!$BG$19</definedName>
    <definedName name="GVWD034430col_LIFE_INS_BY">Data!$BS$19</definedName>
    <definedName name="GVWD034430col_LIFE_INS_CHG">Data!$CE$19</definedName>
    <definedName name="GVWD034430col_RETIREMENT">Data!$BF$19</definedName>
    <definedName name="GVWD034430col_RETIREMENT_BY">Data!$BR$19</definedName>
    <definedName name="GVWD034430col_RETIREMENT_CHG">Data!$CD$19</definedName>
    <definedName name="GVWD034430col_ROWS_PER_PCN">Data!$AW$19</definedName>
    <definedName name="GVWD034430col_SICK">Data!$BK$19</definedName>
    <definedName name="GVWD034430col_SICK_BY">Data!$BW$19</definedName>
    <definedName name="GVWD034430col_SICK_CHG">Data!$CI$19</definedName>
    <definedName name="GVWD034430col_SSDI">Data!$BD$19</definedName>
    <definedName name="GVWD034430col_SSDI_BY">Data!$BP$19</definedName>
    <definedName name="GVWD034430col_SSDI_CHG">Data!$CB$19</definedName>
    <definedName name="GVWD034430col_SSHI">Data!$BE$19</definedName>
    <definedName name="GVWD034430col_SSHI_BY">Data!$BQ$19</definedName>
    <definedName name="GVWD034430col_SSHI_CHGv">Data!$CC$19</definedName>
    <definedName name="GVWD034430col_TOT_VB_ELECT">Data!$BM$19</definedName>
    <definedName name="GVWD034430col_TOT_VB_ELECT_BY">Data!$BY$19</definedName>
    <definedName name="GVWD034430col_TOT_VB_ELECT_CHG">Data!$CK$19</definedName>
    <definedName name="GVWD034430col_TOT_VB_PERM">Data!$BL$19</definedName>
    <definedName name="GVWD034430col_TOT_VB_PERM_BY">Data!$BX$19</definedName>
    <definedName name="GVWD034430col_TOT_VB_PERM_CHG">Data!$CJ$19</definedName>
    <definedName name="GVWD034430col_TOTAL_ELECT_PCN_FTI">Data!$AT$19</definedName>
    <definedName name="GVWD034430col_TOTAL_ELECT_PCN_FTI_ALT">Data!$AV$19</definedName>
    <definedName name="GVWD034430col_TOTAL_PERM_PCN_FTI">Data!$AU$19</definedName>
    <definedName name="GVWD034430col_UNEMP_INS">Data!$BH$19</definedName>
    <definedName name="GVWD034430col_UNEMP_INS_BY">Data!$BT$19</definedName>
    <definedName name="GVWD034430col_UNEMP_INS_CHG">Data!$CF$19</definedName>
    <definedName name="GVWD034430col_WORKERS_COMP">Data!$BJ$19</definedName>
    <definedName name="GVWD034430col_WORKERS_COMP_BY">Data!$BV$19</definedName>
    <definedName name="GVWD034430col_WORKERS_COMP_CHG">Data!$CH$19</definedName>
    <definedName name="GVWD034800col_1_27TH_PP">Data!$BA$21</definedName>
    <definedName name="GVWD034800col_DHR">Data!$BI$21</definedName>
    <definedName name="GVWD034800col_DHR_BY">Data!$BU$21</definedName>
    <definedName name="GVWD034800col_DHR_CHG">Data!$CG$21</definedName>
    <definedName name="GVWD034800col_FTI_SALARY_ELECT">Data!$AZ$21</definedName>
    <definedName name="GVWD034800col_FTI_SALARY_PERM">Data!$AY$21</definedName>
    <definedName name="GVWD034800col_FTI_SALARY_SSDI">Data!$AX$21</definedName>
    <definedName name="GVWD034800col_Group_Ben">Data!$CM$21</definedName>
    <definedName name="GVWD034800col_Group_Salary">Data!$CL$21</definedName>
    <definedName name="GVWD034800col_HEALTH_ELECT">Data!$BC$21</definedName>
    <definedName name="GVWD034800col_HEALTH_ELECT_BY">Data!$BO$21</definedName>
    <definedName name="GVWD034800col_HEALTH_ELECT_CHG">Data!$CA$21</definedName>
    <definedName name="GVWD034800col_HEALTH_PERM">Data!$BB$21</definedName>
    <definedName name="GVWD034800col_HEALTH_PERM_BY">Data!$BN$21</definedName>
    <definedName name="GVWD034800col_HEALTH_PERM_CHG">Data!$BZ$21</definedName>
    <definedName name="GVWD034800col_INC_FTI">Data!$AS$21</definedName>
    <definedName name="GVWD034800col_LIFE_INS">Data!$BG$21</definedName>
    <definedName name="GVWD034800col_LIFE_INS_BY">Data!$BS$21</definedName>
    <definedName name="GVWD034800col_LIFE_INS_CHG">Data!$CE$21</definedName>
    <definedName name="GVWD034800col_RETIREMENT">Data!$BF$21</definedName>
    <definedName name="GVWD034800col_RETIREMENT_BY">Data!$BR$21</definedName>
    <definedName name="GVWD034800col_RETIREMENT_CHG">Data!$CD$21</definedName>
    <definedName name="GVWD034800col_ROWS_PER_PCN">Data!$AW$21</definedName>
    <definedName name="GVWD034800col_SICK">Data!$BK$21</definedName>
    <definedName name="GVWD034800col_SICK_BY">Data!$BW$21</definedName>
    <definedName name="GVWD034800col_SICK_CHG">Data!$CI$21</definedName>
    <definedName name="GVWD034800col_SSDI">Data!$BD$21</definedName>
    <definedName name="GVWD034800col_SSDI_BY">Data!$BP$21</definedName>
    <definedName name="GVWD034800col_SSDI_CHG">Data!$CB$21</definedName>
    <definedName name="GVWD034800col_SSHI">Data!$BE$21</definedName>
    <definedName name="GVWD034800col_SSHI_BY">Data!$BQ$21</definedName>
    <definedName name="GVWD034800col_SSHI_CHGv">Data!$CC$21</definedName>
    <definedName name="GVWD034800col_TOT_VB_ELECT">Data!$BM$21</definedName>
    <definedName name="GVWD034800col_TOT_VB_ELECT_BY">Data!$BY$21</definedName>
    <definedName name="GVWD034800col_TOT_VB_ELECT_CHG">Data!$CK$21</definedName>
    <definedName name="GVWD034800col_TOT_VB_PERM">Data!$BL$21</definedName>
    <definedName name="GVWD034800col_TOT_VB_PERM_BY">Data!$BX$21</definedName>
    <definedName name="GVWD034800col_TOT_VB_PERM_CHG">Data!$CJ$21</definedName>
    <definedName name="GVWD034800col_TOTAL_ELECT_PCN_FTI">Data!$AT$21</definedName>
    <definedName name="GVWD034800col_TOTAL_ELECT_PCN_FTI_ALT">Data!$AV$21</definedName>
    <definedName name="GVWD034800col_TOTAL_PERM_PCN_FTI">Data!$AU$21</definedName>
    <definedName name="GVWD034800col_UNEMP_INS">Data!$BH$21</definedName>
    <definedName name="GVWD034800col_UNEMP_INS_BY">Data!$BT$21</definedName>
    <definedName name="GVWD034800col_UNEMP_INS_CHG">Data!$CF$21</definedName>
    <definedName name="GVWD034800col_WORKERS_COMP">Data!$BJ$21</definedName>
    <definedName name="GVWD034800col_WORKERS_COMP_BY">Data!$BV$21</definedName>
    <definedName name="GVWD034800col_WORKERS_COMP_CHG">Data!$CH$21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'GVWD|0305-00'!$M$2</definedName>
    <definedName name="LUMAFund" localSheetId="1">'GVWD|0344-30'!$M$2</definedName>
    <definedName name="LUMAFund" localSheetId="2">'GVWD|0348-00'!$M$2</definedName>
    <definedName name="LUMAFund">'B6'!$M$2</definedName>
    <definedName name="MAXSSDI">Benefits!$F$5</definedName>
    <definedName name="MAXSSDIBY">Benefits!$G$5</definedName>
    <definedName name="NEW_AdjGroup" localSheetId="0">'GVWD|0305-00'!$AC$39</definedName>
    <definedName name="NEW_AdjGroup" localSheetId="1">'GVWD|0344-30'!$AC$39</definedName>
    <definedName name="NEW_AdjGroup" localSheetId="2">'GVWD|0348-00'!$AC$39</definedName>
    <definedName name="NEW_AdjGroup">'B6'!$AC$39</definedName>
    <definedName name="NEW_AdjGroupSalary" localSheetId="0">'GVWD|0305-00'!$AA$39</definedName>
    <definedName name="NEW_AdjGroupSalary" localSheetId="1">'GVWD|0344-30'!$AA$39</definedName>
    <definedName name="NEW_AdjGroupSalary" localSheetId="2">'GVWD|0348-00'!$AA$39</definedName>
    <definedName name="NEW_AdjGroupSalary">'B6'!$AA$39</definedName>
    <definedName name="NEW_AdjGroupVB" localSheetId="0">'GVWD|0305-00'!$AB$39</definedName>
    <definedName name="NEW_AdjGroupVB" localSheetId="1">'GVWD|0344-30'!$AB$39</definedName>
    <definedName name="NEW_AdjGroupVB" localSheetId="2">'GVWD|0348-00'!$AB$39</definedName>
    <definedName name="NEW_AdjGroupVB">'B6'!$AB$39</definedName>
    <definedName name="NEW_AdjONLYGroup" localSheetId="0">'GVWD|0305-00'!$AC$45</definedName>
    <definedName name="NEW_AdjONLYGroup" localSheetId="1">'GVWD|0344-30'!$AC$45</definedName>
    <definedName name="NEW_AdjONLYGroup" localSheetId="2">'GVWD|0348-00'!$AC$45</definedName>
    <definedName name="NEW_AdjONLYGroup">'B6'!$AC$45</definedName>
    <definedName name="NEW_AdjONLYGroupSalary" localSheetId="0">'GVWD|0305-00'!$AA$45</definedName>
    <definedName name="NEW_AdjONLYGroupSalary" localSheetId="1">'GVWD|0344-30'!$AA$45</definedName>
    <definedName name="NEW_AdjONLYGroupSalary" localSheetId="2">'GVWD|0348-00'!$AA$45</definedName>
    <definedName name="NEW_AdjONLYGroupSalary">'B6'!$AA$45</definedName>
    <definedName name="NEW_AdjONLYGroupVB" localSheetId="0">'GVWD|0305-00'!$AB$45</definedName>
    <definedName name="NEW_AdjONLYGroupVB" localSheetId="1">'GVWD|0344-30'!$AB$45</definedName>
    <definedName name="NEW_AdjONLYGroupVB" localSheetId="2">'GVWD|0348-00'!$AB$45</definedName>
    <definedName name="NEW_AdjONLYGroupVB">'B6'!$AB$45</definedName>
    <definedName name="NEW_AdjONLYPerm" localSheetId="0">'GVWD|0305-00'!$AC$44</definedName>
    <definedName name="NEW_AdjONLYPerm" localSheetId="1">'GVWD|0344-30'!$AC$44</definedName>
    <definedName name="NEW_AdjONLYPerm" localSheetId="2">'GVWD|0348-00'!$AC$44</definedName>
    <definedName name="NEW_AdjONLYPerm">'B6'!$AC$44</definedName>
    <definedName name="NEW_AdjONLYPermSalary" localSheetId="0">'GVWD|0305-00'!$AA$44</definedName>
    <definedName name="NEW_AdjONLYPermSalary" localSheetId="1">'GVWD|0344-30'!$AA$44</definedName>
    <definedName name="NEW_AdjONLYPermSalary" localSheetId="2">'GVWD|0348-00'!$AA$44</definedName>
    <definedName name="NEW_AdjONLYPermSalary">'B6'!$AA$44</definedName>
    <definedName name="NEW_AdjONLYPermVB" localSheetId="0">'GVWD|0305-00'!$AB$44</definedName>
    <definedName name="NEW_AdjONLYPermVB" localSheetId="1">'GVWD|0344-30'!$AB$44</definedName>
    <definedName name="NEW_AdjONLYPermVB" localSheetId="2">'GVWD|0348-00'!$AB$44</definedName>
    <definedName name="NEW_AdjONLYPermVB">'B6'!$AB$44</definedName>
    <definedName name="NEW_AdjPerm" localSheetId="0">'GVWD|0305-00'!$AC$38</definedName>
    <definedName name="NEW_AdjPerm" localSheetId="1">'GVWD|0344-30'!$AC$38</definedName>
    <definedName name="NEW_AdjPerm" localSheetId="2">'GVWD|0348-00'!$AC$38</definedName>
    <definedName name="NEW_AdjPerm">'B6'!$AC$38</definedName>
    <definedName name="NEW_AdjPermSalary" localSheetId="0">'GVWD|0305-00'!$AA$38</definedName>
    <definedName name="NEW_AdjPermSalary" localSheetId="1">'GVWD|0344-30'!$AA$38</definedName>
    <definedName name="NEW_AdjPermSalary" localSheetId="2">'GVWD|0348-00'!$AA$38</definedName>
    <definedName name="NEW_AdjPermSalary">'B6'!$AA$38</definedName>
    <definedName name="NEW_AdjPermVB" localSheetId="0">'GVWD|0305-00'!$AB$38</definedName>
    <definedName name="NEW_AdjPermVB" localSheetId="1">'GVWD|0344-30'!$AB$38</definedName>
    <definedName name="NEW_AdjPermVB" localSheetId="2">'GVWD|0348-00'!$AB$38</definedName>
    <definedName name="NEW_AdjPermVB">'B6'!$AB$38</definedName>
    <definedName name="NEW_GroupFilled" localSheetId="0">'GVWD|0305-00'!$AC$11</definedName>
    <definedName name="NEW_GroupFilled" localSheetId="1">'GVWD|0344-30'!$AC$11</definedName>
    <definedName name="NEW_GroupFilled" localSheetId="2">'GVWD|0348-00'!$AC$11</definedName>
    <definedName name="NEW_GroupFilled">'B6'!$AC$11</definedName>
    <definedName name="NEW_GroupSalaryFilled" localSheetId="0">'GVWD|0305-00'!$AA$11</definedName>
    <definedName name="NEW_GroupSalaryFilled" localSheetId="1">'GVWD|0344-30'!$AA$11</definedName>
    <definedName name="NEW_GroupSalaryFilled" localSheetId="2">'GVWD|0348-00'!$AA$11</definedName>
    <definedName name="NEW_GroupSalaryFilled">'B6'!$AA$11</definedName>
    <definedName name="NEW_GroupVBFilled" localSheetId="0">'GVWD|0305-00'!$AB$11</definedName>
    <definedName name="NEW_GroupVBFilled" localSheetId="1">'GVWD|0344-30'!$AB$11</definedName>
    <definedName name="NEW_GroupVBFilled" localSheetId="2">'GVWD|0348-00'!$AB$11</definedName>
    <definedName name="NEW_GroupVBFilled">'B6'!$AB$11</definedName>
    <definedName name="NEW_PermFilled" localSheetId="0">'GVWD|0305-00'!$AC$10</definedName>
    <definedName name="NEW_PermFilled" localSheetId="1">'GVWD|0344-30'!$AC$10</definedName>
    <definedName name="NEW_PermFilled" localSheetId="2">'GVWD|0348-00'!$AC$10</definedName>
    <definedName name="NEW_PermFilled">'B6'!$AC$10</definedName>
    <definedName name="NEW_PermSalaryFilled" localSheetId="0">'GVWD|0305-00'!$AA$10</definedName>
    <definedName name="NEW_PermSalaryFilled" localSheetId="1">'GVWD|0344-30'!$AA$10</definedName>
    <definedName name="NEW_PermSalaryFilled" localSheetId="2">'GVWD|0348-00'!$AA$10</definedName>
    <definedName name="NEW_PermSalaryFilled">'B6'!$AA$10</definedName>
    <definedName name="NEW_PermVBFilled" localSheetId="0">'GVWD|0305-00'!$AB$10</definedName>
    <definedName name="NEW_PermVBFilled" localSheetId="1">'GVWD|0344-30'!$AB$10</definedName>
    <definedName name="NEW_PermVBFilled" localSheetId="2">'GVWD|0348-00'!$AB$10</definedName>
    <definedName name="NEW_PermVBFilled">'B6'!$AB$10</definedName>
    <definedName name="OneTimePC_Total" localSheetId="0">'GVWD|0305-00'!$J$63</definedName>
    <definedName name="OneTimePC_Total" localSheetId="1">'GVWD|0344-30'!$J$63</definedName>
    <definedName name="OneTimePC_Total" localSheetId="2">'GVWD|0348-00'!$J$63</definedName>
    <definedName name="OneTimePC_Total">'B6'!$J$63</definedName>
    <definedName name="OrigApprop" localSheetId="0">'GVWD|0305-00'!$E$15</definedName>
    <definedName name="OrigApprop" localSheetId="1">'GVWD|0344-30'!$E$15</definedName>
    <definedName name="OrigApprop" localSheetId="2">'GVWD|0348-00'!$E$15</definedName>
    <definedName name="OrigApprop">'B6'!$E$15</definedName>
    <definedName name="perm_name" localSheetId="0">'GVWD|0305-00'!$C$10</definedName>
    <definedName name="perm_name" localSheetId="1">'GVWD|0344-30'!$C$10</definedName>
    <definedName name="perm_name" localSheetId="2">'GVWD|0348-00'!$C$10</definedName>
    <definedName name="perm_name">'B6'!$C$10</definedName>
    <definedName name="PermFTP" localSheetId="0">'GVWD|0305-00'!$F$10</definedName>
    <definedName name="PermFTP" localSheetId="1">'GVWD|0344-30'!$F$10</definedName>
    <definedName name="PermFTP" localSheetId="2">'GVWD|0348-00'!$F$10</definedName>
    <definedName name="PermFTP">'B6'!$F$10</definedName>
    <definedName name="PermFxdBen" localSheetId="0">'GVWD|0305-00'!$H$10</definedName>
    <definedName name="PermFxdBen" localSheetId="1">'GVWD|0344-30'!$H$10</definedName>
    <definedName name="PermFxdBen" localSheetId="2">'GVWD|0348-00'!$H$10</definedName>
    <definedName name="PermFxdBen">'B6'!$H$10</definedName>
    <definedName name="PermFxdBenChg" localSheetId="0">'GVWD|0305-00'!$L$10</definedName>
    <definedName name="PermFxdBenChg" localSheetId="1">'GVWD|0344-30'!$L$10</definedName>
    <definedName name="PermFxdBenChg" localSheetId="2">'GVWD|0348-00'!$L$10</definedName>
    <definedName name="PermFxdBenChg">'B6'!$L$10</definedName>
    <definedName name="PermFxdChg" localSheetId="0">'GVWD|0305-00'!$L$10</definedName>
    <definedName name="PermFxdChg" localSheetId="1">'GVWD|0344-30'!$L$10</definedName>
    <definedName name="PermFxdChg" localSheetId="2">'GVWD|0348-00'!$L$10</definedName>
    <definedName name="PermFxdChg">'B6'!$L$10</definedName>
    <definedName name="PermSalary" localSheetId="0">'GVWD|0305-00'!$G$10</definedName>
    <definedName name="PermSalary" localSheetId="1">'GVWD|0344-30'!$G$10</definedName>
    <definedName name="PermSalary" localSheetId="2">'GVWD|0348-00'!$G$10</definedName>
    <definedName name="PermSalary">'B6'!$G$10</definedName>
    <definedName name="PermVarBen" localSheetId="0">'GVWD|0305-00'!$I$10</definedName>
    <definedName name="PermVarBen" localSheetId="1">'GVWD|0344-30'!$I$10</definedName>
    <definedName name="PermVarBen" localSheetId="2">'GVWD|0348-00'!$I$10</definedName>
    <definedName name="PermVarBen">'B6'!$I$10</definedName>
    <definedName name="PermVarBenChg" localSheetId="0">'GVWD|0305-00'!$M$10</definedName>
    <definedName name="PermVarBenChg" localSheetId="1">'GVWD|0344-30'!$M$10</definedName>
    <definedName name="PermVarBenChg" localSheetId="2">'GVWD|0348-00'!$M$10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'GVWD|0305-00'!$A$1:$N$81</definedName>
    <definedName name="_xlnm.Print_Area" localSheetId="1">'GVWD|0344-30'!$A$1:$N$81</definedName>
    <definedName name="_xlnm.Print_Area" localSheetId="2">'GVWD|0348-00'!$A$1:$N$81</definedName>
    <definedName name="Prog_Unadjusted_Total" localSheetId="0">'GVWD|0305-00'!$C$8:$N$16</definedName>
    <definedName name="Prog_Unadjusted_Total" localSheetId="1">'GVWD|0344-30'!$C$8:$N$16</definedName>
    <definedName name="Prog_Unadjusted_Total" localSheetId="2">'GVWD|0348-00'!$C$8:$N$16</definedName>
    <definedName name="Prog_Unadjusted_Total">'B6'!$C$8:$N$16</definedName>
    <definedName name="Program" localSheetId="0">'GVWD|0305-00'!$D$3</definedName>
    <definedName name="Program" localSheetId="1">'GVWD|0344-30'!$D$3</definedName>
    <definedName name="Program" localSheetId="2">'GVWD|0348-00'!$D$3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'GVWD|0305-00'!$G$52</definedName>
    <definedName name="RoundedAppropSalary" localSheetId="1">'GVWD|0344-30'!$G$52</definedName>
    <definedName name="RoundedAppropSalary" localSheetId="2">'GVWD|0348-00'!$G$52</definedName>
    <definedName name="RoundedAppropSalary">'B6'!$G$52</definedName>
    <definedName name="SalaryChg" localSheetId="0">'GVWD|0305-00'!$K$10</definedName>
    <definedName name="SalaryChg" localSheetId="1">'GVWD|0344-30'!$K$10</definedName>
    <definedName name="SalaryChg" localSheetId="2">'GVWD|0348-00'!$K$10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'GVWD|0305-00'!#REF!</definedName>
    <definedName name="SubCECBase" localSheetId="1">'GVWD|0344-30'!#REF!</definedName>
    <definedName name="SubCECBase" localSheetId="2">'GVWD|0348-00'!#REF!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BA42" i="5"/>
  <c r="AZ42" i="5"/>
  <c r="AY42" i="5"/>
  <c r="AX42" i="5"/>
  <c r="AW42" i="5"/>
  <c r="AV42" i="5"/>
  <c r="AU42" i="5"/>
  <c r="AT42" i="5"/>
  <c r="AS42" i="5"/>
  <c r="BA36" i="5"/>
  <c r="AZ36" i="5"/>
  <c r="AY36" i="5"/>
  <c r="AX36" i="5"/>
  <c r="AW36" i="5"/>
  <c r="AV36" i="5"/>
  <c r="AU36" i="5"/>
  <c r="AT36" i="5"/>
  <c r="AS36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N35" i="14" s="1"/>
  <c r="L35" i="14"/>
  <c r="J35" i="14"/>
  <c r="I35" i="14"/>
  <c r="H35" i="14"/>
  <c r="M34" i="14"/>
  <c r="L34" i="14"/>
  <c r="N34" i="14" s="1"/>
  <c r="J34" i="14"/>
  <c r="I34" i="14"/>
  <c r="H34" i="14"/>
  <c r="M33" i="14"/>
  <c r="N33" i="14" s="1"/>
  <c r="L33" i="14"/>
  <c r="J33" i="14"/>
  <c r="I33" i="14"/>
  <c r="H33" i="14"/>
  <c r="M32" i="14"/>
  <c r="L32" i="14"/>
  <c r="N32" i="14" s="1"/>
  <c r="J32" i="14"/>
  <c r="I32" i="14"/>
  <c r="H32" i="14"/>
  <c r="M30" i="14"/>
  <c r="N30" i="14" s="1"/>
  <c r="L30" i="14"/>
  <c r="J30" i="14"/>
  <c r="I30" i="14"/>
  <c r="H30" i="14"/>
  <c r="M29" i="14"/>
  <c r="L29" i="14"/>
  <c r="N29" i="14" s="1"/>
  <c r="J29" i="14"/>
  <c r="I29" i="14"/>
  <c r="H29" i="14"/>
  <c r="M28" i="14"/>
  <c r="N28" i="14" s="1"/>
  <c r="L28" i="14"/>
  <c r="J28" i="14"/>
  <c r="I28" i="14"/>
  <c r="H28" i="14"/>
  <c r="M27" i="14"/>
  <c r="L27" i="14"/>
  <c r="N27" i="14" s="1"/>
  <c r="J27" i="14"/>
  <c r="I27" i="14"/>
  <c r="H27" i="14"/>
  <c r="M26" i="14"/>
  <c r="N26" i="14" s="1"/>
  <c r="L26" i="14"/>
  <c r="J26" i="14"/>
  <c r="I26" i="14"/>
  <c r="H26" i="14"/>
  <c r="M25" i="14"/>
  <c r="L25" i="14"/>
  <c r="N25" i="14" s="1"/>
  <c r="J25" i="14"/>
  <c r="I25" i="14"/>
  <c r="H25" i="14"/>
  <c r="M24" i="14"/>
  <c r="N24" i="14" s="1"/>
  <c r="L24" i="14"/>
  <c r="J24" i="14"/>
  <c r="I24" i="14"/>
  <c r="H24" i="14"/>
  <c r="M23" i="14"/>
  <c r="L23" i="14"/>
  <c r="N23" i="14" s="1"/>
  <c r="J23" i="14"/>
  <c r="I23" i="14"/>
  <c r="H23" i="14"/>
  <c r="M22" i="14"/>
  <c r="N22" i="14" s="1"/>
  <c r="L22" i="14"/>
  <c r="J22" i="14"/>
  <c r="I22" i="14"/>
  <c r="H22" i="14"/>
  <c r="M21" i="14"/>
  <c r="L21" i="14"/>
  <c r="N21" i="14" s="1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M34" i="13"/>
  <c r="L34" i="13"/>
  <c r="N34" i="13" s="1"/>
  <c r="J34" i="13"/>
  <c r="I34" i="13"/>
  <c r="H34" i="13"/>
  <c r="M33" i="13"/>
  <c r="N33" i="13" s="1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M28" i="13"/>
  <c r="L28" i="13"/>
  <c r="N28" i="13" s="1"/>
  <c r="J28" i="13"/>
  <c r="I28" i="13"/>
  <c r="H28" i="13"/>
  <c r="M27" i="13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N25" i="13" s="1"/>
  <c r="J25" i="13"/>
  <c r="I25" i="13"/>
  <c r="H25" i="13"/>
  <c r="N24" i="13"/>
  <c r="M24" i="13"/>
  <c r="L24" i="13"/>
  <c r="J24" i="13"/>
  <c r="I24" i="13"/>
  <c r="H24" i="13"/>
  <c r="M23" i="13"/>
  <c r="L23" i="13"/>
  <c r="N23" i="13" s="1"/>
  <c r="J23" i="13"/>
  <c r="I23" i="13"/>
  <c r="H23" i="13"/>
  <c r="M22" i="13"/>
  <c r="L22" i="13"/>
  <c r="N22" i="13" s="1"/>
  <c r="J22" i="13"/>
  <c r="I22" i="13"/>
  <c r="H22" i="13"/>
  <c r="M21" i="13"/>
  <c r="L21" i="13"/>
  <c r="J21" i="13"/>
  <c r="I21" i="13"/>
  <c r="H21" i="13"/>
  <c r="M20" i="13"/>
  <c r="L20" i="13"/>
  <c r="N20" i="13" s="1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N32" i="12" s="1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N28" i="12" s="1"/>
  <c r="J28" i="12"/>
  <c r="I28" i="12"/>
  <c r="H28" i="12"/>
  <c r="N27" i="12"/>
  <c r="M27" i="12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N25" i="12" s="1"/>
  <c r="J25" i="12"/>
  <c r="I25" i="12"/>
  <c r="H25" i="12"/>
  <c r="M24" i="12"/>
  <c r="L24" i="12"/>
  <c r="J24" i="12"/>
  <c r="I24" i="12"/>
  <c r="H24" i="12"/>
  <c r="M23" i="12"/>
  <c r="L23" i="12"/>
  <c r="N23" i="12" s="1"/>
  <c r="J23" i="12"/>
  <c r="I23" i="12"/>
  <c r="H23" i="12"/>
  <c r="M22" i="12"/>
  <c r="L22" i="12"/>
  <c r="N22" i="12" s="1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2" i="5"/>
  <c r="CM3" i="5"/>
  <c r="CM4" i="5"/>
  <c r="CM5" i="5"/>
  <c r="CM6" i="5"/>
  <c r="CM7" i="5"/>
  <c r="CM8" i="5"/>
  <c r="CM9" i="5"/>
  <c r="CM10" i="5"/>
  <c r="CM11" i="5"/>
  <c r="CM12" i="5"/>
  <c r="CM13" i="5"/>
  <c r="CM2" i="5"/>
  <c r="CL3" i="5"/>
  <c r="CL4" i="5"/>
  <c r="CL5" i="5"/>
  <c r="CL6" i="5"/>
  <c r="CL7" i="5"/>
  <c r="CL8" i="5"/>
  <c r="CL9" i="5"/>
  <c r="CL10" i="5"/>
  <c r="CL11" i="5"/>
  <c r="CL12" i="5"/>
  <c r="CL13" i="5"/>
  <c r="CL2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T3" i="5" s="1"/>
  <c r="AS4" i="5"/>
  <c r="AX4" i="5" s="1"/>
  <c r="AS5" i="5"/>
  <c r="AX5" i="5" s="1"/>
  <c r="AS6" i="5"/>
  <c r="AX6" i="5" s="1"/>
  <c r="AS7" i="5"/>
  <c r="AX7" i="5" s="1"/>
  <c r="AS8" i="5"/>
  <c r="AT8" i="5" s="1"/>
  <c r="AS9" i="5"/>
  <c r="AX9" i="5" s="1"/>
  <c r="AS10" i="5"/>
  <c r="AX10" i="5" s="1"/>
  <c r="AS11" i="5"/>
  <c r="AT11" i="5" s="1"/>
  <c r="AS12" i="5"/>
  <c r="AX12" i="5" s="1"/>
  <c r="AS13" i="5"/>
  <c r="AX13" i="5" s="1"/>
  <c r="AS2" i="5"/>
  <c r="AX2" i="5" s="1"/>
  <c r="E27" i="7"/>
  <c r="AT31" i="5" l="1"/>
  <c r="AT32" i="5" s="1"/>
  <c r="AU31" i="5"/>
  <c r="AU32" i="5" s="1"/>
  <c r="AT33" i="5"/>
  <c r="AT29" i="5"/>
  <c r="AT30" i="5" s="1"/>
  <c r="AU33" i="5"/>
  <c r="AU29" i="5"/>
  <c r="AU30" i="5" s="1"/>
  <c r="N39" i="14"/>
  <c r="N29" i="13"/>
  <c r="F52" i="14"/>
  <c r="F56" i="14" s="1"/>
  <c r="F60" i="14" s="1"/>
  <c r="N21" i="13"/>
  <c r="N27" i="13"/>
  <c r="AW20" i="5"/>
  <c r="AW21" i="5" s="1"/>
  <c r="CL20" i="5"/>
  <c r="CL21" i="5" s="1"/>
  <c r="CM20" i="5"/>
  <c r="CM21" i="5" s="1"/>
  <c r="AW18" i="5"/>
  <c r="AW19" i="5" s="1"/>
  <c r="AX8" i="5"/>
  <c r="BD8" i="5" s="1"/>
  <c r="CL18" i="5"/>
  <c r="CL19" i="5" s="1"/>
  <c r="G11" i="13" s="1"/>
  <c r="CM16" i="5"/>
  <c r="CM17" i="5" s="1"/>
  <c r="G5" i="10" s="1"/>
  <c r="CL16" i="5"/>
  <c r="CL17" i="5" s="1"/>
  <c r="E5" i="10" s="1"/>
  <c r="AT7" i="5"/>
  <c r="CK7" i="5" s="1"/>
  <c r="CM18" i="5"/>
  <c r="CM19" i="5" s="1"/>
  <c r="I11" i="13" s="1"/>
  <c r="N39" i="13"/>
  <c r="AW16" i="5"/>
  <c r="AW17" i="5" s="1"/>
  <c r="CJ8" i="5"/>
  <c r="AT10" i="5"/>
  <c r="CF10" i="5" s="1"/>
  <c r="AT9" i="5"/>
  <c r="BG9" i="5" s="1"/>
  <c r="N30" i="12"/>
  <c r="N34" i="12"/>
  <c r="N21" i="12"/>
  <c r="N24" i="12"/>
  <c r="F52" i="13"/>
  <c r="F56" i="13" s="1"/>
  <c r="F60" i="13" s="1"/>
  <c r="N20" i="12"/>
  <c r="N33" i="12"/>
  <c r="N35" i="12"/>
  <c r="N39" i="12"/>
  <c r="F67" i="12"/>
  <c r="AU11" i="5"/>
  <c r="CF11" i="5"/>
  <c r="CD11" i="5"/>
  <c r="BZ11" i="5"/>
  <c r="BV11" i="5"/>
  <c r="BT11" i="5"/>
  <c r="BR11" i="5"/>
  <c r="CJ11" i="5"/>
  <c r="CH11" i="5"/>
  <c r="BJ11" i="5"/>
  <c r="BH11" i="5"/>
  <c r="BF11" i="5"/>
  <c r="AZ11" i="5"/>
  <c r="BX11" i="5"/>
  <c r="CK11" i="5"/>
  <c r="CI11" i="5"/>
  <c r="BL11" i="5"/>
  <c r="AV11" i="5"/>
  <c r="CE11" i="5"/>
  <c r="CC11" i="5"/>
  <c r="CA11" i="5"/>
  <c r="BY11" i="5"/>
  <c r="BW11" i="5"/>
  <c r="BU11" i="5"/>
  <c r="BS11" i="5"/>
  <c r="BQ11" i="5"/>
  <c r="BM11" i="5"/>
  <c r="CG11" i="5"/>
  <c r="BK11" i="5"/>
  <c r="BI11" i="5"/>
  <c r="BG11" i="5"/>
  <c r="BE11" i="5"/>
  <c r="BA11" i="5"/>
  <c r="AY11" i="5"/>
  <c r="AU3" i="5"/>
  <c r="BB3" i="5" s="1"/>
  <c r="CF3" i="5"/>
  <c r="CD3" i="5"/>
  <c r="BV3" i="5"/>
  <c r="BT3" i="5"/>
  <c r="BR3" i="5"/>
  <c r="BJ3" i="5"/>
  <c r="BH3" i="5"/>
  <c r="BF3" i="5"/>
  <c r="AZ3" i="5"/>
  <c r="CK3" i="5"/>
  <c r="CI3" i="5"/>
  <c r="AV3" i="5"/>
  <c r="BO3" i="5" s="1"/>
  <c r="CE3" i="5"/>
  <c r="CC3" i="5"/>
  <c r="CA3" i="5"/>
  <c r="BY3" i="5"/>
  <c r="BW3" i="5"/>
  <c r="BU3" i="5"/>
  <c r="BS3" i="5"/>
  <c r="BQ3" i="5"/>
  <c r="BM3" i="5"/>
  <c r="BK3" i="5"/>
  <c r="BI3" i="5"/>
  <c r="BG3" i="5"/>
  <c r="BE3" i="5"/>
  <c r="BA3" i="5"/>
  <c r="AY3" i="5"/>
  <c r="AV8" i="5"/>
  <c r="BO8" i="5" s="1"/>
  <c r="AZ8" i="5"/>
  <c r="BR8" i="5"/>
  <c r="BT8" i="5"/>
  <c r="BV8" i="5"/>
  <c r="BZ8" i="5"/>
  <c r="CD8" i="5"/>
  <c r="CF8" i="5"/>
  <c r="BH8" i="5"/>
  <c r="AT2" i="5"/>
  <c r="AT6" i="5"/>
  <c r="BJ8" i="5"/>
  <c r="AT13" i="5"/>
  <c r="AT5" i="5"/>
  <c r="AX3" i="5"/>
  <c r="AX11" i="5"/>
  <c r="AX20" i="5" s="1"/>
  <c r="AX21" i="5" s="1"/>
  <c r="CG8" i="5"/>
  <c r="AT12" i="5"/>
  <c r="AT4" i="5"/>
  <c r="AU8" i="5"/>
  <c r="BB8" i="5" s="1"/>
  <c r="AY8" i="5"/>
  <c r="BA8" i="5"/>
  <c r="BE8" i="5"/>
  <c r="BG8" i="5"/>
  <c r="BI8" i="5"/>
  <c r="BK8" i="5"/>
  <c r="BL8" i="5"/>
  <c r="BM8" i="5"/>
  <c r="BQ8" i="5"/>
  <c r="BS8" i="5"/>
  <c r="BU8" i="5"/>
  <c r="BW8" i="5"/>
  <c r="BY8" i="5"/>
  <c r="CA8" i="5"/>
  <c r="CC8" i="5"/>
  <c r="CE8" i="5"/>
  <c r="BF8" i="5"/>
  <c r="BX8" i="5"/>
  <c r="CI8" i="5"/>
  <c r="CK8" i="5"/>
  <c r="CH8" i="5"/>
  <c r="E51" i="9"/>
  <c r="AS33" i="5" l="1"/>
  <c r="AS34" i="5" s="1"/>
  <c r="AS29" i="5"/>
  <c r="AS30" i="5" s="1"/>
  <c r="AX18" i="5"/>
  <c r="AX19" i="5" s="1"/>
  <c r="AT34" i="5"/>
  <c r="G27" i="10"/>
  <c r="I11" i="14"/>
  <c r="I39" i="14" s="1"/>
  <c r="AB39" i="14" s="1"/>
  <c r="G11" i="14"/>
  <c r="E27" i="10"/>
  <c r="BS7" i="5"/>
  <c r="AS31" i="5"/>
  <c r="AS32" i="5" s="1"/>
  <c r="AU34" i="5"/>
  <c r="F67" i="14"/>
  <c r="E16" i="10"/>
  <c r="CE10" i="5"/>
  <c r="BJ10" i="5"/>
  <c r="AS20" i="5"/>
  <c r="AS21" i="5" s="1"/>
  <c r="AT20" i="5"/>
  <c r="AT21" i="5" s="1"/>
  <c r="BO11" i="5"/>
  <c r="BB11" i="5"/>
  <c r="BF10" i="5"/>
  <c r="BY10" i="5"/>
  <c r="BR7" i="5"/>
  <c r="BT10" i="5"/>
  <c r="BM10" i="5"/>
  <c r="G11" i="12"/>
  <c r="G39" i="12" s="1"/>
  <c r="I11" i="12"/>
  <c r="I39" i="12" s="1"/>
  <c r="AB39" i="12" s="1"/>
  <c r="CD10" i="5"/>
  <c r="AY10" i="5"/>
  <c r="CI10" i="5"/>
  <c r="BV10" i="5"/>
  <c r="BU10" i="5"/>
  <c r="BU7" i="5"/>
  <c r="BK7" i="5"/>
  <c r="BQ10" i="5"/>
  <c r="BE10" i="5"/>
  <c r="BM9" i="5"/>
  <c r="BR10" i="5"/>
  <c r="BD10" i="5"/>
  <c r="AZ10" i="5"/>
  <c r="BA10" i="5"/>
  <c r="BP10" i="5" s="1"/>
  <c r="CC10" i="5"/>
  <c r="AU7" i="5"/>
  <c r="BB7" i="5" s="1"/>
  <c r="BW10" i="5"/>
  <c r="BE9" i="5"/>
  <c r="CE9" i="5"/>
  <c r="BA9" i="5"/>
  <c r="BP9" i="5" s="1"/>
  <c r="CG9" i="5"/>
  <c r="BH9" i="5"/>
  <c r="AU10" i="5"/>
  <c r="BN10" i="5" s="1"/>
  <c r="BX9" i="5"/>
  <c r="BI7" i="5"/>
  <c r="CA9" i="5"/>
  <c r="BS10" i="5"/>
  <c r="AY9" i="5"/>
  <c r="BT7" i="5"/>
  <c r="AV10" i="5"/>
  <c r="BO10" i="5" s="1"/>
  <c r="CC9" i="5"/>
  <c r="CC18" i="5" s="1"/>
  <c r="CC19" i="5" s="1"/>
  <c r="BY9" i="5"/>
  <c r="CH9" i="5"/>
  <c r="BL9" i="5"/>
  <c r="BF9" i="5"/>
  <c r="AU9" i="5"/>
  <c r="BN9" i="5" s="1"/>
  <c r="BD9" i="5"/>
  <c r="CK9" i="5"/>
  <c r="AV9" i="5"/>
  <c r="BC9" i="5" s="1"/>
  <c r="BW9" i="5"/>
  <c r="BK10" i="5"/>
  <c r="AZ9" i="5"/>
  <c r="CI9" i="5"/>
  <c r="CI18" i="5" s="1"/>
  <c r="CI19" i="5" s="1"/>
  <c r="CF9" i="5"/>
  <c r="CF18" i="5" s="1"/>
  <c r="CF19" i="5" s="1"/>
  <c r="BU9" i="5"/>
  <c r="BI10" i="5"/>
  <c r="CD9" i="5"/>
  <c r="BK9" i="5"/>
  <c r="BH10" i="5"/>
  <c r="CK10" i="5"/>
  <c r="BS9" i="5"/>
  <c r="CA10" i="5"/>
  <c r="BI9" i="5"/>
  <c r="BG10" i="5"/>
  <c r="CJ9" i="5"/>
  <c r="BQ9" i="5"/>
  <c r="BQ18" i="5" s="1"/>
  <c r="BQ19" i="5" s="1"/>
  <c r="G39" i="13"/>
  <c r="AA39" i="13" s="1"/>
  <c r="AB11" i="13"/>
  <c r="BW7" i="5"/>
  <c r="BV7" i="5"/>
  <c r="AZ7" i="5"/>
  <c r="BN11" i="5"/>
  <c r="G16" i="10"/>
  <c r="H16" i="10" s="1"/>
  <c r="H5" i="10"/>
  <c r="CI7" i="5"/>
  <c r="CE7" i="5"/>
  <c r="BQ7" i="5"/>
  <c r="BG7" i="5"/>
  <c r="CC7" i="5"/>
  <c r="BM7" i="5"/>
  <c r="BE7" i="5"/>
  <c r="BJ7" i="5"/>
  <c r="BA7" i="5"/>
  <c r="BP7" i="5" s="1"/>
  <c r="BH7" i="5"/>
  <c r="CA7" i="5"/>
  <c r="AV7" i="5"/>
  <c r="BO7" i="5" s="1"/>
  <c r="BY7" i="5"/>
  <c r="AY7" i="5"/>
  <c r="CF7" i="5"/>
  <c r="BF7" i="5"/>
  <c r="BP11" i="5"/>
  <c r="CD7" i="5"/>
  <c r="BD7" i="5"/>
  <c r="I39" i="13"/>
  <c r="AB39" i="13" s="1"/>
  <c r="J11" i="13"/>
  <c r="BG18" i="5"/>
  <c r="BG19" i="5" s="1"/>
  <c r="BC8" i="5"/>
  <c r="AA11" i="13"/>
  <c r="BP3" i="5"/>
  <c r="BX3" i="5" s="1"/>
  <c r="BC3" i="5"/>
  <c r="BJ9" i="5"/>
  <c r="BV9" i="5"/>
  <c r="BV18" i="5" s="1"/>
  <c r="BV19" i="5" s="1"/>
  <c r="BZ9" i="5"/>
  <c r="BT9" i="5"/>
  <c r="BR9" i="5"/>
  <c r="BP8" i="5"/>
  <c r="AS18" i="5"/>
  <c r="AS19" i="5" s="1"/>
  <c r="BC11" i="5"/>
  <c r="AT18" i="5"/>
  <c r="AT19" i="5" s="1"/>
  <c r="BN8" i="5"/>
  <c r="AT16" i="5"/>
  <c r="AT17" i="5" s="1"/>
  <c r="AS16" i="5"/>
  <c r="AS17" i="5" s="1"/>
  <c r="BN3" i="5"/>
  <c r="BZ3" i="5" s="1"/>
  <c r="AX16" i="5"/>
  <c r="AX17" i="5" s="1"/>
  <c r="BU18" i="5"/>
  <c r="BU19" i="5" s="1"/>
  <c r="F67" i="13"/>
  <c r="F75" i="12"/>
  <c r="F80" i="12" s="1"/>
  <c r="BD3" i="5"/>
  <c r="BL3" i="5" s="1"/>
  <c r="CG2" i="5"/>
  <c r="CE2" i="5"/>
  <c r="CC2" i="5"/>
  <c r="CA2" i="5"/>
  <c r="BY2" i="5"/>
  <c r="BW2" i="5"/>
  <c r="BU2" i="5"/>
  <c r="BS2" i="5"/>
  <c r="BQ2" i="5"/>
  <c r="BM2" i="5"/>
  <c r="BK2" i="5"/>
  <c r="BI2" i="5"/>
  <c r="BG2" i="5"/>
  <c r="BE2" i="5"/>
  <c r="BA2" i="5"/>
  <c r="AY2" i="5"/>
  <c r="AU2" i="5"/>
  <c r="CF2" i="5"/>
  <c r="CD2" i="5"/>
  <c r="BV2" i="5"/>
  <c r="BT2" i="5"/>
  <c r="BR2" i="5"/>
  <c r="BP2" i="5"/>
  <c r="BJ2" i="5"/>
  <c r="BH2" i="5"/>
  <c r="BF2" i="5"/>
  <c r="BD2" i="5"/>
  <c r="AZ2" i="5"/>
  <c r="AV2" i="5"/>
  <c r="CK2" i="5"/>
  <c r="CI2" i="5"/>
  <c r="BD11" i="5"/>
  <c r="BK5" i="5"/>
  <c r="BI5" i="5"/>
  <c r="BG5" i="5"/>
  <c r="BE5" i="5"/>
  <c r="BA5" i="5"/>
  <c r="BP5" i="5" s="1"/>
  <c r="AY5" i="5"/>
  <c r="BM5" i="5"/>
  <c r="AV5" i="5"/>
  <c r="BO5" i="5" s="1"/>
  <c r="CA5" i="5"/>
  <c r="CF5" i="5"/>
  <c r="CD5" i="5"/>
  <c r="BV5" i="5"/>
  <c r="BT5" i="5"/>
  <c r="BR5" i="5"/>
  <c r="BQ5" i="5"/>
  <c r="BJ5" i="5"/>
  <c r="BH5" i="5"/>
  <c r="BF5" i="5"/>
  <c r="BD5" i="5"/>
  <c r="AZ5" i="5"/>
  <c r="AU5" i="5"/>
  <c r="BB5" i="5" s="1"/>
  <c r="CC5" i="5"/>
  <c r="BY5" i="5"/>
  <c r="BW5" i="5"/>
  <c r="BU5" i="5"/>
  <c r="CE5" i="5"/>
  <c r="BS5" i="5"/>
  <c r="CK5" i="5"/>
  <c r="CI5" i="5"/>
  <c r="CF4" i="5"/>
  <c r="CD4" i="5"/>
  <c r="BV4" i="5"/>
  <c r="BT4" i="5"/>
  <c r="BR4" i="5"/>
  <c r="BI4" i="5"/>
  <c r="BE4" i="5"/>
  <c r="AY4" i="5"/>
  <c r="BJ4" i="5"/>
  <c r="BH4" i="5"/>
  <c r="BF4" i="5"/>
  <c r="BD4" i="5"/>
  <c r="AZ4" i="5"/>
  <c r="AV4" i="5"/>
  <c r="BC4" i="5" s="1"/>
  <c r="BK4" i="5"/>
  <c r="BA4" i="5"/>
  <c r="BP4" i="5" s="1"/>
  <c r="AU4" i="5"/>
  <c r="BN4" i="5" s="1"/>
  <c r="CK4" i="5"/>
  <c r="CI4" i="5"/>
  <c r="CE4" i="5"/>
  <c r="CC4" i="5"/>
  <c r="CA4" i="5"/>
  <c r="BY4" i="5"/>
  <c r="BW4" i="5"/>
  <c r="BU4" i="5"/>
  <c r="BS4" i="5"/>
  <c r="BQ4" i="5"/>
  <c r="BM4" i="5"/>
  <c r="BG4" i="5"/>
  <c r="BK13" i="5"/>
  <c r="BI13" i="5"/>
  <c r="BG13" i="5"/>
  <c r="BE13" i="5"/>
  <c r="BA13" i="5"/>
  <c r="BP13" i="5" s="1"/>
  <c r="AY13" i="5"/>
  <c r="AV13" i="5"/>
  <c r="BC13" i="5" s="1"/>
  <c r="BY13" i="5"/>
  <c r="BS13" i="5"/>
  <c r="BM13" i="5"/>
  <c r="CJ13" i="5"/>
  <c r="CH13" i="5"/>
  <c r="CF13" i="5"/>
  <c r="CD13" i="5"/>
  <c r="BZ13" i="5"/>
  <c r="BV13" i="5"/>
  <c r="BT13" i="5"/>
  <c r="BR13" i="5"/>
  <c r="BX13" i="5"/>
  <c r="BJ13" i="5"/>
  <c r="BH13" i="5"/>
  <c r="BF13" i="5"/>
  <c r="BD13" i="5"/>
  <c r="AZ13" i="5"/>
  <c r="CG13" i="5"/>
  <c r="CE13" i="5"/>
  <c r="CC13" i="5"/>
  <c r="CA13" i="5"/>
  <c r="BL13" i="5"/>
  <c r="AU13" i="5"/>
  <c r="BB13" i="5" s="1"/>
  <c r="BW13" i="5"/>
  <c r="BU13" i="5"/>
  <c r="CK13" i="5"/>
  <c r="CI13" i="5"/>
  <c r="BQ13" i="5"/>
  <c r="AY12" i="5"/>
  <c r="AU12" i="5"/>
  <c r="BN12" i="5" s="1"/>
  <c r="CF12" i="5"/>
  <c r="CD12" i="5"/>
  <c r="BV12" i="5"/>
  <c r="BV20" i="5" s="1"/>
  <c r="BV21" i="5" s="1"/>
  <c r="BT12" i="5"/>
  <c r="BT20" i="5" s="1"/>
  <c r="BT21" i="5" s="1"/>
  <c r="BR12" i="5"/>
  <c r="BR20" i="5" s="1"/>
  <c r="BR21" i="5" s="1"/>
  <c r="BJ12" i="5"/>
  <c r="BH12" i="5"/>
  <c r="BF12" i="5"/>
  <c r="BD12" i="5"/>
  <c r="AZ12" i="5"/>
  <c r="AV12" i="5"/>
  <c r="BC12" i="5" s="1"/>
  <c r="BI12" i="5"/>
  <c r="BE12" i="5"/>
  <c r="BA12" i="5"/>
  <c r="BP12" i="5" s="1"/>
  <c r="BG12" i="5"/>
  <c r="CK12" i="5"/>
  <c r="CI12" i="5"/>
  <c r="CE12" i="5"/>
  <c r="CC12" i="5"/>
  <c r="CA12" i="5"/>
  <c r="BY12" i="5"/>
  <c r="BW12" i="5"/>
  <c r="BU12" i="5"/>
  <c r="BS12" i="5"/>
  <c r="BQ12" i="5"/>
  <c r="BM12" i="5"/>
  <c r="BK12" i="5"/>
  <c r="CE6" i="5"/>
  <c r="CC6" i="5"/>
  <c r="CA6" i="5"/>
  <c r="BY6" i="5"/>
  <c r="BW6" i="5"/>
  <c r="BU6" i="5"/>
  <c r="BS6" i="5"/>
  <c r="BQ6" i="5"/>
  <c r="BM6" i="5"/>
  <c r="BK6" i="5"/>
  <c r="BI6" i="5"/>
  <c r="BG6" i="5"/>
  <c r="BE6" i="5"/>
  <c r="BA6" i="5"/>
  <c r="BP6" i="5" s="1"/>
  <c r="AY6" i="5"/>
  <c r="AV6" i="5"/>
  <c r="BC6" i="5" s="1"/>
  <c r="CK6" i="5"/>
  <c r="CF6" i="5"/>
  <c r="CD6" i="5"/>
  <c r="BV6" i="5"/>
  <c r="BT6" i="5"/>
  <c r="BR6" i="5"/>
  <c r="CI6" i="5"/>
  <c r="BJ6" i="5"/>
  <c r="BH6" i="5"/>
  <c r="BF6" i="5"/>
  <c r="BD6" i="5"/>
  <c r="AZ6" i="5"/>
  <c r="AU6" i="5"/>
  <c r="BB6" i="5" s="1"/>
  <c r="C12" i="7"/>
  <c r="C13" i="7"/>
  <c r="C14" i="7"/>
  <c r="H27" i="10" l="1"/>
  <c r="CE18" i="5"/>
  <c r="CE19" i="5" s="1"/>
  <c r="D28" i="10"/>
  <c r="F12" i="14"/>
  <c r="F40" i="14" s="1"/>
  <c r="D26" i="10"/>
  <c r="F10" i="14"/>
  <c r="G39" i="14"/>
  <c r="AB11" i="14"/>
  <c r="AB45" i="14" s="1"/>
  <c r="AA11" i="14"/>
  <c r="J11" i="14"/>
  <c r="AY29" i="5"/>
  <c r="AY30" i="5" s="1"/>
  <c r="AY31" i="5"/>
  <c r="AY32" i="5" s="1"/>
  <c r="AY33" i="5"/>
  <c r="AV31" i="5"/>
  <c r="AV32" i="5" s="1"/>
  <c r="AV33" i="5"/>
  <c r="AV29" i="5"/>
  <c r="AV30" i="5" s="1"/>
  <c r="F75" i="14"/>
  <c r="F80" i="14" s="1"/>
  <c r="BT18" i="5"/>
  <c r="BT19" i="5" s="1"/>
  <c r="BJ18" i="5"/>
  <c r="BJ19" i="5" s="1"/>
  <c r="BE20" i="5"/>
  <c r="BE21" i="5" s="1"/>
  <c r="CA20" i="5"/>
  <c r="CA21" i="5" s="1"/>
  <c r="BQ20" i="5"/>
  <c r="BQ21" i="5" s="1"/>
  <c r="AB11" i="12"/>
  <c r="AB45" i="12" s="1"/>
  <c r="AA11" i="12"/>
  <c r="CF20" i="5"/>
  <c r="CF21" i="5" s="1"/>
  <c r="BB10" i="5"/>
  <c r="BZ10" i="5" s="1"/>
  <c r="BZ18" i="5" s="1"/>
  <c r="BZ19" i="5" s="1"/>
  <c r="J15" i="10" s="1"/>
  <c r="BH20" i="5"/>
  <c r="BH21" i="5" s="1"/>
  <c r="BE18" i="5"/>
  <c r="BE19" i="5" s="1"/>
  <c r="BM18" i="5"/>
  <c r="BM19" i="5" s="1"/>
  <c r="G17" i="10" s="1"/>
  <c r="AY18" i="5"/>
  <c r="AY19" i="5" s="1"/>
  <c r="G10" i="13" s="1"/>
  <c r="BF18" i="5"/>
  <c r="BF19" i="5" s="1"/>
  <c r="CD20" i="5"/>
  <c r="CD21" i="5" s="1"/>
  <c r="BK20" i="5"/>
  <c r="BK21" i="5" s="1"/>
  <c r="AZ20" i="5"/>
  <c r="AZ21" i="5" s="1"/>
  <c r="AZ18" i="5"/>
  <c r="AZ19" i="5" s="1"/>
  <c r="G12" i="13" s="1"/>
  <c r="BU20" i="5"/>
  <c r="BU21" i="5" s="1"/>
  <c r="BY20" i="5"/>
  <c r="BY21" i="5" s="1"/>
  <c r="CC20" i="5"/>
  <c r="CC21" i="5" s="1"/>
  <c r="BN7" i="5"/>
  <c r="BZ7" i="5" s="1"/>
  <c r="BG20" i="5"/>
  <c r="BG21" i="5" s="1"/>
  <c r="BI20" i="5"/>
  <c r="BI21" i="5" s="1"/>
  <c r="BB9" i="5"/>
  <c r="BB18" i="5" s="1"/>
  <c r="BB19" i="5" s="1"/>
  <c r="F15" i="10" s="1"/>
  <c r="BP18" i="5"/>
  <c r="BP19" i="5" s="1"/>
  <c r="BK18" i="5"/>
  <c r="BK19" i="5" s="1"/>
  <c r="BM20" i="5"/>
  <c r="BM21" i="5" s="1"/>
  <c r="BS20" i="5"/>
  <c r="BS21" i="5" s="1"/>
  <c r="CK20" i="5"/>
  <c r="CK21" i="5" s="1"/>
  <c r="BF20" i="5"/>
  <c r="BF21" i="5" s="1"/>
  <c r="CE20" i="5"/>
  <c r="CE21" i="5" s="1"/>
  <c r="AY20" i="5"/>
  <c r="AY21" i="5" s="1"/>
  <c r="AU18" i="5"/>
  <c r="AU19" i="5" s="1"/>
  <c r="CI20" i="5"/>
  <c r="CI21" i="5" s="1"/>
  <c r="BW20" i="5"/>
  <c r="BW21" i="5" s="1"/>
  <c r="BJ20" i="5"/>
  <c r="BJ21" i="5" s="1"/>
  <c r="BC7" i="5"/>
  <c r="BN18" i="5"/>
  <c r="BN19" i="5" s="1"/>
  <c r="BC20" i="5"/>
  <c r="BC21" i="5" s="1"/>
  <c r="BP20" i="5"/>
  <c r="BP21" i="5" s="1"/>
  <c r="CD18" i="5"/>
  <c r="CD19" i="5" s="1"/>
  <c r="AU20" i="5"/>
  <c r="AU21" i="5" s="1"/>
  <c r="AV20" i="5"/>
  <c r="AV21" i="5" s="1"/>
  <c r="BY18" i="5"/>
  <c r="BY19" i="5" s="1"/>
  <c r="BD20" i="5"/>
  <c r="BD21" i="5" s="1"/>
  <c r="BI18" i="5"/>
  <c r="BI19" i="5" s="1"/>
  <c r="BA20" i="5"/>
  <c r="BA21" i="5" s="1"/>
  <c r="BW18" i="5"/>
  <c r="BW19" i="5" s="1"/>
  <c r="J11" i="12"/>
  <c r="BC10" i="5"/>
  <c r="BC18" i="5" s="1"/>
  <c r="BC19" i="5" s="1"/>
  <c r="F17" i="10" s="1"/>
  <c r="CB10" i="5"/>
  <c r="BX10" i="5"/>
  <c r="BX18" i="5" s="1"/>
  <c r="BX19" i="5" s="1"/>
  <c r="BA18" i="5"/>
  <c r="BA19" i="5" s="1"/>
  <c r="K10" i="13" s="1"/>
  <c r="BX7" i="5"/>
  <c r="AA45" i="13"/>
  <c r="BH18" i="5"/>
  <c r="BH19" i="5" s="1"/>
  <c r="AC39" i="13"/>
  <c r="BR18" i="5"/>
  <c r="BR19" i="5" s="1"/>
  <c r="BD18" i="5"/>
  <c r="BD19" i="5" s="1"/>
  <c r="CB11" i="5"/>
  <c r="CK18" i="5"/>
  <c r="CK19" i="5" s="1"/>
  <c r="M12" i="13" s="1"/>
  <c r="M40" i="13" s="1"/>
  <c r="CB7" i="5"/>
  <c r="BL7" i="5"/>
  <c r="CB9" i="5"/>
  <c r="CB8" i="5"/>
  <c r="AB45" i="13"/>
  <c r="CA18" i="5"/>
  <c r="CA19" i="5" s="1"/>
  <c r="L12" i="13" s="1"/>
  <c r="BO9" i="5"/>
  <c r="BO18" i="5" s="1"/>
  <c r="BO19" i="5" s="1"/>
  <c r="AV18" i="5"/>
  <c r="AV19" i="5" s="1"/>
  <c r="BL10" i="5"/>
  <c r="BL18" i="5" s="1"/>
  <c r="BL19" i="5" s="1"/>
  <c r="G15" i="10" s="1"/>
  <c r="BS18" i="5"/>
  <c r="BS19" i="5" s="1"/>
  <c r="BA16" i="5"/>
  <c r="BA17" i="5" s="1"/>
  <c r="I4" i="10" s="1"/>
  <c r="J39" i="13"/>
  <c r="BO13" i="5"/>
  <c r="F10" i="13"/>
  <c r="D15" i="10"/>
  <c r="AZ16" i="5"/>
  <c r="AZ17" i="5" s="1"/>
  <c r="F10" i="12"/>
  <c r="D4" i="10"/>
  <c r="F12" i="12"/>
  <c r="F40" i="12" s="1"/>
  <c r="D6" i="10"/>
  <c r="F12" i="13"/>
  <c r="F40" i="13" s="1"/>
  <c r="D17" i="10"/>
  <c r="BC2" i="5"/>
  <c r="AV16" i="5"/>
  <c r="AV17" i="5" s="1"/>
  <c r="BB2" i="5"/>
  <c r="AU16" i="5"/>
  <c r="AU17" i="5" s="1"/>
  <c r="BN2" i="5"/>
  <c r="AY16" i="5"/>
  <c r="AY17" i="5" s="1"/>
  <c r="AA39" i="12"/>
  <c r="J39" i="12"/>
  <c r="BR16" i="5"/>
  <c r="BR17" i="5" s="1"/>
  <c r="BE16" i="5"/>
  <c r="BE17" i="5" s="1"/>
  <c r="BW16" i="5"/>
  <c r="BW17" i="5" s="1"/>
  <c r="CB13" i="5"/>
  <c r="F75" i="13"/>
  <c r="F80" i="13" s="1"/>
  <c r="CK16" i="5"/>
  <c r="CK17" i="5" s="1"/>
  <c r="CB2" i="5"/>
  <c r="BP16" i="5"/>
  <c r="BP17" i="5" s="1"/>
  <c r="BU16" i="5"/>
  <c r="BU17" i="5" s="1"/>
  <c r="BT16" i="5"/>
  <c r="BT17" i="5" s="1"/>
  <c r="BG16" i="5"/>
  <c r="BG17" i="5" s="1"/>
  <c r="BY16" i="5"/>
  <c r="BY17" i="5" s="1"/>
  <c r="BD16" i="5"/>
  <c r="BD17" i="5" s="1"/>
  <c r="BV16" i="5"/>
  <c r="BV17" i="5" s="1"/>
  <c r="BI16" i="5"/>
  <c r="BI17" i="5" s="1"/>
  <c r="CA16" i="5"/>
  <c r="CA17" i="5" s="1"/>
  <c r="BF16" i="5"/>
  <c r="BF17" i="5" s="1"/>
  <c r="CD16" i="5"/>
  <c r="CD17" i="5" s="1"/>
  <c r="BK16" i="5"/>
  <c r="BK17" i="5" s="1"/>
  <c r="CC16" i="5"/>
  <c r="CC17" i="5" s="1"/>
  <c r="CB3" i="5"/>
  <c r="BH16" i="5"/>
  <c r="BH17" i="5" s="1"/>
  <c r="CF16" i="5"/>
  <c r="CF17" i="5" s="1"/>
  <c r="BM16" i="5"/>
  <c r="BM17" i="5" s="1"/>
  <c r="CE16" i="5"/>
  <c r="CE17" i="5" s="1"/>
  <c r="BJ16" i="5"/>
  <c r="BJ17" i="5" s="1"/>
  <c r="BQ16" i="5"/>
  <c r="BQ17" i="5" s="1"/>
  <c r="BL12" i="5"/>
  <c r="BL20" i="5" s="1"/>
  <c r="BL21" i="5" s="1"/>
  <c r="CI16" i="5"/>
  <c r="CI17" i="5" s="1"/>
  <c r="BS16" i="5"/>
  <c r="BS17" i="5" s="1"/>
  <c r="CB5" i="5"/>
  <c r="BX5" i="5"/>
  <c r="CB12" i="5"/>
  <c r="BX12" i="5"/>
  <c r="BX20" i="5" s="1"/>
  <c r="BX21" i="5" s="1"/>
  <c r="BN6" i="5"/>
  <c r="BZ6" i="5" s="1"/>
  <c r="BB12" i="5"/>
  <c r="BZ12" i="5" s="1"/>
  <c r="BZ20" i="5" s="1"/>
  <c r="BZ21" i="5" s="1"/>
  <c r="BO6" i="5"/>
  <c r="BN13" i="5"/>
  <c r="BN20" i="5" s="1"/>
  <c r="BN21" i="5" s="1"/>
  <c r="BO4" i="5"/>
  <c r="BB4" i="5"/>
  <c r="BC5" i="5"/>
  <c r="BL6" i="5"/>
  <c r="BL4" i="5"/>
  <c r="CB4" i="5"/>
  <c r="BX4" i="5"/>
  <c r="BN5" i="5"/>
  <c r="BZ5" i="5" s="1"/>
  <c r="BO2" i="5"/>
  <c r="CB6" i="5"/>
  <c r="BX6" i="5"/>
  <c r="BO12" i="5"/>
  <c r="BL5" i="5"/>
  <c r="BL2" i="5"/>
  <c r="BX2" i="5"/>
  <c r="D14" i="7"/>
  <c r="I15" i="10" l="1"/>
  <c r="AX33" i="5"/>
  <c r="AX31" i="5"/>
  <c r="AX32" i="5" s="1"/>
  <c r="AX29" i="5"/>
  <c r="AX30" i="5" s="1"/>
  <c r="K28" i="10"/>
  <c r="M12" i="14"/>
  <c r="M40" i="14" s="1"/>
  <c r="G26" i="10"/>
  <c r="I10" i="14"/>
  <c r="G28" i="10"/>
  <c r="I12" i="14"/>
  <c r="I40" i="14" s="1"/>
  <c r="J28" i="10"/>
  <c r="L28" i="10" s="1"/>
  <c r="L12" i="14"/>
  <c r="AA39" i="14"/>
  <c r="J39" i="14"/>
  <c r="AV34" i="5"/>
  <c r="F13" i="14"/>
  <c r="F16" i="14" s="1"/>
  <c r="F38" i="14"/>
  <c r="F41" i="14" s="1"/>
  <c r="L10" i="14"/>
  <c r="J26" i="10"/>
  <c r="BA29" i="5"/>
  <c r="BA30" i="5" s="1"/>
  <c r="BA33" i="5"/>
  <c r="BA31" i="5"/>
  <c r="BA32" i="5" s="1"/>
  <c r="AZ31" i="5"/>
  <c r="AZ32" i="5" s="1"/>
  <c r="AZ29" i="5"/>
  <c r="AZ30" i="5" s="1"/>
  <c r="AZ33" i="5"/>
  <c r="E26" i="10"/>
  <c r="G10" i="14"/>
  <c r="G12" i="14"/>
  <c r="E28" i="10"/>
  <c r="AY34" i="5"/>
  <c r="AW29" i="5"/>
  <c r="AW30" i="5" s="1"/>
  <c r="AW33" i="5"/>
  <c r="AW31" i="5"/>
  <c r="AW32" i="5" s="1"/>
  <c r="I26" i="10"/>
  <c r="K10" i="14"/>
  <c r="F28" i="10"/>
  <c r="H12" i="14"/>
  <c r="H40" i="14" s="1"/>
  <c r="D29" i="10"/>
  <c r="D32" i="10" s="1"/>
  <c r="E17" i="10"/>
  <c r="H17" i="10" s="1"/>
  <c r="BO20" i="5"/>
  <c r="BO21" i="5" s="1"/>
  <c r="I12" i="13"/>
  <c r="I40" i="13" s="1"/>
  <c r="E15" i="10"/>
  <c r="H15" i="10" s="1"/>
  <c r="BB20" i="5"/>
  <c r="BB21" i="5" s="1"/>
  <c r="AC45" i="13"/>
  <c r="BC16" i="5"/>
  <c r="BC17" i="5" s="1"/>
  <c r="H12" i="12" s="1"/>
  <c r="H12" i="13"/>
  <c r="H40" i="13" s="1"/>
  <c r="CB20" i="5"/>
  <c r="CB21" i="5" s="1"/>
  <c r="CB18" i="5"/>
  <c r="CB19" i="5" s="1"/>
  <c r="L10" i="13"/>
  <c r="L38" i="13" s="1"/>
  <c r="K17" i="10"/>
  <c r="N12" i="13"/>
  <c r="L40" i="13"/>
  <c r="N40" i="13" s="1"/>
  <c r="J17" i="10"/>
  <c r="BZ2" i="5"/>
  <c r="BB16" i="5"/>
  <c r="BB17" i="5" s="1"/>
  <c r="H10" i="12" s="1"/>
  <c r="D18" i="10"/>
  <c r="D21" i="10" s="1"/>
  <c r="I10" i="13"/>
  <c r="I38" i="13" s="1"/>
  <c r="K10" i="12"/>
  <c r="H10" i="13"/>
  <c r="H38" i="13" s="1"/>
  <c r="F18" i="10"/>
  <c r="D7" i="10"/>
  <c r="D10" i="10" s="1"/>
  <c r="G10" i="12"/>
  <c r="E4" i="10"/>
  <c r="G12" i="12"/>
  <c r="G40" i="12" s="1"/>
  <c r="E6" i="10"/>
  <c r="G38" i="13"/>
  <c r="AA10" i="13"/>
  <c r="G13" i="13"/>
  <c r="G40" i="13"/>
  <c r="F38" i="13"/>
  <c r="F41" i="13" s="1"/>
  <c r="F13" i="13"/>
  <c r="F16" i="13" s="1"/>
  <c r="F38" i="12"/>
  <c r="F41" i="12" s="1"/>
  <c r="F13" i="12"/>
  <c r="F16" i="12" s="1"/>
  <c r="G18" i="10"/>
  <c r="BL16" i="5"/>
  <c r="BL17" i="5" s="1"/>
  <c r="G4" i="10" s="1"/>
  <c r="AA45" i="12"/>
  <c r="AC45" i="12" s="1"/>
  <c r="AC39" i="12"/>
  <c r="I12" i="12"/>
  <c r="I40" i="12" s="1"/>
  <c r="G6" i="10"/>
  <c r="L12" i="12"/>
  <c r="J6" i="10"/>
  <c r="BX16" i="5"/>
  <c r="BX17" i="5" s="1"/>
  <c r="M12" i="12"/>
  <c r="M40" i="12" s="1"/>
  <c r="K6" i="10"/>
  <c r="BZ4" i="5"/>
  <c r="BN16" i="5"/>
  <c r="BN17" i="5" s="1"/>
  <c r="BO16" i="5"/>
  <c r="BO17" i="5" s="1"/>
  <c r="CB16" i="5"/>
  <c r="CB17" i="5" s="1"/>
  <c r="AB10" i="9"/>
  <c r="E18" i="10" l="1"/>
  <c r="AZ34" i="5"/>
  <c r="AW34" i="5"/>
  <c r="AA10" i="14"/>
  <c r="G13" i="14"/>
  <c r="G38" i="14"/>
  <c r="G29" i="10"/>
  <c r="E29" i="10"/>
  <c r="BA34" i="5"/>
  <c r="AC39" i="14"/>
  <c r="AA45" i="14"/>
  <c r="AC45" i="14" s="1"/>
  <c r="N12" i="14"/>
  <c r="L40" i="14"/>
  <c r="N40" i="14" s="1"/>
  <c r="AX34" i="5"/>
  <c r="J29" i="10"/>
  <c r="F26" i="10"/>
  <c r="F29" i="10" s="1"/>
  <c r="H10" i="14"/>
  <c r="J10" i="14" s="1"/>
  <c r="L38" i="14"/>
  <c r="L13" i="14"/>
  <c r="H28" i="10"/>
  <c r="F43" i="14"/>
  <c r="F44" i="14"/>
  <c r="F45" i="14"/>
  <c r="J12" i="14"/>
  <c r="G40" i="14"/>
  <c r="J40" i="14" s="1"/>
  <c r="I38" i="14"/>
  <c r="I13" i="14"/>
  <c r="H41" i="13"/>
  <c r="BZ16" i="5"/>
  <c r="BZ17" i="5" s="1"/>
  <c r="L10" i="12" s="1"/>
  <c r="J40" i="13"/>
  <c r="J12" i="13"/>
  <c r="F6" i="10"/>
  <c r="H6" i="10" s="1"/>
  <c r="H13" i="13"/>
  <c r="L13" i="13"/>
  <c r="L17" i="10"/>
  <c r="F4" i="10"/>
  <c r="H4" i="10" s="1"/>
  <c r="J18" i="10"/>
  <c r="J10" i="13"/>
  <c r="I13" i="13"/>
  <c r="L41" i="13"/>
  <c r="F43" i="12"/>
  <c r="F44" i="12"/>
  <c r="F45" i="12"/>
  <c r="I10" i="12"/>
  <c r="I13" i="12" s="1"/>
  <c r="I41" i="13"/>
  <c r="F43" i="13"/>
  <c r="F44" i="13"/>
  <c r="F45" i="13"/>
  <c r="H18" i="10"/>
  <c r="F20" i="10" s="1"/>
  <c r="F21" i="10" s="1"/>
  <c r="E7" i="10"/>
  <c r="G41" i="13"/>
  <c r="AA38" i="13"/>
  <c r="J38" i="13"/>
  <c r="G13" i="12"/>
  <c r="AA10" i="12"/>
  <c r="G38" i="12"/>
  <c r="L6" i="10"/>
  <c r="H38" i="12"/>
  <c r="H13" i="12"/>
  <c r="L40" i="12"/>
  <c r="N40" i="12" s="1"/>
  <c r="N12" i="12"/>
  <c r="H40" i="12"/>
  <c r="J40" i="12" s="1"/>
  <c r="J12" i="12"/>
  <c r="G7" i="10"/>
  <c r="AA11" i="9"/>
  <c r="AC11" i="9"/>
  <c r="AA10" i="9"/>
  <c r="J41" i="13" l="1"/>
  <c r="H51" i="13" s="1"/>
  <c r="H26" i="10"/>
  <c r="H29" i="10"/>
  <c r="E31" i="10" s="1"/>
  <c r="I41" i="14"/>
  <c r="AA38" i="14"/>
  <c r="G41" i="14"/>
  <c r="L41" i="14"/>
  <c r="F7" i="10"/>
  <c r="H7" i="10" s="1"/>
  <c r="E9" i="10" s="1"/>
  <c r="H13" i="14"/>
  <c r="J13" i="14" s="1"/>
  <c r="G15" i="14" s="1"/>
  <c r="H38" i="14"/>
  <c r="H41" i="14" s="1"/>
  <c r="F31" i="10"/>
  <c r="F32" i="10" s="1"/>
  <c r="J4" i="10"/>
  <c r="J7" i="10" s="1"/>
  <c r="J13" i="13"/>
  <c r="H15" i="13" s="1"/>
  <c r="H16" i="13" s="1"/>
  <c r="I38" i="12"/>
  <c r="J38" i="12" s="1"/>
  <c r="J41" i="12" s="1"/>
  <c r="J10" i="12"/>
  <c r="J13" i="12"/>
  <c r="H15" i="12" s="1"/>
  <c r="H16" i="12" s="1"/>
  <c r="H52" i="13"/>
  <c r="H56" i="13" s="1"/>
  <c r="H60" i="13" s="1"/>
  <c r="H43" i="13"/>
  <c r="E20" i="10"/>
  <c r="I51" i="13"/>
  <c r="AA44" i="13"/>
  <c r="G51" i="13"/>
  <c r="G41" i="12"/>
  <c r="AA38" i="12"/>
  <c r="AA44" i="12" s="1"/>
  <c r="H41" i="12"/>
  <c r="L38" i="12"/>
  <c r="L13" i="12"/>
  <c r="AC10" i="9"/>
  <c r="G51" i="12" l="1"/>
  <c r="G16" i="14"/>
  <c r="I15" i="14"/>
  <c r="I16" i="14" s="1"/>
  <c r="J38" i="14"/>
  <c r="J41" i="14" s="1"/>
  <c r="I51" i="14" s="1"/>
  <c r="AA44" i="14"/>
  <c r="H15" i="14"/>
  <c r="H16" i="14" s="1"/>
  <c r="E32" i="10"/>
  <c r="G31" i="10"/>
  <c r="G32" i="10" s="1"/>
  <c r="G15" i="13"/>
  <c r="G15" i="12"/>
  <c r="G16" i="12" s="1"/>
  <c r="I41" i="12"/>
  <c r="G52" i="13"/>
  <c r="G56" i="13" s="1"/>
  <c r="G60" i="13" s="1"/>
  <c r="J51" i="13"/>
  <c r="J52" i="13" s="1"/>
  <c r="J56" i="13" s="1"/>
  <c r="J60" i="13" s="1"/>
  <c r="J67" i="13" s="1"/>
  <c r="G43" i="13"/>
  <c r="I43" i="13"/>
  <c r="I52" i="13"/>
  <c r="I56" i="13" s="1"/>
  <c r="I60" i="13" s="1"/>
  <c r="E21" i="10"/>
  <c r="G20" i="10"/>
  <c r="G21" i="10" s="1"/>
  <c r="H67" i="13"/>
  <c r="H44" i="13"/>
  <c r="H51" i="12"/>
  <c r="G9" i="10"/>
  <c r="G10" i="10" s="1"/>
  <c r="E10" i="10"/>
  <c r="G52" i="12"/>
  <c r="G56" i="12" s="1"/>
  <c r="G60" i="12" s="1"/>
  <c r="G43" i="12"/>
  <c r="F9" i="10"/>
  <c r="F10" i="10" s="1"/>
  <c r="L41" i="12"/>
  <c r="I51" i="12"/>
  <c r="E73" i="9"/>
  <c r="E72" i="9"/>
  <c r="H51" i="14" l="1"/>
  <c r="H31" i="10"/>
  <c r="H32" i="10" s="1"/>
  <c r="G51" i="14"/>
  <c r="J51" i="14" s="1"/>
  <c r="J52" i="14" s="1"/>
  <c r="J56" i="14" s="1"/>
  <c r="J60" i="14" s="1"/>
  <c r="J67" i="14" s="1"/>
  <c r="I52" i="14"/>
  <c r="I56" i="14" s="1"/>
  <c r="I60" i="14" s="1"/>
  <c r="I43" i="14"/>
  <c r="H52" i="14"/>
  <c r="H56" i="14" s="1"/>
  <c r="H60" i="14" s="1"/>
  <c r="H43" i="14"/>
  <c r="J15" i="14"/>
  <c r="J16" i="14" s="1"/>
  <c r="I15" i="12"/>
  <c r="I16" i="12" s="1"/>
  <c r="I15" i="13"/>
  <c r="G16" i="13"/>
  <c r="H20" i="10"/>
  <c r="H21" i="10" s="1"/>
  <c r="I67" i="13"/>
  <c r="I44" i="13"/>
  <c r="H45" i="13"/>
  <c r="J43" i="13"/>
  <c r="K43" i="13" s="1"/>
  <c r="G73" i="13"/>
  <c r="I73" i="13" s="1"/>
  <c r="J73" i="13" s="1"/>
  <c r="H68" i="13"/>
  <c r="J68" i="13" s="1"/>
  <c r="G72" i="13"/>
  <c r="I72" i="13" s="1"/>
  <c r="J72" i="13" s="1"/>
  <c r="O72" i="13"/>
  <c r="M72" i="13"/>
  <c r="G67" i="13"/>
  <c r="G44" i="13"/>
  <c r="I52" i="12"/>
  <c r="I56" i="12" s="1"/>
  <c r="I60" i="12" s="1"/>
  <c r="I43" i="12"/>
  <c r="G44" i="12"/>
  <c r="G67" i="12"/>
  <c r="H9" i="10"/>
  <c r="H10" i="10" s="1"/>
  <c r="J51" i="12"/>
  <c r="J52" i="12" s="1"/>
  <c r="J56" i="12" s="1"/>
  <c r="J60" i="12" s="1"/>
  <c r="J67" i="12" s="1"/>
  <c r="H43" i="12"/>
  <c r="H52" i="12"/>
  <c r="H56" i="12" s="1"/>
  <c r="H60" i="12" s="1"/>
  <c r="J79" i="9"/>
  <c r="J78" i="9"/>
  <c r="J77" i="9"/>
  <c r="G43" i="14" l="1"/>
  <c r="G52" i="14"/>
  <c r="G56" i="14" s="1"/>
  <c r="G60" i="14" s="1"/>
  <c r="G44" i="14" s="1"/>
  <c r="J15" i="12"/>
  <c r="J16" i="12" s="1"/>
  <c r="G72" i="14"/>
  <c r="I72" i="14" s="1"/>
  <c r="J72" i="14" s="1"/>
  <c r="H68" i="14"/>
  <c r="J68" i="14" s="1"/>
  <c r="G73" i="14"/>
  <c r="O72" i="14"/>
  <c r="M72" i="14"/>
  <c r="H44" i="14"/>
  <c r="H67" i="14"/>
  <c r="J43" i="14"/>
  <c r="K43" i="14" s="1"/>
  <c r="L16" i="14"/>
  <c r="J32" i="10"/>
  <c r="I67" i="14"/>
  <c r="I45" i="14" s="1"/>
  <c r="I44" i="14"/>
  <c r="J44" i="13"/>
  <c r="K44" i="13" s="1"/>
  <c r="I16" i="13"/>
  <c r="J15" i="13"/>
  <c r="J16" i="13" s="1"/>
  <c r="J43" i="12"/>
  <c r="K43" i="12" s="1"/>
  <c r="G45" i="13"/>
  <c r="G75" i="13"/>
  <c r="G80" i="13" s="1"/>
  <c r="H75" i="13"/>
  <c r="H80" i="13" s="1"/>
  <c r="I45" i="13"/>
  <c r="G72" i="12"/>
  <c r="I72" i="12" s="1"/>
  <c r="J72" i="12" s="1"/>
  <c r="H68" i="12"/>
  <c r="J68" i="12" s="1"/>
  <c r="O72" i="12"/>
  <c r="M72" i="12"/>
  <c r="G73" i="12"/>
  <c r="G45" i="12"/>
  <c r="H44" i="12"/>
  <c r="H67" i="12"/>
  <c r="I67" i="12"/>
  <c r="I44" i="12"/>
  <c r="H63" i="9"/>
  <c r="G67" i="14" l="1"/>
  <c r="J10" i="10"/>
  <c r="L16" i="12"/>
  <c r="H45" i="14"/>
  <c r="H75" i="14"/>
  <c r="H80" i="14" s="1"/>
  <c r="I73" i="14"/>
  <c r="J73" i="14" s="1"/>
  <c r="G45" i="14"/>
  <c r="J45" i="14" s="1"/>
  <c r="G75" i="14"/>
  <c r="G80" i="14" s="1"/>
  <c r="J44" i="14"/>
  <c r="K44" i="14" s="1"/>
  <c r="L16" i="13"/>
  <c r="J21" i="10"/>
  <c r="J44" i="12"/>
  <c r="K44" i="12" s="1"/>
  <c r="J45" i="13"/>
  <c r="G75" i="12"/>
  <c r="G80" i="12" s="1"/>
  <c r="I45" i="12"/>
  <c r="I73" i="12"/>
  <c r="J73" i="12" s="1"/>
  <c r="H45" i="12"/>
  <c r="H75" i="12"/>
  <c r="H80" i="12" s="1"/>
  <c r="K8" i="9"/>
  <c r="K46" i="14" l="1"/>
  <c r="K45" i="14"/>
  <c r="J45" i="12"/>
  <c r="K46" i="13"/>
  <c r="K45" i="13"/>
  <c r="K46" i="12"/>
  <c r="K45" i="12"/>
  <c r="I35" i="9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3" i="5" l="1"/>
  <c r="CH4" i="5"/>
  <c r="CH12" i="5"/>
  <c r="CH20" i="5" s="1"/>
  <c r="CH21" i="5" s="1"/>
  <c r="CH5" i="5"/>
  <c r="CH6" i="5"/>
  <c r="CH2" i="5"/>
  <c r="CH7" i="5"/>
  <c r="CH10" i="5"/>
  <c r="CH18" i="5" s="1"/>
  <c r="CH19" i="5" s="1"/>
  <c r="CG10" i="5"/>
  <c r="CG18" i="5" s="1"/>
  <c r="CG19" i="5" s="1"/>
  <c r="CG3" i="5"/>
  <c r="CG4" i="5"/>
  <c r="CJ4" i="5" s="1"/>
  <c r="CG5" i="5"/>
  <c r="CG12" i="5"/>
  <c r="CG6" i="5"/>
  <c r="CJ6" i="5" s="1"/>
  <c r="CG7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2" i="5" l="1"/>
  <c r="CJ20" i="5" s="1"/>
  <c r="CJ21" i="5" s="1"/>
  <c r="CG20" i="5"/>
  <c r="CG21" i="5" s="1"/>
  <c r="CJ2" i="5"/>
  <c r="CH16" i="5"/>
  <c r="CH17" i="5" s="1"/>
  <c r="CJ3" i="5"/>
  <c r="CG16" i="5"/>
  <c r="CG17" i="5" s="1"/>
  <c r="CJ7" i="5"/>
  <c r="CJ5" i="5"/>
  <c r="CJ10" i="5"/>
  <c r="CJ18" i="5" s="1"/>
  <c r="CJ19" i="5" s="1"/>
  <c r="F80" i="9"/>
  <c r="F45" i="9"/>
  <c r="N22" i="9"/>
  <c r="N21" i="9"/>
  <c r="H51" i="9"/>
  <c r="H43" i="9" s="1"/>
  <c r="I51" i="9"/>
  <c r="I43" i="9" s="1"/>
  <c r="CJ16" i="5" l="1"/>
  <c r="CJ17" i="5" s="1"/>
  <c r="M10" i="12" s="1"/>
  <c r="M10" i="14"/>
  <c r="K26" i="10"/>
  <c r="M10" i="13"/>
  <c r="K15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4" i="10" l="1"/>
  <c r="K29" i="10"/>
  <c r="L26" i="10"/>
  <c r="L29" i="10" s="1"/>
  <c r="M38" i="14"/>
  <c r="M13" i="14"/>
  <c r="AB10" i="14"/>
  <c r="AC10" i="14" s="1"/>
  <c r="N10" i="14"/>
  <c r="N13" i="14" s="1"/>
  <c r="K18" i="10"/>
  <c r="L15" i="10"/>
  <c r="L18" i="10" s="1"/>
  <c r="M38" i="13"/>
  <c r="M13" i="13"/>
  <c r="AB10" i="13"/>
  <c r="AC10" i="13" s="1"/>
  <c r="N10" i="13"/>
  <c r="N13" i="13" s="1"/>
  <c r="K7" i="10"/>
  <c r="L4" i="10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M41" i="14" l="1"/>
  <c r="AB38" i="14"/>
  <c r="N38" i="14"/>
  <c r="M41" i="13"/>
  <c r="N38" i="13"/>
  <c r="AB38" i="13"/>
  <c r="M41" i="12"/>
  <c r="AB38" i="12"/>
  <c r="N38" i="12"/>
  <c r="J44" i="9"/>
  <c r="K44" i="9" s="1"/>
  <c r="AB44" i="14" l="1"/>
  <c r="AC44" i="14" s="1"/>
  <c r="AC38" i="14"/>
  <c r="N41" i="14"/>
  <c r="I69" i="14"/>
  <c r="AB44" i="13"/>
  <c r="AC44" i="13" s="1"/>
  <c r="AC38" i="13"/>
  <c r="N41" i="13"/>
  <c r="I69" i="13"/>
  <c r="AB44" i="12"/>
  <c r="AC44" i="12" s="1"/>
  <c r="AC38" i="12"/>
  <c r="N41" i="12"/>
  <c r="I69" i="12"/>
  <c r="J67" i="9"/>
  <c r="J69" i="14" l="1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22476CAD-4E92-4B42-96B1-5E80B277C8D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C6568CF-15DD-45B0-88F5-0688D1D4B04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B950AC9-7DCD-443D-A583-3AA3090CBAC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760FEC4-D108-4DA0-B901-469E967DC50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CF936E9-12DE-454A-8E4E-348B4915324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617060B-F8E5-444D-937E-8ADD6D705D5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352BA4F-AD35-4F7D-8BF2-77B64932A33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A3BD999-897B-498F-A5BE-A4E153BE38C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6D07932-83F2-464A-AC49-B5D3B6690A2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0D4B154-ACDC-4CF3-AC5E-BAD13B7C985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671E252-2C87-4232-90CF-1AF57F4AFD3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A779688-140A-46ED-B01E-4A4186FCA63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B6BD306-8EFD-488C-A511-F55AD89758E5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F4FCFEE-4C13-48E5-B645-E600122C1DB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2AE65A5-A6A6-497C-87F7-137E185C464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BEDA91B-3840-466A-BBFA-E0CA6F57AF1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DC34F5F-2862-4AD3-B568-E0BAF09C362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A9D2D4E-BB00-4E93-95B7-0CB876BB8A9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42BE884-D792-4045-974E-62A150753DB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94D38F4-3E56-425B-9518-140FF97892D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DEFC241-54AA-4A66-BE7B-D661D3B45B7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1263305-7F11-41ED-A745-854DDAE820D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CDCA8BC-319B-42AA-BF9B-300CCADDEBF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B00B260-D1F3-49B5-845A-BDC2A4486C1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EDAAE2D-650E-4403-93F4-AA193CC6A2A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12902F4-8C14-40A7-A3FD-41A161D67D6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EC19B4-CF86-4879-8FF3-C922D2C638C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BF3861F2-DEAE-49C6-B691-4C9867FF6EE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EF0F4F49-2B18-414F-8D0D-CD128823776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A88EE31E-2E17-4E1B-A5B4-8100902F8CB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<sst xmlns="http://schemas.openxmlformats.org/spreadsheetml/2006/main" count="867" uniqueCount="330">
  <si>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</si>
  <si>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</si>
  <si>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</si>
  <si>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</si>
  <si>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</si>
  <si>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</si>
  <si>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</si>
  <si>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</si>
  <si>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</si>
  <si>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</si>
  <si>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</si>
  <si>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</si>
  <si>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</si>
  <si>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</si>
  <si>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</si>
  <si>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</si>
  <si>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</si>
  <si>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</si>
  <si>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</si>
  <si>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</si>
  <si>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</si>
  <si>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</si>
  <si>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</si>
  <si>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</si>
  <si>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</si>
  <si>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</si>
  <si>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</si>
  <si>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</si>
  <si>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</si>
  <si>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</si>
  <si>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</si>
  <si>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</si>
  <si>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</si>
  <si>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</si>
  <si>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</si>
  <si>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</si>
  <si>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</si>
  <si>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</si>
  <si>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</si>
  <si>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</si>
  <si>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</si>
  <si>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</si>
  <si>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</si>
  <si>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</si>
  <si>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</si>
  <si>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</si>
  <si>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</si>
  <si>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</si>
  <si>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</si>
  <si>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</si>
  <si>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</si>
  <si>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</si>
  <si>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</si>
  <si>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</si>
  <si>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</si>
  <si>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</si>
  <si>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</si>
  <si>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</si>
  <si>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</si>
  <si>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</si>
  <si>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</si>
  <si>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</si>
  <si>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</si>
  <si>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</si>
  <si>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</si>
  <si>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</si>
  <si>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</si>
  <si>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</si>
  <si>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</si>
  <si>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</si>
  <si>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</si>
  <si>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</si>
  <si>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</si>
  <si>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</si>
  <si>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</si>
  <si>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</si>
  <si>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</si>
  <si>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</si>
  <si>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</si>
  <si>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</si>
  <si>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</si>
  <si>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</si>
  <si>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</si>
  <si>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</si>
  <si>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</si>
  <si>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</si>
  <si>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</si>
  <si>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</si>
  <si>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</si>
  <si>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</si>
  <si>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</si>
  <si>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</si>
  <si>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</si>
  <si>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</si>
  <si>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</si>
  <si>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</si>
  <si>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</si>
  <si>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</si>
  <si>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</si>
  <si>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</si>
  <si>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</si>
  <si>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</si>
  <si>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</si>
  <si>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</si>
  <si>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</si>
  <si>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</si>
  <si>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</si>
  <si>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</si>
  <si>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</si>
  <si>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</si>
  <si>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</si>
  <si>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</si>
  <si>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</si>
  <si>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</si>
  <si>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</si>
  <si>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</si>
  <si>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</si>
  <si>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</si>
  <si>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</si>
  <si>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</si>
  <si>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</si>
  <si>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</si>
  <si>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</si>
  <si>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</si>
  <si>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</si>
  <si>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</si>
  <si>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</si>
  <si>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</si>
  <si>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</si>
  <si>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</si>
  <si>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</si>
  <si>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</si>
  <si>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</si>
  <si>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</si>
  <si>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</si>
  <si>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</si>
  <si>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</si>
  <si>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</si>
  <si>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</si>
  <si>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</si>
  <si>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</si>
  <si>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</si>
  <si>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</si>
  <si>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</si>
  <si>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</si>
  <si>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</si>
  <si>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</si>
  <si>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</si>
  <si>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</si>
  <si>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</si>
  <si>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</si>
  <si>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</si>
  <si>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</si>
  <si>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</si>
  <si>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</si>
  <si>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</si>
  <si>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</si>
  <si>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</si>
  <si>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</si>
  <si>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</si>
  <si>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</si>
  <si>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</si>
  <si>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</si>
  <si>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178</t>
  </si>
  <si>
    <t>8891</t>
  </si>
  <si>
    <t xml:space="preserve">EXECUTIVE DIRECTOR  </t>
  </si>
  <si>
    <t>0305</t>
  </si>
  <si>
    <t>00</t>
  </si>
  <si>
    <t>GVWD</t>
  </si>
  <si>
    <t>001</t>
  </si>
  <si>
    <t>41009</t>
  </si>
  <si>
    <t>F</t>
  </si>
  <si>
    <t>NR</t>
  </si>
  <si>
    <t>SECRIST, WENDI A.</t>
  </si>
  <si>
    <t>SECRIST</t>
  </si>
  <si>
    <t>WENDI</t>
  </si>
  <si>
    <t>A</t>
  </si>
  <si>
    <t>00000</t>
  </si>
  <si>
    <t>H</t>
  </si>
  <si>
    <t>FS</t>
  </si>
  <si>
    <t>E</t>
  </si>
  <si>
    <t>N</t>
  </si>
  <si>
    <t xml:space="preserve">    </t>
  </si>
  <si>
    <t>7021</t>
  </si>
  <si>
    <t xml:space="preserve">ADMIN ASST 1        </t>
  </si>
  <si>
    <t>01235</t>
  </si>
  <si>
    <t>CR</t>
  </si>
  <si>
    <t>WATSON, REBECCA J.</t>
  </si>
  <si>
    <t>WATSON</t>
  </si>
  <si>
    <t>REBECCA</t>
  </si>
  <si>
    <t>J</t>
  </si>
  <si>
    <t xml:space="preserve">HH   </t>
  </si>
  <si>
    <t>Y</t>
  </si>
  <si>
    <t>7018</t>
  </si>
  <si>
    <t xml:space="preserve">PROGRAM MANAGER     </t>
  </si>
  <si>
    <t>09047</t>
  </si>
  <si>
    <t>SOLACE, CATY A.</t>
  </si>
  <si>
    <t>SOLACE</t>
  </si>
  <si>
    <t>CATY</t>
  </si>
  <si>
    <t>ANN</t>
  </si>
  <si>
    <t xml:space="preserve">HN   </t>
  </si>
  <si>
    <t>7017</t>
  </si>
  <si>
    <t>FINANCIAL SPECIALIST</t>
  </si>
  <si>
    <t>04244</t>
  </si>
  <si>
    <t>M</t>
  </si>
  <si>
    <t>AMES, AMANDA C.</t>
  </si>
  <si>
    <t>AMES</t>
  </si>
  <si>
    <t>AMANDA</t>
  </si>
  <si>
    <t>CHRISTINE</t>
  </si>
  <si>
    <t xml:space="preserve">HM   </t>
  </si>
  <si>
    <t>7016</t>
  </si>
  <si>
    <t xml:space="preserve">PROJECT MANAGER 2   </t>
  </si>
  <si>
    <t>05568</t>
  </si>
  <si>
    <t>O</t>
  </si>
  <si>
    <t>THOMSEN, MATTHEW M.</t>
  </si>
  <si>
    <t>THOMSEN</t>
  </si>
  <si>
    <t>MATTHEW</t>
  </si>
  <si>
    <t xml:space="preserve">HO   </t>
  </si>
  <si>
    <t>7015</t>
  </si>
  <si>
    <t>MANAGEMENT ASSISTANT</t>
  </si>
  <si>
    <t>05272</t>
  </si>
  <si>
    <t>NIELEBECK, PAIGE K.</t>
  </si>
  <si>
    <t>NIELEBECK</t>
  </si>
  <si>
    <t>PAIGE</t>
  </si>
  <si>
    <t>K</t>
  </si>
  <si>
    <t xml:space="preserve">HJ   </t>
  </si>
  <si>
    <t>7023</t>
  </si>
  <si>
    <t xml:space="preserve">GRANTS/CONTRACTS OP </t>
  </si>
  <si>
    <t>0344</t>
  </si>
  <si>
    <t>30</t>
  </si>
  <si>
    <t>03688</t>
  </si>
  <si>
    <t>V</t>
  </si>
  <si>
    <t>CL</t>
  </si>
  <si>
    <t>7022</t>
  </si>
  <si>
    <t>7020</t>
  </si>
  <si>
    <t>JAMES, STACY A.</t>
  </si>
  <si>
    <t>JAMES</t>
  </si>
  <si>
    <t>STACY</t>
  </si>
  <si>
    <t>0348</t>
  </si>
  <si>
    <t>7019</t>
  </si>
  <si>
    <t xml:space="preserve">GRANTS/CNTRCTS OFCR </t>
  </si>
  <si>
    <t>05310</t>
  </si>
  <si>
    <t>L</t>
  </si>
  <si>
    <t>BACON, JEFFREY R.</t>
  </si>
  <si>
    <t>BACON</t>
  </si>
  <si>
    <t>JEFFREY</t>
  </si>
  <si>
    <t>ROBERT</t>
  </si>
  <si>
    <t xml:space="preserve">HL   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</si>
  <si>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</si>
  <si>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</si>
  <si>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</si>
  <si>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</si>
  <si>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</si>
  <si>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</si>
  <si>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</si>
  <si>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</si>
  <si>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</si>
  <si>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</si>
  <si>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</si>
  <si>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</si>
  <si>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</si>
  <si>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</si>
  <si>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</si>
  <si>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</si>
  <si>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</si>
  <si>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</si>
  <si>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</si>
  <si>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</si>
  <si>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</si>
  <si>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</si>
  <si>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</si>
  <si>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</si>
  <si>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</si>
  <si>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</si>
  <si>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</si>
  <si>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</si>
  <si>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</si>
  <si>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</si>
  <si>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</si>
  <si>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</si>
  <si>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</si>
  <si>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</si>
  <si>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</si>
  <si>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</si>
  <si>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</si>
  <si>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</si>
  <si>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</si>
  <si>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</si>
  <si>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</si>
  <si>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</si>
  <si>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</si>
  <si>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</si>
  <si>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</si>
  <si>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</si>
  <si>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</si>
  <si>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</si>
  <si>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GVWD 0305-00</t>
  </si>
  <si>
    <t>GVWD 0305</t>
  </si>
  <si>
    <t>Office of the Governor</t>
  </si>
  <si>
    <t>Workforce Development Council</t>
  </si>
  <si>
    <t>Workforce Development Training</t>
  </si>
  <si>
    <t>0305-00</t>
  </si>
  <si>
    <t>30500</t>
  </si>
  <si>
    <t>Workforce Development Council, Workforce Development Training   GVWD-0305-00</t>
  </si>
  <si>
    <t>GVWD 0344-30</t>
  </si>
  <si>
    <t>GVWD 0344</t>
  </si>
  <si>
    <t>ARPA State Fiscal Recovery</t>
  </si>
  <si>
    <t>0344-30</t>
  </si>
  <si>
    <t>34430</t>
  </si>
  <si>
    <t>Workforce Development Council, ARPA State Fiscal Recovery   GVWD-0344-30</t>
  </si>
  <si>
    <t>GVWD 0348-00</t>
  </si>
  <si>
    <t>GVWD 0348</t>
  </si>
  <si>
    <t>Federal Grant</t>
  </si>
  <si>
    <t>0348-00</t>
  </si>
  <si>
    <t>34800</t>
  </si>
  <si>
    <t>Workforce Development Council, Federal Grant   GVWD-0348-00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</si>
  <si>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</si>
  <si>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</si>
  <si>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</si>
  <si>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</si>
  <si>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</si>
  <si>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</si>
  <si>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</si>
  <si>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Fund-0305</t>
  </si>
  <si>
    <t>Fund-0344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</si>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</sst>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5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5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7" fillId="0" borderId="0" xfId="7" applyFont="1" applyBorder="1" applyAlignment="1" applyProtection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96F3-A554-4B16-9992-CB848796B75A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298</v>
      </c>
      <c r="E1" s="15"/>
      <c r="F1" s="15"/>
      <c r="G1" s="15"/>
      <c r="H1" s="15"/>
      <c r="I1" s="15"/>
      <c r="J1" s="15"/>
      <c r="K1" s="15"/>
      <c r="L1" s="16" t="s">
        <v>14</v>
      </c>
      <c r="M1" s="401">
        <v>178</v>
      </c>
      <c r="N1" s="40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299</v>
      </c>
      <c r="E2" s="21"/>
      <c r="F2" s="21"/>
      <c r="G2" s="21"/>
      <c r="H2" s="21"/>
      <c r="I2" s="21"/>
      <c r="J2" s="20"/>
      <c r="K2" s="20"/>
      <c r="L2" s="22" t="s">
        <v>111</v>
      </c>
      <c r="M2" s="403" t="s">
        <v>302</v>
      </c>
      <c r="N2" s="40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299</v>
      </c>
      <c r="E3" s="24"/>
      <c r="F3" s="25"/>
      <c r="G3" s="25"/>
      <c r="H3" s="25"/>
      <c r="I3" s="26"/>
      <c r="J3" s="20"/>
      <c r="K3" s="20"/>
      <c r="L3" s="22" t="s">
        <v>112</v>
      </c>
      <c r="M3" s="401" t="s">
        <v>168</v>
      </c>
      <c r="N3" s="40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1">
        <v>2024</v>
      </c>
      <c r="N4" s="40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3" t="s">
        <v>300</v>
      </c>
      <c r="J5" s="405"/>
      <c r="K5" s="405"/>
      <c r="L5" s="404"/>
      <c r="M5" s="352" t="s">
        <v>113</v>
      </c>
      <c r="N5" s="32" t="s">
        <v>301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388" t="s">
        <v>22</v>
      </c>
      <c r="D8" s="389"/>
      <c r="E8" s="371" t="s">
        <v>23</v>
      </c>
      <c r="F8" s="49" t="s">
        <v>24</v>
      </c>
      <c r="G8" s="50" t="str">
        <f>"FY "&amp;'GVWD|0305-00'!FiscalYear-1&amp;" SALARY"</f>
        <v>FY 2023 SALARY</v>
      </c>
      <c r="H8" s="50" t="str">
        <f>"FY "&amp;'GVWD|0305-00'!FiscalYear-1&amp;" HEALTH BENEFITS"</f>
        <v>FY 2023 HEALTH BENEFITS</v>
      </c>
      <c r="I8" s="50" t="str">
        <f>"FY "&amp;'GVWD|0305-00'!FiscalYear-1&amp;" VAR BENEFITS"</f>
        <v>FY 2023 VAR BENEFITS</v>
      </c>
      <c r="J8" s="50" t="str">
        <f>"FY "&amp;'GVWD|0305-00'!FiscalYear-1&amp;" TOTAL"</f>
        <v>FY 2023 TOTAL</v>
      </c>
      <c r="K8" s="50" t="str">
        <f>"FY "&amp;'GVWD|0305-00'!FiscalYear&amp;" SALARY CHANGE"</f>
        <v>FY 2024 SALARY CHANGE</v>
      </c>
      <c r="L8" s="50" t="str">
        <f>"FY "&amp;'GVWD|0305-00'!FiscalYear&amp;" CHG HEALTH BENEFITS"</f>
        <v>FY 2024 CHG HEALTH BENEFITS</v>
      </c>
      <c r="M8" s="50" t="str">
        <f>"FY "&amp;'GVWD|0305-00'!FiscalYear&amp;"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9" t="s">
        <v>103</v>
      </c>
      <c r="AB8" s="439"/>
      <c r="AC8" s="439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390" t="s">
        <v>26</v>
      </c>
      <c r="D9" s="391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386" t="s">
        <v>27</v>
      </c>
      <c r="D10" s="392"/>
      <c r="E10" s="217">
        <v>1</v>
      </c>
      <c r="F10" s="288">
        <f>[0]!GVWD030500col_INC_FTI</f>
        <v>6</v>
      </c>
      <c r="G10" s="218">
        <f>[0]!GVWD030500col_FTI_SALARY_PERM</f>
        <v>416811.2</v>
      </c>
      <c r="H10" s="218">
        <f>[0]!GVWD030500col_HEALTH_PERM</f>
        <v>75000</v>
      </c>
      <c r="I10" s="218">
        <f>[0]!GVWD030500col_TOT_VB_PERM</f>
        <v>87618.376976</v>
      </c>
      <c r="J10" s="219">
        <f>SUM(G10:I10)</f>
        <v>579429.57697599998</v>
      </c>
      <c r="K10" s="219">
        <f>[0]!GVWD030500col_1_27TH_PP</f>
        <v>0</v>
      </c>
      <c r="L10" s="218">
        <f>[0]!GVWD030500col_HEALTH_PERM_CHG</f>
        <v>7500</v>
      </c>
      <c r="M10" s="218">
        <f>[0]!GVWD030500col_TOT_VB_PERM_CHG</f>
        <v>-3501.2140800000038</v>
      </c>
      <c r="N10" s="218">
        <f>SUM(L10:M10)</f>
        <v>3998.7859199999962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4200</v>
      </c>
      <c r="AB10" s="335">
        <f>ROUND(PermVarBen*CECPerm+(CECPerm*PermVarBenChg),-2)</f>
        <v>800</v>
      </c>
      <c r="AC10" s="335">
        <f>SUM(AA10:AB10)</f>
        <v>5000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386" t="s">
        <v>28</v>
      </c>
      <c r="D11" s="392"/>
      <c r="E11" s="217">
        <v>2</v>
      </c>
      <c r="F11" s="288"/>
      <c r="G11" s="218">
        <f>[0]!GVWD030500col_Group_Salary</f>
        <v>0</v>
      </c>
      <c r="H11" s="218">
        <v>0</v>
      </c>
      <c r="I11" s="218">
        <f>[0]!GVWD030500col_Group_Ben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386" t="s">
        <v>29</v>
      </c>
      <c r="D12" s="387"/>
      <c r="E12" s="217">
        <v>3</v>
      </c>
      <c r="F12" s="288">
        <f>[0]!GVWD030500col_TOTAL_ELECT_PCN_FTI</f>
        <v>0</v>
      </c>
      <c r="G12" s="218">
        <f>[0]!GVWD030500col_FTI_SALARY_ELECT</f>
        <v>0</v>
      </c>
      <c r="H12" s="218">
        <f>[0]!GVWD030500col_HEALTH_ELECT</f>
        <v>0</v>
      </c>
      <c r="I12" s="218">
        <f>[0]!GVWD030500col_TOT_VB_ELECT</f>
        <v>0</v>
      </c>
      <c r="J12" s="219">
        <f>SUM(G12:I12)</f>
        <v>0</v>
      </c>
      <c r="K12" s="268"/>
      <c r="L12" s="218">
        <f>[0]!GVWD030500col_HEALTH_ELECT_CHG</f>
        <v>0</v>
      </c>
      <c r="M12" s="218">
        <f>[0]!GVWD030500col_TOT_VB_ELECT_CHG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386" t="s">
        <v>30</v>
      </c>
      <c r="D13" s="392"/>
      <c r="E13" s="217"/>
      <c r="F13" s="220">
        <f>SUM(F10:F12)</f>
        <v>6</v>
      </c>
      <c r="G13" s="221">
        <f>SUM(G10:G12)</f>
        <v>416811.2</v>
      </c>
      <c r="H13" s="221">
        <f>SUM(H10:H12)</f>
        <v>75000</v>
      </c>
      <c r="I13" s="221">
        <f>SUM(I10:I12)</f>
        <v>87618.376976</v>
      </c>
      <c r="J13" s="219">
        <f>SUM(G13:I13)</f>
        <v>579429.57697599998</v>
      </c>
      <c r="K13" s="268"/>
      <c r="L13" s="219">
        <f>SUM(L10:L12)</f>
        <v>7500</v>
      </c>
      <c r="M13" s="219">
        <f>SUM(M10:M12)</f>
        <v>-3501.2140800000038</v>
      </c>
      <c r="N13" s="219">
        <f>SUM(N10:N12)</f>
        <v>3998.7859199999962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"&amp;'GVWD|0305-00'!FiscalYear-1</f>
        <v>FY 2023</v>
      </c>
      <c r="D15" s="158" t="s">
        <v>31</v>
      </c>
      <c r="E15" s="355">
        <v>480800</v>
      </c>
      <c r="F15" s="55">
        <v>5</v>
      </c>
      <c r="G15" s="223">
        <f>IF(OrigApprop=0,0,(G13/$J$13)*OrigApprop)</f>
        <v>345862.26337614225</v>
      </c>
      <c r="H15" s="223">
        <f>IF(OrigApprop=0,0,(H13/$J$13)*OrigApprop)</f>
        <v>62233.61980966603</v>
      </c>
      <c r="I15" s="223">
        <f>IF(G15=0,0,(I13/$J$13)*OrigApprop)</f>
        <v>72704.11681419173</v>
      </c>
      <c r="J15" s="223">
        <f>SUM(G15:I15)</f>
        <v>480800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393" t="s">
        <v>32</v>
      </c>
      <c r="D16" s="394"/>
      <c r="E16" s="160" t="s">
        <v>33</v>
      </c>
      <c r="F16" s="161">
        <f>F15-F13</f>
        <v>-1</v>
      </c>
      <c r="G16" s="162">
        <f>G15-G13</f>
        <v>-70948.936623857764</v>
      </c>
      <c r="H16" s="162">
        <f>H15-H13</f>
        <v>-12766.38019033397</v>
      </c>
      <c r="I16" s="162">
        <f>I15-I13</f>
        <v>-14914.26016180827</v>
      </c>
      <c r="J16" s="162">
        <f>J15-J13</f>
        <v>-98629.576975999982</v>
      </c>
      <c r="K16" s="269"/>
      <c r="L16" s="56" t="str">
        <f>IF('GVWD|0305-00'!OrigApprop=0,"No Original Appropriation amount in DU 3.00 for this fund","Calculated "&amp;IF('GVWD|0305-00'!AdjustedTotal&gt;0,"overfunding ","underfunding ")&amp;"is "&amp;TEXT('GVWD|0305-00'!AdjustedTotal/'GVWD|0305-00'!AppropTotal,"#.0%;(#.0% );0% ;")&amp;" of Original Appropriation")</f>
        <v>Calculated underfunding is (20.5%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395" t="s">
        <v>34</v>
      </c>
      <c r="D17" s="39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397" t="s">
        <v>35</v>
      </c>
      <c r="D18" s="39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399" t="s">
        <v>37</v>
      </c>
      <c r="D37" s="40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386" t="str">
        <f>perm_name</f>
        <v>Permanent Positions</v>
      </c>
      <c r="D38" s="387"/>
      <c r="E38" s="189">
        <v>1</v>
      </c>
      <c r="F38" s="190">
        <f>SUMIF($E9:$E35,$E38,$F9:$F35)</f>
        <v>6</v>
      </c>
      <c r="G38" s="191">
        <f>SUMIF($E10:$E35,$E38,$G10:$G35)</f>
        <v>416811.2</v>
      </c>
      <c r="H38" s="192">
        <f>SUMIF($E10:$E35,$E38,$H10:$H35)</f>
        <v>75000</v>
      </c>
      <c r="I38" s="192">
        <f>SUMIF($E10:$E35,$E38,$I10:$I35)</f>
        <v>87618.376976</v>
      </c>
      <c r="J38" s="192">
        <f>SUM(G38:I38)</f>
        <v>579429.57697599998</v>
      </c>
      <c r="K38" s="166"/>
      <c r="L38" s="191">
        <f>SUMIF($E10:$E35,$E38,$L10:$L35)</f>
        <v>7500</v>
      </c>
      <c r="M38" s="192">
        <f>SUMIF($E10:$E35,$E38,$M10:$M35)</f>
        <v>-3501.2140800000038</v>
      </c>
      <c r="N38" s="192">
        <f>SUM(L38:M38)</f>
        <v>3998.7859199999962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4200</v>
      </c>
      <c r="AB38" s="338">
        <f>ROUND((AdjPermVB*CECPerm+AdjPermVBBY*CECPerm),-2)</f>
        <v>800</v>
      </c>
      <c r="AC38" s="338">
        <f>SUM(AA38:AB38)</f>
        <v>5000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386" t="str">
        <f>Group_name</f>
        <v>Board &amp; Group Positions</v>
      </c>
      <c r="D39" s="38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386" t="s">
        <v>38</v>
      </c>
      <c r="D41" s="387"/>
      <c r="E41" s="189"/>
      <c r="F41" s="161">
        <f>SUM(F38:F40)</f>
        <v>6</v>
      </c>
      <c r="G41" s="195">
        <f>SUM($G$38:$G$40)</f>
        <v>416811.2</v>
      </c>
      <c r="H41" s="162">
        <f>SUM($H$38:$H$40)</f>
        <v>75000</v>
      </c>
      <c r="I41" s="162">
        <f>SUM($I$38:$I$40)</f>
        <v>87618.376976</v>
      </c>
      <c r="J41" s="162">
        <f>SUM($J$38:$J$40)</f>
        <v>579429.57697599998</v>
      </c>
      <c r="K41" s="259"/>
      <c r="L41" s="195">
        <f>SUM($L$38:$L$40)</f>
        <v>7500</v>
      </c>
      <c r="M41" s="162">
        <f>SUM($M$38:$M$40)</f>
        <v>-3501.2140800000038</v>
      </c>
      <c r="N41" s="162">
        <f>SUM(L41:M41)</f>
        <v>3998.7859199999962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-1</v>
      </c>
      <c r="G43" s="206">
        <f>G51-G41</f>
        <v>-70948.936623857764</v>
      </c>
      <c r="H43" s="159">
        <f>H51-H41</f>
        <v>-12766.38019033397</v>
      </c>
      <c r="I43" s="159">
        <f>I51-I41</f>
        <v>-14914.26016180827</v>
      </c>
      <c r="J43" s="159">
        <f>SUM(G43:I43)</f>
        <v>-98629.576975999997</v>
      </c>
      <c r="K43" s="412" t="str">
        <f>IF(E51=0,"No Original Appropriation amount in DU 3.00 for this fund","Calculated "&amp;IF(J43&gt;0,"overfunding ","underfunding ")&amp;"is "&amp;TEXT(J43/J51,"#.0%;(#.0% );0%;")&amp;" of Original Appropriation")</f>
        <v>Calculated underfunding is (20.5% ) of Original Appropriation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2" t="s">
        <v>106</v>
      </c>
      <c r="AB43" s="443"/>
      <c r="AC43" s="44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-1</v>
      </c>
      <c r="G44" s="206">
        <f>G60-G41</f>
        <v>-70911.200000000012</v>
      </c>
      <c r="H44" s="159">
        <f>H60-H41</f>
        <v>-12800</v>
      </c>
      <c r="I44" s="159">
        <f>I60-I41</f>
        <v>-14918.376976</v>
      </c>
      <c r="J44" s="159">
        <f>SUM(G44:I44)</f>
        <v>-98629.576976000011</v>
      </c>
      <c r="K44" s="412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(20.5% ) of Est. Expenditures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-1</v>
      </c>
      <c r="G45" s="206">
        <f>G67-G41-G63</f>
        <v>-70911.200000000012</v>
      </c>
      <c r="H45" s="206">
        <f>H67-H41-H63</f>
        <v>-12800</v>
      </c>
      <c r="I45" s="206">
        <f>I67-I41-I63</f>
        <v>-14918.376976</v>
      </c>
      <c r="J45" s="159">
        <f>SUM(G45:I45)</f>
        <v>-98629.576976000011</v>
      </c>
      <c r="K45" s="412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(20.5% ) of the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1" t="s">
        <v>98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6"/>
      <c r="D50" s="457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480800</v>
      </c>
      <c r="F51" s="272">
        <f>AppropFTP</f>
        <v>5</v>
      </c>
      <c r="G51" s="274">
        <f>IF(E51=0,0,(G41/$J$41)*$E$51)</f>
        <v>345862.26337614225</v>
      </c>
      <c r="H51" s="274">
        <f>IF(E51=0,0,(H41/$J$41)*$E$51)</f>
        <v>62233.61980966603</v>
      </c>
      <c r="I51" s="275">
        <f>IF(E51=0,0,(I41/$J$41)*$E$51)</f>
        <v>72704.11681419173</v>
      </c>
      <c r="J51" s="90">
        <f>SUM(G51:I51)</f>
        <v>480800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</v>
      </c>
      <c r="G52" s="79">
        <f>ROUND(G51,-2)</f>
        <v>345900</v>
      </c>
      <c r="H52" s="79">
        <f>ROUND(H51,-2)</f>
        <v>62200</v>
      </c>
      <c r="I52" s="266">
        <f>ROUND(I51,-2)</f>
        <v>72700</v>
      </c>
      <c r="J52" s="80">
        <f>ROUND(J51,-2)</f>
        <v>480800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6" t="s">
        <v>47</v>
      </c>
      <c r="D53" s="44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4" t="s">
        <v>49</v>
      </c>
      <c r="D55" s="455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5</v>
      </c>
      <c r="G56" s="80">
        <f>SUM(G52:G55)</f>
        <v>345900</v>
      </c>
      <c r="H56" s="80">
        <f>SUM(H52:H55)</f>
        <v>62200</v>
      </c>
      <c r="I56" s="260">
        <f>SUM(I52:I55)</f>
        <v>72700</v>
      </c>
      <c r="J56" s="80">
        <f>SUM(J52:J55)</f>
        <v>480800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08" t="s">
        <v>51</v>
      </c>
      <c r="D57" s="40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10" t="s">
        <v>116</v>
      </c>
      <c r="D58" s="41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10" t="s">
        <v>52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5</v>
      </c>
      <c r="G60" s="80">
        <f>SUM(G56:G59)</f>
        <v>345900</v>
      </c>
      <c r="H60" s="80">
        <f>SUM(H56:H59)</f>
        <v>62200</v>
      </c>
      <c r="I60" s="260">
        <f>SUM(I56:I59)</f>
        <v>72700</v>
      </c>
      <c r="J60" s="80">
        <f>SUM(J56:J59)</f>
        <v>480800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08" t="s">
        <v>54</v>
      </c>
      <c r="D61" s="40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6" t="s">
        <v>56</v>
      </c>
      <c r="D64" s="407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44"/>
      <c r="D65" s="44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5</v>
      </c>
      <c r="G67" s="80">
        <f>SUM(G60:G64)</f>
        <v>345900</v>
      </c>
      <c r="H67" s="80">
        <f>SUM(H60:H64)</f>
        <v>62200</v>
      </c>
      <c r="I67" s="80">
        <f>SUM(I60:I64)</f>
        <v>72700</v>
      </c>
      <c r="J67" s="80">
        <f>SUM(J60:J64)</f>
        <v>480800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08" t="s">
        <v>58</v>
      </c>
      <c r="D68" s="431"/>
      <c r="E68" s="112"/>
      <c r="F68" s="288"/>
      <c r="G68" s="287"/>
      <c r="H68" s="113">
        <f>IF(DUNine=0,0,ROUND(SUM(L41:L65),-2))</f>
        <v>7500</v>
      </c>
      <c r="I68" s="113"/>
      <c r="J68" s="287">
        <f>SUM(G68:I68)</f>
        <v>7500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08" t="s">
        <v>59</v>
      </c>
      <c r="D69" s="431"/>
      <c r="E69" s="112"/>
      <c r="F69" s="288"/>
      <c r="G69" s="113"/>
      <c r="H69" s="113"/>
      <c r="I69" s="113">
        <f>IF(DUNine=0,0,ROUND(SUM(M41:M64),-2))</f>
        <v>-3500</v>
      </c>
      <c r="J69" s="287">
        <f>SUM(G69:I69)</f>
        <v>-3500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36"/>
      <c r="E72" s="290">
        <f>CECPerm</f>
        <v>0.01</v>
      </c>
      <c r="F72" s="288"/>
      <c r="G72" s="356">
        <f>IF(DUNine=0,0,IF(DUNine&lt;0,0,ROUND(AdjPermSalary*CECPerm,-2)))</f>
        <v>4200</v>
      </c>
      <c r="H72" s="287"/>
      <c r="I72" s="287">
        <f>ROUND(($G72*PermVBBY+$G72*Retire1BY),-2)</f>
        <v>900</v>
      </c>
      <c r="J72" s="113">
        <f>SUM(G72:I72)</f>
        <v>5100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36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5</v>
      </c>
      <c r="G75" s="80">
        <f>SUM(G67:G74)</f>
        <v>350100</v>
      </c>
      <c r="H75" s="80">
        <f>SUM(H67:H74)</f>
        <v>69700</v>
      </c>
      <c r="I75" s="80">
        <f>SUM(I67:I74)</f>
        <v>70100</v>
      </c>
      <c r="J75" s="80">
        <f>SUM(J67:K74)</f>
        <v>489900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37" t="s">
        <v>63</v>
      </c>
      <c r="D76" s="438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5</v>
      </c>
      <c r="G80" s="80">
        <f>SUM(G75:G79)</f>
        <v>350100</v>
      </c>
      <c r="H80" s="80">
        <f>SUM(H75:H79)</f>
        <v>69700</v>
      </c>
      <c r="I80" s="80">
        <f>SUM(I75:I79)</f>
        <v>70100</v>
      </c>
      <c r="J80" s="80">
        <f>SUM(J75:J79)</f>
        <v>489900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4" priority="8">
      <formula>$J$44&lt;0</formula>
    </cfRule>
  </conditionalFormatting>
  <conditionalFormatting sqref="K43">
    <cfRule type="expression" dxfId="33" priority="7">
      <formula>$J$43&lt;0</formula>
    </cfRule>
  </conditionalFormatting>
  <conditionalFormatting sqref="L16">
    <cfRule type="expression" dxfId="32" priority="6">
      <formula>$J$16&lt;0</formula>
    </cfRule>
  </conditionalFormatting>
  <conditionalFormatting sqref="K45">
    <cfRule type="expression" dxfId="31" priority="5">
      <formula>$J$44&lt;0</formula>
    </cfRule>
  </conditionalFormatting>
  <conditionalFormatting sqref="K43:N45">
    <cfRule type="containsText" dxfId="30" priority="4" operator="containsText" text="underfunding">
      <formula>NOT(ISERROR(SEARCH("underfunding",K43)))</formula>
    </cfRule>
  </conditionalFormatting>
  <conditionalFormatting sqref="K44">
    <cfRule type="expression" dxfId="29" priority="3">
      <formula>$J$44&lt;0</formula>
    </cfRule>
  </conditionalFormatting>
  <conditionalFormatting sqref="K45">
    <cfRule type="expression" dxfId="28" priority="2">
      <formula>$J$44&lt;0</formula>
    </cfRule>
  </conditionalFormatting>
  <conditionalFormatting sqref="K45">
    <cfRule type="expression" dxfId="2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AC32E9-EB77-4F87-8919-1A332B4C11E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B7BE-E324-43ED-9F9F-66DDD76DCE9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298</v>
      </c>
      <c r="E1" s="15"/>
      <c r="F1" s="15"/>
      <c r="G1" s="15"/>
      <c r="H1" s="15"/>
      <c r="I1" s="15"/>
      <c r="J1" s="15"/>
      <c r="K1" s="15"/>
      <c r="L1" s="16" t="s">
        <v>14</v>
      </c>
      <c r="M1" s="401">
        <v>178</v>
      </c>
      <c r="N1" s="40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299</v>
      </c>
      <c r="E2" s="21"/>
      <c r="F2" s="21"/>
      <c r="G2" s="21"/>
      <c r="H2" s="21"/>
      <c r="I2" s="21"/>
      <c r="J2" s="20"/>
      <c r="K2" s="20"/>
      <c r="L2" s="22" t="s">
        <v>111</v>
      </c>
      <c r="M2" s="403" t="s">
        <v>308</v>
      </c>
      <c r="N2" s="40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299</v>
      </c>
      <c r="E3" s="24"/>
      <c r="F3" s="25"/>
      <c r="G3" s="25"/>
      <c r="H3" s="25"/>
      <c r="I3" s="26"/>
      <c r="J3" s="20"/>
      <c r="K3" s="20"/>
      <c r="L3" s="22" t="s">
        <v>112</v>
      </c>
      <c r="M3" s="401" t="s">
        <v>168</v>
      </c>
      <c r="N3" s="40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1">
        <v>2024</v>
      </c>
      <c r="N4" s="40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3" t="s">
        <v>306</v>
      </c>
      <c r="J5" s="405"/>
      <c r="K5" s="405"/>
      <c r="L5" s="404"/>
      <c r="M5" s="352" t="s">
        <v>113</v>
      </c>
      <c r="N5" s="32" t="s">
        <v>307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388" t="s">
        <v>22</v>
      </c>
      <c r="D8" s="389"/>
      <c r="E8" s="371" t="s">
        <v>23</v>
      </c>
      <c r="F8" s="49" t="s">
        <v>24</v>
      </c>
      <c r="G8" s="50" t="str">
        <f>"FY "&amp;'GVWD|0344-30'!FiscalYear-1&amp;" SALARY"</f>
        <v>FY 2023 SALARY</v>
      </c>
      <c r="H8" s="50" t="str">
        <f>"FY "&amp;'GVWD|0344-30'!FiscalYear-1&amp;" HEALTH BENEFITS"</f>
        <v>FY 2023 HEALTH BENEFITS</v>
      </c>
      <c r="I8" s="50" t="str">
        <f>"FY "&amp;'GVWD|0344-30'!FiscalYear-1&amp;" VAR BENEFITS"</f>
        <v>FY 2023 VAR BENEFITS</v>
      </c>
      <c r="J8" s="50" t="str">
        <f>"FY "&amp;'GVWD|0344-30'!FiscalYear-1&amp;" TOTAL"</f>
        <v>FY 2023 TOTAL</v>
      </c>
      <c r="K8" s="50" t="str">
        <f>"FY "&amp;'GVWD|0344-30'!FiscalYear&amp;" SALARY CHANGE"</f>
        <v>FY 2024 SALARY CHANGE</v>
      </c>
      <c r="L8" s="50" t="str">
        <f>"FY "&amp;'GVWD|0344-30'!FiscalYear&amp;" CHG HEALTH BENEFITS"</f>
        <v>FY 2024 CHG HEALTH BENEFITS</v>
      </c>
      <c r="M8" s="50" t="str">
        <f>"FY "&amp;'GVWD|0344-30'!FiscalYear&amp;"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9" t="s">
        <v>103</v>
      </c>
      <c r="AB8" s="439"/>
      <c r="AC8" s="439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390" t="s">
        <v>26</v>
      </c>
      <c r="D9" s="391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386" t="s">
        <v>27</v>
      </c>
      <c r="D10" s="392"/>
      <c r="E10" s="217">
        <v>1</v>
      </c>
      <c r="F10" s="288">
        <f>[0]!GVWD034430col_INC_FTI</f>
        <v>1</v>
      </c>
      <c r="G10" s="218">
        <f>[0]!GVWD034430col_FTI_SALARY_PERM</f>
        <v>68390.399999999994</v>
      </c>
      <c r="H10" s="218">
        <f>[0]!GVWD034430col_HEALTH_PERM</f>
        <v>12500</v>
      </c>
      <c r="I10" s="218">
        <f>[0]!GVWD034430col_TOT_VB_PERM</f>
        <v>14474.486208</v>
      </c>
      <c r="J10" s="219">
        <f>SUM(G10:I10)</f>
        <v>95364.886207999996</v>
      </c>
      <c r="K10" s="219">
        <f>[0]!GVWD034430col_1_27TH_PP</f>
        <v>0</v>
      </c>
      <c r="L10" s="218">
        <f>[0]!GVWD034430col_HEALTH_PERM_CHG</f>
        <v>1250</v>
      </c>
      <c r="M10" s="218">
        <f>[0]!GVWD034430col_TOT_VB_PERM_CHG</f>
        <v>-574.47936000000061</v>
      </c>
      <c r="N10" s="218">
        <f>SUM(L10:M10)</f>
        <v>675.52063999999939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700</v>
      </c>
      <c r="AB10" s="335">
        <f>ROUND(PermVarBen*CECPerm+(CECPerm*PermVarBenChg),-2)</f>
        <v>100</v>
      </c>
      <c r="AC10" s="335">
        <f>SUM(AA10:AB10)</f>
        <v>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386" t="s">
        <v>28</v>
      </c>
      <c r="D11" s="392"/>
      <c r="E11" s="217">
        <v>2</v>
      </c>
      <c r="F11" s="288"/>
      <c r="G11" s="218">
        <f>[0]!GVWD034430col_Group_Salary</f>
        <v>0</v>
      </c>
      <c r="H11" s="218">
        <v>0</v>
      </c>
      <c r="I11" s="218">
        <f>[0]!GVWD034430col_Group_Ben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386" t="s">
        <v>29</v>
      </c>
      <c r="D12" s="387"/>
      <c r="E12" s="217">
        <v>3</v>
      </c>
      <c r="F12" s="288">
        <f>[0]!GVWD034430col_TOTAL_ELECT_PCN_FTI</f>
        <v>0</v>
      </c>
      <c r="G12" s="218">
        <f>[0]!GVWD034430col_FTI_SALARY_ELECT</f>
        <v>0</v>
      </c>
      <c r="H12" s="218">
        <f>[0]!GVWD034430col_HEALTH_ELECT</f>
        <v>0</v>
      </c>
      <c r="I12" s="218">
        <f>[0]!GVWD034430col_TOT_VB_ELECT</f>
        <v>0</v>
      </c>
      <c r="J12" s="219">
        <f>SUM(G12:I12)</f>
        <v>0</v>
      </c>
      <c r="K12" s="268"/>
      <c r="L12" s="218">
        <f>[0]!GVWD034430col_HEALTH_ELECT_CHG</f>
        <v>0</v>
      </c>
      <c r="M12" s="218">
        <f>[0]!GVWD034430col_TOT_VB_ELECT_CHG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386" t="s">
        <v>30</v>
      </c>
      <c r="D13" s="392"/>
      <c r="E13" s="217"/>
      <c r="F13" s="220">
        <f>SUM(F10:F12)</f>
        <v>1</v>
      </c>
      <c r="G13" s="221">
        <f>SUM(G10:G12)</f>
        <v>68390.399999999994</v>
      </c>
      <c r="H13" s="221">
        <f>SUM(H10:H12)</f>
        <v>12500</v>
      </c>
      <c r="I13" s="221">
        <f>SUM(I10:I12)</f>
        <v>14474.486208</v>
      </c>
      <c r="J13" s="219">
        <f>SUM(G13:I13)</f>
        <v>95364.886207999996</v>
      </c>
      <c r="K13" s="268"/>
      <c r="L13" s="219">
        <f>SUM(L10:L12)</f>
        <v>1250</v>
      </c>
      <c r="M13" s="219">
        <f>SUM(M10:M12)</f>
        <v>-574.47936000000061</v>
      </c>
      <c r="N13" s="219">
        <f>SUM(N10:N12)</f>
        <v>675.52063999999939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"&amp;'GVWD|0344-30'!FiscalYear-1</f>
        <v>FY 2023</v>
      </c>
      <c r="D15" s="158" t="s">
        <v>31</v>
      </c>
      <c r="E15" s="355">
        <v>123600</v>
      </c>
      <c r="F15" s="55">
        <v>2</v>
      </c>
      <c r="G15" s="223">
        <f>IF(OrigApprop=0,0,(G13/$J$13)*OrigApprop)</f>
        <v>88639.055485926714</v>
      </c>
      <c r="H15" s="223">
        <f>IF(OrigApprop=0,0,(H13/$J$13)*OrigApprop)</f>
        <v>16200.931615754318</v>
      </c>
      <c r="I15" s="223">
        <f>IF(G15=0,0,(I13/$J$13)*OrigApprop)</f>
        <v>18760.012898318961</v>
      </c>
      <c r="J15" s="223">
        <f>SUM(G15:I15)</f>
        <v>123600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393" t="s">
        <v>32</v>
      </c>
      <c r="D16" s="394"/>
      <c r="E16" s="160" t="s">
        <v>33</v>
      </c>
      <c r="F16" s="161">
        <f>F15-F13</f>
        <v>1</v>
      </c>
      <c r="G16" s="162">
        <f>G15-G13</f>
        <v>20248.65548592672</v>
      </c>
      <c r="H16" s="162">
        <f>H15-H13</f>
        <v>3700.931615754318</v>
      </c>
      <c r="I16" s="162">
        <f>I15-I13</f>
        <v>4285.5266903189604</v>
      </c>
      <c r="J16" s="162">
        <f>J15-J13</f>
        <v>28235.113792000004</v>
      </c>
      <c r="K16" s="269"/>
      <c r="L16" s="56" t="str">
        <f>IF('GVWD|0344-30'!OrigApprop=0,"No Original Appropriation amount in DU 3.00 for this fund","Calculated "&amp;IF('GVWD|0344-30'!AdjustedTotal&gt;0,"overfunding ","underfunding ")&amp;"is "&amp;TEXT('GVWD|0344-30'!AdjustedTotal/'GVWD|0344-30'!AppropTotal,"#.0%;(#.0% );0% ;")&amp;" of Original Appropriation")</f>
        <v>Calculated overfunding is 22.8%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395" t="s">
        <v>34</v>
      </c>
      <c r="D17" s="39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397" t="s">
        <v>35</v>
      </c>
      <c r="D18" s="39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399" t="s">
        <v>37</v>
      </c>
      <c r="D37" s="40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386" t="str">
        <f>perm_name</f>
        <v>Permanent Positions</v>
      </c>
      <c r="D38" s="387"/>
      <c r="E38" s="189">
        <v>1</v>
      </c>
      <c r="F38" s="190">
        <f>SUMIF($E9:$E35,$E38,$F9:$F35)</f>
        <v>1</v>
      </c>
      <c r="G38" s="191">
        <f>SUMIF($E10:$E35,$E38,$G10:$G35)</f>
        <v>68390.399999999994</v>
      </c>
      <c r="H38" s="192">
        <f>SUMIF($E10:$E35,$E38,$H10:$H35)</f>
        <v>12500</v>
      </c>
      <c r="I38" s="192">
        <f>SUMIF($E10:$E35,$E38,$I10:$I35)</f>
        <v>14474.486208</v>
      </c>
      <c r="J38" s="192">
        <f>SUM(G38:I38)</f>
        <v>95364.886207999996</v>
      </c>
      <c r="K38" s="166"/>
      <c r="L38" s="191">
        <f>SUMIF($E10:$E35,$E38,$L10:$L35)</f>
        <v>1250</v>
      </c>
      <c r="M38" s="192">
        <f>SUMIF($E10:$E35,$E38,$M10:$M35)</f>
        <v>-574.47936000000061</v>
      </c>
      <c r="N38" s="192">
        <f>SUM(L38:M38)</f>
        <v>675.52063999999939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700</v>
      </c>
      <c r="AB38" s="338">
        <f>ROUND((AdjPermVB*CECPerm+AdjPermVBBY*CECPerm),-2)</f>
        <v>100</v>
      </c>
      <c r="AC38" s="338">
        <f>SUM(AA38:AB38)</f>
        <v>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386" t="str">
        <f>Group_name</f>
        <v>Board &amp; Group Positions</v>
      </c>
      <c r="D39" s="38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386" t="s">
        <v>38</v>
      </c>
      <c r="D41" s="387"/>
      <c r="E41" s="189"/>
      <c r="F41" s="161">
        <f>SUM(F38:F40)</f>
        <v>1</v>
      </c>
      <c r="G41" s="195">
        <f>SUM($G$38:$G$40)</f>
        <v>68390.399999999994</v>
      </c>
      <c r="H41" s="162">
        <f>SUM($H$38:$H$40)</f>
        <v>12500</v>
      </c>
      <c r="I41" s="162">
        <f>SUM($I$38:$I$40)</f>
        <v>14474.486208</v>
      </c>
      <c r="J41" s="162">
        <f>SUM($J$38:$J$40)</f>
        <v>95364.886207999996</v>
      </c>
      <c r="K41" s="259"/>
      <c r="L41" s="195">
        <f>SUM($L$38:$L$40)</f>
        <v>1250</v>
      </c>
      <c r="M41" s="162">
        <f>SUM($M$38:$M$40)</f>
        <v>-574.47936000000061</v>
      </c>
      <c r="N41" s="162">
        <f>SUM(L41:M41)</f>
        <v>675.52063999999939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1</v>
      </c>
      <c r="G43" s="206">
        <f>G51-G41</f>
        <v>20248.65548592672</v>
      </c>
      <c r="H43" s="159">
        <f>H51-H41</f>
        <v>3700.931615754318</v>
      </c>
      <c r="I43" s="159">
        <f>I51-I41</f>
        <v>4285.5266903189604</v>
      </c>
      <c r="J43" s="159">
        <f>SUM(G43:I43)</f>
        <v>28235.113791999996</v>
      </c>
      <c r="K43" s="412" t="str">
        <f>IF(E51=0,"No Original Appropriation amount in DU 3.00 for this fund","Calculated "&amp;IF(J43&gt;0,"overfunding ","underfunding ")&amp;"is "&amp;TEXT(J43/J51,"#.0%;(#.0% );0%;")&amp;" of Original Appropriation")</f>
        <v>Calculated overfunding is 22.8% of Original Appropriation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2" t="s">
        <v>106</v>
      </c>
      <c r="AB43" s="443"/>
      <c r="AC43" s="44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1</v>
      </c>
      <c r="G44" s="206">
        <f>G60-G41</f>
        <v>20209.600000000006</v>
      </c>
      <c r="H44" s="159">
        <f>H60-H41</f>
        <v>3700</v>
      </c>
      <c r="I44" s="159">
        <f>I60-I41</f>
        <v>4325.5137919999997</v>
      </c>
      <c r="J44" s="159">
        <f>SUM(G44:I44)</f>
        <v>28235.113792000004</v>
      </c>
      <c r="K44" s="412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22.8% of Est. Expenditures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>
        <f>G67-G41-G63</f>
        <v>20209.600000000006</v>
      </c>
      <c r="H45" s="206">
        <f>H67-H41-H63</f>
        <v>3700</v>
      </c>
      <c r="I45" s="206">
        <f>I67-I41-I63</f>
        <v>4325.5137919999997</v>
      </c>
      <c r="J45" s="159">
        <f>SUM(G45:I45)</f>
        <v>28235.113792000004</v>
      </c>
      <c r="K45" s="412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22.8% of the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1" t="s">
        <v>98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/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6"/>
      <c r="D50" s="457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123600</v>
      </c>
      <c r="F51" s="272">
        <f>AppropFTP</f>
        <v>2</v>
      </c>
      <c r="G51" s="274">
        <f>IF(E51=0,0,(G41/$J$41)*$E$51)</f>
        <v>88639.055485926714</v>
      </c>
      <c r="H51" s="274">
        <f>IF(E51=0,0,(H41/$J$41)*$E$51)</f>
        <v>16200.931615754318</v>
      </c>
      <c r="I51" s="275">
        <f>IF(E51=0,0,(I41/$J$41)*$E$51)</f>
        <v>18760.012898318961</v>
      </c>
      <c r="J51" s="90">
        <f>SUM(G51:I51)</f>
        <v>123600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</v>
      </c>
      <c r="G52" s="79">
        <f>ROUND(G51,-2)</f>
        <v>88600</v>
      </c>
      <c r="H52" s="79">
        <f>ROUND(H51,-2)</f>
        <v>16200</v>
      </c>
      <c r="I52" s="266">
        <f>ROUND(I51,-2)</f>
        <v>18800</v>
      </c>
      <c r="J52" s="80">
        <f>ROUND(J51,-2)</f>
        <v>123600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6" t="s">
        <v>47</v>
      </c>
      <c r="D53" s="44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4" t="s">
        <v>49</v>
      </c>
      <c r="D55" s="455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</v>
      </c>
      <c r="G56" s="80">
        <f>SUM(G52:G55)</f>
        <v>88600</v>
      </c>
      <c r="H56" s="80">
        <f>SUM(H52:H55)</f>
        <v>16200</v>
      </c>
      <c r="I56" s="260">
        <f>SUM(I52:I55)</f>
        <v>18800</v>
      </c>
      <c r="J56" s="80">
        <f>SUM(J52:J55)</f>
        <v>123600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08" t="s">
        <v>51</v>
      </c>
      <c r="D57" s="40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10" t="s">
        <v>116</v>
      </c>
      <c r="D58" s="41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10" t="s">
        <v>52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</v>
      </c>
      <c r="G60" s="80">
        <f>SUM(G56:G59)</f>
        <v>88600</v>
      </c>
      <c r="H60" s="80">
        <f>SUM(H56:H59)</f>
        <v>16200</v>
      </c>
      <c r="I60" s="260">
        <f>SUM(I56:I59)</f>
        <v>18800</v>
      </c>
      <c r="J60" s="80">
        <f>SUM(J56:J59)</f>
        <v>123600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08" t="s">
        <v>54</v>
      </c>
      <c r="D61" s="40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6" t="s">
        <v>56</v>
      </c>
      <c r="D64" s="407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44"/>
      <c r="D65" s="44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</v>
      </c>
      <c r="G67" s="80">
        <f>SUM(G60:G64)</f>
        <v>88600</v>
      </c>
      <c r="H67" s="80">
        <f>SUM(H60:H64)</f>
        <v>16200</v>
      </c>
      <c r="I67" s="80">
        <f>SUM(I60:I64)</f>
        <v>18800</v>
      </c>
      <c r="J67" s="80">
        <f>SUM(J60:J64)</f>
        <v>123600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08" t="s">
        <v>58</v>
      </c>
      <c r="D68" s="431"/>
      <c r="E68" s="112"/>
      <c r="F68" s="288"/>
      <c r="G68" s="287"/>
      <c r="H68" s="113">
        <f>IF(DUNine=0,0,ROUND(SUM(L41:L65),-2))</f>
        <v>1300</v>
      </c>
      <c r="I68" s="113"/>
      <c r="J68" s="287">
        <f>SUM(G68:I68)</f>
        <v>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08" t="s">
        <v>59</v>
      </c>
      <c r="D69" s="431"/>
      <c r="E69" s="112"/>
      <c r="F69" s="288"/>
      <c r="G69" s="113"/>
      <c r="H69" s="113"/>
      <c r="I69" s="113">
        <f>IF(DUNine=0,0,ROUND(SUM(M41:M64),-2))</f>
        <v>-600</v>
      </c>
      <c r="J69" s="287">
        <f>SUM(G69:I69)</f>
        <v>-600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36"/>
      <c r="E72" s="290">
        <f>CECPerm</f>
        <v>0.01</v>
      </c>
      <c r="F72" s="288"/>
      <c r="G72" s="356">
        <f>IF(DUNine=0,0,IF(DUNine&lt;0,0,ROUND(AdjPermSalary*CECPerm,-2)))</f>
        <v>700</v>
      </c>
      <c r="H72" s="287"/>
      <c r="I72" s="287">
        <f>ROUND(($G72*PermVBBY+$G72*Retire1BY),-2)</f>
        <v>100</v>
      </c>
      <c r="J72" s="113">
        <f>SUM(G72:I72)</f>
        <v>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36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</v>
      </c>
      <c r="G75" s="80">
        <f>SUM(G67:G74)</f>
        <v>89300</v>
      </c>
      <c r="H75" s="80">
        <f>SUM(H67:H74)</f>
        <v>17500</v>
      </c>
      <c r="I75" s="80">
        <f>SUM(I67:I74)</f>
        <v>18300</v>
      </c>
      <c r="J75" s="80">
        <f>SUM(J67:K74)</f>
        <v>125100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37" t="s">
        <v>63</v>
      </c>
      <c r="D76" s="438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</v>
      </c>
      <c r="G80" s="80">
        <f>SUM(G75:G79)</f>
        <v>89300</v>
      </c>
      <c r="H80" s="80">
        <f>SUM(H75:H79)</f>
        <v>17500</v>
      </c>
      <c r="I80" s="80">
        <f>SUM(I75:I79)</f>
        <v>18300</v>
      </c>
      <c r="J80" s="80">
        <f>SUM(J75:J79)</f>
        <v>125100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6" priority="8">
      <formula>$J$44&lt;0</formula>
    </cfRule>
  </conditionalFormatting>
  <conditionalFormatting sqref="K43">
    <cfRule type="expression" dxfId="25" priority="7">
      <formula>$J$43&lt;0</formula>
    </cfRule>
  </conditionalFormatting>
  <conditionalFormatting sqref="L16">
    <cfRule type="expression" dxfId="24" priority="6">
      <formula>$J$16&lt;0</formula>
    </cfRule>
  </conditionalFormatting>
  <conditionalFormatting sqref="K45">
    <cfRule type="expression" dxfId="23" priority="5">
      <formula>$J$44&lt;0</formula>
    </cfRule>
  </conditionalFormatting>
  <conditionalFormatting sqref="K43:N45">
    <cfRule type="containsText" dxfId="22" priority="4" operator="containsText" text="underfunding">
      <formula>NOT(ISERROR(SEARCH("underfunding",K43)))</formula>
    </cfRule>
  </conditionalFormatting>
  <conditionalFormatting sqref="K44">
    <cfRule type="expression" dxfId="21" priority="3">
      <formula>$J$44&lt;0</formula>
    </cfRule>
  </conditionalFormatting>
  <conditionalFormatting sqref="K45">
    <cfRule type="expression" dxfId="20" priority="2">
      <formula>$J$44&lt;0</formula>
    </cfRule>
  </conditionalFormatting>
  <conditionalFormatting sqref="K45">
    <cfRule type="expression" dxfId="1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3BDF97-12BB-44C0-9530-670055150F0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9841-1EFF-44AA-95A3-D4709F6D67D6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298</v>
      </c>
      <c r="E1" s="15"/>
      <c r="F1" s="15"/>
      <c r="G1" s="15"/>
      <c r="H1" s="15"/>
      <c r="I1" s="15"/>
      <c r="J1" s="15"/>
      <c r="K1" s="15"/>
      <c r="L1" s="16" t="s">
        <v>14</v>
      </c>
      <c r="M1" s="401">
        <v>178</v>
      </c>
      <c r="N1" s="40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299</v>
      </c>
      <c r="E2" s="21"/>
      <c r="F2" s="21"/>
      <c r="G2" s="21"/>
      <c r="H2" s="21"/>
      <c r="I2" s="21"/>
      <c r="J2" s="20"/>
      <c r="K2" s="20"/>
      <c r="L2" s="22" t="s">
        <v>111</v>
      </c>
      <c r="M2" s="403" t="s">
        <v>314</v>
      </c>
      <c r="N2" s="40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299</v>
      </c>
      <c r="E3" s="24"/>
      <c r="F3" s="25"/>
      <c r="G3" s="25"/>
      <c r="H3" s="25"/>
      <c r="I3" s="26"/>
      <c r="J3" s="20"/>
      <c r="K3" s="20"/>
      <c r="L3" s="22" t="s">
        <v>112</v>
      </c>
      <c r="M3" s="401" t="s">
        <v>168</v>
      </c>
      <c r="N3" s="40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1">
        <v>2024</v>
      </c>
      <c r="N4" s="40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3" t="s">
        <v>312</v>
      </c>
      <c r="J5" s="405"/>
      <c r="K5" s="405"/>
      <c r="L5" s="404"/>
      <c r="M5" s="352" t="s">
        <v>113</v>
      </c>
      <c r="N5" s="32" t="s">
        <v>313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388" t="s">
        <v>22</v>
      </c>
      <c r="D8" s="389"/>
      <c r="E8" s="371" t="s">
        <v>23</v>
      </c>
      <c r="F8" s="49" t="s">
        <v>24</v>
      </c>
      <c r="G8" s="50" t="str">
        <f>"FY "&amp;'GVWD|0348-00'!FiscalYear-1&amp;" SALARY"</f>
        <v>FY 2023 SALARY</v>
      </c>
      <c r="H8" s="50" t="str">
        <f>"FY "&amp;'GVWD|0348-00'!FiscalYear-1&amp;" HEALTH BENEFITS"</f>
        <v>FY 2023 HEALTH BENEFITS</v>
      </c>
      <c r="I8" s="50" t="str">
        <f>"FY "&amp;'GVWD|0348-00'!FiscalYear-1&amp;" VAR BENEFITS"</f>
        <v>FY 2023 VAR BENEFITS</v>
      </c>
      <c r="J8" s="50" t="str">
        <f>"FY "&amp;'GVWD|0348-00'!FiscalYear-1&amp;" TOTAL"</f>
        <v>FY 2023 TOTAL</v>
      </c>
      <c r="K8" s="50" t="str">
        <f>"FY "&amp;'GVWD|0348-00'!FiscalYear&amp;" SALARY CHANGE"</f>
        <v>FY 2024 SALARY CHANGE</v>
      </c>
      <c r="L8" s="50" t="str">
        <f>"FY "&amp;'GVWD|0348-00'!FiscalYear&amp;" CHG HEALTH BENEFITS"</f>
        <v>FY 2024 CHG HEALTH BENEFITS</v>
      </c>
      <c r="M8" s="50" t="str">
        <f>"FY "&amp;'GVWD|0348-00'!FiscalYear&amp;"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9" t="s">
        <v>103</v>
      </c>
      <c r="AB8" s="439"/>
      <c r="AC8" s="439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390" t="s">
        <v>26</v>
      </c>
      <c r="D9" s="391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386" t="s">
        <v>27</v>
      </c>
      <c r="D10" s="392"/>
      <c r="E10" s="217">
        <v>1</v>
      </c>
      <c r="F10" s="288">
        <f>[0]!GVWD034800col_INC_FTI</f>
        <v>1</v>
      </c>
      <c r="G10" s="218">
        <f>[0]!GVWD034800col_FTI_SALARY_PERM</f>
        <v>63107.199999999997</v>
      </c>
      <c r="H10" s="218">
        <f>[0]!GVWD034800col_HEALTH_PERM</f>
        <v>12500</v>
      </c>
      <c r="I10" s="218">
        <f>[0]!GVWD034800col_TOT_VB_PERM</f>
        <v>13356.323343999999</v>
      </c>
      <c r="J10" s="219">
        <f>SUM(G10:I10)</f>
        <v>88963.523344000001</v>
      </c>
      <c r="K10" s="219">
        <f>[0]!GVWD034800col_1_27TH_PP</f>
        <v>0</v>
      </c>
      <c r="L10" s="218">
        <f>[0]!GVWD034800col_HEALTH_PERM_CHG</f>
        <v>1250</v>
      </c>
      <c r="M10" s="218">
        <f>[0]!GVWD034800col_TOT_VB_PERM_CHG</f>
        <v>-530.10048000000063</v>
      </c>
      <c r="N10" s="218">
        <f>SUM(L10:M10)</f>
        <v>719.89951999999937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600</v>
      </c>
      <c r="AB10" s="335">
        <f>ROUND(PermVarBen*CECPerm+(CECPerm*PermVarBenChg),-2)</f>
        <v>100</v>
      </c>
      <c r="AC10" s="335">
        <f>SUM(AA10:AB10)</f>
        <v>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386" t="s">
        <v>28</v>
      </c>
      <c r="D11" s="392"/>
      <c r="E11" s="217">
        <v>2</v>
      </c>
      <c r="F11" s="288"/>
      <c r="G11" s="218">
        <f>[0]!GVWD034800col_Group_Salary</f>
        <v>0</v>
      </c>
      <c r="H11" s="218">
        <v>0</v>
      </c>
      <c r="I11" s="218">
        <f>[0]!GVWD034800col_Group_Ben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386" t="s">
        <v>29</v>
      </c>
      <c r="D12" s="387"/>
      <c r="E12" s="217">
        <v>3</v>
      </c>
      <c r="F12" s="288">
        <f>[0]!GVWD034800col_TOTAL_ELECT_PCN_FTI</f>
        <v>0</v>
      </c>
      <c r="G12" s="218">
        <f>[0]!GVWD034800col_FTI_SALARY_ELECT</f>
        <v>0</v>
      </c>
      <c r="H12" s="218">
        <f>[0]!GVWD034800col_HEALTH_ELECT</f>
        <v>0</v>
      </c>
      <c r="I12" s="218">
        <f>[0]!GVWD034800col_TOT_VB_ELECT</f>
        <v>0</v>
      </c>
      <c r="J12" s="219">
        <f>SUM(G12:I12)</f>
        <v>0</v>
      </c>
      <c r="K12" s="268"/>
      <c r="L12" s="218">
        <f>[0]!GVWD034800col_HEALTH_ELECT_CHG</f>
        <v>0</v>
      </c>
      <c r="M12" s="218">
        <f>[0]!GVWD034800col_TOT_VB_ELECT_CHG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386" t="s">
        <v>30</v>
      </c>
      <c r="D13" s="392"/>
      <c r="E13" s="217"/>
      <c r="F13" s="220">
        <f>SUM(F10:F12)</f>
        <v>1</v>
      </c>
      <c r="G13" s="221">
        <f>SUM(G10:G12)</f>
        <v>63107.199999999997</v>
      </c>
      <c r="H13" s="221">
        <f>SUM(H10:H12)</f>
        <v>12500</v>
      </c>
      <c r="I13" s="221">
        <f>SUM(I10:I12)</f>
        <v>13356.323343999999</v>
      </c>
      <c r="J13" s="219">
        <f>SUM(G13:I13)</f>
        <v>88963.523344000001</v>
      </c>
      <c r="K13" s="268"/>
      <c r="L13" s="219">
        <f>SUM(L10:L12)</f>
        <v>1250</v>
      </c>
      <c r="M13" s="219">
        <f>SUM(M10:M12)</f>
        <v>-530.10048000000063</v>
      </c>
      <c r="N13" s="219">
        <f>SUM(N10:N12)</f>
        <v>719.89951999999937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"&amp;'GVWD|0348-00'!FiscalYear-1</f>
        <v>FY 2023</v>
      </c>
      <c r="D15" s="158" t="s">
        <v>31</v>
      </c>
      <c r="E15" s="355">
        <v>193300</v>
      </c>
      <c r="F15" s="55">
        <v>2</v>
      </c>
      <c r="G15" s="223">
        <f>IF(OrigApprop=0,0,(G13/$J$13)*OrigApprop)</f>
        <v>137119.36422336756</v>
      </c>
      <c r="H15" s="223">
        <f>IF(OrigApprop=0,0,(H13/$J$13)*OrigApprop)</f>
        <v>27160.007935577793</v>
      </c>
      <c r="I15" s="223">
        <f>IF(G15=0,0,(I13/$J$13)*OrigApprop)</f>
        <v>29020.627841054626</v>
      </c>
      <c r="J15" s="223">
        <f>SUM(G15:I15)</f>
        <v>193300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393" t="s">
        <v>32</v>
      </c>
      <c r="D16" s="394"/>
      <c r="E16" s="160" t="s">
        <v>33</v>
      </c>
      <c r="F16" s="161">
        <f>F15-F13</f>
        <v>1</v>
      </c>
      <c r="G16" s="162">
        <f>G15-G13</f>
        <v>74012.164223367567</v>
      </c>
      <c r="H16" s="162">
        <f>H15-H13</f>
        <v>14660.007935577793</v>
      </c>
      <c r="I16" s="162">
        <f>I15-I13</f>
        <v>15664.304497054627</v>
      </c>
      <c r="J16" s="162">
        <f>J15-J13</f>
        <v>104336.476656</v>
      </c>
      <c r="K16" s="269"/>
      <c r="L16" s="56" t="str">
        <f>IF('GVWD|0348-00'!OrigApprop=0,"No Original Appropriation amount in DU 3.00 for this fund","Calculated "&amp;IF('GVWD|0348-00'!AdjustedTotal&gt;0,"overfunding ","underfunding ")&amp;"is "&amp;TEXT('GVWD|0348-00'!AdjustedTotal/'GVWD|0348-00'!AppropTotal,"#.0%;(#.0% );0% ;")&amp;" of Original Appropriation")</f>
        <v>Calculated overfunding is 54.0%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395" t="s">
        <v>34</v>
      </c>
      <c r="D17" s="39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397" t="s">
        <v>35</v>
      </c>
      <c r="D18" s="39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399" t="s">
        <v>37</v>
      </c>
      <c r="D37" s="40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386" t="str">
        <f>perm_name</f>
        <v>Permanent Positions</v>
      </c>
      <c r="D38" s="387"/>
      <c r="E38" s="189">
        <v>1</v>
      </c>
      <c r="F38" s="190">
        <f>SUMIF($E9:$E35,$E38,$F9:$F35)</f>
        <v>1</v>
      </c>
      <c r="G38" s="191">
        <f>SUMIF($E10:$E35,$E38,$G10:$G35)</f>
        <v>63107.199999999997</v>
      </c>
      <c r="H38" s="192">
        <f>SUMIF($E10:$E35,$E38,$H10:$H35)</f>
        <v>12500</v>
      </c>
      <c r="I38" s="192">
        <f>SUMIF($E10:$E35,$E38,$I10:$I35)</f>
        <v>13356.323343999999</v>
      </c>
      <c r="J38" s="192">
        <f>SUM(G38:I38)</f>
        <v>88963.523344000001</v>
      </c>
      <c r="K38" s="166"/>
      <c r="L38" s="191">
        <f>SUMIF($E10:$E35,$E38,$L10:$L35)</f>
        <v>1250</v>
      </c>
      <c r="M38" s="192">
        <f>SUMIF($E10:$E35,$E38,$M10:$M35)</f>
        <v>-530.10048000000063</v>
      </c>
      <c r="N38" s="192">
        <f>SUM(L38:M38)</f>
        <v>719.89951999999937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600</v>
      </c>
      <c r="AB38" s="338">
        <f>ROUND((AdjPermVB*CECPerm+AdjPermVBBY*CECPerm),-2)</f>
        <v>100</v>
      </c>
      <c r="AC38" s="338">
        <f>SUM(AA38:AB38)</f>
        <v>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386" t="str">
        <f>Group_name</f>
        <v>Board &amp; Group Positions</v>
      </c>
      <c r="D39" s="38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386" t="s">
        <v>38</v>
      </c>
      <c r="D41" s="387"/>
      <c r="E41" s="189"/>
      <c r="F41" s="161">
        <f>SUM(F38:F40)</f>
        <v>1</v>
      </c>
      <c r="G41" s="195">
        <f>SUM($G$38:$G$40)</f>
        <v>63107.199999999997</v>
      </c>
      <c r="H41" s="162">
        <f>SUM($H$38:$H$40)</f>
        <v>12500</v>
      </c>
      <c r="I41" s="162">
        <f>SUM($I$38:$I$40)</f>
        <v>13356.323343999999</v>
      </c>
      <c r="J41" s="162">
        <f>SUM($J$38:$J$40)</f>
        <v>88963.523344000001</v>
      </c>
      <c r="K41" s="259"/>
      <c r="L41" s="195">
        <f>SUM($L$38:$L$40)</f>
        <v>1250</v>
      </c>
      <c r="M41" s="162">
        <f>SUM($M$38:$M$40)</f>
        <v>-530.10048000000063</v>
      </c>
      <c r="N41" s="162">
        <f>SUM(L41:M41)</f>
        <v>719.89951999999937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1</v>
      </c>
      <c r="G43" s="206">
        <f>G51-G41</f>
        <v>74012.164223367567</v>
      </c>
      <c r="H43" s="159">
        <f>H51-H41</f>
        <v>14660.007935577793</v>
      </c>
      <c r="I43" s="159">
        <f>I51-I41</f>
        <v>15664.304497054627</v>
      </c>
      <c r="J43" s="159">
        <f>SUM(G43:I43)</f>
        <v>104336.47665599998</v>
      </c>
      <c r="K43" s="412" t="str">
        <f>IF(E51=0,"No Original Appropriation amount in DU 3.00 for this fund","Calculated "&amp;IF(J43&gt;0,"overfunding ","underfunding ")&amp;"is "&amp;TEXT(J43/J51,"#.0%;(#.0% );0%;")&amp;" of Original Appropriation")</f>
        <v>Calculated overfunding is 54.0% of Original Appropriation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2" t="s">
        <v>106</v>
      </c>
      <c r="AB43" s="443"/>
      <c r="AC43" s="44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1</v>
      </c>
      <c r="G44" s="206">
        <f>G60-G41</f>
        <v>73992.800000000003</v>
      </c>
      <c r="H44" s="159">
        <f>H60-H41</f>
        <v>14700</v>
      </c>
      <c r="I44" s="159">
        <f>I60-I41</f>
        <v>15643.676656000001</v>
      </c>
      <c r="J44" s="159">
        <f>SUM(G44:I44)</f>
        <v>104336.476656</v>
      </c>
      <c r="K44" s="412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54.0% of Est. Expenditures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>
        <f>G67-G41-G63</f>
        <v>73992.800000000003</v>
      </c>
      <c r="H45" s="206">
        <f>H67-H41-H63</f>
        <v>14700</v>
      </c>
      <c r="I45" s="206">
        <f>I67-I41-I63</f>
        <v>15643.676656000001</v>
      </c>
      <c r="J45" s="159">
        <f>SUM(G45:I45)</f>
        <v>104336.476656</v>
      </c>
      <c r="K45" s="412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54.0% of the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1" t="s">
        <v>98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/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6"/>
      <c r="D50" s="457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193300</v>
      </c>
      <c r="F51" s="272">
        <f>AppropFTP</f>
        <v>2</v>
      </c>
      <c r="G51" s="274">
        <f>IF(E51=0,0,(G41/$J$41)*$E$51)</f>
        <v>137119.36422336756</v>
      </c>
      <c r="H51" s="274">
        <f>IF(E51=0,0,(H41/$J$41)*$E$51)</f>
        <v>27160.007935577793</v>
      </c>
      <c r="I51" s="275">
        <f>IF(E51=0,0,(I41/$J$41)*$E$51)</f>
        <v>29020.627841054626</v>
      </c>
      <c r="J51" s="90">
        <f>SUM(G51:I51)</f>
        <v>193300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</v>
      </c>
      <c r="G52" s="79">
        <f>ROUND(G51,-2)</f>
        <v>137100</v>
      </c>
      <c r="H52" s="79">
        <f>ROUND(H51,-2)</f>
        <v>27200</v>
      </c>
      <c r="I52" s="266">
        <f>ROUND(I51,-2)</f>
        <v>29000</v>
      </c>
      <c r="J52" s="80">
        <f>ROUND(J51,-2)</f>
        <v>193300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6" t="s">
        <v>47</v>
      </c>
      <c r="D53" s="44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4" t="s">
        <v>49</v>
      </c>
      <c r="D55" s="455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</v>
      </c>
      <c r="G56" s="80">
        <f>SUM(G52:G55)</f>
        <v>137100</v>
      </c>
      <c r="H56" s="80">
        <f>SUM(H52:H55)</f>
        <v>27200</v>
      </c>
      <c r="I56" s="260">
        <f>SUM(I52:I55)</f>
        <v>29000</v>
      </c>
      <c r="J56" s="80">
        <f>SUM(J52:J55)</f>
        <v>193300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08" t="s">
        <v>51</v>
      </c>
      <c r="D57" s="40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10" t="s">
        <v>116</v>
      </c>
      <c r="D58" s="41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10" t="s">
        <v>52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</v>
      </c>
      <c r="G60" s="80">
        <f>SUM(G56:G59)</f>
        <v>137100</v>
      </c>
      <c r="H60" s="80">
        <f>SUM(H56:H59)</f>
        <v>27200</v>
      </c>
      <c r="I60" s="260">
        <f>SUM(I56:I59)</f>
        <v>29000</v>
      </c>
      <c r="J60" s="80">
        <f>SUM(J56:J59)</f>
        <v>193300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08" t="s">
        <v>54</v>
      </c>
      <c r="D61" s="40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6" t="s">
        <v>56</v>
      </c>
      <c r="D64" s="407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44"/>
      <c r="D65" s="44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</v>
      </c>
      <c r="G67" s="80">
        <f>SUM(G60:G64)</f>
        <v>137100</v>
      </c>
      <c r="H67" s="80">
        <f>SUM(H60:H64)</f>
        <v>27200</v>
      </c>
      <c r="I67" s="80">
        <f>SUM(I60:I64)</f>
        <v>29000</v>
      </c>
      <c r="J67" s="80">
        <f>SUM(J60:J64)</f>
        <v>193300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08" t="s">
        <v>58</v>
      </c>
      <c r="D68" s="431"/>
      <c r="E68" s="112"/>
      <c r="F68" s="288"/>
      <c r="G68" s="287"/>
      <c r="H68" s="113">
        <f>IF(DUNine=0,0,ROUND(SUM(L41:L65),-2))</f>
        <v>1300</v>
      </c>
      <c r="I68" s="113"/>
      <c r="J68" s="287">
        <f>SUM(G68:I68)</f>
        <v>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08" t="s">
        <v>59</v>
      </c>
      <c r="D69" s="431"/>
      <c r="E69" s="112"/>
      <c r="F69" s="288"/>
      <c r="G69" s="113"/>
      <c r="H69" s="113"/>
      <c r="I69" s="113">
        <f>IF(DUNine=0,0,ROUND(SUM(M41:M64),-2))</f>
        <v>-500</v>
      </c>
      <c r="J69" s="287">
        <f>SUM(G69:I69)</f>
        <v>-500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36"/>
      <c r="E72" s="290">
        <f>CECPerm</f>
        <v>0.01</v>
      </c>
      <c r="F72" s="288"/>
      <c r="G72" s="356">
        <f>IF(DUNine=0,0,IF(DUNine&lt;0,0,ROUND(AdjPermSalary*CECPerm,-2)))</f>
        <v>600</v>
      </c>
      <c r="H72" s="287"/>
      <c r="I72" s="287">
        <f>ROUND(($G72*PermVBBY+$G72*Retire1BY),-2)</f>
        <v>100</v>
      </c>
      <c r="J72" s="113">
        <f>SUM(G72:I72)</f>
        <v>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36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</v>
      </c>
      <c r="G75" s="80">
        <f>SUM(G67:G74)</f>
        <v>137700</v>
      </c>
      <c r="H75" s="80">
        <f>SUM(H67:H74)</f>
        <v>28500</v>
      </c>
      <c r="I75" s="80">
        <f>SUM(I67:I74)</f>
        <v>28600</v>
      </c>
      <c r="J75" s="80">
        <f>SUM(J67:K74)</f>
        <v>194800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37" t="s">
        <v>63</v>
      </c>
      <c r="D76" s="438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</v>
      </c>
      <c r="G80" s="80">
        <f>SUM(G75:G79)</f>
        <v>137700</v>
      </c>
      <c r="H80" s="80">
        <f>SUM(H75:H79)</f>
        <v>28500</v>
      </c>
      <c r="I80" s="80">
        <f>SUM(I75:I79)</f>
        <v>28600</v>
      </c>
      <c r="J80" s="80">
        <f>SUM(J75:J79)</f>
        <v>194800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8" priority="8">
      <formula>$J$44&lt;0</formula>
    </cfRule>
  </conditionalFormatting>
  <conditionalFormatting sqref="K43">
    <cfRule type="expression" dxfId="17" priority="7">
      <formula>$J$43&lt;0</formula>
    </cfRule>
  </conditionalFormatting>
  <conditionalFormatting sqref="L16">
    <cfRule type="expression" dxfId="16" priority="6">
      <formula>$J$16&lt;0</formula>
    </cfRule>
  </conditionalFormatting>
  <conditionalFormatting sqref="K45">
    <cfRule type="expression" dxfId="15" priority="5">
      <formula>$J$44&lt;0</formula>
    </cfRule>
  </conditionalFormatting>
  <conditionalFormatting sqref="K43:N45">
    <cfRule type="containsText" dxfId="14" priority="4" operator="containsText" text="underfunding">
      <formula>NOT(ISERROR(SEARCH("underfunding",K43)))</formula>
    </cfRule>
  </conditionalFormatting>
  <conditionalFormatting sqref="K44">
    <cfRule type="expression" dxfId="13" priority="3">
      <formula>$J$44&lt;0</formula>
    </cfRule>
  </conditionalFormatting>
  <conditionalFormatting sqref="K45">
    <cfRule type="expression" dxfId="12" priority="2">
      <formula>$J$44&lt;0</formula>
    </cfRule>
  </conditionalFormatting>
  <conditionalFormatting sqref="K45">
    <cfRule type="expression" dxfId="1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50BB9F-5E5F-4187-8D32-1E5ADA964E1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42"/>
  <sheetViews>
    <sheetView workbookViewId="0">
      <pane xSplit="3" ySplit="1" topLeftCell="AK16" activePane="bottomRight" state="frozen"/>
      <selection pane="topRight" activeCell="D1" sqref="D1"/>
      <selection pane="bottomLeft" activeCell="A2" sqref="A2"/>
      <selection pane="bottomRight" activeCell="AS29" sqref="AS29:BA42"/>
    </sheetView>
  </sheetViews>
  <sheetFormatPr defaultRowHeight="15" x14ac:dyDescent="0.25"/>
  <cols>
    <col min="45" max="53" width="15.7109375" customWidth="1"/>
    <col min="54" max="54" width="10.85546875" bestFit="1" customWidth="1"/>
    <col min="55" max="55" width="9.28515625" bestFit="1" customWidth="1"/>
    <col min="56" max="56" width="10.85546875" bestFit="1" customWidth="1"/>
    <col min="57" max="57" width="9.7109375" bestFit="1" customWidth="1"/>
    <col min="58" max="58" width="10.85546875" bestFit="1" customWidth="1"/>
    <col min="59" max="59" width="9.7109375" bestFit="1" customWidth="1"/>
    <col min="60" max="60" width="9.28515625" bestFit="1" customWidth="1"/>
    <col min="61" max="62" width="9.7109375" bestFit="1" customWidth="1"/>
    <col min="63" max="63" width="9.28515625" bestFit="1" customWidth="1"/>
    <col min="64" max="64" width="10.85546875" bestFit="1" customWidth="1"/>
    <col min="65" max="65" width="9.28515625" bestFit="1" customWidth="1"/>
    <col min="66" max="66" width="10.85546875" bestFit="1" customWidth="1"/>
    <col min="67" max="67" width="9.28515625" bestFit="1" customWidth="1"/>
    <col min="68" max="68" width="10.85546875" bestFit="1" customWidth="1"/>
    <col min="69" max="69" width="9.7109375" bestFit="1" customWidth="1"/>
    <col min="70" max="70" width="10.85546875" bestFit="1" customWidth="1"/>
    <col min="71" max="71" width="9.7109375" bestFit="1" customWidth="1"/>
    <col min="72" max="72" width="9.28515625" bestFit="1" customWidth="1"/>
    <col min="73" max="73" width="9.7109375" bestFit="1" customWidth="1"/>
    <col min="74" max="75" width="9.28515625" bestFit="1" customWidth="1"/>
    <col min="76" max="76" width="10.85546875" bestFit="1" customWidth="1"/>
    <col min="77" max="77" width="9.28515625" bestFit="1" customWidth="1"/>
    <col min="78" max="78" width="9.7109375" bestFit="1" customWidth="1"/>
    <col min="79" max="81" width="9.28515625" bestFit="1" customWidth="1"/>
    <col min="82" max="82" width="10.42578125" bestFit="1" customWidth="1"/>
    <col min="83" max="87" width="9.28515625" bestFit="1" customWidth="1"/>
    <col min="88" max="88" width="10.42578125" bestFit="1" customWidth="1"/>
    <col min="89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464" t="s">
        <v>248</v>
      </c>
      <c r="AT1" s="464" t="s">
        <v>249</v>
      </c>
      <c r="AU1" s="464" t="s">
        <v>250</v>
      </c>
      <c r="AV1" s="464" t="s">
        <v>251</v>
      </c>
      <c r="AW1" s="464" t="s">
        <v>252</v>
      </c>
      <c r="AX1" s="464" t="s">
        <v>253</v>
      </c>
      <c r="AY1" s="464" t="s">
        <v>254</v>
      </c>
      <c r="AZ1" s="464" t="s">
        <v>255</v>
      </c>
      <c r="BA1" s="466" t="s">
        <v>256</v>
      </c>
      <c r="BB1" s="467" t="s">
        <v>257</v>
      </c>
      <c r="BC1" s="467" t="s">
        <v>258</v>
      </c>
      <c r="BD1" s="467" t="s">
        <v>259</v>
      </c>
      <c r="BE1" s="467" t="s">
        <v>260</v>
      </c>
      <c r="BF1" s="467" t="s">
        <v>261</v>
      </c>
      <c r="BG1" s="467" t="s">
        <v>262</v>
      </c>
      <c r="BH1" s="467" t="s">
        <v>263</v>
      </c>
      <c r="BI1" s="467" t="s">
        <v>264</v>
      </c>
      <c r="BJ1" s="467" t="s">
        <v>265</v>
      </c>
      <c r="BK1" s="467" t="s">
        <v>266</v>
      </c>
      <c r="BL1" s="468" t="s">
        <v>267</v>
      </c>
      <c r="BM1" s="468" t="s">
        <v>268</v>
      </c>
      <c r="BN1" s="467" t="s">
        <v>269</v>
      </c>
      <c r="BO1" s="467" t="s">
        <v>270</v>
      </c>
      <c r="BP1" s="467" t="s">
        <v>271</v>
      </c>
      <c r="BQ1" s="467" t="s">
        <v>272</v>
      </c>
      <c r="BR1" s="467" t="s">
        <v>273</v>
      </c>
      <c r="BS1" s="467" t="s">
        <v>274</v>
      </c>
      <c r="BT1" s="467" t="s">
        <v>275</v>
      </c>
      <c r="BU1" s="467" t="s">
        <v>276</v>
      </c>
      <c r="BV1" s="467" t="s">
        <v>277</v>
      </c>
      <c r="BW1" s="467" t="s">
        <v>278</v>
      </c>
      <c r="BX1" s="468" t="s">
        <v>279</v>
      </c>
      <c r="BY1" s="468" t="s">
        <v>280</v>
      </c>
      <c r="BZ1" s="467" t="s">
        <v>281</v>
      </c>
      <c r="CA1" s="467" t="s">
        <v>282</v>
      </c>
      <c r="CB1" s="467" t="s">
        <v>283</v>
      </c>
      <c r="CC1" s="467" t="s">
        <v>284</v>
      </c>
      <c r="CD1" s="467" t="s">
        <v>285</v>
      </c>
      <c r="CE1" s="467" t="s">
        <v>286</v>
      </c>
      <c r="CF1" s="467" t="s">
        <v>287</v>
      </c>
      <c r="CG1" s="467" t="s">
        <v>288</v>
      </c>
      <c r="CH1" s="467" t="s">
        <v>289</v>
      </c>
      <c r="CI1" s="467" t="s">
        <v>290</v>
      </c>
      <c r="CJ1" s="468" t="s">
        <v>291</v>
      </c>
      <c r="CK1" s="468" t="s">
        <v>292</v>
      </c>
      <c r="CL1" s="469" t="s">
        <v>293</v>
      </c>
      <c r="CM1" s="469" t="s">
        <v>294</v>
      </c>
      <c r="CN1" s="469" t="s">
        <v>295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167</v>
      </c>
      <c r="M2" s="377" t="s">
        <v>171</v>
      </c>
      <c r="N2" s="377" t="s">
        <v>172</v>
      </c>
      <c r="O2" s="380">
        <v>1</v>
      </c>
      <c r="P2" s="463">
        <v>1</v>
      </c>
      <c r="Q2" s="463">
        <v>1</v>
      </c>
      <c r="R2" s="381">
        <v>80</v>
      </c>
      <c r="S2" s="463">
        <v>1</v>
      </c>
      <c r="T2" s="381">
        <v>51861.599999999999</v>
      </c>
      <c r="U2" s="381">
        <v>0</v>
      </c>
      <c r="V2" s="381">
        <v>16395.29</v>
      </c>
      <c r="W2" s="381">
        <v>107972.8</v>
      </c>
      <c r="X2" s="381">
        <v>34754.25</v>
      </c>
      <c r="Y2" s="381">
        <v>107972.8</v>
      </c>
      <c r="Z2" s="381">
        <v>35097.279999999999</v>
      </c>
      <c r="AA2" s="377" t="s">
        <v>173</v>
      </c>
      <c r="AB2" s="377" t="s">
        <v>174</v>
      </c>
      <c r="AC2" s="377" t="s">
        <v>175</v>
      </c>
      <c r="AD2" s="377" t="s">
        <v>176</v>
      </c>
      <c r="AE2" s="377" t="s">
        <v>170</v>
      </c>
      <c r="AF2" s="377" t="s">
        <v>177</v>
      </c>
      <c r="AG2" s="377" t="s">
        <v>178</v>
      </c>
      <c r="AH2" s="382">
        <v>51.91</v>
      </c>
      <c r="AI2" s="382">
        <v>29207.1</v>
      </c>
      <c r="AJ2" s="377" t="s">
        <v>179</v>
      </c>
      <c r="AK2" s="377" t="s">
        <v>180</v>
      </c>
      <c r="AL2" s="377" t="s">
        <v>181</v>
      </c>
      <c r="AM2" s="377" t="s">
        <v>181</v>
      </c>
      <c r="AN2" s="377" t="s">
        <v>66</v>
      </c>
      <c r="AO2" s="380">
        <v>80</v>
      </c>
      <c r="AP2" s="463">
        <v>1</v>
      </c>
      <c r="AQ2" s="463">
        <v>1</v>
      </c>
      <c r="AR2" s="461" t="s">
        <v>182</v>
      </c>
      <c r="AS2" s="465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465">
        <f>IF(AT2=0,"",IF(AND(AT2=1,M2="F",SUMIF(C2:C13,C2,AS2:AS13)&lt;=1),SUMIF(C2:C13,C2,AS2:AS13),IF(AND(AT2=1,M2="F",SUMIF(C2:C13,C2,AS2:AS13)&gt;1),1,"")))</f>
        <v>1</v>
      </c>
      <c r="AV2" s="465" t="str">
        <f>IF(AT2=0,"",IF(AND(AT2=3,M2="F",SUMIF(C2:C13,C2,AS2:AS13)&lt;=1),SUMIF(C2:C13,C2,AS2:AS13),IF(AND(AT2=3,M2="F",SUMIF(C2:C13,C2,AS2:AS13)&gt;1),1,"")))</f>
        <v/>
      </c>
      <c r="AW2" s="465">
        <f>SUMIF(C2:C13,C2,O2:O13)</f>
        <v>2</v>
      </c>
      <c r="AX2" s="465">
        <f>IF(AND(M2="F",AS2&lt;&gt;0),SUMIF(C2:C13,C2,W2:W13),0)</f>
        <v>107972.8</v>
      </c>
      <c r="AY2" s="465">
        <f>IF(AT2=1,W2,"")</f>
        <v>107972.8</v>
      </c>
      <c r="AZ2" s="465" t="str">
        <f>IF(AT2=3,W2,"")</f>
        <v/>
      </c>
      <c r="BA2" s="465">
        <f>IF(AT2=1,Y2-W2,0)</f>
        <v>0</v>
      </c>
      <c r="BB2" s="465">
        <f>IF(AND(AT2=1,AK2="E",AU2&gt;=0.75,AW2=1),Health,IF(AND(AT2=1,AK2="E",AU2&gt;=0.75),Health*P2,IF(AND(AT2=1,AK2="E",AU2&gt;=0.5,AW2=1),PTHealth,IF(AND(AT2=1,AK2="E",AU2&gt;=0.5),PTHealth*P2,0))))</f>
        <v>12500</v>
      </c>
      <c r="BC2" s="465">
        <f>IF(AND(AT2=3,AK2="E",AV2&gt;=0.75,AW2=1),Health,IF(AND(AT2=3,AK2="E",AV2&gt;=0.75),Health*P2,IF(AND(AT2=3,AK2="E",AV2&gt;=0.5,AW2=1),PTHealth,IF(AND(AT2=3,AK2="E",AV2&gt;=0.5),PTHealth*P2,0))))</f>
        <v>0</v>
      </c>
      <c r="BD2" s="465">
        <f>IF(AND(AT2&lt;&gt;0,AX2&gt;=MAXSSDI),SSDI*MAXSSDI*P2,IF(AT2&lt;&gt;0,SSDI*W2,0))</f>
        <v>6694.3136000000004</v>
      </c>
      <c r="BE2" s="465">
        <f>IF(AT2&lt;&gt;0,SSHI*W2,0)</f>
        <v>1565.6056000000001</v>
      </c>
      <c r="BF2" s="465">
        <f>IF(AND(AT2&lt;&gt;0,AN2&lt;&gt;"NE"),VLOOKUP(AN2,Retirement_Rates,3,FALSE)*W2,0)</f>
        <v>12891.95232</v>
      </c>
      <c r="BG2" s="465">
        <f>IF(AND(AT2&lt;&gt;0,AJ2&lt;&gt;"PF"),Life*W2,0)</f>
        <v>778.48388800000009</v>
      </c>
      <c r="BH2" s="465">
        <f>IF(AND(AT2&lt;&gt;0,AM2="Y"),UI*W2,0)</f>
        <v>0</v>
      </c>
      <c r="BI2" s="465">
        <f>IF(AND(AT2&lt;&gt;0,N2&lt;&gt;"NR"),DHR*W2,0)</f>
        <v>0</v>
      </c>
      <c r="BJ2" s="465">
        <f>IF(AT2&lt;&gt;0,WC*W2,0)</f>
        <v>323.91840000000002</v>
      </c>
      <c r="BK2" s="465">
        <f>IF(OR(AND(AT2&lt;&gt;0,AJ2&lt;&gt;"PF",AN2&lt;&gt;"NE",AG2&lt;&gt;"A"),AND(AL2="E",OR(AT2=1,AT2=3))),Sick*W2,0)</f>
        <v>0</v>
      </c>
      <c r="BL2" s="465">
        <f>IF(AT2=1,SUM(BD2:BK2),0)</f>
        <v>22254.273807999998</v>
      </c>
      <c r="BM2" s="465">
        <f>IF(AT2=3,SUM(BD2:BK2),0)</f>
        <v>0</v>
      </c>
      <c r="BN2" s="465">
        <f>IF(AND(AT2=1,AK2="E",AU2&gt;=0.75,AW2=1),HealthBY,IF(AND(AT2=1,AK2="E",AU2&gt;=0.75),HealthBY*P2,IF(AND(AT2=1,AK2="E",AU2&gt;=0.5,AW2=1),PTHealthBY,IF(AND(AT2=1,AK2="E",AU2&gt;=0.5),PTHealthBY*P2,0))))</f>
        <v>13750</v>
      </c>
      <c r="BO2" s="465">
        <f>IF(AND(AT2=3,AK2="E",AV2&gt;=0.75,AW2=1),HealthBY,IF(AND(AT2=3,AK2="E",AV2&gt;=0.75),HealthBY*P2,IF(AND(AT2=3,AK2="E",AV2&gt;=0.5,AW2=1),PTHealthBY,IF(AND(AT2=3,AK2="E",AV2&gt;=0.5),PTHealthBY*P2,0))))</f>
        <v>0</v>
      </c>
      <c r="BP2" s="465">
        <f>IF(AND(AT2&lt;&gt;0,(AX2+BA2)&gt;=MAXSSDIBY),SSDIBY*MAXSSDIBY*P2,IF(AT2&lt;&gt;0,SSDIBY*W2,0))</f>
        <v>6694.3136000000004</v>
      </c>
      <c r="BQ2" s="465">
        <f>IF(AT2&lt;&gt;0,SSHIBY*W2,0)</f>
        <v>1565.6056000000001</v>
      </c>
      <c r="BR2" s="465">
        <f>IF(AND(AT2&lt;&gt;0,AN2&lt;&gt;"NE"),VLOOKUP(AN2,Retirement_Rates,4,FALSE)*W2,0)</f>
        <v>12071.359039999999</v>
      </c>
      <c r="BS2" s="465">
        <f>IF(AND(AT2&lt;&gt;0,AJ2&lt;&gt;"PF"),LifeBY*W2,0)</f>
        <v>778.48388800000009</v>
      </c>
      <c r="BT2" s="465">
        <f>IF(AND(AT2&lt;&gt;0,AM2="Y"),UIBY*W2,0)</f>
        <v>0</v>
      </c>
      <c r="BU2" s="465">
        <f>IF(AND(AT2&lt;&gt;0,N2&lt;&gt;"NR"),DHRBY*W2,0)</f>
        <v>0</v>
      </c>
      <c r="BV2" s="465">
        <f>IF(AT2&lt;&gt;0,WCBY*W2,0)</f>
        <v>237.54016000000001</v>
      </c>
      <c r="BW2" s="465">
        <f>IF(OR(AND(AT2&lt;&gt;0,AJ2&lt;&gt;"PF",AN2&lt;&gt;"NE",AG2&lt;&gt;"A"),AND(AL2="E",OR(AT2=1,AT2=3))),SickBY*W2,0)</f>
        <v>0</v>
      </c>
      <c r="BX2" s="465">
        <f>IF(AT2=1,SUM(BP2:BW2),0)</f>
        <v>21347.302287999999</v>
      </c>
      <c r="BY2" s="465">
        <f>IF(AT2=3,SUM(BP2:BW2),0)</f>
        <v>0</v>
      </c>
      <c r="BZ2" s="465">
        <f>IF(AT2=1,BN2-BB2,0)</f>
        <v>1250</v>
      </c>
      <c r="CA2" s="465">
        <f>IF(AT2=3,BO2-BC2,0)</f>
        <v>0</v>
      </c>
      <c r="CB2" s="465">
        <f>BP2-BD2</f>
        <v>0</v>
      </c>
      <c r="CC2" s="465">
        <f>IF(AT2&lt;&gt;0,SSHICHG*Y2,0)</f>
        <v>0</v>
      </c>
      <c r="CD2" s="465">
        <f>IF(AND(AT2&lt;&gt;0,AN2&lt;&gt;"NE"),VLOOKUP(AN2,Retirement_Rates,5,FALSE)*Y2,0)</f>
        <v>-820.59328000000107</v>
      </c>
      <c r="CE2" s="465">
        <f>IF(AND(AT2&lt;&gt;0,AJ2&lt;&gt;"PF"),LifeCHG*Y2,0)</f>
        <v>0</v>
      </c>
      <c r="CF2" s="465">
        <f>IF(AND(AT2&lt;&gt;0,AM2="Y"),UICHG*Y2,0)</f>
        <v>0</v>
      </c>
      <c r="CG2" s="465">
        <f>IF(AND(AT2&lt;&gt;0,N2&lt;&gt;"NR"),DHRCHG*Y2,0)</f>
        <v>0</v>
      </c>
      <c r="CH2" s="465">
        <f>IF(AT2&lt;&gt;0,WCCHG*Y2,0)</f>
        <v>-86.378239999999991</v>
      </c>
      <c r="CI2" s="465">
        <f>IF(OR(AND(AT2&lt;&gt;0,AJ2&lt;&gt;"PF",AN2&lt;&gt;"NE",AG2&lt;&gt;"A"),AND(AL2="E",OR(AT2=1,AT2=3))),SickCHG*Y2,0)</f>
        <v>0</v>
      </c>
      <c r="CJ2" s="465">
        <f>IF(AT2=1,SUM(CB2:CI2),0)</f>
        <v>-906.97152000000108</v>
      </c>
      <c r="CK2" s="465" t="str">
        <f>IF(AT2=3,SUM(CB2:CI2),"")</f>
        <v/>
      </c>
      <c r="CL2" s="465" t="str">
        <f>IF(OR(N2="NG",AG2="D"),(T2+U2),"")</f>
        <v/>
      </c>
      <c r="CM2" s="465" t="str">
        <f>IF(OR(N2="NG",AG2="D"),V2,"")</f>
        <v/>
      </c>
      <c r="CN2" s="465" t="str">
        <f>E2 &amp; "-" &amp; F2</f>
        <v>0305-00</v>
      </c>
    </row>
    <row r="3" spans="1:92" ht="15.75" thickBot="1" x14ac:dyDescent="0.3">
      <c r="A3" s="377" t="s">
        <v>162</v>
      </c>
      <c r="B3" s="377" t="s">
        <v>163</v>
      </c>
      <c r="C3" s="377" t="s">
        <v>183</v>
      </c>
      <c r="D3" s="377" t="s">
        <v>184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185</v>
      </c>
      <c r="L3" s="377" t="s">
        <v>178</v>
      </c>
      <c r="M3" s="377" t="s">
        <v>171</v>
      </c>
      <c r="N3" s="377" t="s">
        <v>186</v>
      </c>
      <c r="O3" s="380">
        <v>1</v>
      </c>
      <c r="P3" s="463">
        <v>1</v>
      </c>
      <c r="Q3" s="463">
        <v>1</v>
      </c>
      <c r="R3" s="381">
        <v>80</v>
      </c>
      <c r="S3" s="463">
        <v>1</v>
      </c>
      <c r="T3" s="381">
        <v>0</v>
      </c>
      <c r="U3" s="381">
        <v>0</v>
      </c>
      <c r="V3" s="381">
        <v>0</v>
      </c>
      <c r="W3" s="381">
        <v>32884.800000000003</v>
      </c>
      <c r="X3" s="381">
        <v>19460.03</v>
      </c>
      <c r="Y3" s="381">
        <v>32884.800000000003</v>
      </c>
      <c r="Z3" s="381">
        <v>20433.8</v>
      </c>
      <c r="AA3" s="377" t="s">
        <v>187</v>
      </c>
      <c r="AB3" s="377" t="s">
        <v>188</v>
      </c>
      <c r="AC3" s="377" t="s">
        <v>189</v>
      </c>
      <c r="AD3" s="377" t="s">
        <v>190</v>
      </c>
      <c r="AE3" s="377" t="s">
        <v>185</v>
      </c>
      <c r="AF3" s="377" t="s">
        <v>191</v>
      </c>
      <c r="AG3" s="377" t="s">
        <v>178</v>
      </c>
      <c r="AH3" s="382">
        <v>15.81</v>
      </c>
      <c r="AI3" s="380">
        <v>104</v>
      </c>
      <c r="AJ3" s="377" t="s">
        <v>179</v>
      </c>
      <c r="AK3" s="377" t="s">
        <v>180</v>
      </c>
      <c r="AL3" s="377" t="s">
        <v>181</v>
      </c>
      <c r="AM3" s="377" t="s">
        <v>192</v>
      </c>
      <c r="AN3" s="377" t="s">
        <v>66</v>
      </c>
      <c r="AO3" s="380">
        <v>80</v>
      </c>
      <c r="AP3" s="463">
        <v>1</v>
      </c>
      <c r="AQ3" s="463">
        <v>1</v>
      </c>
      <c r="AR3" s="461" t="s">
        <v>182</v>
      </c>
      <c r="AS3" s="465">
        <f t="shared" ref="AS3:AS13" si="0">IF(((AO3/80)*AP3*P3)&gt;1,AQ3,((AO3/80)*AP3*P3))</f>
        <v>1</v>
      </c>
      <c r="AT3">
        <f t="shared" ref="AT3:AT13" si="1">IF(AND(M3="F",N3&lt;&gt;"NG",AS3&lt;&gt;0,AND(AR3&lt;&gt;6,AR3&lt;&gt;36,AR3&lt;&gt;56),AG3&lt;&gt;"A",OR(AG3="H",AJ3="FS")),1,IF(AND(M3="F",N3&lt;&gt;"NG",AS3&lt;&gt;0,AG3="A"),3,0))</f>
        <v>1</v>
      </c>
      <c r="AU3" s="465">
        <f>IF(AT3=0,"",IF(AND(AT3=1,M3="F",SUMIF(C2:C13,C3,AS2:AS13)&lt;=1),SUMIF(C2:C13,C3,AS2:AS13),IF(AND(AT3=1,M3="F",SUMIF(C2:C13,C3,AS2:AS13)&gt;1),1,"")))</f>
        <v>1</v>
      </c>
      <c r="AV3" s="465" t="str">
        <f>IF(AT3=0,"",IF(AND(AT3=3,M3="F",SUMIF(C2:C13,C3,AS2:AS13)&lt;=1),SUMIF(C2:C13,C3,AS2:AS13),IF(AND(AT3=3,M3="F",SUMIF(C2:C13,C3,AS2:AS13)&gt;1),1,"")))</f>
        <v/>
      </c>
      <c r="AW3" s="465">
        <f>SUMIF(C2:C13,C3,O2:O13)</f>
        <v>1</v>
      </c>
      <c r="AX3" s="465">
        <f>IF(AND(M3="F",AS3&lt;&gt;0),SUMIF(C2:C13,C3,W2:W13),0)</f>
        <v>32884.800000000003</v>
      </c>
      <c r="AY3" s="465">
        <f t="shared" ref="AY3:AY13" si="2">IF(AT3=1,W3,"")</f>
        <v>32884.800000000003</v>
      </c>
      <c r="AZ3" s="465" t="str">
        <f t="shared" ref="AZ3:AZ13" si="3">IF(AT3=3,W3,"")</f>
        <v/>
      </c>
      <c r="BA3" s="465">
        <f t="shared" ref="BA3:BA13" si="4">IF(AT3=1,Y3-W3,0)</f>
        <v>0</v>
      </c>
      <c r="BB3" s="465">
        <f>IF(AND(AT3=1,AK3="E",AU3&gt;=0.75,AW3=1),Health,IF(AND(AT3=1,AK3="E",AU3&gt;=0.75),Health*P3,IF(AND(AT3=1,AK3="E",AU3&gt;=0.5,AW3=1),PTHealth,IF(AND(AT3=1,AK3="E",AU3&gt;=0.5),PTHealth*P3,0))))</f>
        <v>12500</v>
      </c>
      <c r="BC3" s="465">
        <f>IF(AND(AT3=3,AK3="E",AV3&gt;=0.75,AW3=1),Health,IF(AND(AT3=3,AK3="E",AV3&gt;=0.75),Health*P3,IF(AND(AT3=3,AK3="E",AV3&gt;=0.5,AW3=1),PTHealth,IF(AND(AT3=3,AK3="E",AV3&gt;=0.5),PTHealth*P3,0))))</f>
        <v>0</v>
      </c>
      <c r="BD3" s="465">
        <f>IF(AND(AT3&lt;&gt;0,AX3&gt;=MAXSSDI),SSDI*MAXSSDI*P3,IF(AT3&lt;&gt;0,SSDI*W3,0))</f>
        <v>2038.8576000000003</v>
      </c>
      <c r="BE3" s="465">
        <f>IF(AT3&lt;&gt;0,SSHI*W3,0)</f>
        <v>476.82960000000008</v>
      </c>
      <c r="BF3" s="465">
        <f>IF(AND(AT3&lt;&gt;0,AN3&lt;&gt;"NE"),VLOOKUP(AN3,Retirement_Rates,3,FALSE)*W3,0)</f>
        <v>3926.4451200000008</v>
      </c>
      <c r="BG3" s="465">
        <f>IF(AND(AT3&lt;&gt;0,AJ3&lt;&gt;"PF"),Life*W3,0)</f>
        <v>237.09940800000004</v>
      </c>
      <c r="BH3" s="465">
        <f>IF(AND(AT3&lt;&gt;0,AM3="Y"),UI*W3,0)</f>
        <v>0</v>
      </c>
      <c r="BI3" s="465">
        <f>IF(AND(AT3&lt;&gt;0,N3&lt;&gt;"NR"),DHR*W3,0)</f>
        <v>182.017368</v>
      </c>
      <c r="BJ3" s="465">
        <f>IF(AT3&lt;&gt;0,WC*W3,0)</f>
        <v>98.65440000000001</v>
      </c>
      <c r="BK3" s="465">
        <f>IF(OR(AND(AT3&lt;&gt;0,AJ3&lt;&gt;"PF",AN3&lt;&gt;"NE",AG3&lt;&gt;"A"),AND(AL3="E",OR(AT3=1,AT3=3))),Sick*W3,0)</f>
        <v>0</v>
      </c>
      <c r="BL3" s="465">
        <f t="shared" ref="BL3:BL13" si="5">IF(AT3=1,SUM(BD3:BK3),0)</f>
        <v>6959.9034960000008</v>
      </c>
      <c r="BM3" s="465">
        <f t="shared" ref="BM3:BM13" si="6">IF(AT3=3,SUM(BD3:BK3),0)</f>
        <v>0</v>
      </c>
      <c r="BN3" s="465">
        <f>IF(AND(AT3=1,AK3="E",AU3&gt;=0.75,AW3=1),HealthBY,IF(AND(AT3=1,AK3="E",AU3&gt;=0.75),HealthBY*P3,IF(AND(AT3=1,AK3="E",AU3&gt;=0.5,AW3=1),PTHealthBY,IF(AND(AT3=1,AK3="E",AU3&gt;=0.5),PTHealthBY*P3,0))))</f>
        <v>13750</v>
      </c>
      <c r="BO3" s="465">
        <f>IF(AND(AT3=3,AK3="E",AV3&gt;=0.75,AW3=1),HealthBY,IF(AND(AT3=3,AK3="E",AV3&gt;=0.75),HealthBY*P3,IF(AND(AT3=3,AK3="E",AV3&gt;=0.5,AW3=1),PTHealthBY,IF(AND(AT3=3,AK3="E",AV3&gt;=0.5),PTHealthBY*P3,0))))</f>
        <v>0</v>
      </c>
      <c r="BP3" s="465">
        <f>IF(AND(AT3&lt;&gt;0,(AX3+BA3)&gt;=MAXSSDIBY),SSDIBY*MAXSSDIBY*P3,IF(AT3&lt;&gt;0,SSDIBY*W3,0))</f>
        <v>2038.8576000000003</v>
      </c>
      <c r="BQ3" s="465">
        <f>IF(AT3&lt;&gt;0,SSHIBY*W3,0)</f>
        <v>476.82960000000008</v>
      </c>
      <c r="BR3" s="465">
        <f>IF(AND(AT3&lt;&gt;0,AN3&lt;&gt;"NE"),VLOOKUP(AN3,Retirement_Rates,4,FALSE)*W3,0)</f>
        <v>3676.5206400000002</v>
      </c>
      <c r="BS3" s="465">
        <f>IF(AND(AT3&lt;&gt;0,AJ3&lt;&gt;"PF"),LifeBY*W3,0)</f>
        <v>237.09940800000004</v>
      </c>
      <c r="BT3" s="465">
        <f>IF(AND(AT3&lt;&gt;0,AM3="Y"),UIBY*W3,0)</f>
        <v>0</v>
      </c>
      <c r="BU3" s="465">
        <f>IF(AND(AT3&lt;&gt;0,N3&lt;&gt;"NR"),DHRBY*W3,0)</f>
        <v>182.017368</v>
      </c>
      <c r="BV3" s="465">
        <f>IF(AT3&lt;&gt;0,WCBY*W3,0)</f>
        <v>72.346560000000011</v>
      </c>
      <c r="BW3" s="465">
        <f>IF(OR(AND(AT3&lt;&gt;0,AJ3&lt;&gt;"PF",AN3&lt;&gt;"NE",AG3&lt;&gt;"A"),AND(AL3="E",OR(AT3=1,AT3=3))),SickBY*W3,0)</f>
        <v>0</v>
      </c>
      <c r="BX3" s="465">
        <f t="shared" ref="BX3:BX13" si="7">IF(AT3=1,SUM(BP3:BW3),0)</f>
        <v>6683.6711760000007</v>
      </c>
      <c r="BY3" s="465">
        <f t="shared" ref="BY3:BY13" si="8">IF(AT3=3,SUM(BP3:BW3),0)</f>
        <v>0</v>
      </c>
      <c r="BZ3" s="465">
        <f t="shared" ref="BZ3:BZ13" si="9">IF(AT3=1,BN3-BB3,0)</f>
        <v>1250</v>
      </c>
      <c r="CA3" s="465">
        <f t="shared" ref="CA3:CA13" si="10">IF(AT3=3,BO3-BC3,0)</f>
        <v>0</v>
      </c>
      <c r="CB3" s="465">
        <f t="shared" ref="CB3:CB13" si="11">BP3-BD3</f>
        <v>0</v>
      </c>
      <c r="CC3" s="465">
        <f>IF(AT3&lt;&gt;0,SSHICHG*Y3,0)</f>
        <v>0</v>
      </c>
      <c r="CD3" s="465">
        <f>IF(AND(AT3&lt;&gt;0,AN3&lt;&gt;"NE"),VLOOKUP(AN3,Retirement_Rates,5,FALSE)*Y3,0)</f>
        <v>-249.92448000000033</v>
      </c>
      <c r="CE3" s="465">
        <f>IF(AND(AT3&lt;&gt;0,AJ3&lt;&gt;"PF"),LifeCHG*Y3,0)</f>
        <v>0</v>
      </c>
      <c r="CF3" s="465">
        <f>IF(AND(AT3&lt;&gt;0,AM3="Y"),UICHG*Y3,0)</f>
        <v>0</v>
      </c>
      <c r="CG3" s="465">
        <f>IF(AND(AT3&lt;&gt;0,N3&lt;&gt;"NR"),DHRCHG*Y3,0)</f>
        <v>0</v>
      </c>
      <c r="CH3" s="465">
        <f>IF(AT3&lt;&gt;0,WCCHG*Y3,0)</f>
        <v>-26.307839999999999</v>
      </c>
      <c r="CI3" s="465">
        <f>IF(OR(AND(AT3&lt;&gt;0,AJ3&lt;&gt;"PF",AN3&lt;&gt;"NE",AG3&lt;&gt;"A"),AND(AL3="E",OR(AT3=1,AT3=3))),SickCHG*Y3,0)</f>
        <v>0</v>
      </c>
      <c r="CJ3" s="465">
        <f t="shared" ref="CJ3:CJ13" si="12">IF(AT3=1,SUM(CB3:CI3),0)</f>
        <v>-276.2323200000003</v>
      </c>
      <c r="CK3" s="465" t="str">
        <f t="shared" ref="CK3:CK13" si="13">IF(AT3=3,SUM(CB3:CI3),"")</f>
        <v/>
      </c>
      <c r="CL3" s="465" t="str">
        <f t="shared" ref="CL3:CL13" si="14">IF(OR(N3="NG",AG3="D"),(T3+U3),"")</f>
        <v/>
      </c>
      <c r="CM3" s="465" t="str">
        <f t="shared" ref="CM3:CM13" si="15">IF(OR(N3="NG",AG3="D"),V3,"")</f>
        <v/>
      </c>
      <c r="CN3" s="465" t="str">
        <f t="shared" ref="CN3:CN13" si="16">E3 &amp; "-" &amp; F3</f>
        <v>0305-00</v>
      </c>
    </row>
    <row r="4" spans="1:92" ht="15.75" thickBot="1" x14ac:dyDescent="0.3">
      <c r="A4" s="377" t="s">
        <v>162</v>
      </c>
      <c r="B4" s="377" t="s">
        <v>163</v>
      </c>
      <c r="C4" s="377" t="s">
        <v>193</v>
      </c>
      <c r="D4" s="377" t="s">
        <v>194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195</v>
      </c>
      <c r="L4" s="377" t="s">
        <v>181</v>
      </c>
      <c r="M4" s="377" t="s">
        <v>171</v>
      </c>
      <c r="N4" s="377" t="s">
        <v>186</v>
      </c>
      <c r="O4" s="380">
        <v>1</v>
      </c>
      <c r="P4" s="463">
        <v>1</v>
      </c>
      <c r="Q4" s="463">
        <v>1</v>
      </c>
      <c r="R4" s="381">
        <v>80</v>
      </c>
      <c r="S4" s="463">
        <v>1</v>
      </c>
      <c r="T4" s="381">
        <v>79173.63</v>
      </c>
      <c r="U4" s="381">
        <v>0</v>
      </c>
      <c r="V4" s="381">
        <v>28377.19</v>
      </c>
      <c r="W4" s="381">
        <v>82929.600000000006</v>
      </c>
      <c r="X4" s="381">
        <v>30052.01</v>
      </c>
      <c r="Y4" s="381">
        <v>82929.600000000006</v>
      </c>
      <c r="Z4" s="381">
        <v>30605.4</v>
      </c>
      <c r="AA4" s="377" t="s">
        <v>196</v>
      </c>
      <c r="AB4" s="377" t="s">
        <v>197</v>
      </c>
      <c r="AC4" s="377" t="s">
        <v>198</v>
      </c>
      <c r="AD4" s="377" t="s">
        <v>199</v>
      </c>
      <c r="AE4" s="377" t="s">
        <v>195</v>
      </c>
      <c r="AF4" s="377" t="s">
        <v>200</v>
      </c>
      <c r="AG4" s="377" t="s">
        <v>178</v>
      </c>
      <c r="AH4" s="382">
        <v>39.869999999999997</v>
      </c>
      <c r="AI4" s="380">
        <v>14829</v>
      </c>
      <c r="AJ4" s="377" t="s">
        <v>179</v>
      </c>
      <c r="AK4" s="377" t="s">
        <v>180</v>
      </c>
      <c r="AL4" s="377" t="s">
        <v>181</v>
      </c>
      <c r="AM4" s="377" t="s">
        <v>192</v>
      </c>
      <c r="AN4" s="377" t="s">
        <v>66</v>
      </c>
      <c r="AO4" s="380">
        <v>80</v>
      </c>
      <c r="AP4" s="463">
        <v>1</v>
      </c>
      <c r="AQ4" s="463">
        <v>1</v>
      </c>
      <c r="AR4" s="461" t="s">
        <v>182</v>
      </c>
      <c r="AS4" s="465">
        <f t="shared" si="0"/>
        <v>1</v>
      </c>
      <c r="AT4">
        <f t="shared" si="1"/>
        <v>1</v>
      </c>
      <c r="AU4" s="465">
        <f>IF(AT4=0,"",IF(AND(AT4=1,M4="F",SUMIF(C2:C13,C4,AS2:AS13)&lt;=1),SUMIF(C2:C13,C4,AS2:AS13),IF(AND(AT4=1,M4="F",SUMIF(C2:C13,C4,AS2:AS13)&gt;1),1,"")))</f>
        <v>1</v>
      </c>
      <c r="AV4" s="465" t="str">
        <f>IF(AT4=0,"",IF(AND(AT4=3,M4="F",SUMIF(C2:C13,C4,AS2:AS13)&lt;=1),SUMIF(C2:C13,C4,AS2:AS13),IF(AND(AT4=3,M4="F",SUMIF(C2:C13,C4,AS2:AS13)&gt;1),1,"")))</f>
        <v/>
      </c>
      <c r="AW4" s="465">
        <f>SUMIF(C2:C13,C4,O2:O13)</f>
        <v>1</v>
      </c>
      <c r="AX4" s="465">
        <f>IF(AND(M4="F",AS4&lt;&gt;0),SUMIF(C2:C13,C4,W2:W13),0)</f>
        <v>82929.600000000006</v>
      </c>
      <c r="AY4" s="465">
        <f t="shared" si="2"/>
        <v>82929.600000000006</v>
      </c>
      <c r="AZ4" s="465" t="str">
        <f t="shared" si="3"/>
        <v/>
      </c>
      <c r="BA4" s="465">
        <f t="shared" si="4"/>
        <v>0</v>
      </c>
      <c r="BB4" s="465">
        <f>IF(AND(AT4=1,AK4="E",AU4&gt;=0.75,AW4=1),Health,IF(AND(AT4=1,AK4="E",AU4&gt;=0.75),Health*P4,IF(AND(AT4=1,AK4="E",AU4&gt;=0.5,AW4=1),PTHealth,IF(AND(AT4=1,AK4="E",AU4&gt;=0.5),PTHealth*P4,0))))</f>
        <v>12500</v>
      </c>
      <c r="BC4" s="465">
        <f>IF(AND(AT4=3,AK4="E",AV4&gt;=0.75,AW4=1),Health,IF(AND(AT4=3,AK4="E",AV4&gt;=0.75),Health*P4,IF(AND(AT4=3,AK4="E",AV4&gt;=0.5,AW4=1),PTHealth,IF(AND(AT4=3,AK4="E",AV4&gt;=0.5),PTHealth*P4,0))))</f>
        <v>0</v>
      </c>
      <c r="BD4" s="465">
        <f>IF(AND(AT4&lt;&gt;0,AX4&gt;=MAXSSDI),SSDI*MAXSSDI*P4,IF(AT4&lt;&gt;0,SSDI*W4,0))</f>
        <v>5141.6352000000006</v>
      </c>
      <c r="BE4" s="465">
        <f>IF(AT4&lt;&gt;0,SSHI*W4,0)</f>
        <v>1202.4792000000002</v>
      </c>
      <c r="BF4" s="465">
        <f>IF(AND(AT4&lt;&gt;0,AN4&lt;&gt;"NE"),VLOOKUP(AN4,Retirement_Rates,3,FALSE)*W4,0)</f>
        <v>9901.7942400000011</v>
      </c>
      <c r="BG4" s="465">
        <f>IF(AND(AT4&lt;&gt;0,AJ4&lt;&gt;"PF"),Life*W4,0)</f>
        <v>597.92241600000011</v>
      </c>
      <c r="BH4" s="465">
        <f>IF(AND(AT4&lt;&gt;0,AM4="Y"),UI*W4,0)</f>
        <v>0</v>
      </c>
      <c r="BI4" s="465">
        <f>IF(AND(AT4&lt;&gt;0,N4&lt;&gt;"NR"),DHR*W4,0)</f>
        <v>459.01533600000005</v>
      </c>
      <c r="BJ4" s="465">
        <f>IF(AT4&lt;&gt;0,WC*W4,0)</f>
        <v>248.78880000000001</v>
      </c>
      <c r="BK4" s="465">
        <f>IF(OR(AND(AT4&lt;&gt;0,AJ4&lt;&gt;"PF",AN4&lt;&gt;"NE",AG4&lt;&gt;"A"),AND(AL4="E",OR(AT4=1,AT4=3))),Sick*W4,0)</f>
        <v>0</v>
      </c>
      <c r="BL4" s="465">
        <f t="shared" si="5"/>
        <v>17551.635192000002</v>
      </c>
      <c r="BM4" s="465">
        <f t="shared" si="6"/>
        <v>0</v>
      </c>
      <c r="BN4" s="465">
        <f>IF(AND(AT4=1,AK4="E",AU4&gt;=0.75,AW4=1),HealthBY,IF(AND(AT4=1,AK4="E",AU4&gt;=0.75),HealthBY*P4,IF(AND(AT4=1,AK4="E",AU4&gt;=0.5,AW4=1),PTHealthBY,IF(AND(AT4=1,AK4="E",AU4&gt;=0.5),PTHealthBY*P4,0))))</f>
        <v>13750</v>
      </c>
      <c r="BO4" s="465">
        <f>IF(AND(AT4=3,AK4="E",AV4&gt;=0.75,AW4=1),HealthBY,IF(AND(AT4=3,AK4="E",AV4&gt;=0.75),HealthBY*P4,IF(AND(AT4=3,AK4="E",AV4&gt;=0.5,AW4=1),PTHealthBY,IF(AND(AT4=3,AK4="E",AV4&gt;=0.5),PTHealthBY*P4,0))))</f>
        <v>0</v>
      </c>
      <c r="BP4" s="465">
        <f>IF(AND(AT4&lt;&gt;0,(AX4+BA4)&gt;=MAXSSDIBY),SSDIBY*MAXSSDIBY*P4,IF(AT4&lt;&gt;0,SSDIBY*W4,0))</f>
        <v>5141.6352000000006</v>
      </c>
      <c r="BQ4" s="465">
        <f>IF(AT4&lt;&gt;0,SSHIBY*W4,0)</f>
        <v>1202.4792000000002</v>
      </c>
      <c r="BR4" s="465">
        <f>IF(AND(AT4&lt;&gt;0,AN4&lt;&gt;"NE"),VLOOKUP(AN4,Retirement_Rates,4,FALSE)*W4,0)</f>
        <v>9271.5292800000007</v>
      </c>
      <c r="BS4" s="465">
        <f>IF(AND(AT4&lt;&gt;0,AJ4&lt;&gt;"PF"),LifeBY*W4,0)</f>
        <v>597.92241600000011</v>
      </c>
      <c r="BT4" s="465">
        <f>IF(AND(AT4&lt;&gt;0,AM4="Y"),UIBY*W4,0)</f>
        <v>0</v>
      </c>
      <c r="BU4" s="465">
        <f>IF(AND(AT4&lt;&gt;0,N4&lt;&gt;"NR"),DHRBY*W4,0)</f>
        <v>459.01533600000005</v>
      </c>
      <c r="BV4" s="465">
        <f>IF(AT4&lt;&gt;0,WCBY*W4,0)</f>
        <v>182.44512000000003</v>
      </c>
      <c r="BW4" s="465">
        <f>IF(OR(AND(AT4&lt;&gt;0,AJ4&lt;&gt;"PF",AN4&lt;&gt;"NE",AG4&lt;&gt;"A"),AND(AL4="E",OR(AT4=1,AT4=3))),SickBY*W4,0)</f>
        <v>0</v>
      </c>
      <c r="BX4" s="465">
        <f t="shared" si="7"/>
        <v>16855.026551999999</v>
      </c>
      <c r="BY4" s="465">
        <f t="shared" si="8"/>
        <v>0</v>
      </c>
      <c r="BZ4" s="465">
        <f t="shared" si="9"/>
        <v>1250</v>
      </c>
      <c r="CA4" s="465">
        <f t="shared" si="10"/>
        <v>0</v>
      </c>
      <c r="CB4" s="465">
        <f t="shared" si="11"/>
        <v>0</v>
      </c>
      <c r="CC4" s="465">
        <f>IF(AT4&lt;&gt;0,SSHICHG*Y4,0)</f>
        <v>0</v>
      </c>
      <c r="CD4" s="465">
        <f>IF(AND(AT4&lt;&gt;0,AN4&lt;&gt;"NE"),VLOOKUP(AN4,Retirement_Rates,5,FALSE)*Y4,0)</f>
        <v>-630.26496000000088</v>
      </c>
      <c r="CE4" s="465">
        <f>IF(AND(AT4&lt;&gt;0,AJ4&lt;&gt;"PF"),LifeCHG*Y4,0)</f>
        <v>0</v>
      </c>
      <c r="CF4" s="465">
        <f>IF(AND(AT4&lt;&gt;0,AM4="Y"),UICHG*Y4,0)</f>
        <v>0</v>
      </c>
      <c r="CG4" s="465">
        <f>IF(AND(AT4&lt;&gt;0,N4&lt;&gt;"NR"),DHRCHG*Y4,0)</f>
        <v>0</v>
      </c>
      <c r="CH4" s="465">
        <f>IF(AT4&lt;&gt;0,WCCHG*Y4,0)</f>
        <v>-66.343679999999992</v>
      </c>
      <c r="CI4" s="465">
        <f>IF(OR(AND(AT4&lt;&gt;0,AJ4&lt;&gt;"PF",AN4&lt;&gt;"NE",AG4&lt;&gt;"A"),AND(AL4="E",OR(AT4=1,AT4=3))),SickCHG*Y4,0)</f>
        <v>0</v>
      </c>
      <c r="CJ4" s="465">
        <f t="shared" si="12"/>
        <v>-696.60864000000083</v>
      </c>
      <c r="CK4" s="465" t="str">
        <f t="shared" si="13"/>
        <v/>
      </c>
      <c r="CL4" s="465" t="str">
        <f t="shared" si="14"/>
        <v/>
      </c>
      <c r="CM4" s="465" t="str">
        <f t="shared" si="15"/>
        <v/>
      </c>
      <c r="CN4" s="465" t="str">
        <f t="shared" si="16"/>
        <v>0305-00</v>
      </c>
    </row>
    <row r="5" spans="1:92" ht="15.75" thickBot="1" x14ac:dyDescent="0.3">
      <c r="A5" s="377" t="s">
        <v>162</v>
      </c>
      <c r="B5" s="377" t="s">
        <v>163</v>
      </c>
      <c r="C5" s="377" t="s">
        <v>201</v>
      </c>
      <c r="D5" s="377" t="s">
        <v>202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203</v>
      </c>
      <c r="L5" s="377" t="s">
        <v>204</v>
      </c>
      <c r="M5" s="377" t="s">
        <v>171</v>
      </c>
      <c r="N5" s="377" t="s">
        <v>186</v>
      </c>
      <c r="O5" s="380">
        <v>1</v>
      </c>
      <c r="P5" s="463">
        <v>1</v>
      </c>
      <c r="Q5" s="463">
        <v>1</v>
      </c>
      <c r="R5" s="381">
        <v>80</v>
      </c>
      <c r="S5" s="463">
        <v>1</v>
      </c>
      <c r="T5" s="381">
        <v>62899.199999999997</v>
      </c>
      <c r="U5" s="381">
        <v>0</v>
      </c>
      <c r="V5" s="381">
        <v>25016.13</v>
      </c>
      <c r="W5" s="381">
        <v>69992</v>
      </c>
      <c r="X5" s="381">
        <v>27313.78</v>
      </c>
      <c r="Y5" s="381">
        <v>69992</v>
      </c>
      <c r="Z5" s="381">
        <v>27975.85</v>
      </c>
      <c r="AA5" s="377" t="s">
        <v>205</v>
      </c>
      <c r="AB5" s="377" t="s">
        <v>206</v>
      </c>
      <c r="AC5" s="377" t="s">
        <v>207</v>
      </c>
      <c r="AD5" s="377" t="s">
        <v>208</v>
      </c>
      <c r="AE5" s="377" t="s">
        <v>203</v>
      </c>
      <c r="AF5" s="377" t="s">
        <v>209</v>
      </c>
      <c r="AG5" s="377" t="s">
        <v>178</v>
      </c>
      <c r="AH5" s="382">
        <v>33.65</v>
      </c>
      <c r="AI5" s="382">
        <v>22952.6</v>
      </c>
      <c r="AJ5" s="377" t="s">
        <v>179</v>
      </c>
      <c r="AK5" s="377" t="s">
        <v>180</v>
      </c>
      <c r="AL5" s="377" t="s">
        <v>181</v>
      </c>
      <c r="AM5" s="377" t="s">
        <v>192</v>
      </c>
      <c r="AN5" s="377" t="s">
        <v>66</v>
      </c>
      <c r="AO5" s="380">
        <v>80</v>
      </c>
      <c r="AP5" s="463">
        <v>1</v>
      </c>
      <c r="AQ5" s="463">
        <v>1</v>
      </c>
      <c r="AR5" s="461" t="s">
        <v>182</v>
      </c>
      <c r="AS5" s="465">
        <f t="shared" si="0"/>
        <v>1</v>
      </c>
      <c r="AT5">
        <f t="shared" si="1"/>
        <v>1</v>
      </c>
      <c r="AU5" s="465">
        <f>IF(AT5=0,"",IF(AND(AT5=1,M5="F",SUMIF(C2:C13,C5,AS2:AS13)&lt;=1),SUMIF(C2:C13,C5,AS2:AS13),IF(AND(AT5=1,M5="F",SUMIF(C2:C13,C5,AS2:AS13)&gt;1),1,"")))</f>
        <v>1</v>
      </c>
      <c r="AV5" s="465" t="str">
        <f>IF(AT5=0,"",IF(AND(AT5=3,M5="F",SUMIF(C2:C13,C5,AS2:AS13)&lt;=1),SUMIF(C2:C13,C5,AS2:AS13),IF(AND(AT5=3,M5="F",SUMIF(C2:C13,C5,AS2:AS13)&gt;1),1,"")))</f>
        <v/>
      </c>
      <c r="AW5" s="465">
        <f>SUMIF(C2:C13,C5,O2:O13)</f>
        <v>1</v>
      </c>
      <c r="AX5" s="465">
        <f>IF(AND(M5="F",AS5&lt;&gt;0),SUMIF(C2:C13,C5,W2:W13),0)</f>
        <v>69992</v>
      </c>
      <c r="AY5" s="465">
        <f t="shared" si="2"/>
        <v>69992</v>
      </c>
      <c r="AZ5" s="465" t="str">
        <f t="shared" si="3"/>
        <v/>
      </c>
      <c r="BA5" s="465">
        <f t="shared" si="4"/>
        <v>0</v>
      </c>
      <c r="BB5" s="465">
        <f>IF(AND(AT5=1,AK5="E",AU5&gt;=0.75,AW5=1),Health,IF(AND(AT5=1,AK5="E",AU5&gt;=0.75),Health*P5,IF(AND(AT5=1,AK5="E",AU5&gt;=0.5,AW5=1),PTHealth,IF(AND(AT5=1,AK5="E",AU5&gt;=0.5),PTHealth*P5,0))))</f>
        <v>12500</v>
      </c>
      <c r="BC5" s="465">
        <f>IF(AND(AT5=3,AK5="E",AV5&gt;=0.75,AW5=1),Health,IF(AND(AT5=3,AK5="E",AV5&gt;=0.75),Health*P5,IF(AND(AT5=3,AK5="E",AV5&gt;=0.5,AW5=1),PTHealth,IF(AND(AT5=3,AK5="E",AV5&gt;=0.5),PTHealth*P5,0))))</f>
        <v>0</v>
      </c>
      <c r="BD5" s="465">
        <f>IF(AND(AT5&lt;&gt;0,AX5&gt;=MAXSSDI),SSDI*MAXSSDI*P5,IF(AT5&lt;&gt;0,SSDI*W5,0))</f>
        <v>4339.5039999999999</v>
      </c>
      <c r="BE5" s="465">
        <f>IF(AT5&lt;&gt;0,SSHI*W5,0)</f>
        <v>1014.884</v>
      </c>
      <c r="BF5" s="465">
        <f>IF(AND(AT5&lt;&gt;0,AN5&lt;&gt;"NE"),VLOOKUP(AN5,Retirement_Rates,3,FALSE)*W5,0)</f>
        <v>8357.0447999999997</v>
      </c>
      <c r="BG5" s="465">
        <f>IF(AND(AT5&lt;&gt;0,AJ5&lt;&gt;"PF"),Life*W5,0)</f>
        <v>504.64232000000004</v>
      </c>
      <c r="BH5" s="465">
        <f>IF(AND(AT5&lt;&gt;0,AM5="Y"),UI*W5,0)</f>
        <v>0</v>
      </c>
      <c r="BI5" s="465">
        <f>IF(AND(AT5&lt;&gt;0,N5&lt;&gt;"NR"),DHR*W5,0)</f>
        <v>387.40571999999997</v>
      </c>
      <c r="BJ5" s="465">
        <f>IF(AT5&lt;&gt;0,WC*W5,0)</f>
        <v>209.976</v>
      </c>
      <c r="BK5" s="465">
        <f>IF(OR(AND(AT5&lt;&gt;0,AJ5&lt;&gt;"PF",AN5&lt;&gt;"NE",AG5&lt;&gt;"A"),AND(AL5="E",OR(AT5=1,AT5=3))),Sick*W5,0)</f>
        <v>0</v>
      </c>
      <c r="BL5" s="465">
        <f t="shared" si="5"/>
        <v>14813.456840000001</v>
      </c>
      <c r="BM5" s="465">
        <f t="shared" si="6"/>
        <v>0</v>
      </c>
      <c r="BN5" s="465">
        <f>IF(AND(AT5=1,AK5="E",AU5&gt;=0.75,AW5=1),HealthBY,IF(AND(AT5=1,AK5="E",AU5&gt;=0.75),HealthBY*P5,IF(AND(AT5=1,AK5="E",AU5&gt;=0.5,AW5=1),PTHealthBY,IF(AND(AT5=1,AK5="E",AU5&gt;=0.5),PTHealthBY*P5,0))))</f>
        <v>13750</v>
      </c>
      <c r="BO5" s="465">
        <f>IF(AND(AT5=3,AK5="E",AV5&gt;=0.75,AW5=1),HealthBY,IF(AND(AT5=3,AK5="E",AV5&gt;=0.75),HealthBY*P5,IF(AND(AT5=3,AK5="E",AV5&gt;=0.5,AW5=1),PTHealthBY,IF(AND(AT5=3,AK5="E",AV5&gt;=0.5),PTHealthBY*P5,0))))</f>
        <v>0</v>
      </c>
      <c r="BP5" s="465">
        <f>IF(AND(AT5&lt;&gt;0,(AX5+BA5)&gt;=MAXSSDIBY),SSDIBY*MAXSSDIBY*P5,IF(AT5&lt;&gt;0,SSDIBY*W5,0))</f>
        <v>4339.5039999999999</v>
      </c>
      <c r="BQ5" s="465">
        <f>IF(AT5&lt;&gt;0,SSHIBY*W5,0)</f>
        <v>1014.884</v>
      </c>
      <c r="BR5" s="465">
        <f>IF(AND(AT5&lt;&gt;0,AN5&lt;&gt;"NE"),VLOOKUP(AN5,Retirement_Rates,4,FALSE)*W5,0)</f>
        <v>7825.1055999999999</v>
      </c>
      <c r="BS5" s="465">
        <f>IF(AND(AT5&lt;&gt;0,AJ5&lt;&gt;"PF"),LifeBY*W5,0)</f>
        <v>504.64232000000004</v>
      </c>
      <c r="BT5" s="465">
        <f>IF(AND(AT5&lt;&gt;0,AM5="Y"),UIBY*W5,0)</f>
        <v>0</v>
      </c>
      <c r="BU5" s="465">
        <f>IF(AND(AT5&lt;&gt;0,N5&lt;&gt;"NR"),DHRBY*W5,0)</f>
        <v>387.40571999999997</v>
      </c>
      <c r="BV5" s="465">
        <f>IF(AT5&lt;&gt;0,WCBY*W5,0)</f>
        <v>153.98240000000001</v>
      </c>
      <c r="BW5" s="465">
        <f>IF(OR(AND(AT5&lt;&gt;0,AJ5&lt;&gt;"PF",AN5&lt;&gt;"NE",AG5&lt;&gt;"A"),AND(AL5="E",OR(AT5=1,AT5=3))),SickBY*W5,0)</f>
        <v>0</v>
      </c>
      <c r="BX5" s="465">
        <f t="shared" si="7"/>
        <v>14225.524040000002</v>
      </c>
      <c r="BY5" s="465">
        <f t="shared" si="8"/>
        <v>0</v>
      </c>
      <c r="BZ5" s="465">
        <f t="shared" si="9"/>
        <v>1250</v>
      </c>
      <c r="CA5" s="465">
        <f t="shared" si="10"/>
        <v>0</v>
      </c>
      <c r="CB5" s="465">
        <f t="shared" si="11"/>
        <v>0</v>
      </c>
      <c r="CC5" s="465">
        <f>IF(AT5&lt;&gt;0,SSHICHG*Y5,0)</f>
        <v>0</v>
      </c>
      <c r="CD5" s="465">
        <f>IF(AND(AT5&lt;&gt;0,AN5&lt;&gt;"NE"),VLOOKUP(AN5,Retirement_Rates,5,FALSE)*Y5,0)</f>
        <v>-531.93920000000071</v>
      </c>
      <c r="CE5" s="465">
        <f>IF(AND(AT5&lt;&gt;0,AJ5&lt;&gt;"PF"),LifeCHG*Y5,0)</f>
        <v>0</v>
      </c>
      <c r="CF5" s="465">
        <f>IF(AND(AT5&lt;&gt;0,AM5="Y"),UICHG*Y5,0)</f>
        <v>0</v>
      </c>
      <c r="CG5" s="465">
        <f>IF(AND(AT5&lt;&gt;0,N5&lt;&gt;"NR"),DHRCHG*Y5,0)</f>
        <v>0</v>
      </c>
      <c r="CH5" s="465">
        <f>IF(AT5&lt;&gt;0,WCCHG*Y5,0)</f>
        <v>-55.993599999999994</v>
      </c>
      <c r="CI5" s="465">
        <f>IF(OR(AND(AT5&lt;&gt;0,AJ5&lt;&gt;"PF",AN5&lt;&gt;"NE",AG5&lt;&gt;"A"),AND(AL5="E",OR(AT5=1,AT5=3))),SickCHG*Y5,0)</f>
        <v>0</v>
      </c>
      <c r="CJ5" s="465">
        <f t="shared" si="12"/>
        <v>-587.93280000000073</v>
      </c>
      <c r="CK5" s="465" t="str">
        <f t="shared" si="13"/>
        <v/>
      </c>
      <c r="CL5" s="465" t="str">
        <f t="shared" si="14"/>
        <v/>
      </c>
      <c r="CM5" s="465" t="str">
        <f t="shared" si="15"/>
        <v/>
      </c>
      <c r="CN5" s="465" t="str">
        <f t="shared" si="16"/>
        <v>0305-00</v>
      </c>
    </row>
    <row r="6" spans="1:92" ht="15.75" thickBot="1" x14ac:dyDescent="0.3">
      <c r="A6" s="377" t="s">
        <v>162</v>
      </c>
      <c r="B6" s="377" t="s">
        <v>163</v>
      </c>
      <c r="C6" s="377" t="s">
        <v>210</v>
      </c>
      <c r="D6" s="377" t="s">
        <v>211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212</v>
      </c>
      <c r="L6" s="377" t="s">
        <v>213</v>
      </c>
      <c r="M6" s="377" t="s">
        <v>171</v>
      </c>
      <c r="N6" s="377" t="s">
        <v>186</v>
      </c>
      <c r="O6" s="380">
        <v>1</v>
      </c>
      <c r="P6" s="463">
        <v>1</v>
      </c>
      <c r="Q6" s="463">
        <v>1</v>
      </c>
      <c r="R6" s="381">
        <v>80</v>
      </c>
      <c r="S6" s="463">
        <v>1</v>
      </c>
      <c r="T6" s="381">
        <v>70865.710000000006</v>
      </c>
      <c r="U6" s="381">
        <v>0</v>
      </c>
      <c r="V6" s="381">
        <v>26650.82</v>
      </c>
      <c r="W6" s="381">
        <v>77147.199999999997</v>
      </c>
      <c r="X6" s="381">
        <v>28828.18</v>
      </c>
      <c r="Y6" s="381">
        <v>77147.199999999997</v>
      </c>
      <c r="Z6" s="381">
        <v>29430.14</v>
      </c>
      <c r="AA6" s="377" t="s">
        <v>214</v>
      </c>
      <c r="AB6" s="377" t="s">
        <v>215</v>
      </c>
      <c r="AC6" s="377" t="s">
        <v>216</v>
      </c>
      <c r="AD6" s="377" t="s">
        <v>204</v>
      </c>
      <c r="AE6" s="377" t="s">
        <v>212</v>
      </c>
      <c r="AF6" s="377" t="s">
        <v>217</v>
      </c>
      <c r="AG6" s="377" t="s">
        <v>178</v>
      </c>
      <c r="AH6" s="382">
        <v>37.090000000000003</v>
      </c>
      <c r="AI6" s="380">
        <v>35693</v>
      </c>
      <c r="AJ6" s="377" t="s">
        <v>179</v>
      </c>
      <c r="AK6" s="377" t="s">
        <v>180</v>
      </c>
      <c r="AL6" s="377" t="s">
        <v>181</v>
      </c>
      <c r="AM6" s="377" t="s">
        <v>192</v>
      </c>
      <c r="AN6" s="377" t="s">
        <v>66</v>
      </c>
      <c r="AO6" s="380">
        <v>80</v>
      </c>
      <c r="AP6" s="463">
        <v>1</v>
      </c>
      <c r="AQ6" s="463">
        <v>1</v>
      </c>
      <c r="AR6" s="461" t="s">
        <v>182</v>
      </c>
      <c r="AS6" s="465">
        <f t="shared" si="0"/>
        <v>1</v>
      </c>
      <c r="AT6">
        <f t="shared" si="1"/>
        <v>1</v>
      </c>
      <c r="AU6" s="465">
        <f>IF(AT6=0,"",IF(AND(AT6=1,M6="F",SUMIF(C2:C13,C6,AS2:AS13)&lt;=1),SUMIF(C2:C13,C6,AS2:AS13),IF(AND(AT6=1,M6="F",SUMIF(C2:C13,C6,AS2:AS13)&gt;1),1,"")))</f>
        <v>1</v>
      </c>
      <c r="AV6" s="465" t="str">
        <f>IF(AT6=0,"",IF(AND(AT6=3,M6="F",SUMIF(C2:C13,C6,AS2:AS13)&lt;=1),SUMIF(C2:C13,C6,AS2:AS13),IF(AND(AT6=3,M6="F",SUMIF(C2:C13,C6,AS2:AS13)&gt;1),1,"")))</f>
        <v/>
      </c>
      <c r="AW6" s="465">
        <f>SUMIF(C2:C13,C6,O2:O13)</f>
        <v>1</v>
      </c>
      <c r="AX6" s="465">
        <f>IF(AND(M6="F",AS6&lt;&gt;0),SUMIF(C2:C13,C6,W2:W13),0)</f>
        <v>77147.199999999997</v>
      </c>
      <c r="AY6" s="465">
        <f t="shared" si="2"/>
        <v>77147.199999999997</v>
      </c>
      <c r="AZ6" s="465" t="str">
        <f t="shared" si="3"/>
        <v/>
      </c>
      <c r="BA6" s="465">
        <f t="shared" si="4"/>
        <v>0</v>
      </c>
      <c r="BB6" s="465">
        <f>IF(AND(AT6=1,AK6="E",AU6&gt;=0.75,AW6=1),Health,IF(AND(AT6=1,AK6="E",AU6&gt;=0.75),Health*P6,IF(AND(AT6=1,AK6="E",AU6&gt;=0.5,AW6=1),PTHealth,IF(AND(AT6=1,AK6="E",AU6&gt;=0.5),PTHealth*P6,0))))</f>
        <v>12500</v>
      </c>
      <c r="BC6" s="465">
        <f>IF(AND(AT6=3,AK6="E",AV6&gt;=0.75,AW6=1),Health,IF(AND(AT6=3,AK6="E",AV6&gt;=0.75),Health*P6,IF(AND(AT6=3,AK6="E",AV6&gt;=0.5,AW6=1),PTHealth,IF(AND(AT6=3,AK6="E",AV6&gt;=0.5),PTHealth*P6,0))))</f>
        <v>0</v>
      </c>
      <c r="BD6" s="465">
        <f>IF(AND(AT6&lt;&gt;0,AX6&gt;=MAXSSDI),SSDI*MAXSSDI*P6,IF(AT6&lt;&gt;0,SSDI*W6,0))</f>
        <v>4783.1264000000001</v>
      </c>
      <c r="BE6" s="465">
        <f>IF(AT6&lt;&gt;0,SSHI*W6,0)</f>
        <v>1118.6343999999999</v>
      </c>
      <c r="BF6" s="465">
        <f>IF(AND(AT6&lt;&gt;0,AN6&lt;&gt;"NE"),VLOOKUP(AN6,Retirement_Rates,3,FALSE)*W6,0)</f>
        <v>9211.375680000001</v>
      </c>
      <c r="BG6" s="465">
        <f>IF(AND(AT6&lt;&gt;0,AJ6&lt;&gt;"PF"),Life*W6,0)</f>
        <v>556.231312</v>
      </c>
      <c r="BH6" s="465">
        <f>IF(AND(AT6&lt;&gt;0,AM6="Y"),UI*W6,0)</f>
        <v>0</v>
      </c>
      <c r="BI6" s="465">
        <f>IF(AND(AT6&lt;&gt;0,N6&lt;&gt;"NR"),DHR*W6,0)</f>
        <v>427.00975199999999</v>
      </c>
      <c r="BJ6" s="465">
        <f>IF(AT6&lt;&gt;0,WC*W6,0)</f>
        <v>231.44159999999999</v>
      </c>
      <c r="BK6" s="465">
        <f>IF(OR(AND(AT6&lt;&gt;0,AJ6&lt;&gt;"PF",AN6&lt;&gt;"NE",AG6&lt;&gt;"A"),AND(AL6="E",OR(AT6=1,AT6=3))),Sick*W6,0)</f>
        <v>0</v>
      </c>
      <c r="BL6" s="465">
        <f t="shared" si="5"/>
        <v>16327.819144000001</v>
      </c>
      <c r="BM6" s="465">
        <f t="shared" si="6"/>
        <v>0</v>
      </c>
      <c r="BN6" s="465">
        <f>IF(AND(AT6=1,AK6="E",AU6&gt;=0.75,AW6=1),HealthBY,IF(AND(AT6=1,AK6="E",AU6&gt;=0.75),HealthBY*P6,IF(AND(AT6=1,AK6="E",AU6&gt;=0.5,AW6=1),PTHealthBY,IF(AND(AT6=1,AK6="E",AU6&gt;=0.5),PTHealthBY*P6,0))))</f>
        <v>13750</v>
      </c>
      <c r="BO6" s="465">
        <f>IF(AND(AT6=3,AK6="E",AV6&gt;=0.75,AW6=1),HealthBY,IF(AND(AT6=3,AK6="E",AV6&gt;=0.75),HealthBY*P6,IF(AND(AT6=3,AK6="E",AV6&gt;=0.5,AW6=1),PTHealthBY,IF(AND(AT6=3,AK6="E",AV6&gt;=0.5),PTHealthBY*P6,0))))</f>
        <v>0</v>
      </c>
      <c r="BP6" s="465">
        <f>IF(AND(AT6&lt;&gt;0,(AX6+BA6)&gt;=MAXSSDIBY),SSDIBY*MAXSSDIBY*P6,IF(AT6&lt;&gt;0,SSDIBY*W6,0))</f>
        <v>4783.1264000000001</v>
      </c>
      <c r="BQ6" s="465">
        <f>IF(AT6&lt;&gt;0,SSHIBY*W6,0)</f>
        <v>1118.6343999999999</v>
      </c>
      <c r="BR6" s="465">
        <f>IF(AND(AT6&lt;&gt;0,AN6&lt;&gt;"NE"),VLOOKUP(AN6,Retirement_Rates,4,FALSE)*W6,0)</f>
        <v>8625.0569599999999</v>
      </c>
      <c r="BS6" s="465">
        <f>IF(AND(AT6&lt;&gt;0,AJ6&lt;&gt;"PF"),LifeBY*W6,0)</f>
        <v>556.231312</v>
      </c>
      <c r="BT6" s="465">
        <f>IF(AND(AT6&lt;&gt;0,AM6="Y"),UIBY*W6,0)</f>
        <v>0</v>
      </c>
      <c r="BU6" s="465">
        <f>IF(AND(AT6&lt;&gt;0,N6&lt;&gt;"NR"),DHRBY*W6,0)</f>
        <v>427.00975199999999</v>
      </c>
      <c r="BV6" s="465">
        <f>IF(AT6&lt;&gt;0,WCBY*W6,0)</f>
        <v>169.72384</v>
      </c>
      <c r="BW6" s="465">
        <f>IF(OR(AND(AT6&lt;&gt;0,AJ6&lt;&gt;"PF",AN6&lt;&gt;"NE",AG6&lt;&gt;"A"),AND(AL6="E",OR(AT6=1,AT6=3))),SickBY*W6,0)</f>
        <v>0</v>
      </c>
      <c r="BX6" s="465">
        <f t="shared" si="7"/>
        <v>15679.782664</v>
      </c>
      <c r="BY6" s="465">
        <f t="shared" si="8"/>
        <v>0</v>
      </c>
      <c r="BZ6" s="465">
        <f t="shared" si="9"/>
        <v>1250</v>
      </c>
      <c r="CA6" s="465">
        <f t="shared" si="10"/>
        <v>0</v>
      </c>
      <c r="CB6" s="465">
        <f t="shared" si="11"/>
        <v>0</v>
      </c>
      <c r="CC6" s="465">
        <f>IF(AT6&lt;&gt;0,SSHICHG*Y6,0)</f>
        <v>0</v>
      </c>
      <c r="CD6" s="465">
        <f>IF(AND(AT6&lt;&gt;0,AN6&lt;&gt;"NE"),VLOOKUP(AN6,Retirement_Rates,5,FALSE)*Y6,0)</f>
        <v>-586.31872000000067</v>
      </c>
      <c r="CE6" s="465">
        <f>IF(AND(AT6&lt;&gt;0,AJ6&lt;&gt;"PF"),LifeCHG*Y6,0)</f>
        <v>0</v>
      </c>
      <c r="CF6" s="465">
        <f>IF(AND(AT6&lt;&gt;0,AM6="Y"),UICHG*Y6,0)</f>
        <v>0</v>
      </c>
      <c r="CG6" s="465">
        <f>IF(AND(AT6&lt;&gt;0,N6&lt;&gt;"NR"),DHRCHG*Y6,0)</f>
        <v>0</v>
      </c>
      <c r="CH6" s="465">
        <f>IF(AT6&lt;&gt;0,WCCHG*Y6,0)</f>
        <v>-61.717759999999991</v>
      </c>
      <c r="CI6" s="465">
        <f>IF(OR(AND(AT6&lt;&gt;0,AJ6&lt;&gt;"PF",AN6&lt;&gt;"NE",AG6&lt;&gt;"A"),AND(AL6="E",OR(AT6=1,AT6=3))),SickCHG*Y6,0)</f>
        <v>0</v>
      </c>
      <c r="CJ6" s="465">
        <f t="shared" si="12"/>
        <v>-648.03648000000067</v>
      </c>
      <c r="CK6" s="465" t="str">
        <f t="shared" si="13"/>
        <v/>
      </c>
      <c r="CL6" s="465" t="str">
        <f t="shared" si="14"/>
        <v/>
      </c>
      <c r="CM6" s="465" t="str">
        <f t="shared" si="15"/>
        <v/>
      </c>
      <c r="CN6" s="465" t="str">
        <f t="shared" si="16"/>
        <v>0305-00</v>
      </c>
    </row>
    <row r="7" spans="1:92" ht="15.75" thickBot="1" x14ac:dyDescent="0.3">
      <c r="A7" s="377" t="s">
        <v>162</v>
      </c>
      <c r="B7" s="377" t="s">
        <v>163</v>
      </c>
      <c r="C7" s="377" t="s">
        <v>218</v>
      </c>
      <c r="D7" s="377" t="s">
        <v>219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220</v>
      </c>
      <c r="L7" s="377" t="s">
        <v>190</v>
      </c>
      <c r="M7" s="377" t="s">
        <v>171</v>
      </c>
      <c r="N7" s="377" t="s">
        <v>186</v>
      </c>
      <c r="O7" s="380">
        <v>1</v>
      </c>
      <c r="P7" s="463">
        <v>1</v>
      </c>
      <c r="Q7" s="463">
        <v>1</v>
      </c>
      <c r="R7" s="381">
        <v>80</v>
      </c>
      <c r="S7" s="463">
        <v>1</v>
      </c>
      <c r="T7" s="381">
        <v>21566.95</v>
      </c>
      <c r="U7" s="381">
        <v>0</v>
      </c>
      <c r="V7" s="381">
        <v>10872.2</v>
      </c>
      <c r="W7" s="381">
        <v>45884.800000000003</v>
      </c>
      <c r="X7" s="381">
        <v>22211.48</v>
      </c>
      <c r="Y7" s="381">
        <v>45884.800000000003</v>
      </c>
      <c r="Z7" s="381">
        <v>23076.05</v>
      </c>
      <c r="AA7" s="377" t="s">
        <v>221</v>
      </c>
      <c r="AB7" s="377" t="s">
        <v>222</v>
      </c>
      <c r="AC7" s="377" t="s">
        <v>223</v>
      </c>
      <c r="AD7" s="377" t="s">
        <v>224</v>
      </c>
      <c r="AE7" s="377" t="s">
        <v>220</v>
      </c>
      <c r="AF7" s="377" t="s">
        <v>225</v>
      </c>
      <c r="AG7" s="377" t="s">
        <v>178</v>
      </c>
      <c r="AH7" s="382">
        <v>22.06</v>
      </c>
      <c r="AI7" s="382">
        <v>13258.6</v>
      </c>
      <c r="AJ7" s="377" t="s">
        <v>179</v>
      </c>
      <c r="AK7" s="377" t="s">
        <v>180</v>
      </c>
      <c r="AL7" s="377" t="s">
        <v>181</v>
      </c>
      <c r="AM7" s="377" t="s">
        <v>192</v>
      </c>
      <c r="AN7" s="377" t="s">
        <v>66</v>
      </c>
      <c r="AO7" s="380">
        <v>80</v>
      </c>
      <c r="AP7" s="463">
        <v>1</v>
      </c>
      <c r="AQ7" s="463">
        <v>1</v>
      </c>
      <c r="AR7" s="461" t="s">
        <v>182</v>
      </c>
      <c r="AS7" s="465">
        <f t="shared" si="0"/>
        <v>1</v>
      </c>
      <c r="AT7">
        <f t="shared" si="1"/>
        <v>1</v>
      </c>
      <c r="AU7" s="465">
        <f>IF(AT7=0,"",IF(AND(AT7=1,M7="F",SUMIF(C2:C13,C7,AS2:AS13)&lt;=1),SUMIF(C2:C13,C7,AS2:AS13),IF(AND(AT7=1,M7="F",SUMIF(C2:C13,C7,AS2:AS13)&gt;1),1,"")))</f>
        <v>1</v>
      </c>
      <c r="AV7" s="465" t="str">
        <f>IF(AT7=0,"",IF(AND(AT7=3,M7="F",SUMIF(C2:C13,C7,AS2:AS13)&lt;=1),SUMIF(C2:C13,C7,AS2:AS13),IF(AND(AT7=3,M7="F",SUMIF(C2:C13,C7,AS2:AS13)&gt;1),1,"")))</f>
        <v/>
      </c>
      <c r="AW7" s="465">
        <f>SUMIF(C2:C13,C7,O2:O13)</f>
        <v>2</v>
      </c>
      <c r="AX7" s="465">
        <f>IF(AND(M7="F",AS7&lt;&gt;0),SUMIF(C2:C13,C7,W2:W13),0)</f>
        <v>45884.800000000003</v>
      </c>
      <c r="AY7" s="465">
        <f t="shared" si="2"/>
        <v>45884.800000000003</v>
      </c>
      <c r="AZ7" s="465" t="str">
        <f t="shared" si="3"/>
        <v/>
      </c>
      <c r="BA7" s="465">
        <f t="shared" si="4"/>
        <v>0</v>
      </c>
      <c r="BB7" s="465">
        <f>IF(AND(AT7=1,AK7="E",AU7&gt;=0.75,AW7=1),Health,IF(AND(AT7=1,AK7="E",AU7&gt;=0.75),Health*P7,IF(AND(AT7=1,AK7="E",AU7&gt;=0.5,AW7=1),PTHealth,IF(AND(AT7=1,AK7="E",AU7&gt;=0.5),PTHealth*P7,0))))</f>
        <v>12500</v>
      </c>
      <c r="BC7" s="465">
        <f>IF(AND(AT7=3,AK7="E",AV7&gt;=0.75,AW7=1),Health,IF(AND(AT7=3,AK7="E",AV7&gt;=0.75),Health*P7,IF(AND(AT7=3,AK7="E",AV7&gt;=0.5,AW7=1),PTHealth,IF(AND(AT7=3,AK7="E",AV7&gt;=0.5),PTHealth*P7,0))))</f>
        <v>0</v>
      </c>
      <c r="BD7" s="465">
        <f>IF(AND(AT7&lt;&gt;0,AX7&gt;=MAXSSDI),SSDI*MAXSSDI*P7,IF(AT7&lt;&gt;0,SSDI*W7,0))</f>
        <v>2844.8576000000003</v>
      </c>
      <c r="BE7" s="465">
        <f>IF(AT7&lt;&gt;0,SSHI*W7,0)</f>
        <v>665.32960000000003</v>
      </c>
      <c r="BF7" s="465">
        <f>IF(AND(AT7&lt;&gt;0,AN7&lt;&gt;"NE"),VLOOKUP(AN7,Retirement_Rates,3,FALSE)*W7,0)</f>
        <v>5478.645120000001</v>
      </c>
      <c r="BG7" s="465">
        <f>IF(AND(AT7&lt;&gt;0,AJ7&lt;&gt;"PF"),Life*W7,0)</f>
        <v>330.82940800000006</v>
      </c>
      <c r="BH7" s="465">
        <f>IF(AND(AT7&lt;&gt;0,AM7="Y"),UI*W7,0)</f>
        <v>0</v>
      </c>
      <c r="BI7" s="465">
        <f>IF(AND(AT7&lt;&gt;0,N7&lt;&gt;"NR"),DHR*W7,0)</f>
        <v>253.97236800000002</v>
      </c>
      <c r="BJ7" s="465">
        <f>IF(AT7&lt;&gt;0,WC*W7,0)</f>
        <v>137.65440000000001</v>
      </c>
      <c r="BK7" s="465">
        <f>IF(OR(AND(AT7&lt;&gt;0,AJ7&lt;&gt;"PF",AN7&lt;&gt;"NE",AG7&lt;&gt;"A"),AND(AL7="E",OR(AT7=1,AT7=3))),Sick*W7,0)</f>
        <v>0</v>
      </c>
      <c r="BL7" s="465">
        <f t="shared" si="5"/>
        <v>9711.288496000001</v>
      </c>
      <c r="BM7" s="465">
        <f t="shared" si="6"/>
        <v>0</v>
      </c>
      <c r="BN7" s="465">
        <f>IF(AND(AT7=1,AK7="E",AU7&gt;=0.75,AW7=1),HealthBY,IF(AND(AT7=1,AK7="E",AU7&gt;=0.75),HealthBY*P7,IF(AND(AT7=1,AK7="E",AU7&gt;=0.5,AW7=1),PTHealthBY,IF(AND(AT7=1,AK7="E",AU7&gt;=0.5),PTHealthBY*P7,0))))</f>
        <v>13750</v>
      </c>
      <c r="BO7" s="465">
        <f>IF(AND(AT7=3,AK7="E",AV7&gt;=0.75,AW7=1),HealthBY,IF(AND(AT7=3,AK7="E",AV7&gt;=0.75),HealthBY*P7,IF(AND(AT7=3,AK7="E",AV7&gt;=0.5,AW7=1),PTHealthBY,IF(AND(AT7=3,AK7="E",AV7&gt;=0.5),PTHealthBY*P7,0))))</f>
        <v>0</v>
      </c>
      <c r="BP7" s="465">
        <f>IF(AND(AT7&lt;&gt;0,(AX7+BA7)&gt;=MAXSSDIBY),SSDIBY*MAXSSDIBY*P7,IF(AT7&lt;&gt;0,SSDIBY*W7,0))</f>
        <v>2844.8576000000003</v>
      </c>
      <c r="BQ7" s="465">
        <f>IF(AT7&lt;&gt;0,SSHIBY*W7,0)</f>
        <v>665.32960000000003</v>
      </c>
      <c r="BR7" s="465">
        <f>IF(AND(AT7&lt;&gt;0,AN7&lt;&gt;"NE"),VLOOKUP(AN7,Retirement_Rates,4,FALSE)*W7,0)</f>
        <v>5129.9206400000003</v>
      </c>
      <c r="BS7" s="465">
        <f>IF(AND(AT7&lt;&gt;0,AJ7&lt;&gt;"PF"),LifeBY*W7,0)</f>
        <v>330.82940800000006</v>
      </c>
      <c r="BT7" s="465">
        <f>IF(AND(AT7&lt;&gt;0,AM7="Y"),UIBY*W7,0)</f>
        <v>0</v>
      </c>
      <c r="BU7" s="465">
        <f>IF(AND(AT7&lt;&gt;0,N7&lt;&gt;"NR"),DHRBY*W7,0)</f>
        <v>253.97236800000002</v>
      </c>
      <c r="BV7" s="465">
        <f>IF(AT7&lt;&gt;0,WCBY*W7,0)</f>
        <v>100.94656000000002</v>
      </c>
      <c r="BW7" s="465">
        <f>IF(OR(AND(AT7&lt;&gt;0,AJ7&lt;&gt;"PF",AN7&lt;&gt;"NE",AG7&lt;&gt;"A"),AND(AL7="E",OR(AT7=1,AT7=3))),SickBY*W7,0)</f>
        <v>0</v>
      </c>
      <c r="BX7" s="465">
        <f t="shared" si="7"/>
        <v>9325.8561760000011</v>
      </c>
      <c r="BY7" s="465">
        <f t="shared" si="8"/>
        <v>0</v>
      </c>
      <c r="BZ7" s="465">
        <f t="shared" si="9"/>
        <v>1250</v>
      </c>
      <c r="CA7" s="465">
        <f t="shared" si="10"/>
        <v>0</v>
      </c>
      <c r="CB7" s="465">
        <f t="shared" si="11"/>
        <v>0</v>
      </c>
      <c r="CC7" s="465">
        <f>IF(AT7&lt;&gt;0,SSHICHG*Y7,0)</f>
        <v>0</v>
      </c>
      <c r="CD7" s="465">
        <f>IF(AND(AT7&lt;&gt;0,AN7&lt;&gt;"NE"),VLOOKUP(AN7,Retirement_Rates,5,FALSE)*Y7,0)</f>
        <v>-348.72448000000048</v>
      </c>
      <c r="CE7" s="465">
        <f>IF(AND(AT7&lt;&gt;0,AJ7&lt;&gt;"PF"),LifeCHG*Y7,0)</f>
        <v>0</v>
      </c>
      <c r="CF7" s="465">
        <f>IF(AND(AT7&lt;&gt;0,AM7="Y"),UICHG*Y7,0)</f>
        <v>0</v>
      </c>
      <c r="CG7" s="465">
        <f>IF(AND(AT7&lt;&gt;0,N7&lt;&gt;"NR"),DHRCHG*Y7,0)</f>
        <v>0</v>
      </c>
      <c r="CH7" s="465">
        <f>IF(AT7&lt;&gt;0,WCCHG*Y7,0)</f>
        <v>-36.707839999999997</v>
      </c>
      <c r="CI7" s="465">
        <f>IF(OR(AND(AT7&lt;&gt;0,AJ7&lt;&gt;"PF",AN7&lt;&gt;"NE",AG7&lt;&gt;"A"),AND(AL7="E",OR(AT7=1,AT7=3))),SickCHG*Y7,0)</f>
        <v>0</v>
      </c>
      <c r="CJ7" s="465">
        <f t="shared" si="12"/>
        <v>-385.43232000000046</v>
      </c>
      <c r="CK7" s="465" t="str">
        <f t="shared" si="13"/>
        <v/>
      </c>
      <c r="CL7" s="465" t="str">
        <f t="shared" si="14"/>
        <v/>
      </c>
      <c r="CM7" s="465" t="str">
        <f t="shared" si="15"/>
        <v/>
      </c>
      <c r="CN7" s="465" t="str">
        <f t="shared" si="16"/>
        <v>0305-00</v>
      </c>
    </row>
    <row r="8" spans="1:92" ht="15.75" thickBot="1" x14ac:dyDescent="0.3">
      <c r="A8" s="377" t="s">
        <v>162</v>
      </c>
      <c r="B8" s="377" t="s">
        <v>163</v>
      </c>
      <c r="C8" s="377" t="s">
        <v>226</v>
      </c>
      <c r="D8" s="377" t="s">
        <v>227</v>
      </c>
      <c r="E8" s="377" t="s">
        <v>228</v>
      </c>
      <c r="F8" s="383" t="s">
        <v>229</v>
      </c>
      <c r="G8" s="377" t="s">
        <v>168</v>
      </c>
      <c r="H8" s="379"/>
      <c r="I8" s="379"/>
      <c r="J8" s="377" t="s">
        <v>169</v>
      </c>
      <c r="K8" s="377" t="s">
        <v>230</v>
      </c>
      <c r="L8" s="377" t="s">
        <v>224</v>
      </c>
      <c r="M8" s="377" t="s">
        <v>231</v>
      </c>
      <c r="N8" s="377" t="s">
        <v>232</v>
      </c>
      <c r="O8" s="380">
        <v>0</v>
      </c>
      <c r="P8" s="463">
        <v>1</v>
      </c>
      <c r="Q8" s="463">
        <v>1</v>
      </c>
      <c r="R8" s="381">
        <v>80</v>
      </c>
      <c r="S8" s="463">
        <v>1</v>
      </c>
      <c r="T8" s="381">
        <v>0</v>
      </c>
      <c r="U8" s="381">
        <v>0</v>
      </c>
      <c r="V8" s="381">
        <v>0</v>
      </c>
      <c r="W8" s="381">
        <v>48817.599999999999</v>
      </c>
      <c r="X8" s="381">
        <v>21967.919999999998</v>
      </c>
      <c r="Y8" s="381">
        <v>48817.599999999999</v>
      </c>
      <c r="Z8" s="381">
        <v>22749</v>
      </c>
      <c r="AA8" s="379"/>
      <c r="AB8" s="379"/>
      <c r="AC8" s="379"/>
      <c r="AD8" s="379"/>
      <c r="AE8" s="379"/>
      <c r="AF8" s="379"/>
      <c r="AG8" s="379"/>
      <c r="AH8" s="380">
        <v>0</v>
      </c>
      <c r="AI8" s="380">
        <v>0</v>
      </c>
      <c r="AJ8" s="379"/>
      <c r="AK8" s="379"/>
      <c r="AL8" s="377" t="s">
        <v>181</v>
      </c>
      <c r="AM8" s="379"/>
      <c r="AN8" s="379"/>
      <c r="AO8" s="380">
        <v>0</v>
      </c>
      <c r="AP8" s="463">
        <v>0</v>
      </c>
      <c r="AQ8" s="463">
        <v>0</v>
      </c>
      <c r="AR8" s="462"/>
      <c r="AS8" s="465">
        <f t="shared" si="0"/>
        <v>0</v>
      </c>
      <c r="AT8">
        <f t="shared" si="1"/>
        <v>0</v>
      </c>
      <c r="AU8" s="465" t="str">
        <f>IF(AT8=0,"",IF(AND(AT8=1,M8="F",SUMIF(C2:C13,C8,AS2:AS13)&lt;=1),SUMIF(C2:C13,C8,AS2:AS13),IF(AND(AT8=1,M8="F",SUMIF(C2:C13,C8,AS2:AS13)&gt;1),1,"")))</f>
        <v/>
      </c>
      <c r="AV8" s="465" t="str">
        <f>IF(AT8=0,"",IF(AND(AT8=3,M8="F",SUMIF(C2:C13,C8,AS2:AS13)&lt;=1),SUMIF(C2:C13,C8,AS2:AS13),IF(AND(AT8=3,M8="F",SUMIF(C2:C13,C8,AS2:AS13)&gt;1),1,"")))</f>
        <v/>
      </c>
      <c r="AW8" s="465">
        <f>SUMIF(C2:C13,C8,O2:O13)</f>
        <v>0</v>
      </c>
      <c r="AX8" s="465">
        <f>IF(AND(M8="F",AS8&lt;&gt;0),SUMIF(C2:C13,C8,W2:W13),0)</f>
        <v>0</v>
      </c>
      <c r="AY8" s="465" t="str">
        <f t="shared" si="2"/>
        <v/>
      </c>
      <c r="AZ8" s="465" t="str">
        <f t="shared" si="3"/>
        <v/>
      </c>
      <c r="BA8" s="465">
        <f t="shared" si="4"/>
        <v>0</v>
      </c>
      <c r="BB8" s="465">
        <f>IF(AND(AT8=1,AK8="E",AU8&gt;=0.75,AW8=1),Health,IF(AND(AT8=1,AK8="E",AU8&gt;=0.75),Health*P8,IF(AND(AT8=1,AK8="E",AU8&gt;=0.5,AW8=1),PTHealth,IF(AND(AT8=1,AK8="E",AU8&gt;=0.5),PTHealth*P8,0))))</f>
        <v>0</v>
      </c>
      <c r="BC8" s="465">
        <f>IF(AND(AT8=3,AK8="E",AV8&gt;=0.75,AW8=1),Health,IF(AND(AT8=3,AK8="E",AV8&gt;=0.75),Health*P8,IF(AND(AT8=3,AK8="E",AV8&gt;=0.5,AW8=1),PTHealth,IF(AND(AT8=3,AK8="E",AV8&gt;=0.5),PTHealth*P8,0))))</f>
        <v>0</v>
      </c>
      <c r="BD8" s="465">
        <f>IF(AND(AT8&lt;&gt;0,AX8&gt;=MAXSSDI),SSDI*MAXSSDI*P8,IF(AT8&lt;&gt;0,SSDI*W8,0))</f>
        <v>0</v>
      </c>
      <c r="BE8" s="465">
        <f>IF(AT8&lt;&gt;0,SSHI*W8,0)</f>
        <v>0</v>
      </c>
      <c r="BF8" s="465">
        <f>IF(AND(AT8&lt;&gt;0,AN8&lt;&gt;"NE"),VLOOKUP(AN8,Retirement_Rates,3,FALSE)*W8,0)</f>
        <v>0</v>
      </c>
      <c r="BG8" s="465">
        <f>IF(AND(AT8&lt;&gt;0,AJ8&lt;&gt;"PF"),Life*W8,0)</f>
        <v>0</v>
      </c>
      <c r="BH8" s="465">
        <f>IF(AND(AT8&lt;&gt;0,AM8="Y"),UI*W8,0)</f>
        <v>0</v>
      </c>
      <c r="BI8" s="465">
        <f>IF(AND(AT8&lt;&gt;0,N8&lt;&gt;"NR"),DHR*W8,0)</f>
        <v>0</v>
      </c>
      <c r="BJ8" s="465">
        <f>IF(AT8&lt;&gt;0,WC*W8,0)</f>
        <v>0</v>
      </c>
      <c r="BK8" s="465">
        <f>IF(OR(AND(AT8&lt;&gt;0,AJ8&lt;&gt;"PF",AN8&lt;&gt;"NE",AG8&lt;&gt;"A"),AND(AL8="E",OR(AT8=1,AT8=3))),Sick*W8,0)</f>
        <v>0</v>
      </c>
      <c r="BL8" s="465">
        <f t="shared" si="5"/>
        <v>0</v>
      </c>
      <c r="BM8" s="465">
        <f t="shared" si="6"/>
        <v>0</v>
      </c>
      <c r="BN8" s="465">
        <f>IF(AND(AT8=1,AK8="E",AU8&gt;=0.75,AW8=1),HealthBY,IF(AND(AT8=1,AK8="E",AU8&gt;=0.75),HealthBY*P8,IF(AND(AT8=1,AK8="E",AU8&gt;=0.5,AW8=1),PTHealthBY,IF(AND(AT8=1,AK8="E",AU8&gt;=0.5),PTHealthBY*P8,0))))</f>
        <v>0</v>
      </c>
      <c r="BO8" s="465">
        <f>IF(AND(AT8=3,AK8="E",AV8&gt;=0.75,AW8=1),HealthBY,IF(AND(AT8=3,AK8="E",AV8&gt;=0.75),HealthBY*P8,IF(AND(AT8=3,AK8="E",AV8&gt;=0.5,AW8=1),PTHealthBY,IF(AND(AT8=3,AK8="E",AV8&gt;=0.5),PTHealthBY*P8,0))))</f>
        <v>0</v>
      </c>
      <c r="BP8" s="465">
        <f>IF(AND(AT8&lt;&gt;0,(AX8+BA8)&gt;=MAXSSDIBY),SSDIBY*MAXSSDIBY*P8,IF(AT8&lt;&gt;0,SSDIBY*W8,0))</f>
        <v>0</v>
      </c>
      <c r="BQ8" s="465">
        <f>IF(AT8&lt;&gt;0,SSHIBY*W8,0)</f>
        <v>0</v>
      </c>
      <c r="BR8" s="465">
        <f>IF(AND(AT8&lt;&gt;0,AN8&lt;&gt;"NE"),VLOOKUP(AN8,Retirement_Rates,4,FALSE)*W8,0)</f>
        <v>0</v>
      </c>
      <c r="BS8" s="465">
        <f>IF(AND(AT8&lt;&gt;0,AJ8&lt;&gt;"PF"),LifeBY*W8,0)</f>
        <v>0</v>
      </c>
      <c r="BT8" s="465">
        <f>IF(AND(AT8&lt;&gt;0,AM8="Y"),UIBY*W8,0)</f>
        <v>0</v>
      </c>
      <c r="BU8" s="465">
        <f>IF(AND(AT8&lt;&gt;0,N8&lt;&gt;"NR"),DHRBY*W8,0)</f>
        <v>0</v>
      </c>
      <c r="BV8" s="465">
        <f>IF(AT8&lt;&gt;0,WCBY*W8,0)</f>
        <v>0</v>
      </c>
      <c r="BW8" s="465">
        <f>IF(OR(AND(AT8&lt;&gt;0,AJ8&lt;&gt;"PF",AN8&lt;&gt;"NE",AG8&lt;&gt;"A"),AND(AL8="E",OR(AT8=1,AT8=3))),SickBY*W8,0)</f>
        <v>0</v>
      </c>
      <c r="BX8" s="465">
        <f t="shared" si="7"/>
        <v>0</v>
      </c>
      <c r="BY8" s="465">
        <f t="shared" si="8"/>
        <v>0</v>
      </c>
      <c r="BZ8" s="465">
        <f t="shared" si="9"/>
        <v>0</v>
      </c>
      <c r="CA8" s="465">
        <f t="shared" si="10"/>
        <v>0</v>
      </c>
      <c r="CB8" s="465">
        <f t="shared" si="11"/>
        <v>0</v>
      </c>
      <c r="CC8" s="465">
        <f>IF(AT8&lt;&gt;0,SSHICHG*Y8,0)</f>
        <v>0</v>
      </c>
      <c r="CD8" s="465">
        <f>IF(AND(AT8&lt;&gt;0,AN8&lt;&gt;"NE"),VLOOKUP(AN8,Retirement_Rates,5,FALSE)*Y8,0)</f>
        <v>0</v>
      </c>
      <c r="CE8" s="465">
        <f>IF(AND(AT8&lt;&gt;0,AJ8&lt;&gt;"PF"),LifeCHG*Y8,0)</f>
        <v>0</v>
      </c>
      <c r="CF8" s="465">
        <f>IF(AND(AT8&lt;&gt;0,AM8="Y"),UICHG*Y8,0)</f>
        <v>0</v>
      </c>
      <c r="CG8" s="465">
        <f>IF(AND(AT8&lt;&gt;0,N8&lt;&gt;"NR"),DHRCHG*Y8,0)</f>
        <v>0</v>
      </c>
      <c r="CH8" s="465">
        <f>IF(AT8&lt;&gt;0,WCCHG*Y8,0)</f>
        <v>0</v>
      </c>
      <c r="CI8" s="465">
        <f>IF(OR(AND(AT8&lt;&gt;0,AJ8&lt;&gt;"PF",AN8&lt;&gt;"NE",AG8&lt;&gt;"A"),AND(AL8="E",OR(AT8=1,AT8=3))),SickCHG*Y8,0)</f>
        <v>0</v>
      </c>
      <c r="CJ8" s="465">
        <f t="shared" si="12"/>
        <v>0</v>
      </c>
      <c r="CK8" s="465" t="str">
        <f t="shared" si="13"/>
        <v/>
      </c>
      <c r="CL8" s="465" t="str">
        <f t="shared" si="14"/>
        <v/>
      </c>
      <c r="CM8" s="465" t="str">
        <f t="shared" si="15"/>
        <v/>
      </c>
      <c r="CN8" s="465" t="str">
        <f t="shared" si="16"/>
        <v>0344-30</v>
      </c>
    </row>
    <row r="9" spans="1:92" ht="15.75" thickBot="1" x14ac:dyDescent="0.3">
      <c r="A9" s="377" t="s">
        <v>162</v>
      </c>
      <c r="B9" s="377" t="s">
        <v>163</v>
      </c>
      <c r="C9" s="377" t="s">
        <v>233</v>
      </c>
      <c r="D9" s="377" t="s">
        <v>227</v>
      </c>
      <c r="E9" s="377" t="s">
        <v>228</v>
      </c>
      <c r="F9" s="383" t="s">
        <v>229</v>
      </c>
      <c r="G9" s="377" t="s">
        <v>168</v>
      </c>
      <c r="H9" s="379"/>
      <c r="I9" s="379"/>
      <c r="J9" s="377" t="s">
        <v>169</v>
      </c>
      <c r="K9" s="377" t="s">
        <v>230</v>
      </c>
      <c r="L9" s="377" t="s">
        <v>224</v>
      </c>
      <c r="M9" s="377" t="s">
        <v>231</v>
      </c>
      <c r="N9" s="377" t="s">
        <v>232</v>
      </c>
      <c r="O9" s="380">
        <v>0</v>
      </c>
      <c r="P9" s="463">
        <v>1</v>
      </c>
      <c r="Q9" s="463">
        <v>1</v>
      </c>
      <c r="R9" s="381">
        <v>80</v>
      </c>
      <c r="S9" s="463">
        <v>1</v>
      </c>
      <c r="T9" s="381">
        <v>0</v>
      </c>
      <c r="U9" s="381">
        <v>0</v>
      </c>
      <c r="V9" s="381">
        <v>0</v>
      </c>
      <c r="W9" s="381">
        <v>48817.599999999999</v>
      </c>
      <c r="X9" s="381">
        <v>21967.919999999998</v>
      </c>
      <c r="Y9" s="381">
        <v>48817.599999999999</v>
      </c>
      <c r="Z9" s="381">
        <v>22749</v>
      </c>
      <c r="AA9" s="379"/>
      <c r="AB9" s="379"/>
      <c r="AC9" s="379"/>
      <c r="AD9" s="379"/>
      <c r="AE9" s="379"/>
      <c r="AF9" s="379"/>
      <c r="AG9" s="379"/>
      <c r="AH9" s="380">
        <v>0</v>
      </c>
      <c r="AI9" s="380">
        <v>0</v>
      </c>
      <c r="AJ9" s="379"/>
      <c r="AK9" s="379"/>
      <c r="AL9" s="377" t="s">
        <v>181</v>
      </c>
      <c r="AM9" s="379"/>
      <c r="AN9" s="379"/>
      <c r="AO9" s="380">
        <v>0</v>
      </c>
      <c r="AP9" s="463">
        <v>0</v>
      </c>
      <c r="AQ9" s="463">
        <v>0</v>
      </c>
      <c r="AR9" s="462"/>
      <c r="AS9" s="465">
        <f t="shared" si="0"/>
        <v>0</v>
      </c>
      <c r="AT9">
        <f t="shared" si="1"/>
        <v>0</v>
      </c>
      <c r="AU9" s="465" t="str">
        <f>IF(AT9=0,"",IF(AND(AT9=1,M9="F",SUMIF(C2:C13,C9,AS2:AS13)&lt;=1),SUMIF(C2:C13,C9,AS2:AS13),IF(AND(AT9=1,M9="F",SUMIF(C2:C13,C9,AS2:AS13)&gt;1),1,"")))</f>
        <v/>
      </c>
      <c r="AV9" s="465" t="str">
        <f>IF(AT9=0,"",IF(AND(AT9=3,M9="F",SUMIF(C2:C13,C9,AS2:AS13)&lt;=1),SUMIF(C2:C13,C9,AS2:AS13),IF(AND(AT9=3,M9="F",SUMIF(C2:C13,C9,AS2:AS13)&gt;1),1,"")))</f>
        <v/>
      </c>
      <c r="AW9" s="465">
        <f>SUMIF(C2:C13,C9,O2:O13)</f>
        <v>0</v>
      </c>
      <c r="AX9" s="465">
        <f>IF(AND(M9="F",AS9&lt;&gt;0),SUMIF(C2:C13,C9,W2:W13),0)</f>
        <v>0</v>
      </c>
      <c r="AY9" s="465" t="str">
        <f t="shared" si="2"/>
        <v/>
      </c>
      <c r="AZ9" s="465" t="str">
        <f t="shared" si="3"/>
        <v/>
      </c>
      <c r="BA9" s="465">
        <f t="shared" si="4"/>
        <v>0</v>
      </c>
      <c r="BB9" s="465">
        <f>IF(AND(AT9=1,AK9="E",AU9&gt;=0.75,AW9=1),Health,IF(AND(AT9=1,AK9="E",AU9&gt;=0.75),Health*P9,IF(AND(AT9=1,AK9="E",AU9&gt;=0.5,AW9=1),PTHealth,IF(AND(AT9=1,AK9="E",AU9&gt;=0.5),PTHealth*P9,0))))</f>
        <v>0</v>
      </c>
      <c r="BC9" s="465">
        <f>IF(AND(AT9=3,AK9="E",AV9&gt;=0.75,AW9=1),Health,IF(AND(AT9=3,AK9="E",AV9&gt;=0.75),Health*P9,IF(AND(AT9=3,AK9="E",AV9&gt;=0.5,AW9=1),PTHealth,IF(AND(AT9=3,AK9="E",AV9&gt;=0.5),PTHealth*P9,0))))</f>
        <v>0</v>
      </c>
      <c r="BD9" s="465">
        <f>IF(AND(AT9&lt;&gt;0,AX9&gt;=MAXSSDI),SSDI*MAXSSDI*P9,IF(AT9&lt;&gt;0,SSDI*W9,0))</f>
        <v>0</v>
      </c>
      <c r="BE9" s="465">
        <f>IF(AT9&lt;&gt;0,SSHI*W9,0)</f>
        <v>0</v>
      </c>
      <c r="BF9" s="465">
        <f>IF(AND(AT9&lt;&gt;0,AN9&lt;&gt;"NE"),VLOOKUP(AN9,Retirement_Rates,3,FALSE)*W9,0)</f>
        <v>0</v>
      </c>
      <c r="BG9" s="465">
        <f>IF(AND(AT9&lt;&gt;0,AJ9&lt;&gt;"PF"),Life*W9,0)</f>
        <v>0</v>
      </c>
      <c r="BH9" s="465">
        <f>IF(AND(AT9&lt;&gt;0,AM9="Y"),UI*W9,0)</f>
        <v>0</v>
      </c>
      <c r="BI9" s="465">
        <f>IF(AND(AT9&lt;&gt;0,N9&lt;&gt;"NR"),DHR*W9,0)</f>
        <v>0</v>
      </c>
      <c r="BJ9" s="465">
        <f>IF(AT9&lt;&gt;0,WC*W9,0)</f>
        <v>0</v>
      </c>
      <c r="BK9" s="465">
        <f>IF(OR(AND(AT9&lt;&gt;0,AJ9&lt;&gt;"PF",AN9&lt;&gt;"NE",AG9&lt;&gt;"A"),AND(AL9="E",OR(AT9=1,AT9=3))),Sick*W9,0)</f>
        <v>0</v>
      </c>
      <c r="BL9" s="465">
        <f t="shared" si="5"/>
        <v>0</v>
      </c>
      <c r="BM9" s="465">
        <f t="shared" si="6"/>
        <v>0</v>
      </c>
      <c r="BN9" s="465">
        <f>IF(AND(AT9=1,AK9="E",AU9&gt;=0.75,AW9=1),HealthBY,IF(AND(AT9=1,AK9="E",AU9&gt;=0.75),HealthBY*P9,IF(AND(AT9=1,AK9="E",AU9&gt;=0.5,AW9=1),PTHealthBY,IF(AND(AT9=1,AK9="E",AU9&gt;=0.5),PTHealthBY*P9,0))))</f>
        <v>0</v>
      </c>
      <c r="BO9" s="465">
        <f>IF(AND(AT9=3,AK9="E",AV9&gt;=0.75,AW9=1),HealthBY,IF(AND(AT9=3,AK9="E",AV9&gt;=0.75),HealthBY*P9,IF(AND(AT9=3,AK9="E",AV9&gt;=0.5,AW9=1),PTHealthBY,IF(AND(AT9=3,AK9="E",AV9&gt;=0.5),PTHealthBY*P9,0))))</f>
        <v>0</v>
      </c>
      <c r="BP9" s="465">
        <f>IF(AND(AT9&lt;&gt;0,(AX9+BA9)&gt;=MAXSSDIBY),SSDIBY*MAXSSDIBY*P9,IF(AT9&lt;&gt;0,SSDIBY*W9,0))</f>
        <v>0</v>
      </c>
      <c r="BQ9" s="465">
        <f>IF(AT9&lt;&gt;0,SSHIBY*W9,0)</f>
        <v>0</v>
      </c>
      <c r="BR9" s="465">
        <f>IF(AND(AT9&lt;&gt;0,AN9&lt;&gt;"NE"),VLOOKUP(AN9,Retirement_Rates,4,FALSE)*W9,0)</f>
        <v>0</v>
      </c>
      <c r="BS9" s="465">
        <f>IF(AND(AT9&lt;&gt;0,AJ9&lt;&gt;"PF"),LifeBY*W9,0)</f>
        <v>0</v>
      </c>
      <c r="BT9" s="465">
        <f>IF(AND(AT9&lt;&gt;0,AM9="Y"),UIBY*W9,0)</f>
        <v>0</v>
      </c>
      <c r="BU9" s="465">
        <f>IF(AND(AT9&lt;&gt;0,N9&lt;&gt;"NR"),DHRBY*W9,0)</f>
        <v>0</v>
      </c>
      <c r="BV9" s="465">
        <f>IF(AT9&lt;&gt;0,WCBY*W9,0)</f>
        <v>0</v>
      </c>
      <c r="BW9" s="465">
        <f>IF(OR(AND(AT9&lt;&gt;0,AJ9&lt;&gt;"PF",AN9&lt;&gt;"NE",AG9&lt;&gt;"A"),AND(AL9="E",OR(AT9=1,AT9=3))),SickBY*W9,0)</f>
        <v>0</v>
      </c>
      <c r="BX9" s="465">
        <f t="shared" si="7"/>
        <v>0</v>
      </c>
      <c r="BY9" s="465">
        <f t="shared" si="8"/>
        <v>0</v>
      </c>
      <c r="BZ9" s="465">
        <f t="shared" si="9"/>
        <v>0</v>
      </c>
      <c r="CA9" s="465">
        <f t="shared" si="10"/>
        <v>0</v>
      </c>
      <c r="CB9" s="465">
        <f t="shared" si="11"/>
        <v>0</v>
      </c>
      <c r="CC9" s="465">
        <f>IF(AT9&lt;&gt;0,SSHICHG*Y9,0)</f>
        <v>0</v>
      </c>
      <c r="CD9" s="465">
        <f>IF(AND(AT9&lt;&gt;0,AN9&lt;&gt;"NE"),VLOOKUP(AN9,Retirement_Rates,5,FALSE)*Y9,0)</f>
        <v>0</v>
      </c>
      <c r="CE9" s="465">
        <f>IF(AND(AT9&lt;&gt;0,AJ9&lt;&gt;"PF"),LifeCHG*Y9,0)</f>
        <v>0</v>
      </c>
      <c r="CF9" s="465">
        <f>IF(AND(AT9&lt;&gt;0,AM9="Y"),UICHG*Y9,0)</f>
        <v>0</v>
      </c>
      <c r="CG9" s="465">
        <f>IF(AND(AT9&lt;&gt;0,N9&lt;&gt;"NR"),DHRCHG*Y9,0)</f>
        <v>0</v>
      </c>
      <c r="CH9" s="465">
        <f>IF(AT9&lt;&gt;0,WCCHG*Y9,0)</f>
        <v>0</v>
      </c>
      <c r="CI9" s="465">
        <f>IF(OR(AND(AT9&lt;&gt;0,AJ9&lt;&gt;"PF",AN9&lt;&gt;"NE",AG9&lt;&gt;"A"),AND(AL9="E",OR(AT9=1,AT9=3))),SickCHG*Y9,0)</f>
        <v>0</v>
      </c>
      <c r="CJ9" s="465">
        <f t="shared" si="12"/>
        <v>0</v>
      </c>
      <c r="CK9" s="465" t="str">
        <f t="shared" si="13"/>
        <v/>
      </c>
      <c r="CL9" s="465" t="str">
        <f t="shared" si="14"/>
        <v/>
      </c>
      <c r="CM9" s="465" t="str">
        <f t="shared" si="15"/>
        <v/>
      </c>
      <c r="CN9" s="465" t="str">
        <f t="shared" si="16"/>
        <v>0344-30</v>
      </c>
    </row>
    <row r="10" spans="1:92" ht="15.75" thickBot="1" x14ac:dyDescent="0.3">
      <c r="A10" s="377" t="s">
        <v>162</v>
      </c>
      <c r="B10" s="377" t="s">
        <v>163</v>
      </c>
      <c r="C10" s="377" t="s">
        <v>234</v>
      </c>
      <c r="D10" s="377" t="s">
        <v>202</v>
      </c>
      <c r="E10" s="377" t="s">
        <v>228</v>
      </c>
      <c r="F10" s="383" t="s">
        <v>229</v>
      </c>
      <c r="G10" s="377" t="s">
        <v>168</v>
      </c>
      <c r="H10" s="379"/>
      <c r="I10" s="379"/>
      <c r="J10" s="377" t="s">
        <v>169</v>
      </c>
      <c r="K10" s="377" t="s">
        <v>203</v>
      </c>
      <c r="L10" s="377" t="s">
        <v>204</v>
      </c>
      <c r="M10" s="377" t="s">
        <v>171</v>
      </c>
      <c r="N10" s="377" t="s">
        <v>232</v>
      </c>
      <c r="O10" s="380">
        <v>1</v>
      </c>
      <c r="P10" s="463">
        <v>1</v>
      </c>
      <c r="Q10" s="463">
        <v>1</v>
      </c>
      <c r="R10" s="381">
        <v>80</v>
      </c>
      <c r="S10" s="463">
        <v>1</v>
      </c>
      <c r="T10" s="381">
        <v>0</v>
      </c>
      <c r="U10" s="381">
        <v>0</v>
      </c>
      <c r="V10" s="381">
        <v>0</v>
      </c>
      <c r="W10" s="381">
        <v>68390.399999999994</v>
      </c>
      <c r="X10" s="381">
        <v>26974.81</v>
      </c>
      <c r="Y10" s="381">
        <v>68390.399999999994</v>
      </c>
      <c r="Z10" s="381">
        <v>27650.32</v>
      </c>
      <c r="AA10" s="377" t="s">
        <v>235</v>
      </c>
      <c r="AB10" s="377" t="s">
        <v>236</v>
      </c>
      <c r="AC10" s="377" t="s">
        <v>237</v>
      </c>
      <c r="AD10" s="377" t="s">
        <v>176</v>
      </c>
      <c r="AE10" s="377" t="s">
        <v>203</v>
      </c>
      <c r="AF10" s="377" t="s">
        <v>209</v>
      </c>
      <c r="AG10" s="377" t="s">
        <v>178</v>
      </c>
      <c r="AH10" s="382">
        <v>32.880000000000003</v>
      </c>
      <c r="AI10" s="382">
        <v>760.8</v>
      </c>
      <c r="AJ10" s="377" t="s">
        <v>179</v>
      </c>
      <c r="AK10" s="377" t="s">
        <v>180</v>
      </c>
      <c r="AL10" s="377" t="s">
        <v>181</v>
      </c>
      <c r="AM10" s="377" t="s">
        <v>192</v>
      </c>
      <c r="AN10" s="377" t="s">
        <v>66</v>
      </c>
      <c r="AO10" s="380">
        <v>80</v>
      </c>
      <c r="AP10" s="463">
        <v>1</v>
      </c>
      <c r="AQ10" s="463">
        <v>1</v>
      </c>
      <c r="AR10" s="461" t="s">
        <v>182</v>
      </c>
      <c r="AS10" s="465">
        <f t="shared" si="0"/>
        <v>1</v>
      </c>
      <c r="AT10">
        <f t="shared" si="1"/>
        <v>1</v>
      </c>
      <c r="AU10" s="465">
        <f>IF(AT10=0,"",IF(AND(AT10=1,M10="F",SUMIF(C2:C13,C10,AS2:AS13)&lt;=1),SUMIF(C2:C13,C10,AS2:AS13),IF(AND(AT10=1,M10="F",SUMIF(C2:C13,C10,AS2:AS13)&gt;1),1,"")))</f>
        <v>1</v>
      </c>
      <c r="AV10" s="465" t="str">
        <f>IF(AT10=0,"",IF(AND(AT10=3,M10="F",SUMIF(C2:C13,C10,AS2:AS13)&lt;=1),SUMIF(C2:C13,C10,AS2:AS13),IF(AND(AT10=3,M10="F",SUMIF(C2:C13,C10,AS2:AS13)&gt;1),1,"")))</f>
        <v/>
      </c>
      <c r="AW10" s="465">
        <f>SUMIF(C2:C13,C10,O2:O13)</f>
        <v>1</v>
      </c>
      <c r="AX10" s="465">
        <f>IF(AND(M10="F",AS10&lt;&gt;0),SUMIF(C2:C13,C10,W2:W13),0)</f>
        <v>68390.399999999994</v>
      </c>
      <c r="AY10" s="465">
        <f t="shared" si="2"/>
        <v>68390.399999999994</v>
      </c>
      <c r="AZ10" s="465" t="str">
        <f t="shared" si="3"/>
        <v/>
      </c>
      <c r="BA10" s="465">
        <f t="shared" si="4"/>
        <v>0</v>
      </c>
      <c r="BB10" s="465">
        <f>IF(AND(AT10=1,AK10="E",AU10&gt;=0.75,AW10=1),Health,IF(AND(AT10=1,AK10="E",AU10&gt;=0.75),Health*P10,IF(AND(AT10=1,AK10="E",AU10&gt;=0.5,AW10=1),PTHealth,IF(AND(AT10=1,AK10="E",AU10&gt;=0.5),PTHealth*P10,0))))</f>
        <v>12500</v>
      </c>
      <c r="BC10" s="465">
        <f>IF(AND(AT10=3,AK10="E",AV10&gt;=0.75,AW10=1),Health,IF(AND(AT10=3,AK10="E",AV10&gt;=0.75),Health*P10,IF(AND(AT10=3,AK10="E",AV10&gt;=0.5,AW10=1),PTHealth,IF(AND(AT10=3,AK10="E",AV10&gt;=0.5),PTHealth*P10,0))))</f>
        <v>0</v>
      </c>
      <c r="BD10" s="465">
        <f>IF(AND(AT10&lt;&gt;0,AX10&gt;=MAXSSDI),SSDI*MAXSSDI*P10,IF(AT10&lt;&gt;0,SSDI*W10,0))</f>
        <v>4240.2047999999995</v>
      </c>
      <c r="BE10" s="465">
        <f>IF(AT10&lt;&gt;0,SSHI*W10,0)</f>
        <v>991.66079999999999</v>
      </c>
      <c r="BF10" s="465">
        <f>IF(AND(AT10&lt;&gt;0,AN10&lt;&gt;"NE"),VLOOKUP(AN10,Retirement_Rates,3,FALSE)*W10,0)</f>
        <v>8165.81376</v>
      </c>
      <c r="BG10" s="465">
        <f>IF(AND(AT10&lt;&gt;0,AJ10&lt;&gt;"PF"),Life*W10,0)</f>
        <v>493.094784</v>
      </c>
      <c r="BH10" s="465">
        <f>IF(AND(AT10&lt;&gt;0,AM10="Y"),UI*W10,0)</f>
        <v>0</v>
      </c>
      <c r="BI10" s="465">
        <f>IF(AND(AT10&lt;&gt;0,N10&lt;&gt;"NR"),DHR*W10,0)</f>
        <v>378.54086399999994</v>
      </c>
      <c r="BJ10" s="465">
        <f>IF(AT10&lt;&gt;0,WC*W10,0)</f>
        <v>205.1712</v>
      </c>
      <c r="BK10" s="465">
        <f>IF(OR(AND(AT10&lt;&gt;0,AJ10&lt;&gt;"PF",AN10&lt;&gt;"NE",AG10&lt;&gt;"A"),AND(AL10="E",OR(AT10=1,AT10=3))),Sick*W10,0)</f>
        <v>0</v>
      </c>
      <c r="BL10" s="465">
        <f t="shared" si="5"/>
        <v>14474.486208</v>
      </c>
      <c r="BM10" s="465">
        <f t="shared" si="6"/>
        <v>0</v>
      </c>
      <c r="BN10" s="465">
        <f>IF(AND(AT10=1,AK10="E",AU10&gt;=0.75,AW10=1),HealthBY,IF(AND(AT10=1,AK10="E",AU10&gt;=0.75),HealthBY*P10,IF(AND(AT10=1,AK10="E",AU10&gt;=0.5,AW10=1),PTHealthBY,IF(AND(AT10=1,AK10="E",AU10&gt;=0.5),PTHealthBY*P10,0))))</f>
        <v>13750</v>
      </c>
      <c r="BO10" s="465">
        <f>IF(AND(AT10=3,AK10="E",AV10&gt;=0.75,AW10=1),HealthBY,IF(AND(AT10=3,AK10="E",AV10&gt;=0.75),HealthBY*P10,IF(AND(AT10=3,AK10="E",AV10&gt;=0.5,AW10=1),PTHealthBY,IF(AND(AT10=3,AK10="E",AV10&gt;=0.5),PTHealthBY*P10,0))))</f>
        <v>0</v>
      </c>
      <c r="BP10" s="465">
        <f>IF(AND(AT10&lt;&gt;0,(AX10+BA10)&gt;=MAXSSDIBY),SSDIBY*MAXSSDIBY*P10,IF(AT10&lt;&gt;0,SSDIBY*W10,0))</f>
        <v>4240.2047999999995</v>
      </c>
      <c r="BQ10" s="465">
        <f>IF(AT10&lt;&gt;0,SSHIBY*W10,0)</f>
        <v>991.66079999999999</v>
      </c>
      <c r="BR10" s="465">
        <f>IF(AND(AT10&lt;&gt;0,AN10&lt;&gt;"NE"),VLOOKUP(AN10,Retirement_Rates,4,FALSE)*W10,0)</f>
        <v>7646.0467199999994</v>
      </c>
      <c r="BS10" s="465">
        <f>IF(AND(AT10&lt;&gt;0,AJ10&lt;&gt;"PF"),LifeBY*W10,0)</f>
        <v>493.094784</v>
      </c>
      <c r="BT10" s="465">
        <f>IF(AND(AT10&lt;&gt;0,AM10="Y"),UIBY*W10,0)</f>
        <v>0</v>
      </c>
      <c r="BU10" s="465">
        <f>IF(AND(AT10&lt;&gt;0,N10&lt;&gt;"NR"),DHRBY*W10,0)</f>
        <v>378.54086399999994</v>
      </c>
      <c r="BV10" s="465">
        <f>IF(AT10&lt;&gt;0,WCBY*W10,0)</f>
        <v>150.45887999999999</v>
      </c>
      <c r="BW10" s="465">
        <f>IF(OR(AND(AT10&lt;&gt;0,AJ10&lt;&gt;"PF",AN10&lt;&gt;"NE",AG10&lt;&gt;"A"),AND(AL10="E",OR(AT10=1,AT10=3))),SickBY*W10,0)</f>
        <v>0</v>
      </c>
      <c r="BX10" s="465">
        <f t="shared" si="7"/>
        <v>13900.006848000001</v>
      </c>
      <c r="BY10" s="465">
        <f t="shared" si="8"/>
        <v>0</v>
      </c>
      <c r="BZ10" s="465">
        <f t="shared" si="9"/>
        <v>1250</v>
      </c>
      <c r="CA10" s="465">
        <f t="shared" si="10"/>
        <v>0</v>
      </c>
      <c r="CB10" s="465">
        <f t="shared" si="11"/>
        <v>0</v>
      </c>
      <c r="CC10" s="465">
        <f>IF(AT10&lt;&gt;0,SSHICHG*Y10,0)</f>
        <v>0</v>
      </c>
      <c r="CD10" s="465">
        <f>IF(AND(AT10&lt;&gt;0,AN10&lt;&gt;"NE"),VLOOKUP(AN10,Retirement_Rates,5,FALSE)*Y10,0)</f>
        <v>-519.76704000000063</v>
      </c>
      <c r="CE10" s="465">
        <f>IF(AND(AT10&lt;&gt;0,AJ10&lt;&gt;"PF"),LifeCHG*Y10,0)</f>
        <v>0</v>
      </c>
      <c r="CF10" s="465">
        <f>IF(AND(AT10&lt;&gt;0,AM10="Y"),UICHG*Y10,0)</f>
        <v>0</v>
      </c>
      <c r="CG10" s="465">
        <f>IF(AND(AT10&lt;&gt;0,N10&lt;&gt;"NR"),DHRCHG*Y10,0)</f>
        <v>0</v>
      </c>
      <c r="CH10" s="465">
        <f>IF(AT10&lt;&gt;0,WCCHG*Y10,0)</f>
        <v>-54.712319999999991</v>
      </c>
      <c r="CI10" s="465">
        <f>IF(OR(AND(AT10&lt;&gt;0,AJ10&lt;&gt;"PF",AN10&lt;&gt;"NE",AG10&lt;&gt;"A"),AND(AL10="E",OR(AT10=1,AT10=3))),SickCHG*Y10,0)</f>
        <v>0</v>
      </c>
      <c r="CJ10" s="465">
        <f t="shared" si="12"/>
        <v>-574.47936000000061</v>
      </c>
      <c r="CK10" s="465" t="str">
        <f t="shared" si="13"/>
        <v/>
      </c>
      <c r="CL10" s="465" t="str">
        <f t="shared" si="14"/>
        <v/>
      </c>
      <c r="CM10" s="465" t="str">
        <f t="shared" si="15"/>
        <v/>
      </c>
      <c r="CN10" s="465" t="str">
        <f t="shared" si="16"/>
        <v>0344-30</v>
      </c>
    </row>
    <row r="11" spans="1:92" ht="15.75" thickBot="1" x14ac:dyDescent="0.3">
      <c r="A11" s="377" t="s">
        <v>162</v>
      </c>
      <c r="B11" s="377" t="s">
        <v>163</v>
      </c>
      <c r="C11" s="377" t="s">
        <v>164</v>
      </c>
      <c r="D11" s="377" t="s">
        <v>165</v>
      </c>
      <c r="E11" s="377" t="s">
        <v>238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170</v>
      </c>
      <c r="L11" s="377" t="s">
        <v>167</v>
      </c>
      <c r="M11" s="377" t="s">
        <v>171</v>
      </c>
      <c r="N11" s="377" t="s">
        <v>172</v>
      </c>
      <c r="O11" s="380">
        <v>1</v>
      </c>
      <c r="P11" s="463">
        <v>0</v>
      </c>
      <c r="Q11" s="463">
        <v>0</v>
      </c>
      <c r="R11" s="381">
        <v>80</v>
      </c>
      <c r="S11" s="463">
        <v>0</v>
      </c>
      <c r="T11" s="381">
        <v>52970.400000000001</v>
      </c>
      <c r="U11" s="381">
        <v>0</v>
      </c>
      <c r="V11" s="381">
        <v>16631.810000000001</v>
      </c>
      <c r="W11" s="381">
        <v>0</v>
      </c>
      <c r="X11" s="381">
        <v>0</v>
      </c>
      <c r="Y11" s="381">
        <v>0</v>
      </c>
      <c r="Z11" s="381">
        <v>0</v>
      </c>
      <c r="AA11" s="377" t="s">
        <v>173</v>
      </c>
      <c r="AB11" s="377" t="s">
        <v>174</v>
      </c>
      <c r="AC11" s="377" t="s">
        <v>175</v>
      </c>
      <c r="AD11" s="377" t="s">
        <v>176</v>
      </c>
      <c r="AE11" s="377" t="s">
        <v>170</v>
      </c>
      <c r="AF11" s="377" t="s">
        <v>177</v>
      </c>
      <c r="AG11" s="377" t="s">
        <v>178</v>
      </c>
      <c r="AH11" s="382">
        <v>51.91</v>
      </c>
      <c r="AI11" s="382">
        <v>29207.1</v>
      </c>
      <c r="AJ11" s="377" t="s">
        <v>179</v>
      </c>
      <c r="AK11" s="377" t="s">
        <v>180</v>
      </c>
      <c r="AL11" s="377" t="s">
        <v>181</v>
      </c>
      <c r="AM11" s="377" t="s">
        <v>181</v>
      </c>
      <c r="AN11" s="377" t="s">
        <v>66</v>
      </c>
      <c r="AO11" s="380">
        <v>80</v>
      </c>
      <c r="AP11" s="463">
        <v>1</v>
      </c>
      <c r="AQ11" s="463">
        <v>0</v>
      </c>
      <c r="AR11" s="461" t="s">
        <v>182</v>
      </c>
      <c r="AS11" s="465">
        <f t="shared" si="0"/>
        <v>0</v>
      </c>
      <c r="AT11">
        <f t="shared" si="1"/>
        <v>0</v>
      </c>
      <c r="AU11" s="465" t="str">
        <f>IF(AT11=0,"",IF(AND(AT11=1,M11="F",SUMIF(C2:C13,C11,AS2:AS13)&lt;=1),SUMIF(C2:C13,C11,AS2:AS13),IF(AND(AT11=1,M11="F",SUMIF(C2:C13,C11,AS2:AS13)&gt;1),1,"")))</f>
        <v/>
      </c>
      <c r="AV11" s="465" t="str">
        <f>IF(AT11=0,"",IF(AND(AT11=3,M11="F",SUMIF(C2:C13,C11,AS2:AS13)&lt;=1),SUMIF(C2:C13,C11,AS2:AS13),IF(AND(AT11=3,M11="F",SUMIF(C2:C13,C11,AS2:AS13)&gt;1),1,"")))</f>
        <v/>
      </c>
      <c r="AW11" s="465">
        <f>SUMIF(C2:C13,C11,O2:O13)</f>
        <v>2</v>
      </c>
      <c r="AX11" s="465">
        <f>IF(AND(M11="F",AS11&lt;&gt;0),SUMIF(C2:C13,C11,W2:W13),0)</f>
        <v>0</v>
      </c>
      <c r="AY11" s="465" t="str">
        <f t="shared" si="2"/>
        <v/>
      </c>
      <c r="AZ11" s="465" t="str">
        <f t="shared" si="3"/>
        <v/>
      </c>
      <c r="BA11" s="465">
        <f t="shared" si="4"/>
        <v>0</v>
      </c>
      <c r="BB11" s="465">
        <f>IF(AND(AT11=1,AK11="E",AU11&gt;=0.75,AW11=1),Health,IF(AND(AT11=1,AK11="E",AU11&gt;=0.75),Health*P11,IF(AND(AT11=1,AK11="E",AU11&gt;=0.5,AW11=1),PTHealth,IF(AND(AT11=1,AK11="E",AU11&gt;=0.5),PTHealth*P11,0))))</f>
        <v>0</v>
      </c>
      <c r="BC11" s="465">
        <f>IF(AND(AT11=3,AK11="E",AV11&gt;=0.75,AW11=1),Health,IF(AND(AT11=3,AK11="E",AV11&gt;=0.75),Health*P11,IF(AND(AT11=3,AK11="E",AV11&gt;=0.5,AW11=1),PTHealth,IF(AND(AT11=3,AK11="E",AV11&gt;=0.5),PTHealth*P11,0))))</f>
        <v>0</v>
      </c>
      <c r="BD11" s="465">
        <f>IF(AND(AT11&lt;&gt;0,AX11&gt;=MAXSSDI),SSDI*MAXSSDI*P11,IF(AT11&lt;&gt;0,SSDI*W11,0))</f>
        <v>0</v>
      </c>
      <c r="BE11" s="465">
        <f>IF(AT11&lt;&gt;0,SSHI*W11,0)</f>
        <v>0</v>
      </c>
      <c r="BF11" s="465">
        <f>IF(AND(AT11&lt;&gt;0,AN11&lt;&gt;"NE"),VLOOKUP(AN11,Retirement_Rates,3,FALSE)*W11,0)</f>
        <v>0</v>
      </c>
      <c r="BG11" s="465">
        <f>IF(AND(AT11&lt;&gt;0,AJ11&lt;&gt;"PF"),Life*W11,0)</f>
        <v>0</v>
      </c>
      <c r="BH11" s="465">
        <f>IF(AND(AT11&lt;&gt;0,AM11="Y"),UI*W11,0)</f>
        <v>0</v>
      </c>
      <c r="BI11" s="465">
        <f>IF(AND(AT11&lt;&gt;0,N11&lt;&gt;"NR"),DHR*W11,0)</f>
        <v>0</v>
      </c>
      <c r="BJ11" s="465">
        <f>IF(AT11&lt;&gt;0,WC*W11,0)</f>
        <v>0</v>
      </c>
      <c r="BK11" s="465">
        <f>IF(OR(AND(AT11&lt;&gt;0,AJ11&lt;&gt;"PF",AN11&lt;&gt;"NE",AG11&lt;&gt;"A"),AND(AL11="E",OR(AT11=1,AT11=3))),Sick*W11,0)</f>
        <v>0</v>
      </c>
      <c r="BL11" s="465">
        <f t="shared" si="5"/>
        <v>0</v>
      </c>
      <c r="BM11" s="465">
        <f t="shared" si="6"/>
        <v>0</v>
      </c>
      <c r="BN11" s="465">
        <f>IF(AND(AT11=1,AK11="E",AU11&gt;=0.75,AW11=1),HealthBY,IF(AND(AT11=1,AK11="E",AU11&gt;=0.75),HealthBY*P11,IF(AND(AT11=1,AK11="E",AU11&gt;=0.5,AW11=1),PTHealthBY,IF(AND(AT11=1,AK11="E",AU11&gt;=0.5),PTHealthBY*P11,0))))</f>
        <v>0</v>
      </c>
      <c r="BO11" s="465">
        <f>IF(AND(AT11=3,AK11="E",AV11&gt;=0.75,AW11=1),HealthBY,IF(AND(AT11=3,AK11="E",AV11&gt;=0.75),HealthBY*P11,IF(AND(AT11=3,AK11="E",AV11&gt;=0.5,AW11=1),PTHealthBY,IF(AND(AT11=3,AK11="E",AV11&gt;=0.5),PTHealthBY*P11,0))))</f>
        <v>0</v>
      </c>
      <c r="BP11" s="465">
        <f>IF(AND(AT11&lt;&gt;0,(AX11+BA11)&gt;=MAXSSDIBY),SSDIBY*MAXSSDIBY*P11,IF(AT11&lt;&gt;0,SSDIBY*W11,0))</f>
        <v>0</v>
      </c>
      <c r="BQ11" s="465">
        <f>IF(AT11&lt;&gt;0,SSHIBY*W11,0)</f>
        <v>0</v>
      </c>
      <c r="BR11" s="465">
        <f>IF(AND(AT11&lt;&gt;0,AN11&lt;&gt;"NE"),VLOOKUP(AN11,Retirement_Rates,4,FALSE)*W11,0)</f>
        <v>0</v>
      </c>
      <c r="BS11" s="465">
        <f>IF(AND(AT11&lt;&gt;0,AJ11&lt;&gt;"PF"),LifeBY*W11,0)</f>
        <v>0</v>
      </c>
      <c r="BT11" s="465">
        <f>IF(AND(AT11&lt;&gt;0,AM11="Y"),UIBY*W11,0)</f>
        <v>0</v>
      </c>
      <c r="BU11" s="465">
        <f>IF(AND(AT11&lt;&gt;0,N11&lt;&gt;"NR"),DHRBY*W11,0)</f>
        <v>0</v>
      </c>
      <c r="BV11" s="465">
        <f>IF(AT11&lt;&gt;0,WCBY*W11,0)</f>
        <v>0</v>
      </c>
      <c r="BW11" s="465">
        <f>IF(OR(AND(AT11&lt;&gt;0,AJ11&lt;&gt;"PF",AN11&lt;&gt;"NE",AG11&lt;&gt;"A"),AND(AL11="E",OR(AT11=1,AT11=3))),SickBY*W11,0)</f>
        <v>0</v>
      </c>
      <c r="BX11" s="465">
        <f t="shared" si="7"/>
        <v>0</v>
      </c>
      <c r="BY11" s="465">
        <f t="shared" si="8"/>
        <v>0</v>
      </c>
      <c r="BZ11" s="465">
        <f t="shared" si="9"/>
        <v>0</v>
      </c>
      <c r="CA11" s="465">
        <f t="shared" si="10"/>
        <v>0</v>
      </c>
      <c r="CB11" s="465">
        <f t="shared" si="11"/>
        <v>0</v>
      </c>
      <c r="CC11" s="465">
        <f>IF(AT11&lt;&gt;0,SSHICHG*Y11,0)</f>
        <v>0</v>
      </c>
      <c r="CD11" s="465">
        <f>IF(AND(AT11&lt;&gt;0,AN11&lt;&gt;"NE"),VLOOKUP(AN11,Retirement_Rates,5,FALSE)*Y11,0)</f>
        <v>0</v>
      </c>
      <c r="CE11" s="465">
        <f>IF(AND(AT11&lt;&gt;0,AJ11&lt;&gt;"PF"),LifeCHG*Y11,0)</f>
        <v>0</v>
      </c>
      <c r="CF11" s="465">
        <f>IF(AND(AT11&lt;&gt;0,AM11="Y"),UICHG*Y11,0)</f>
        <v>0</v>
      </c>
      <c r="CG11" s="465">
        <f>IF(AND(AT11&lt;&gt;0,N11&lt;&gt;"NR"),DHRCHG*Y11,0)</f>
        <v>0</v>
      </c>
      <c r="CH11" s="465">
        <f>IF(AT11&lt;&gt;0,WCCHG*Y11,0)</f>
        <v>0</v>
      </c>
      <c r="CI11" s="465">
        <f>IF(OR(AND(AT11&lt;&gt;0,AJ11&lt;&gt;"PF",AN11&lt;&gt;"NE",AG11&lt;&gt;"A"),AND(AL11="E",OR(AT11=1,AT11=3))),SickCHG*Y11,0)</f>
        <v>0</v>
      </c>
      <c r="CJ11" s="465">
        <f t="shared" si="12"/>
        <v>0</v>
      </c>
      <c r="CK11" s="465" t="str">
        <f t="shared" si="13"/>
        <v/>
      </c>
      <c r="CL11" s="465" t="str">
        <f t="shared" si="14"/>
        <v/>
      </c>
      <c r="CM11" s="465" t="str">
        <f t="shared" si="15"/>
        <v/>
      </c>
      <c r="CN11" s="465" t="str">
        <f t="shared" si="16"/>
        <v>0348-00</v>
      </c>
    </row>
    <row r="12" spans="1:92" ht="15.75" thickBot="1" x14ac:dyDescent="0.3">
      <c r="A12" s="377" t="s">
        <v>162</v>
      </c>
      <c r="B12" s="377" t="s">
        <v>163</v>
      </c>
      <c r="C12" s="377" t="s">
        <v>239</v>
      </c>
      <c r="D12" s="377" t="s">
        <v>240</v>
      </c>
      <c r="E12" s="377" t="s">
        <v>238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241</v>
      </c>
      <c r="L12" s="377" t="s">
        <v>242</v>
      </c>
      <c r="M12" s="377" t="s">
        <v>171</v>
      </c>
      <c r="N12" s="377" t="s">
        <v>186</v>
      </c>
      <c r="O12" s="380">
        <v>1</v>
      </c>
      <c r="P12" s="463">
        <v>1</v>
      </c>
      <c r="Q12" s="463">
        <v>1</v>
      </c>
      <c r="R12" s="381">
        <v>80</v>
      </c>
      <c r="S12" s="463">
        <v>1</v>
      </c>
      <c r="T12" s="381">
        <v>58240</v>
      </c>
      <c r="U12" s="381">
        <v>0</v>
      </c>
      <c r="V12" s="381">
        <v>25170.97</v>
      </c>
      <c r="W12" s="381">
        <v>63107.199999999997</v>
      </c>
      <c r="X12" s="381">
        <v>25856.61</v>
      </c>
      <c r="Y12" s="381">
        <v>63107.199999999997</v>
      </c>
      <c r="Z12" s="381">
        <v>26576.51</v>
      </c>
      <c r="AA12" s="377" t="s">
        <v>243</v>
      </c>
      <c r="AB12" s="377" t="s">
        <v>244</v>
      </c>
      <c r="AC12" s="377" t="s">
        <v>245</v>
      </c>
      <c r="AD12" s="377" t="s">
        <v>246</v>
      </c>
      <c r="AE12" s="377" t="s">
        <v>241</v>
      </c>
      <c r="AF12" s="377" t="s">
        <v>247</v>
      </c>
      <c r="AG12" s="377" t="s">
        <v>178</v>
      </c>
      <c r="AH12" s="382">
        <v>30.34</v>
      </c>
      <c r="AI12" s="380">
        <v>2240</v>
      </c>
      <c r="AJ12" s="377" t="s">
        <v>179</v>
      </c>
      <c r="AK12" s="377" t="s">
        <v>180</v>
      </c>
      <c r="AL12" s="377" t="s">
        <v>181</v>
      </c>
      <c r="AM12" s="377" t="s">
        <v>192</v>
      </c>
      <c r="AN12" s="377" t="s">
        <v>66</v>
      </c>
      <c r="AO12" s="380">
        <v>80</v>
      </c>
      <c r="AP12" s="463">
        <v>1</v>
      </c>
      <c r="AQ12" s="463">
        <v>1</v>
      </c>
      <c r="AR12" s="461" t="s">
        <v>182</v>
      </c>
      <c r="AS12" s="465">
        <f t="shared" si="0"/>
        <v>1</v>
      </c>
      <c r="AT12">
        <f t="shared" si="1"/>
        <v>1</v>
      </c>
      <c r="AU12" s="465">
        <f>IF(AT12=0,"",IF(AND(AT12=1,M12="F",SUMIF(C2:C13,C12,AS2:AS13)&lt;=1),SUMIF(C2:C13,C12,AS2:AS13),IF(AND(AT12=1,M12="F",SUMIF(C2:C13,C12,AS2:AS13)&gt;1),1,"")))</f>
        <v>1</v>
      </c>
      <c r="AV12" s="465" t="str">
        <f>IF(AT12=0,"",IF(AND(AT12=3,M12="F",SUMIF(C2:C13,C12,AS2:AS13)&lt;=1),SUMIF(C2:C13,C12,AS2:AS13),IF(AND(AT12=3,M12="F",SUMIF(C2:C13,C12,AS2:AS13)&gt;1),1,"")))</f>
        <v/>
      </c>
      <c r="AW12" s="465">
        <f>SUMIF(C2:C13,C12,O2:O13)</f>
        <v>1</v>
      </c>
      <c r="AX12" s="465">
        <f>IF(AND(M12="F",AS12&lt;&gt;0),SUMIF(C2:C13,C12,W2:W13),0)</f>
        <v>63107.199999999997</v>
      </c>
      <c r="AY12" s="465">
        <f t="shared" si="2"/>
        <v>63107.199999999997</v>
      </c>
      <c r="AZ12" s="465" t="str">
        <f t="shared" si="3"/>
        <v/>
      </c>
      <c r="BA12" s="465">
        <f t="shared" si="4"/>
        <v>0</v>
      </c>
      <c r="BB12" s="465">
        <f>IF(AND(AT12=1,AK12="E",AU12&gt;=0.75,AW12=1),Health,IF(AND(AT12=1,AK12="E",AU12&gt;=0.75),Health*P12,IF(AND(AT12=1,AK12="E",AU12&gt;=0.5,AW12=1),PTHealth,IF(AND(AT12=1,AK12="E",AU12&gt;=0.5),PTHealth*P12,0))))</f>
        <v>12500</v>
      </c>
      <c r="BC12" s="465">
        <f>IF(AND(AT12=3,AK12="E",AV12&gt;=0.75,AW12=1),Health,IF(AND(AT12=3,AK12="E",AV12&gt;=0.75),Health*P12,IF(AND(AT12=3,AK12="E",AV12&gt;=0.5,AW12=1),PTHealth,IF(AND(AT12=3,AK12="E",AV12&gt;=0.5),PTHealth*P12,0))))</f>
        <v>0</v>
      </c>
      <c r="BD12" s="465">
        <f>IF(AND(AT12&lt;&gt;0,AX12&gt;=MAXSSDI),SSDI*MAXSSDI*P12,IF(AT12&lt;&gt;0,SSDI*W12,0))</f>
        <v>3912.6463999999996</v>
      </c>
      <c r="BE12" s="465">
        <f>IF(AT12&lt;&gt;0,SSHI*W12,0)</f>
        <v>915.05439999999999</v>
      </c>
      <c r="BF12" s="465">
        <f>IF(AND(AT12&lt;&gt;0,AN12&lt;&gt;"NE"),VLOOKUP(AN12,Retirement_Rates,3,FALSE)*W12,0)</f>
        <v>7534.9996799999999</v>
      </c>
      <c r="BG12" s="465">
        <f>IF(AND(AT12&lt;&gt;0,AJ12&lt;&gt;"PF"),Life*W12,0)</f>
        <v>455.00291199999998</v>
      </c>
      <c r="BH12" s="465">
        <f>IF(AND(AT12&lt;&gt;0,AM12="Y"),UI*W12,0)</f>
        <v>0</v>
      </c>
      <c r="BI12" s="465">
        <f>IF(AND(AT12&lt;&gt;0,N12&lt;&gt;"NR"),DHR*W12,0)</f>
        <v>349.29835199999997</v>
      </c>
      <c r="BJ12" s="465">
        <f>IF(AT12&lt;&gt;0,WC*W12,0)</f>
        <v>189.32159999999999</v>
      </c>
      <c r="BK12" s="465">
        <f>IF(OR(AND(AT12&lt;&gt;0,AJ12&lt;&gt;"PF",AN12&lt;&gt;"NE",AG12&lt;&gt;"A"),AND(AL12="E",OR(AT12=1,AT12=3))),Sick*W12,0)</f>
        <v>0</v>
      </c>
      <c r="BL12" s="465">
        <f t="shared" si="5"/>
        <v>13356.323343999999</v>
      </c>
      <c r="BM12" s="465">
        <f t="shared" si="6"/>
        <v>0</v>
      </c>
      <c r="BN12" s="465">
        <f>IF(AND(AT12=1,AK12="E",AU12&gt;=0.75,AW12=1),HealthBY,IF(AND(AT12=1,AK12="E",AU12&gt;=0.75),HealthBY*P12,IF(AND(AT12=1,AK12="E",AU12&gt;=0.5,AW12=1),PTHealthBY,IF(AND(AT12=1,AK12="E",AU12&gt;=0.5),PTHealthBY*P12,0))))</f>
        <v>13750</v>
      </c>
      <c r="BO12" s="465">
        <f>IF(AND(AT12=3,AK12="E",AV12&gt;=0.75,AW12=1),HealthBY,IF(AND(AT12=3,AK12="E",AV12&gt;=0.75),HealthBY*P12,IF(AND(AT12=3,AK12="E",AV12&gt;=0.5,AW12=1),PTHealthBY,IF(AND(AT12=3,AK12="E",AV12&gt;=0.5),PTHealthBY*P12,0))))</f>
        <v>0</v>
      </c>
      <c r="BP12" s="465">
        <f>IF(AND(AT12&lt;&gt;0,(AX12+BA12)&gt;=MAXSSDIBY),SSDIBY*MAXSSDIBY*P12,IF(AT12&lt;&gt;0,SSDIBY*W12,0))</f>
        <v>3912.6463999999996</v>
      </c>
      <c r="BQ12" s="465">
        <f>IF(AT12&lt;&gt;0,SSHIBY*W12,0)</f>
        <v>915.05439999999999</v>
      </c>
      <c r="BR12" s="465">
        <f>IF(AND(AT12&lt;&gt;0,AN12&lt;&gt;"NE"),VLOOKUP(AN12,Retirement_Rates,4,FALSE)*W12,0)</f>
        <v>7055.3849599999994</v>
      </c>
      <c r="BS12" s="465">
        <f>IF(AND(AT12&lt;&gt;0,AJ12&lt;&gt;"PF"),LifeBY*W12,0)</f>
        <v>455.00291199999998</v>
      </c>
      <c r="BT12" s="465">
        <f>IF(AND(AT12&lt;&gt;0,AM12="Y"),UIBY*W12,0)</f>
        <v>0</v>
      </c>
      <c r="BU12" s="465">
        <f>IF(AND(AT12&lt;&gt;0,N12&lt;&gt;"NR"),DHRBY*W12,0)</f>
        <v>349.29835199999997</v>
      </c>
      <c r="BV12" s="465">
        <f>IF(AT12&lt;&gt;0,WCBY*W12,0)</f>
        <v>138.83583999999999</v>
      </c>
      <c r="BW12" s="465">
        <f>IF(OR(AND(AT12&lt;&gt;0,AJ12&lt;&gt;"PF",AN12&lt;&gt;"NE",AG12&lt;&gt;"A"),AND(AL12="E",OR(AT12=1,AT12=3))),SickBY*W12,0)</f>
        <v>0</v>
      </c>
      <c r="BX12" s="465">
        <f t="shared" si="7"/>
        <v>12826.222863999998</v>
      </c>
      <c r="BY12" s="465">
        <f t="shared" si="8"/>
        <v>0</v>
      </c>
      <c r="BZ12" s="465">
        <f t="shared" si="9"/>
        <v>1250</v>
      </c>
      <c r="CA12" s="465">
        <f t="shared" si="10"/>
        <v>0</v>
      </c>
      <c r="CB12" s="465">
        <f t="shared" si="11"/>
        <v>0</v>
      </c>
      <c r="CC12" s="465">
        <f>IF(AT12&lt;&gt;0,SSHICHG*Y12,0)</f>
        <v>0</v>
      </c>
      <c r="CD12" s="465">
        <f>IF(AND(AT12&lt;&gt;0,AN12&lt;&gt;"NE"),VLOOKUP(AN12,Retirement_Rates,5,FALSE)*Y12,0)</f>
        <v>-479.6147200000006</v>
      </c>
      <c r="CE12" s="465">
        <f>IF(AND(AT12&lt;&gt;0,AJ12&lt;&gt;"PF"),LifeCHG*Y12,0)</f>
        <v>0</v>
      </c>
      <c r="CF12" s="465">
        <f>IF(AND(AT12&lt;&gt;0,AM12="Y"),UICHG*Y12,0)</f>
        <v>0</v>
      </c>
      <c r="CG12" s="465">
        <f>IF(AND(AT12&lt;&gt;0,N12&lt;&gt;"NR"),DHRCHG*Y12,0)</f>
        <v>0</v>
      </c>
      <c r="CH12" s="465">
        <f>IF(AT12&lt;&gt;0,WCCHG*Y12,0)</f>
        <v>-50.485759999999992</v>
      </c>
      <c r="CI12" s="465">
        <f>IF(OR(AND(AT12&lt;&gt;0,AJ12&lt;&gt;"PF",AN12&lt;&gt;"NE",AG12&lt;&gt;"A"),AND(AL12="E",OR(AT12=1,AT12=3))),SickCHG*Y12,0)</f>
        <v>0</v>
      </c>
      <c r="CJ12" s="465">
        <f t="shared" si="12"/>
        <v>-530.10048000000063</v>
      </c>
      <c r="CK12" s="465" t="str">
        <f t="shared" si="13"/>
        <v/>
      </c>
      <c r="CL12" s="465" t="str">
        <f t="shared" si="14"/>
        <v/>
      </c>
      <c r="CM12" s="465" t="str">
        <f t="shared" si="15"/>
        <v/>
      </c>
      <c r="CN12" s="465" t="str">
        <f t="shared" si="16"/>
        <v>0348-00</v>
      </c>
    </row>
    <row r="13" spans="1:92" ht="15.75" thickBot="1" x14ac:dyDescent="0.3">
      <c r="A13" s="377" t="s">
        <v>162</v>
      </c>
      <c r="B13" s="377" t="s">
        <v>163</v>
      </c>
      <c r="C13" s="377" t="s">
        <v>218</v>
      </c>
      <c r="D13" s="377" t="s">
        <v>219</v>
      </c>
      <c r="E13" s="377" t="s">
        <v>238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220</v>
      </c>
      <c r="L13" s="377" t="s">
        <v>190</v>
      </c>
      <c r="M13" s="377" t="s">
        <v>171</v>
      </c>
      <c r="N13" s="377" t="s">
        <v>186</v>
      </c>
      <c r="O13" s="380">
        <v>1</v>
      </c>
      <c r="P13" s="463">
        <v>0</v>
      </c>
      <c r="Q13" s="463">
        <v>0</v>
      </c>
      <c r="R13" s="381">
        <v>80</v>
      </c>
      <c r="S13" s="463">
        <v>0</v>
      </c>
      <c r="T13" s="381">
        <v>18889.080000000002</v>
      </c>
      <c r="U13" s="381">
        <v>0</v>
      </c>
      <c r="V13" s="381">
        <v>9397.74</v>
      </c>
      <c r="W13" s="381">
        <v>0</v>
      </c>
      <c r="X13" s="381">
        <v>0</v>
      </c>
      <c r="Y13" s="381">
        <v>0</v>
      </c>
      <c r="Z13" s="381">
        <v>0</v>
      </c>
      <c r="AA13" s="377" t="s">
        <v>221</v>
      </c>
      <c r="AB13" s="377" t="s">
        <v>222</v>
      </c>
      <c r="AC13" s="377" t="s">
        <v>223</v>
      </c>
      <c r="AD13" s="377" t="s">
        <v>224</v>
      </c>
      <c r="AE13" s="377" t="s">
        <v>220</v>
      </c>
      <c r="AF13" s="377" t="s">
        <v>225</v>
      </c>
      <c r="AG13" s="377" t="s">
        <v>178</v>
      </c>
      <c r="AH13" s="382">
        <v>22.06</v>
      </c>
      <c r="AI13" s="382">
        <v>13258.6</v>
      </c>
      <c r="AJ13" s="377" t="s">
        <v>179</v>
      </c>
      <c r="AK13" s="377" t="s">
        <v>180</v>
      </c>
      <c r="AL13" s="377" t="s">
        <v>181</v>
      </c>
      <c r="AM13" s="377" t="s">
        <v>192</v>
      </c>
      <c r="AN13" s="377" t="s">
        <v>66</v>
      </c>
      <c r="AO13" s="380">
        <v>80</v>
      </c>
      <c r="AP13" s="463">
        <v>1</v>
      </c>
      <c r="AQ13" s="463">
        <v>0</v>
      </c>
      <c r="AR13" s="461" t="s">
        <v>182</v>
      </c>
      <c r="AS13" s="465">
        <f t="shared" si="0"/>
        <v>0</v>
      </c>
      <c r="AT13">
        <f t="shared" si="1"/>
        <v>0</v>
      </c>
      <c r="AU13" s="465" t="str">
        <f>IF(AT13=0,"",IF(AND(AT13=1,M13="F",SUMIF(C2:C13,C13,AS2:AS13)&lt;=1),SUMIF(C2:C13,C13,AS2:AS13),IF(AND(AT13=1,M13="F",SUMIF(C2:C13,C13,AS2:AS13)&gt;1),1,"")))</f>
        <v/>
      </c>
      <c r="AV13" s="465" t="str">
        <f>IF(AT13=0,"",IF(AND(AT13=3,M13="F",SUMIF(C2:C13,C13,AS2:AS13)&lt;=1),SUMIF(C2:C13,C13,AS2:AS13),IF(AND(AT13=3,M13="F",SUMIF(C2:C13,C13,AS2:AS13)&gt;1),1,"")))</f>
        <v/>
      </c>
      <c r="AW13" s="465">
        <f>SUMIF(C2:C13,C13,O2:O13)</f>
        <v>2</v>
      </c>
      <c r="AX13" s="465">
        <f>IF(AND(M13="F",AS13&lt;&gt;0),SUMIF(C2:C13,C13,W2:W13),0)</f>
        <v>0</v>
      </c>
      <c r="AY13" s="465" t="str">
        <f t="shared" si="2"/>
        <v/>
      </c>
      <c r="AZ13" s="465" t="str">
        <f t="shared" si="3"/>
        <v/>
      </c>
      <c r="BA13" s="465">
        <f t="shared" si="4"/>
        <v>0</v>
      </c>
      <c r="BB13" s="465">
        <f>IF(AND(AT13=1,AK13="E",AU13&gt;=0.75,AW13=1),Health,IF(AND(AT13=1,AK13="E",AU13&gt;=0.75),Health*P13,IF(AND(AT13=1,AK13="E",AU13&gt;=0.5,AW13=1),PTHealth,IF(AND(AT13=1,AK13="E",AU13&gt;=0.5),PTHealth*P13,0))))</f>
        <v>0</v>
      </c>
      <c r="BC13" s="465">
        <f>IF(AND(AT13=3,AK13="E",AV13&gt;=0.75,AW13=1),Health,IF(AND(AT13=3,AK13="E",AV13&gt;=0.75),Health*P13,IF(AND(AT13=3,AK13="E",AV13&gt;=0.5,AW13=1),PTHealth,IF(AND(AT13=3,AK13="E",AV13&gt;=0.5),PTHealth*P13,0))))</f>
        <v>0</v>
      </c>
      <c r="BD13" s="465">
        <f>IF(AND(AT13&lt;&gt;0,AX13&gt;=MAXSSDI),SSDI*MAXSSDI*P13,IF(AT13&lt;&gt;0,SSDI*W13,0))</f>
        <v>0</v>
      </c>
      <c r="BE13" s="465">
        <f>IF(AT13&lt;&gt;0,SSHI*W13,0)</f>
        <v>0</v>
      </c>
      <c r="BF13" s="465">
        <f>IF(AND(AT13&lt;&gt;0,AN13&lt;&gt;"NE"),VLOOKUP(AN13,Retirement_Rates,3,FALSE)*W13,0)</f>
        <v>0</v>
      </c>
      <c r="BG13" s="465">
        <f>IF(AND(AT13&lt;&gt;0,AJ13&lt;&gt;"PF"),Life*W13,0)</f>
        <v>0</v>
      </c>
      <c r="BH13" s="465">
        <f>IF(AND(AT13&lt;&gt;0,AM13="Y"),UI*W13,0)</f>
        <v>0</v>
      </c>
      <c r="BI13" s="465">
        <f>IF(AND(AT13&lt;&gt;0,N13&lt;&gt;"NR"),DHR*W13,0)</f>
        <v>0</v>
      </c>
      <c r="BJ13" s="465">
        <f>IF(AT13&lt;&gt;0,WC*W13,0)</f>
        <v>0</v>
      </c>
      <c r="BK13" s="465">
        <f>IF(OR(AND(AT13&lt;&gt;0,AJ13&lt;&gt;"PF",AN13&lt;&gt;"NE",AG13&lt;&gt;"A"),AND(AL13="E",OR(AT13=1,AT13=3))),Sick*W13,0)</f>
        <v>0</v>
      </c>
      <c r="BL13" s="465">
        <f t="shared" si="5"/>
        <v>0</v>
      </c>
      <c r="BM13" s="465">
        <f t="shared" si="6"/>
        <v>0</v>
      </c>
      <c r="BN13" s="465">
        <f>IF(AND(AT13=1,AK13="E",AU13&gt;=0.75,AW13=1),HealthBY,IF(AND(AT13=1,AK13="E",AU13&gt;=0.75),HealthBY*P13,IF(AND(AT13=1,AK13="E",AU13&gt;=0.5,AW13=1),PTHealthBY,IF(AND(AT13=1,AK13="E",AU13&gt;=0.5),PTHealthBY*P13,0))))</f>
        <v>0</v>
      </c>
      <c r="BO13" s="465">
        <f>IF(AND(AT13=3,AK13="E",AV13&gt;=0.75,AW13=1),HealthBY,IF(AND(AT13=3,AK13="E",AV13&gt;=0.75),HealthBY*P13,IF(AND(AT13=3,AK13="E",AV13&gt;=0.5,AW13=1),PTHealthBY,IF(AND(AT13=3,AK13="E",AV13&gt;=0.5),PTHealthBY*P13,0))))</f>
        <v>0</v>
      </c>
      <c r="BP13" s="465">
        <f>IF(AND(AT13&lt;&gt;0,(AX13+BA13)&gt;=MAXSSDIBY),SSDIBY*MAXSSDIBY*P13,IF(AT13&lt;&gt;0,SSDIBY*W13,0))</f>
        <v>0</v>
      </c>
      <c r="BQ13" s="465">
        <f>IF(AT13&lt;&gt;0,SSHIBY*W13,0)</f>
        <v>0</v>
      </c>
      <c r="BR13" s="465">
        <f>IF(AND(AT13&lt;&gt;0,AN13&lt;&gt;"NE"),VLOOKUP(AN13,Retirement_Rates,4,FALSE)*W13,0)</f>
        <v>0</v>
      </c>
      <c r="BS13" s="465">
        <f>IF(AND(AT13&lt;&gt;0,AJ13&lt;&gt;"PF"),LifeBY*W13,0)</f>
        <v>0</v>
      </c>
      <c r="BT13" s="465">
        <f>IF(AND(AT13&lt;&gt;0,AM13="Y"),UIBY*W13,0)</f>
        <v>0</v>
      </c>
      <c r="BU13" s="465">
        <f>IF(AND(AT13&lt;&gt;0,N13&lt;&gt;"NR"),DHRBY*W13,0)</f>
        <v>0</v>
      </c>
      <c r="BV13" s="465">
        <f>IF(AT13&lt;&gt;0,WCBY*W13,0)</f>
        <v>0</v>
      </c>
      <c r="BW13" s="465">
        <f>IF(OR(AND(AT13&lt;&gt;0,AJ13&lt;&gt;"PF",AN13&lt;&gt;"NE",AG13&lt;&gt;"A"),AND(AL13="E",OR(AT13=1,AT13=3))),SickBY*W13,0)</f>
        <v>0</v>
      </c>
      <c r="BX13" s="465">
        <f t="shared" si="7"/>
        <v>0</v>
      </c>
      <c r="BY13" s="465">
        <f t="shared" si="8"/>
        <v>0</v>
      </c>
      <c r="BZ13" s="465">
        <f t="shared" si="9"/>
        <v>0</v>
      </c>
      <c r="CA13" s="465">
        <f t="shared" si="10"/>
        <v>0</v>
      </c>
      <c r="CB13" s="465">
        <f t="shared" si="11"/>
        <v>0</v>
      </c>
      <c r="CC13" s="465">
        <f>IF(AT13&lt;&gt;0,SSHICHG*Y13,0)</f>
        <v>0</v>
      </c>
      <c r="CD13" s="465">
        <f>IF(AND(AT13&lt;&gt;0,AN13&lt;&gt;"NE"),VLOOKUP(AN13,Retirement_Rates,5,FALSE)*Y13,0)</f>
        <v>0</v>
      </c>
      <c r="CE13" s="465">
        <f>IF(AND(AT13&lt;&gt;0,AJ13&lt;&gt;"PF"),LifeCHG*Y13,0)</f>
        <v>0</v>
      </c>
      <c r="CF13" s="465">
        <f>IF(AND(AT13&lt;&gt;0,AM13="Y"),UICHG*Y13,0)</f>
        <v>0</v>
      </c>
      <c r="CG13" s="465">
        <f>IF(AND(AT13&lt;&gt;0,N13&lt;&gt;"NR"),DHRCHG*Y13,0)</f>
        <v>0</v>
      </c>
      <c r="CH13" s="465">
        <f>IF(AT13&lt;&gt;0,WCCHG*Y13,0)</f>
        <v>0</v>
      </c>
      <c r="CI13" s="465">
        <f>IF(OR(AND(AT13&lt;&gt;0,AJ13&lt;&gt;"PF",AN13&lt;&gt;"NE",AG13&lt;&gt;"A"),AND(AL13="E",OR(AT13=1,AT13=3))),SickCHG*Y13,0)</f>
        <v>0</v>
      </c>
      <c r="CJ13" s="465">
        <f t="shared" si="12"/>
        <v>0</v>
      </c>
      <c r="CK13" s="465" t="str">
        <f t="shared" si="13"/>
        <v/>
      </c>
      <c r="CL13" s="465" t="str">
        <f t="shared" si="14"/>
        <v/>
      </c>
      <c r="CM13" s="465" t="str">
        <f t="shared" si="15"/>
        <v/>
      </c>
      <c r="CN13" s="465" t="str">
        <f t="shared" si="16"/>
        <v>0348-00</v>
      </c>
    </row>
    <row r="15" spans="1:92" ht="21" x14ac:dyDescent="0.35">
      <c r="AQ15" s="251" t="s">
        <v>316</v>
      </c>
    </row>
    <row r="16" spans="1:92" ht="15.75" thickBot="1" x14ac:dyDescent="0.3">
      <c r="AR16" t="s">
        <v>296</v>
      </c>
      <c r="AS16" s="465">
        <f>SUMIFS(AS2:AS13,G2:G13,"GVWD",E2:E13,"0305",F2:F13,"00",AT2:AT13,1)</f>
        <v>6</v>
      </c>
      <c r="AT16" s="465">
        <f>SUMIFS(AS2:AS13,G2:G13,"GVWD",E2:E13,"0305",F2:F13,"00",AT2:AT13,3)</f>
        <v>0</v>
      </c>
      <c r="AU16" s="465">
        <f>SUMIFS(AU2:AU13,G2:G13,"GVWD",E2:E13,"0305",F2:F13,"00")</f>
        <v>6</v>
      </c>
      <c r="AV16" s="465">
        <f>SUMIFS(AV2:AV13,G2:G13,"GVWD",E2:E13,"0305",F2:F13,"00")</f>
        <v>0</v>
      </c>
      <c r="AW16" s="465">
        <f>SUMIFS(AW2:AW13,G2:G13,"GVWD",E2:E13,"0305",F2:F13,"00")</f>
        <v>8</v>
      </c>
      <c r="AX16" s="465">
        <f>SUMIFS(AX2:AX13,G2:G13,"GVWD",E2:E13,"0305",F2:F13,"00")</f>
        <v>416811.2</v>
      </c>
      <c r="AY16" s="465">
        <f>SUMIFS(AY2:AY13,G2:G13,"GVWD",E2:E13,"0305",F2:F13,"00")</f>
        <v>416811.2</v>
      </c>
      <c r="AZ16" s="465">
        <f>SUMIFS(AZ2:AZ13,G2:G13,"GVWD",E2:E13,"0305",F2:F13,"00")</f>
        <v>0</v>
      </c>
      <c r="BA16" s="465">
        <f>SUMIFS(BA2:BA13,G2:G13,"GVWD",E2:E13,"0305",F2:F13,"00")</f>
        <v>0</v>
      </c>
      <c r="BB16" s="465">
        <f>SUMIFS(BB2:BB13,G2:G13,"GVWD",E2:E13,"0305",F2:F13,"00")</f>
        <v>75000</v>
      </c>
      <c r="BC16" s="465">
        <f>SUMIFS(BC2:BC13,G2:G13,"GVWD",E2:E13,"0305",F2:F13,"00")</f>
        <v>0</v>
      </c>
      <c r="BD16" s="465">
        <f>SUMIFS(BD2:BD13,G2:G13,"GVWD",E2:E13,"0305",F2:F13,"00")</f>
        <v>25842.294400000002</v>
      </c>
      <c r="BE16" s="465">
        <f>SUMIFS(BE2:BE13,G2:G13,"GVWD",E2:E13,"0305",F2:F13,"00")</f>
        <v>6043.7624000000005</v>
      </c>
      <c r="BF16" s="465">
        <f>SUMIFS(BF2:BF13,G2:G13,"GVWD",E2:E13,"0305",F2:F13,"00")</f>
        <v>49767.257280000005</v>
      </c>
      <c r="BG16" s="465">
        <f>SUMIFS(BG2:BG13,G2:G13,"GVWD",E2:E13,"0305",F2:F13,"00")</f>
        <v>3005.208752</v>
      </c>
      <c r="BH16" s="465">
        <f>SUMIFS(BH2:BH13,G2:G13,"GVWD",E2:E13,"0305",F2:F13,"00")</f>
        <v>0</v>
      </c>
      <c r="BI16" s="465">
        <f>SUMIFS(BI2:BI13,G2:G13,"GVWD",E2:E13,"0305",F2:F13,"00")</f>
        <v>1709.4205439999998</v>
      </c>
      <c r="BJ16" s="465">
        <f>SUMIFS(BJ2:BJ13,G2:G13,"GVWD",E2:E13,"0305",F2:F13,"00")</f>
        <v>1250.4335999999998</v>
      </c>
      <c r="BK16" s="465">
        <f>SUMIFS(BK2:BK13,G2:G13,"GVWD",E2:E13,"0305",F2:F13,"00")</f>
        <v>0</v>
      </c>
      <c r="BL16" s="465">
        <f>SUMIFS(BL2:BL13,G2:G13,"GVWD",E2:E13,"0305",F2:F13,"00")</f>
        <v>87618.376976</v>
      </c>
      <c r="BM16" s="465">
        <f>SUMIFS(BM2:BM13,G2:G13,"GVWD",E2:E13,"0305",F2:F13,"00")</f>
        <v>0</v>
      </c>
      <c r="BN16" s="465">
        <f>SUMIFS(BN2:BN13,G2:G13,"GVWD",E2:E13,"0305",F2:F13,"00")</f>
        <v>82500</v>
      </c>
      <c r="BO16" s="465">
        <f>SUMIFS(BO2:BO13,G2:G13,"GVWD",E2:E13,"0305",F2:F13,"00")</f>
        <v>0</v>
      </c>
      <c r="BP16" s="465">
        <f>SUMIFS(BP2:BP13,G2:G13,"GVWD",E2:E13,"0305",F2:F13,"00")</f>
        <v>25842.294400000002</v>
      </c>
      <c r="BQ16" s="465">
        <f>SUMIFS(BQ2:BQ13,G2:G13,"GVWD",E2:E13,"0305",F2:F13,"00")</f>
        <v>6043.7624000000005</v>
      </c>
      <c r="BR16" s="465">
        <f>SUMIFS(BR2:BR13,G2:G13,"GVWD",E2:E13,"0305",F2:F13,"00")</f>
        <v>46599.492160000009</v>
      </c>
      <c r="BS16" s="465">
        <f>SUMIFS(BS2:BS13,G2:G13,"GVWD",E2:E13,"0305",F2:F13,"00")</f>
        <v>3005.208752</v>
      </c>
      <c r="BT16" s="465">
        <f>SUMIFS(BT2:BT13,G2:G13,"GVWD",E2:E13,"0305",F2:F13,"00")</f>
        <v>0</v>
      </c>
      <c r="BU16" s="465">
        <f>SUMIFS(BU2:BU13,G2:G13,"GVWD",E2:E13,"0305",F2:F13,"00")</f>
        <v>1709.4205439999998</v>
      </c>
      <c r="BV16" s="465">
        <f>SUMIFS(BV2:BV13,G2:G13,"GVWD",E2:E13,"0305",F2:F13,"00")</f>
        <v>916.98464000000001</v>
      </c>
      <c r="BW16" s="465">
        <f>SUMIFS(BW2:BW13,G2:G13,"GVWD",E2:E13,"0305",F2:F13,"00")</f>
        <v>0</v>
      </c>
      <c r="BX16" s="465">
        <f>SUMIFS(BX2:BX13,G2:G13,"GVWD",E2:E13,"0305",F2:F13,"00")</f>
        <v>84117.162896000009</v>
      </c>
      <c r="BY16" s="465">
        <f>SUMIFS(BY2:BY13,G2:G13,"GVWD",E2:E13,"0305",F2:F13,"00")</f>
        <v>0</v>
      </c>
      <c r="BZ16" s="465">
        <f>SUMIFS(BZ2:BZ13,G2:G13,"GVWD",E2:E13,"0305",F2:F13,"00")</f>
        <v>7500</v>
      </c>
      <c r="CA16" s="465">
        <f>SUMIFS(CA2:CA13,G2:G13,"GVWD",E2:E13,"0305",F2:F13,"00")</f>
        <v>0</v>
      </c>
      <c r="CB16" s="465">
        <f>SUMIFS(CB2:CB13,G2:G13,"GVWD",E2:E13,"0305",F2:F13,"00")</f>
        <v>0</v>
      </c>
      <c r="CC16" s="465">
        <f>SUMIFS(CC2:CC13,G2:G13,"GVWD",E2:E13,"0305",F2:F13,"00")</f>
        <v>0</v>
      </c>
      <c r="CD16" s="465">
        <f>SUMIFS(CD2:CD13,G2:G13,"GVWD",E2:E13,"0305",F2:F13,"00")</f>
        <v>-3167.7651200000037</v>
      </c>
      <c r="CE16" s="465">
        <f>SUMIFS(CE2:CE13,G2:G13,"GVWD",E2:E13,"0305",F2:F13,"00")</f>
        <v>0</v>
      </c>
      <c r="CF16" s="465">
        <f>SUMIFS(CF2:CF13,G2:G13,"GVWD",E2:E13,"0305",F2:F13,"00")</f>
        <v>0</v>
      </c>
      <c r="CG16" s="465">
        <f>SUMIFS(CG2:CG13,G2:G13,"GVWD",E2:E13,"0305",F2:F13,"00")</f>
        <v>0</v>
      </c>
      <c r="CH16" s="465">
        <f>SUMIFS(CH2:CH13,G2:G13,"GVWD",E2:E13,"0305",F2:F13,"00")</f>
        <v>-333.44895999999994</v>
      </c>
      <c r="CI16" s="465">
        <f>SUMIFS(CI2:CI13,G2:G13,"GVWD",E2:E13,"0305",F2:F13,"00")</f>
        <v>0</v>
      </c>
      <c r="CJ16" s="465">
        <f>SUMIFS(CJ2:CJ13,G2:G13,"GVWD",E2:E13,"0305",F2:F13,"00")</f>
        <v>-3501.2140800000038</v>
      </c>
      <c r="CK16" s="465">
        <f>SUMIFS(CK2:CK13,G2:G13,"GVWD",E2:E13,"0305",F2:F13,"00")</f>
        <v>0</v>
      </c>
      <c r="CL16" s="465">
        <f>SUMIFS(CL2:CL13,G2:G13,"GVWD",E2:E13,"0305",F2:F13,"00")</f>
        <v>0</v>
      </c>
      <c r="CM16" s="465">
        <f>SUMIFS(CM2:CM13,G2:G13,"GVWD",E2:E13,"0305",F2:F13,"00")</f>
        <v>0</v>
      </c>
    </row>
    <row r="17" spans="41:91" ht="18.75" x14ac:dyDescent="0.3">
      <c r="AQ17" s="471" t="s">
        <v>297</v>
      </c>
      <c r="AS17" s="472">
        <f>SUM(AS16:AS16)</f>
        <v>6</v>
      </c>
      <c r="AT17" s="472">
        <f>SUM(AT16:AT16)</f>
        <v>0</v>
      </c>
      <c r="AU17" s="472">
        <f>SUM(AU16:AU16)</f>
        <v>6</v>
      </c>
      <c r="AV17" s="472">
        <f>SUM(AV16:AV16)</f>
        <v>0</v>
      </c>
      <c r="AW17" s="472">
        <f>SUM(AW16:AW16)</f>
        <v>8</v>
      </c>
      <c r="AX17" s="472">
        <f>SUM(AX16:AX16)</f>
        <v>416811.2</v>
      </c>
      <c r="AY17" s="472">
        <f>SUM(AY16:AY16)</f>
        <v>416811.2</v>
      </c>
      <c r="AZ17" s="472">
        <f>SUM(AZ16:AZ16)</f>
        <v>0</v>
      </c>
      <c r="BA17" s="472">
        <f>SUM(BA16:BA16)</f>
        <v>0</v>
      </c>
      <c r="BB17" s="472">
        <f>SUM(BB16:BB16)</f>
        <v>75000</v>
      </c>
      <c r="BC17" s="472">
        <f>SUM(BC16:BC16)</f>
        <v>0</v>
      </c>
      <c r="BD17" s="472">
        <f>SUM(BD16:BD16)</f>
        <v>25842.294400000002</v>
      </c>
      <c r="BE17" s="472">
        <f>SUM(BE16:BE16)</f>
        <v>6043.7624000000005</v>
      </c>
      <c r="BF17" s="472">
        <f>SUM(BF16:BF16)</f>
        <v>49767.257280000005</v>
      </c>
      <c r="BG17" s="472">
        <f>SUM(BG16:BG16)</f>
        <v>3005.208752</v>
      </c>
      <c r="BH17" s="472">
        <f>SUM(BH16:BH16)</f>
        <v>0</v>
      </c>
      <c r="BI17" s="472">
        <f>SUM(BI16:BI16)</f>
        <v>1709.4205439999998</v>
      </c>
      <c r="BJ17" s="472">
        <f>SUM(BJ16:BJ16)</f>
        <v>1250.4335999999998</v>
      </c>
      <c r="BK17" s="472">
        <f>SUM(BK16:BK16)</f>
        <v>0</v>
      </c>
      <c r="BL17" s="472">
        <f>SUM(BL16:BL16)</f>
        <v>87618.376976</v>
      </c>
      <c r="BM17" s="472">
        <f>SUM(BM16:BM16)</f>
        <v>0</v>
      </c>
      <c r="BN17" s="472">
        <f>SUM(BN16:BN16)</f>
        <v>82500</v>
      </c>
      <c r="BO17" s="472">
        <f>SUM(BO16:BO16)</f>
        <v>0</v>
      </c>
      <c r="BP17" s="472">
        <f>SUM(BP16:BP16)</f>
        <v>25842.294400000002</v>
      </c>
      <c r="BQ17" s="472">
        <f>SUM(BQ16:BQ16)</f>
        <v>6043.7624000000005</v>
      </c>
      <c r="BR17" s="472">
        <f>SUM(BR16:BR16)</f>
        <v>46599.492160000009</v>
      </c>
      <c r="BS17" s="472">
        <f>SUM(BS16:BS16)</f>
        <v>3005.208752</v>
      </c>
      <c r="BT17" s="472">
        <f>SUM(BT16:BT16)</f>
        <v>0</v>
      </c>
      <c r="BU17" s="472">
        <f>SUM(BU16:BU16)</f>
        <v>1709.4205439999998</v>
      </c>
      <c r="BV17" s="472">
        <f>SUM(BV16:BV16)</f>
        <v>916.98464000000001</v>
      </c>
      <c r="BW17" s="472">
        <f>SUM(BW16:BW16)</f>
        <v>0</v>
      </c>
      <c r="BX17" s="472">
        <f>SUM(BX16:BX16)</f>
        <v>84117.162896000009</v>
      </c>
      <c r="BY17" s="472">
        <f>SUM(BY16:BY16)</f>
        <v>0</v>
      </c>
      <c r="BZ17" s="472">
        <f>SUM(BZ16:BZ16)</f>
        <v>7500</v>
      </c>
      <c r="CA17" s="472">
        <f>SUM(CA16:CA16)</f>
        <v>0</v>
      </c>
      <c r="CB17" s="472">
        <f>SUM(CB16:CB16)</f>
        <v>0</v>
      </c>
      <c r="CC17" s="472">
        <f>SUM(CC16:CC16)</f>
        <v>0</v>
      </c>
      <c r="CD17" s="472">
        <f>SUM(CD16:CD16)</f>
        <v>-3167.7651200000037</v>
      </c>
      <c r="CE17" s="472">
        <f>SUM(CE16:CE16)</f>
        <v>0</v>
      </c>
      <c r="CF17" s="472">
        <f>SUM(CF16:CF16)</f>
        <v>0</v>
      </c>
      <c r="CG17" s="472">
        <f>SUM(CG16:CG16)</f>
        <v>0</v>
      </c>
      <c r="CH17" s="472">
        <f>SUM(CH16:CH16)</f>
        <v>-333.44895999999994</v>
      </c>
      <c r="CI17" s="472">
        <f>SUM(CI16:CI16)</f>
        <v>0</v>
      </c>
      <c r="CJ17" s="472">
        <f>SUM(CJ16:CJ16)</f>
        <v>-3501.2140800000038</v>
      </c>
      <c r="CK17" s="472">
        <f>SUM(CK16:CK16)</f>
        <v>0</v>
      </c>
      <c r="CL17" s="472">
        <f>SUM(CL16:CL16)</f>
        <v>0</v>
      </c>
      <c r="CM17" s="472">
        <f>SUM(CM16:CM16)</f>
        <v>0</v>
      </c>
    </row>
    <row r="18" spans="41:91" ht="15.75" thickBot="1" x14ac:dyDescent="0.3">
      <c r="AR18" t="s">
        <v>304</v>
      </c>
      <c r="AS18" s="465">
        <f>SUMIFS(AS2:AS13,G2:G13,"GVWD",E2:E13,"0344",F2:F13,"30",AT2:AT13,1)</f>
        <v>1</v>
      </c>
      <c r="AT18" s="465">
        <f>SUMIFS(AS2:AS13,G2:G13,"GVWD",E2:E13,"0344",F2:F13,"30",AT2:AT13,3)</f>
        <v>0</v>
      </c>
      <c r="AU18" s="465">
        <f>SUMIFS(AU2:AU13,G2:G13,"GVWD",E2:E13,"0344",F2:F13,"30")</f>
        <v>1</v>
      </c>
      <c r="AV18" s="465">
        <f>SUMIFS(AV2:AV13,G2:G13,"GVWD",E2:E13,"0344",F2:F13,"30")</f>
        <v>0</v>
      </c>
      <c r="AW18" s="465">
        <f>SUMIFS(AW2:AW13,G2:G13,"GVWD",E2:E13,"0344",F2:F13,"30")</f>
        <v>1</v>
      </c>
      <c r="AX18" s="465">
        <f>SUMIFS(AX2:AX13,G2:G13,"GVWD",E2:E13,"0344",F2:F13,"30")</f>
        <v>68390.399999999994</v>
      </c>
      <c r="AY18" s="465">
        <f>SUMIFS(AY2:AY13,G2:G13,"GVWD",E2:E13,"0344",F2:F13,"30")</f>
        <v>68390.399999999994</v>
      </c>
      <c r="AZ18" s="465">
        <f>SUMIFS(AZ2:AZ13,G2:G13,"GVWD",E2:E13,"0344",F2:F13,"30")</f>
        <v>0</v>
      </c>
      <c r="BA18" s="465">
        <f>SUMIFS(BA2:BA13,G2:G13,"GVWD",E2:E13,"0344",F2:F13,"30")</f>
        <v>0</v>
      </c>
      <c r="BB18" s="465">
        <f>SUMIFS(BB2:BB13,G2:G13,"GVWD",E2:E13,"0344",F2:F13,"30")</f>
        <v>12500</v>
      </c>
      <c r="BC18" s="465">
        <f>SUMIFS(BC2:BC13,G2:G13,"GVWD",E2:E13,"0344",F2:F13,"30")</f>
        <v>0</v>
      </c>
      <c r="BD18" s="465">
        <f>SUMIFS(BD2:BD13,G2:G13,"GVWD",E2:E13,"0344",F2:F13,"30")</f>
        <v>4240.2047999999995</v>
      </c>
      <c r="BE18" s="465">
        <f>SUMIFS(BE2:BE13,G2:G13,"GVWD",E2:E13,"0344",F2:F13,"30")</f>
        <v>991.66079999999999</v>
      </c>
      <c r="BF18" s="465">
        <f>SUMIFS(BF2:BF13,G2:G13,"GVWD",E2:E13,"0344",F2:F13,"30")</f>
        <v>8165.81376</v>
      </c>
      <c r="BG18" s="465">
        <f>SUMIFS(BG2:BG13,G2:G13,"GVWD",E2:E13,"0344",F2:F13,"30")</f>
        <v>493.094784</v>
      </c>
      <c r="BH18" s="465">
        <f>SUMIFS(BH2:BH13,G2:G13,"GVWD",E2:E13,"0344",F2:F13,"30")</f>
        <v>0</v>
      </c>
      <c r="BI18" s="465">
        <f>SUMIFS(BI2:BI13,G2:G13,"GVWD",E2:E13,"0344",F2:F13,"30")</f>
        <v>378.54086399999994</v>
      </c>
      <c r="BJ18" s="465">
        <f>SUMIFS(BJ2:BJ13,G2:G13,"GVWD",E2:E13,"0344",F2:F13,"30")</f>
        <v>205.1712</v>
      </c>
      <c r="BK18" s="465">
        <f>SUMIFS(BK2:BK13,G2:G13,"GVWD",E2:E13,"0344",F2:F13,"30")</f>
        <v>0</v>
      </c>
      <c r="BL18" s="465">
        <f>SUMIFS(BL2:BL13,G2:G13,"GVWD",E2:E13,"0344",F2:F13,"30")</f>
        <v>14474.486208</v>
      </c>
      <c r="BM18" s="465">
        <f>SUMIFS(BM2:BM13,G2:G13,"GVWD",E2:E13,"0344",F2:F13,"30")</f>
        <v>0</v>
      </c>
      <c r="BN18" s="465">
        <f>SUMIFS(BN2:BN13,G2:G13,"GVWD",E2:E13,"0344",F2:F13,"30")</f>
        <v>13750</v>
      </c>
      <c r="BO18" s="465">
        <f>SUMIFS(BO2:BO13,G2:G13,"GVWD",E2:E13,"0344",F2:F13,"30")</f>
        <v>0</v>
      </c>
      <c r="BP18" s="465">
        <f>SUMIFS(BP2:BP13,G2:G13,"GVWD",E2:E13,"0344",F2:F13,"30")</f>
        <v>4240.2047999999995</v>
      </c>
      <c r="BQ18" s="465">
        <f>SUMIFS(BQ2:BQ13,G2:G13,"GVWD",E2:E13,"0344",F2:F13,"30")</f>
        <v>991.66079999999999</v>
      </c>
      <c r="BR18" s="465">
        <f>SUMIFS(BR2:BR13,G2:G13,"GVWD",E2:E13,"0344",F2:F13,"30")</f>
        <v>7646.0467199999994</v>
      </c>
      <c r="BS18" s="465">
        <f>SUMIFS(BS2:BS13,G2:G13,"GVWD",E2:E13,"0344",F2:F13,"30")</f>
        <v>493.094784</v>
      </c>
      <c r="BT18" s="465">
        <f>SUMIFS(BT2:BT13,G2:G13,"GVWD",E2:E13,"0344",F2:F13,"30")</f>
        <v>0</v>
      </c>
      <c r="BU18" s="465">
        <f>SUMIFS(BU2:BU13,G2:G13,"GVWD",E2:E13,"0344",F2:F13,"30")</f>
        <v>378.54086399999994</v>
      </c>
      <c r="BV18" s="465">
        <f>SUMIFS(BV2:BV13,G2:G13,"GVWD",E2:E13,"0344",F2:F13,"30")</f>
        <v>150.45887999999999</v>
      </c>
      <c r="BW18" s="465">
        <f>SUMIFS(BW2:BW13,G2:G13,"GVWD",E2:E13,"0344",F2:F13,"30")</f>
        <v>0</v>
      </c>
      <c r="BX18" s="465">
        <f>SUMIFS(BX2:BX13,G2:G13,"GVWD",E2:E13,"0344",F2:F13,"30")</f>
        <v>13900.006848000001</v>
      </c>
      <c r="BY18" s="465">
        <f>SUMIFS(BY2:BY13,G2:G13,"GVWD",E2:E13,"0344",F2:F13,"30")</f>
        <v>0</v>
      </c>
      <c r="BZ18" s="465">
        <f>SUMIFS(BZ2:BZ13,G2:G13,"GVWD",E2:E13,"0344",F2:F13,"30")</f>
        <v>1250</v>
      </c>
      <c r="CA18" s="465">
        <f>SUMIFS(CA2:CA13,G2:G13,"GVWD",E2:E13,"0344",F2:F13,"30")</f>
        <v>0</v>
      </c>
      <c r="CB18" s="465">
        <f>SUMIFS(CB2:CB13,G2:G13,"GVWD",E2:E13,"0344",F2:F13,"30")</f>
        <v>0</v>
      </c>
      <c r="CC18" s="465">
        <f>SUMIFS(CC2:CC13,G2:G13,"GVWD",E2:E13,"0344",F2:F13,"30")</f>
        <v>0</v>
      </c>
      <c r="CD18" s="465">
        <f>SUMIFS(CD2:CD13,G2:G13,"GVWD",E2:E13,"0344",F2:F13,"30")</f>
        <v>-519.76704000000063</v>
      </c>
      <c r="CE18" s="465">
        <f>SUMIFS(CE2:CE13,G2:G13,"GVWD",E2:E13,"0344",F2:F13,"30")</f>
        <v>0</v>
      </c>
      <c r="CF18" s="465">
        <f>SUMIFS(CF2:CF13,G2:G13,"GVWD",E2:E13,"0344",F2:F13,"30")</f>
        <v>0</v>
      </c>
      <c r="CG18" s="465">
        <f>SUMIFS(CG2:CG13,G2:G13,"GVWD",E2:E13,"0344",F2:F13,"30")</f>
        <v>0</v>
      </c>
      <c r="CH18" s="465">
        <f>SUMIFS(CH2:CH13,G2:G13,"GVWD",E2:E13,"0344",F2:F13,"30")</f>
        <v>-54.712319999999991</v>
      </c>
      <c r="CI18" s="465">
        <f>SUMIFS(CI2:CI13,G2:G13,"GVWD",E2:E13,"0344",F2:F13,"30")</f>
        <v>0</v>
      </c>
      <c r="CJ18" s="465">
        <f>SUMIFS(CJ2:CJ13,G2:G13,"GVWD",E2:E13,"0344",F2:F13,"30")</f>
        <v>-574.47936000000061</v>
      </c>
      <c r="CK18" s="465">
        <f>SUMIFS(CK2:CK13,G2:G13,"GVWD",E2:E13,"0344",F2:F13,"30")</f>
        <v>0</v>
      </c>
      <c r="CL18" s="465">
        <f>SUMIFS(CL2:CL13,G2:G13,"GVWD",E2:E13,"0344",F2:F13,"30")</f>
        <v>0</v>
      </c>
      <c r="CM18" s="465">
        <f>SUMIFS(CM2:CM13,G2:G13,"GVWD",E2:E13,"0344",F2:F13,"30")</f>
        <v>0</v>
      </c>
    </row>
    <row r="19" spans="41:91" ht="18.75" x14ac:dyDescent="0.3">
      <c r="AQ19" s="471" t="s">
        <v>305</v>
      </c>
      <c r="AS19" s="472">
        <f>SUM(AS18:AS18)</f>
        <v>1</v>
      </c>
      <c r="AT19" s="472">
        <f>SUM(AT18:AT18)</f>
        <v>0</v>
      </c>
      <c r="AU19" s="472">
        <f>SUM(AU18:AU18)</f>
        <v>1</v>
      </c>
      <c r="AV19" s="472">
        <f>SUM(AV18:AV18)</f>
        <v>0</v>
      </c>
      <c r="AW19" s="472">
        <f>SUM(AW18:AW18)</f>
        <v>1</v>
      </c>
      <c r="AX19" s="472">
        <f>SUM(AX18:AX18)</f>
        <v>68390.399999999994</v>
      </c>
      <c r="AY19" s="472">
        <f>SUM(AY18:AY18)</f>
        <v>68390.399999999994</v>
      </c>
      <c r="AZ19" s="472">
        <f>SUM(AZ18:AZ18)</f>
        <v>0</v>
      </c>
      <c r="BA19" s="472">
        <f>SUM(BA18:BA18)</f>
        <v>0</v>
      </c>
      <c r="BB19" s="472">
        <f>SUM(BB18:BB18)</f>
        <v>12500</v>
      </c>
      <c r="BC19" s="472">
        <f>SUM(BC18:BC18)</f>
        <v>0</v>
      </c>
      <c r="BD19" s="472">
        <f>SUM(BD18:BD18)</f>
        <v>4240.2047999999995</v>
      </c>
      <c r="BE19" s="472">
        <f>SUM(BE18:BE18)</f>
        <v>991.66079999999999</v>
      </c>
      <c r="BF19" s="472">
        <f>SUM(BF18:BF18)</f>
        <v>8165.81376</v>
      </c>
      <c r="BG19" s="472">
        <f>SUM(BG18:BG18)</f>
        <v>493.094784</v>
      </c>
      <c r="BH19" s="472">
        <f>SUM(BH18:BH18)</f>
        <v>0</v>
      </c>
      <c r="BI19" s="472">
        <f>SUM(BI18:BI18)</f>
        <v>378.54086399999994</v>
      </c>
      <c r="BJ19" s="472">
        <f>SUM(BJ18:BJ18)</f>
        <v>205.1712</v>
      </c>
      <c r="BK19" s="472">
        <f>SUM(BK18:BK18)</f>
        <v>0</v>
      </c>
      <c r="BL19" s="472">
        <f>SUM(BL18:BL18)</f>
        <v>14474.486208</v>
      </c>
      <c r="BM19" s="472">
        <f>SUM(BM18:BM18)</f>
        <v>0</v>
      </c>
      <c r="BN19" s="472">
        <f>SUM(BN18:BN18)</f>
        <v>13750</v>
      </c>
      <c r="BO19" s="472">
        <f>SUM(BO18:BO18)</f>
        <v>0</v>
      </c>
      <c r="BP19" s="472">
        <f>SUM(BP18:BP18)</f>
        <v>4240.2047999999995</v>
      </c>
      <c r="BQ19" s="472">
        <f>SUM(BQ18:BQ18)</f>
        <v>991.66079999999999</v>
      </c>
      <c r="BR19" s="472">
        <f>SUM(BR18:BR18)</f>
        <v>7646.0467199999994</v>
      </c>
      <c r="BS19" s="472">
        <f>SUM(BS18:BS18)</f>
        <v>493.094784</v>
      </c>
      <c r="BT19" s="472">
        <f>SUM(BT18:BT18)</f>
        <v>0</v>
      </c>
      <c r="BU19" s="472">
        <f>SUM(BU18:BU18)</f>
        <v>378.54086399999994</v>
      </c>
      <c r="BV19" s="472">
        <f>SUM(BV18:BV18)</f>
        <v>150.45887999999999</v>
      </c>
      <c r="BW19" s="472">
        <f>SUM(BW18:BW18)</f>
        <v>0</v>
      </c>
      <c r="BX19" s="472">
        <f>SUM(BX18:BX18)</f>
        <v>13900.006848000001</v>
      </c>
      <c r="BY19" s="472">
        <f>SUM(BY18:BY18)</f>
        <v>0</v>
      </c>
      <c r="BZ19" s="472">
        <f>SUM(BZ18:BZ18)</f>
        <v>1250</v>
      </c>
      <c r="CA19" s="472">
        <f>SUM(CA18:CA18)</f>
        <v>0</v>
      </c>
      <c r="CB19" s="472">
        <f>SUM(CB18:CB18)</f>
        <v>0</v>
      </c>
      <c r="CC19" s="472">
        <f>SUM(CC18:CC18)</f>
        <v>0</v>
      </c>
      <c r="CD19" s="472">
        <f>SUM(CD18:CD18)</f>
        <v>-519.76704000000063</v>
      </c>
      <c r="CE19" s="472">
        <f>SUM(CE18:CE18)</f>
        <v>0</v>
      </c>
      <c r="CF19" s="472">
        <f>SUM(CF18:CF18)</f>
        <v>0</v>
      </c>
      <c r="CG19" s="472">
        <f>SUM(CG18:CG18)</f>
        <v>0</v>
      </c>
      <c r="CH19" s="472">
        <f>SUM(CH18:CH18)</f>
        <v>-54.712319999999991</v>
      </c>
      <c r="CI19" s="472">
        <f>SUM(CI18:CI18)</f>
        <v>0</v>
      </c>
      <c r="CJ19" s="472">
        <f>SUM(CJ18:CJ18)</f>
        <v>-574.47936000000061</v>
      </c>
      <c r="CK19" s="472">
        <f>SUM(CK18:CK18)</f>
        <v>0</v>
      </c>
      <c r="CL19" s="472">
        <f>SUM(CL18:CL18)</f>
        <v>0</v>
      </c>
      <c r="CM19" s="472">
        <f>SUM(CM18:CM18)</f>
        <v>0</v>
      </c>
    </row>
    <row r="20" spans="41:91" ht="15.75" thickBot="1" x14ac:dyDescent="0.3">
      <c r="AR20" t="s">
        <v>310</v>
      </c>
      <c r="AS20" s="465">
        <f>SUMIFS(AS2:AS13,G2:G13,"GVWD",E2:E13,"0348",F2:F13,"00",AT2:AT13,1)</f>
        <v>1</v>
      </c>
      <c r="AT20" s="465">
        <f>SUMIFS(AS2:AS13,G2:G13,"GVWD",E2:E13,"0348",F2:F13,"00",AT2:AT13,3)</f>
        <v>0</v>
      </c>
      <c r="AU20" s="465">
        <f>SUMIFS(AU2:AU13,G2:G13,"GVWD",E2:E13,"0348",F2:F13,"00")</f>
        <v>1</v>
      </c>
      <c r="AV20" s="465">
        <f>SUMIFS(AV2:AV13,G2:G13,"GVWD",E2:E13,"0348",F2:F13,"00")</f>
        <v>0</v>
      </c>
      <c r="AW20" s="465">
        <f>SUMIFS(AW2:AW13,G2:G13,"GVWD",E2:E13,"0348",F2:F13,"00")</f>
        <v>5</v>
      </c>
      <c r="AX20" s="465">
        <f>SUMIFS(AX2:AX13,G2:G13,"GVWD",E2:E13,"0348",F2:F13,"00")</f>
        <v>63107.199999999997</v>
      </c>
      <c r="AY20" s="465">
        <f>SUMIFS(AY2:AY13,G2:G13,"GVWD",E2:E13,"0348",F2:F13,"00")</f>
        <v>63107.199999999997</v>
      </c>
      <c r="AZ20" s="465">
        <f>SUMIFS(AZ2:AZ13,G2:G13,"GVWD",E2:E13,"0348",F2:F13,"00")</f>
        <v>0</v>
      </c>
      <c r="BA20" s="465">
        <f>SUMIFS(BA2:BA13,G2:G13,"GVWD",E2:E13,"0348",F2:F13,"00")</f>
        <v>0</v>
      </c>
      <c r="BB20" s="465">
        <f>SUMIFS(BB2:BB13,G2:G13,"GVWD",E2:E13,"0348",F2:F13,"00")</f>
        <v>12500</v>
      </c>
      <c r="BC20" s="465">
        <f>SUMIFS(BC2:BC13,G2:G13,"GVWD",E2:E13,"0348",F2:F13,"00")</f>
        <v>0</v>
      </c>
      <c r="BD20" s="465">
        <f>SUMIFS(BD2:BD13,G2:G13,"GVWD",E2:E13,"0348",F2:F13,"00")</f>
        <v>3912.6463999999996</v>
      </c>
      <c r="BE20" s="465">
        <f>SUMIFS(BE2:BE13,G2:G13,"GVWD",E2:E13,"0348",F2:F13,"00")</f>
        <v>915.05439999999999</v>
      </c>
      <c r="BF20" s="465">
        <f>SUMIFS(BF2:BF13,G2:G13,"GVWD",E2:E13,"0348",F2:F13,"00")</f>
        <v>7534.9996799999999</v>
      </c>
      <c r="BG20" s="465">
        <f>SUMIFS(BG2:BG13,G2:G13,"GVWD",E2:E13,"0348",F2:F13,"00")</f>
        <v>455.00291199999998</v>
      </c>
      <c r="BH20" s="465">
        <f>SUMIFS(BH2:BH13,G2:G13,"GVWD",E2:E13,"0348",F2:F13,"00")</f>
        <v>0</v>
      </c>
      <c r="BI20" s="465">
        <f>SUMIFS(BI2:BI13,G2:G13,"GVWD",E2:E13,"0348",F2:F13,"00")</f>
        <v>349.29835199999997</v>
      </c>
      <c r="BJ20" s="465">
        <f>SUMIFS(BJ2:BJ13,G2:G13,"GVWD",E2:E13,"0348",F2:F13,"00")</f>
        <v>189.32159999999999</v>
      </c>
      <c r="BK20" s="465">
        <f>SUMIFS(BK2:BK13,G2:G13,"GVWD",E2:E13,"0348",F2:F13,"00")</f>
        <v>0</v>
      </c>
      <c r="BL20" s="465">
        <f>SUMIFS(BL2:BL13,G2:G13,"GVWD",E2:E13,"0348",F2:F13,"00")</f>
        <v>13356.323343999999</v>
      </c>
      <c r="BM20" s="465">
        <f>SUMIFS(BM2:BM13,G2:G13,"GVWD",E2:E13,"0348",F2:F13,"00")</f>
        <v>0</v>
      </c>
      <c r="BN20" s="465">
        <f>SUMIFS(BN2:BN13,G2:G13,"GVWD",E2:E13,"0348",F2:F13,"00")</f>
        <v>13750</v>
      </c>
      <c r="BO20" s="465">
        <f>SUMIFS(BO2:BO13,G2:G13,"GVWD",E2:E13,"0348",F2:F13,"00")</f>
        <v>0</v>
      </c>
      <c r="BP20" s="465">
        <f>SUMIFS(BP2:BP13,G2:G13,"GVWD",E2:E13,"0348",F2:F13,"00")</f>
        <v>3912.6463999999996</v>
      </c>
      <c r="BQ20" s="465">
        <f>SUMIFS(BQ2:BQ13,G2:G13,"GVWD",E2:E13,"0348",F2:F13,"00")</f>
        <v>915.05439999999999</v>
      </c>
      <c r="BR20" s="465">
        <f>SUMIFS(BR2:BR13,G2:G13,"GVWD",E2:E13,"0348",F2:F13,"00")</f>
        <v>7055.3849599999994</v>
      </c>
      <c r="BS20" s="465">
        <f>SUMIFS(BS2:BS13,G2:G13,"GVWD",E2:E13,"0348",F2:F13,"00")</f>
        <v>455.00291199999998</v>
      </c>
      <c r="BT20" s="465">
        <f>SUMIFS(BT2:BT13,G2:G13,"GVWD",E2:E13,"0348",F2:F13,"00")</f>
        <v>0</v>
      </c>
      <c r="BU20" s="465">
        <f>SUMIFS(BU2:BU13,G2:G13,"GVWD",E2:E13,"0348",F2:F13,"00")</f>
        <v>349.29835199999997</v>
      </c>
      <c r="BV20" s="465">
        <f>SUMIFS(BV2:BV13,G2:G13,"GVWD",E2:E13,"0348",F2:F13,"00")</f>
        <v>138.83583999999999</v>
      </c>
      <c r="BW20" s="465">
        <f>SUMIFS(BW2:BW13,G2:G13,"GVWD",E2:E13,"0348",F2:F13,"00")</f>
        <v>0</v>
      </c>
      <c r="BX20" s="465">
        <f>SUMIFS(BX2:BX13,G2:G13,"GVWD",E2:E13,"0348",F2:F13,"00")</f>
        <v>12826.222863999998</v>
      </c>
      <c r="BY20" s="465">
        <f>SUMIFS(BY2:BY13,G2:G13,"GVWD",E2:E13,"0348",F2:F13,"00")</f>
        <v>0</v>
      </c>
      <c r="BZ20" s="465">
        <f>SUMIFS(BZ2:BZ13,G2:G13,"GVWD",E2:E13,"0348",F2:F13,"00")</f>
        <v>1250</v>
      </c>
      <c r="CA20" s="465">
        <f>SUMIFS(CA2:CA13,G2:G13,"GVWD",E2:E13,"0348",F2:F13,"00")</f>
        <v>0</v>
      </c>
      <c r="CB20" s="465">
        <f>SUMIFS(CB2:CB13,G2:G13,"GVWD",E2:E13,"0348",F2:F13,"00")</f>
        <v>0</v>
      </c>
      <c r="CC20" s="465">
        <f>SUMIFS(CC2:CC13,G2:G13,"GVWD",E2:E13,"0348",F2:F13,"00")</f>
        <v>0</v>
      </c>
      <c r="CD20" s="465">
        <f>SUMIFS(CD2:CD13,G2:G13,"GVWD",E2:E13,"0348",F2:F13,"00")</f>
        <v>-479.6147200000006</v>
      </c>
      <c r="CE20" s="465">
        <f>SUMIFS(CE2:CE13,G2:G13,"GVWD",E2:E13,"0348",F2:F13,"00")</f>
        <v>0</v>
      </c>
      <c r="CF20" s="465">
        <f>SUMIFS(CF2:CF13,G2:G13,"GVWD",E2:E13,"0348",F2:F13,"00")</f>
        <v>0</v>
      </c>
      <c r="CG20" s="465">
        <f>SUMIFS(CG2:CG13,G2:G13,"GVWD",E2:E13,"0348",F2:F13,"00")</f>
        <v>0</v>
      </c>
      <c r="CH20" s="465">
        <f>SUMIFS(CH2:CH13,G2:G13,"GVWD",E2:E13,"0348",F2:F13,"00")</f>
        <v>-50.485759999999992</v>
      </c>
      <c r="CI20" s="465">
        <f>SUMIFS(CI2:CI13,G2:G13,"GVWD",E2:E13,"0348",F2:F13,"00")</f>
        <v>0</v>
      </c>
      <c r="CJ20" s="465">
        <f>SUMIFS(CJ2:CJ13,G2:G13,"GVWD",E2:E13,"0348",F2:F13,"00")</f>
        <v>-530.10048000000063</v>
      </c>
      <c r="CK20" s="465">
        <f>SUMIFS(CK2:CK13,G2:G13,"GVWD",E2:E13,"0348",F2:F13,"00")</f>
        <v>0</v>
      </c>
      <c r="CL20" s="465">
        <f>SUMIFS(CL2:CL13,G2:G13,"GVWD",E2:E13,"0348",F2:F13,"00")</f>
        <v>0</v>
      </c>
      <c r="CM20" s="465">
        <f>SUMIFS(CM2:CM13,G2:G13,"GVWD",E2:E13,"0348",F2:F13,"00")</f>
        <v>0</v>
      </c>
    </row>
    <row r="21" spans="41:91" ht="18.75" x14ac:dyDescent="0.3">
      <c r="AQ21" s="471" t="s">
        <v>311</v>
      </c>
      <c r="AS21" s="472">
        <f>SUM(AS20:AS20)</f>
        <v>1</v>
      </c>
      <c r="AT21" s="472">
        <f>SUM(AT20:AT20)</f>
        <v>0</v>
      </c>
      <c r="AU21" s="472">
        <f>SUM(AU20:AU20)</f>
        <v>1</v>
      </c>
      <c r="AV21" s="472">
        <f>SUM(AV20:AV20)</f>
        <v>0</v>
      </c>
      <c r="AW21" s="472">
        <f>SUM(AW20:AW20)</f>
        <v>5</v>
      </c>
      <c r="AX21" s="472">
        <f>SUM(AX20:AX20)</f>
        <v>63107.199999999997</v>
      </c>
      <c r="AY21" s="472">
        <f>SUM(AY20:AY20)</f>
        <v>63107.199999999997</v>
      </c>
      <c r="AZ21" s="472">
        <f>SUM(AZ20:AZ20)</f>
        <v>0</v>
      </c>
      <c r="BA21" s="472">
        <f>SUM(BA20:BA20)</f>
        <v>0</v>
      </c>
      <c r="BB21" s="472">
        <f>SUM(BB20:BB20)</f>
        <v>12500</v>
      </c>
      <c r="BC21" s="472">
        <f>SUM(BC20:BC20)</f>
        <v>0</v>
      </c>
      <c r="BD21" s="472">
        <f>SUM(BD20:BD20)</f>
        <v>3912.6463999999996</v>
      </c>
      <c r="BE21" s="472">
        <f>SUM(BE20:BE20)</f>
        <v>915.05439999999999</v>
      </c>
      <c r="BF21" s="472">
        <f>SUM(BF20:BF20)</f>
        <v>7534.9996799999999</v>
      </c>
      <c r="BG21" s="472">
        <f>SUM(BG20:BG20)</f>
        <v>455.00291199999998</v>
      </c>
      <c r="BH21" s="472">
        <f>SUM(BH20:BH20)</f>
        <v>0</v>
      </c>
      <c r="BI21" s="472">
        <f>SUM(BI20:BI20)</f>
        <v>349.29835199999997</v>
      </c>
      <c r="BJ21" s="472">
        <f>SUM(BJ20:BJ20)</f>
        <v>189.32159999999999</v>
      </c>
      <c r="BK21" s="472">
        <f>SUM(BK20:BK20)</f>
        <v>0</v>
      </c>
      <c r="BL21" s="472">
        <f>SUM(BL20:BL20)</f>
        <v>13356.323343999999</v>
      </c>
      <c r="BM21" s="472">
        <f>SUM(BM20:BM20)</f>
        <v>0</v>
      </c>
      <c r="BN21" s="472">
        <f>SUM(BN20:BN20)</f>
        <v>13750</v>
      </c>
      <c r="BO21" s="472">
        <f>SUM(BO20:BO20)</f>
        <v>0</v>
      </c>
      <c r="BP21" s="472">
        <f>SUM(BP20:BP20)</f>
        <v>3912.6463999999996</v>
      </c>
      <c r="BQ21" s="472">
        <f>SUM(BQ20:BQ20)</f>
        <v>915.05439999999999</v>
      </c>
      <c r="BR21" s="472">
        <f>SUM(BR20:BR20)</f>
        <v>7055.3849599999994</v>
      </c>
      <c r="BS21" s="472">
        <f>SUM(BS20:BS20)</f>
        <v>455.00291199999998</v>
      </c>
      <c r="BT21" s="472">
        <f>SUM(BT20:BT20)</f>
        <v>0</v>
      </c>
      <c r="BU21" s="472">
        <f>SUM(BU20:BU20)</f>
        <v>349.29835199999997</v>
      </c>
      <c r="BV21" s="472">
        <f>SUM(BV20:BV20)</f>
        <v>138.83583999999999</v>
      </c>
      <c r="BW21" s="472">
        <f>SUM(BW20:BW20)</f>
        <v>0</v>
      </c>
      <c r="BX21" s="472">
        <f>SUM(BX20:BX20)</f>
        <v>12826.222863999998</v>
      </c>
      <c r="BY21" s="472">
        <f>SUM(BY20:BY20)</f>
        <v>0</v>
      </c>
      <c r="BZ21" s="472">
        <f>SUM(BZ20:BZ20)</f>
        <v>1250</v>
      </c>
      <c r="CA21" s="472">
        <f>SUM(CA20:CA20)</f>
        <v>0</v>
      </c>
      <c r="CB21" s="472">
        <f>SUM(CB20:CB20)</f>
        <v>0</v>
      </c>
      <c r="CC21" s="472">
        <f>SUM(CC20:CC20)</f>
        <v>0</v>
      </c>
      <c r="CD21" s="472">
        <f>SUM(CD20:CD20)</f>
        <v>-479.6147200000006</v>
      </c>
      <c r="CE21" s="472">
        <f>SUM(CE20:CE20)</f>
        <v>0</v>
      </c>
      <c r="CF21" s="472">
        <f>SUM(CF20:CF20)</f>
        <v>0</v>
      </c>
      <c r="CG21" s="472">
        <f>SUM(CG20:CG20)</f>
        <v>0</v>
      </c>
      <c r="CH21" s="472">
        <f>SUM(CH20:CH20)</f>
        <v>-50.485759999999992</v>
      </c>
      <c r="CI21" s="472">
        <f>SUM(CI20:CI20)</f>
        <v>0</v>
      </c>
      <c r="CJ21" s="472">
        <f>SUM(CJ20:CJ20)</f>
        <v>-530.10048000000063</v>
      </c>
      <c r="CK21" s="472">
        <f>SUM(CK20:CK20)</f>
        <v>0</v>
      </c>
      <c r="CL21" s="472">
        <f>SUM(CL20:CL20)</f>
        <v>0</v>
      </c>
      <c r="CM21" s="472">
        <f>SUM(CM20:CM20)</f>
        <v>0</v>
      </c>
    </row>
    <row r="23" spans="41:91" ht="21" x14ac:dyDescent="0.35">
      <c r="AO23" s="251" t="s">
        <v>95</v>
      </c>
      <c r="AP23" s="251"/>
      <c r="AQ23" s="251"/>
    </row>
    <row r="25" spans="41:91" ht="21" x14ac:dyDescent="0.35">
      <c r="AO25" s="252"/>
      <c r="AP25" s="252"/>
      <c r="AQ25" s="252"/>
    </row>
    <row r="26" spans="41:91" ht="15.75" x14ac:dyDescent="0.25">
      <c r="AS26" s="374" t="s">
        <v>81</v>
      </c>
      <c r="AT26" s="458" t="s">
        <v>319</v>
      </c>
      <c r="AU26" s="458"/>
      <c r="AV26" s="459" t="s">
        <v>317</v>
      </c>
      <c r="AW26" s="458" t="s">
        <v>320</v>
      </c>
      <c r="AX26" s="458"/>
      <c r="AY26" s="459" t="s">
        <v>318</v>
      </c>
      <c r="AZ26" s="458" t="s">
        <v>321</v>
      </c>
      <c r="BA26" s="458"/>
    </row>
    <row r="27" spans="41:91" ht="15.75" x14ac:dyDescent="0.25">
      <c r="AS27" s="249"/>
      <c r="AT27" s="374" t="s">
        <v>92</v>
      </c>
      <c r="AU27" s="373" t="s">
        <v>94</v>
      </c>
      <c r="AV27" s="460"/>
      <c r="AW27" s="374" t="s">
        <v>96</v>
      </c>
      <c r="AX27" s="373" t="s">
        <v>93</v>
      </c>
      <c r="AY27" s="460"/>
      <c r="AZ27" s="374" t="s">
        <v>96</v>
      </c>
      <c r="BA27" s="373" t="s">
        <v>93</v>
      </c>
    </row>
    <row r="28" spans="41:91" x14ac:dyDescent="0.25">
      <c r="AO28" s="470" t="s">
        <v>322</v>
      </c>
    </row>
    <row r="29" spans="41:91" x14ac:dyDescent="0.25">
      <c r="AQ29" t="s">
        <v>301</v>
      </c>
      <c r="AS29" s="465">
        <f>SUM(SUMIFS(AS2:AS13,CN2:CN13,AQ29,E2:E13,"0305",F2:F13,"00",AT2:AT13,{1,3}))</f>
        <v>6</v>
      </c>
      <c r="AT29" s="465">
        <f>SUMPRODUCT(--(CN2:CN13=AQ29),--(N2:N13&lt;&gt;"NG"),--(AG2:AG13&lt;&gt;"D"),--(AR2:AR13&lt;&gt;6),--(AR2:AR13&lt;&gt;36),--(AR2:AR13&lt;&gt;56),T2:T13)+SUMPRODUCT(--(CN2:CN13=AQ29),--(N2:N13&lt;&gt;"NG"),--(AG2:AG13&lt;&gt;"D"),--(AR2:AR13&lt;&gt;6),--(AR2:AR13&lt;&gt;36),--(AR2:AR13&lt;&gt;56),U2:U13)</f>
        <v>286367.09000000003</v>
      </c>
      <c r="AU29" s="465">
        <f>SUMPRODUCT(--(CN2:CN13=AQ29),--(N2:N13&lt;&gt;"NG"),--(AG2:AG13&lt;&gt;"D"),--(AR2:AR13&lt;&gt;6),--(AR2:AR13&lt;&gt;36),--(AR2:AR13&lt;&gt;56),V2:V13)</f>
        <v>107311.62999999999</v>
      </c>
      <c r="AV29" s="465">
        <f>SUMPRODUCT(--(CN2:CN13=AQ29),AY2:AY13)+SUMPRODUCT(--(CN2:CN13=AQ29),AZ2:AZ13)</f>
        <v>416811.2</v>
      </c>
      <c r="AW29" s="465">
        <f>SUMPRODUCT(--(CN2:CN13=AQ29),BB2:BB13)+SUMPRODUCT(--(CN2:CN13=AQ29),BC2:BC13)</f>
        <v>75000</v>
      </c>
      <c r="AX29" s="465">
        <f>SUMPRODUCT(--(CN2:CN13=AQ29),BL2:BL13)+SUMPRODUCT(--(CN2:CN13=AQ29),BM2:BM13)</f>
        <v>87618.376976</v>
      </c>
      <c r="AY29" s="465">
        <f>SUMPRODUCT(--(CN2:CN13=AQ29),AY2:AY13)+SUMPRODUCT(--(CN2:CN13=AQ29),AZ2:AZ13)+SUMPRODUCT(--(CN2:CN13=AQ29),BA2:BA13)</f>
        <v>416811.2</v>
      </c>
      <c r="AZ29" s="465">
        <f>SUMPRODUCT(--(CN2:CN13=AQ29),BN2:BN13)+SUMPRODUCT(--(CN2:CN13=AQ29),BO2:BO13)</f>
        <v>82500</v>
      </c>
      <c r="BA29" s="465">
        <f>SUMPRODUCT(--(CN2:CN13=AQ29),BX2:BX13)+SUMPRODUCT(--(CN2:CN13=AQ29),BY2:BY13)</f>
        <v>84117.162896000009</v>
      </c>
    </row>
    <row r="30" spans="41:91" x14ac:dyDescent="0.25">
      <c r="AP30" t="s">
        <v>323</v>
      </c>
      <c r="AS30" s="476">
        <f>SUM(AS29:AS29)</f>
        <v>6</v>
      </c>
      <c r="AT30" s="476">
        <f>SUM(AT29:AT29)</f>
        <v>286367.09000000003</v>
      </c>
      <c r="AU30" s="476">
        <f>SUM(AU29:AU29)</f>
        <v>107311.62999999999</v>
      </c>
      <c r="AV30" s="476">
        <f>SUM(AV29:AV29)</f>
        <v>416811.2</v>
      </c>
      <c r="AW30" s="476">
        <f>SUM(AW29:AW29)</f>
        <v>75000</v>
      </c>
      <c r="AX30" s="476">
        <f>SUM(AX29:AX29)</f>
        <v>87618.376976</v>
      </c>
      <c r="AY30" s="476">
        <f>SUM(AY29:AY29)</f>
        <v>416811.2</v>
      </c>
      <c r="AZ30" s="476">
        <f>SUM(AZ29:AZ29)</f>
        <v>82500</v>
      </c>
      <c r="BA30" s="476">
        <f>SUM(BA29:BA29)</f>
        <v>84117.162896000009</v>
      </c>
    </row>
    <row r="31" spans="41:91" x14ac:dyDescent="0.25">
      <c r="AQ31" t="s">
        <v>307</v>
      </c>
      <c r="AS31" s="465">
        <f>SUM(SUMIFS(AS2:AS13,CN2:CN13,AQ31,E2:E13,"0344",F2:F13,"30",AT2:AT13,{1,3}))</f>
        <v>1</v>
      </c>
      <c r="AT31" s="465">
        <f>SUMPRODUCT(--(CN2:CN13=AQ31),--(N2:N13&lt;&gt;"NG"),--(AG2:AG13&lt;&gt;"D"),--(AR2:AR13&lt;&gt;6),--(AR2:AR13&lt;&gt;36),--(AR2:AR13&lt;&gt;56),T2:T13)+SUMPRODUCT(--(CN2:CN13=AQ31),--(N2:N13&lt;&gt;"NG"),--(AG2:AG13&lt;&gt;"D"),--(AR2:AR13&lt;&gt;6),--(AR2:AR13&lt;&gt;36),--(AR2:AR13&lt;&gt;56),U2:U13)</f>
        <v>0</v>
      </c>
      <c r="AU31" s="465">
        <f>SUMPRODUCT(--(CN2:CN13=AQ31),--(N2:N13&lt;&gt;"NG"),--(AG2:AG13&lt;&gt;"D"),--(AR2:AR13&lt;&gt;6),--(AR2:AR13&lt;&gt;36),--(AR2:AR13&lt;&gt;56),V2:V13)</f>
        <v>0</v>
      </c>
      <c r="AV31" s="465">
        <f>SUMPRODUCT(--(CN2:CN13=AQ31),AY2:AY13)+SUMPRODUCT(--(CN2:CN13=AQ31),AZ2:AZ13)</f>
        <v>68390.399999999994</v>
      </c>
      <c r="AW31" s="465">
        <f>SUMPRODUCT(--(CN2:CN13=AQ31),BB2:BB13)+SUMPRODUCT(--(CN2:CN13=AQ31),BC2:BC13)</f>
        <v>12500</v>
      </c>
      <c r="AX31" s="465">
        <f>SUMPRODUCT(--(CN2:CN13=AQ31),BL2:BL13)+SUMPRODUCT(--(CN2:CN13=AQ31),BM2:BM13)</f>
        <v>14474.486208</v>
      </c>
      <c r="AY31" s="465">
        <f>SUMPRODUCT(--(CN2:CN13=AQ31),AY2:AY13)+SUMPRODUCT(--(CN2:CN13=AQ31),AZ2:AZ13)+SUMPRODUCT(--(CN2:CN13=AQ31),BA2:BA13)</f>
        <v>68390.399999999994</v>
      </c>
      <c r="AZ31" s="465">
        <f>SUMPRODUCT(--(CN2:CN13=AQ31),BN2:BN13)+SUMPRODUCT(--(CN2:CN13=AQ31),BO2:BO13)</f>
        <v>13750</v>
      </c>
      <c r="BA31" s="465">
        <f>SUMPRODUCT(--(CN2:CN13=AQ31),BX2:BX13)+SUMPRODUCT(--(CN2:CN13=AQ31),BY2:BY13)</f>
        <v>13900.006848000001</v>
      </c>
    </row>
    <row r="32" spans="41:91" x14ac:dyDescent="0.25">
      <c r="AP32" t="s">
        <v>324</v>
      </c>
      <c r="AS32" s="476">
        <f>SUM(AS31:AS31)</f>
        <v>1</v>
      </c>
      <c r="AT32" s="476">
        <f>SUM(AT31:AT31)</f>
        <v>0</v>
      </c>
      <c r="AU32" s="476">
        <f>SUM(AU31:AU31)</f>
        <v>0</v>
      </c>
      <c r="AV32" s="476">
        <f>SUM(AV31:AV31)</f>
        <v>68390.399999999994</v>
      </c>
      <c r="AW32" s="476">
        <f>SUM(AW31:AW31)</f>
        <v>12500</v>
      </c>
      <c r="AX32" s="476">
        <f>SUM(AX31:AX31)</f>
        <v>14474.486208</v>
      </c>
      <c r="AY32" s="476">
        <f>SUM(AY31:AY31)</f>
        <v>68390.399999999994</v>
      </c>
      <c r="AZ32" s="476">
        <f>SUM(AZ31:AZ31)</f>
        <v>13750</v>
      </c>
      <c r="BA32" s="476">
        <f>SUM(BA31:BA31)</f>
        <v>13900.006848000001</v>
      </c>
    </row>
    <row r="33" spans="41:81" x14ac:dyDescent="0.25">
      <c r="AQ33" t="s">
        <v>313</v>
      </c>
      <c r="AS33" s="465">
        <f>SUM(SUMIFS(AS2:AS13,CN2:CN13,AQ33,E2:E13,"0348",F2:F13,"00",AT2:AT13,{1,3}))</f>
        <v>1</v>
      </c>
      <c r="AT33" s="465">
        <f>SUMPRODUCT(--(CN2:CN13=AQ33),--(N2:N13&lt;&gt;"NG"),--(AG2:AG13&lt;&gt;"D"),--(AR2:AR13&lt;&gt;6),--(AR2:AR13&lt;&gt;36),--(AR2:AR13&lt;&gt;56),T2:T13)+SUMPRODUCT(--(CN2:CN13=AQ33),--(N2:N13&lt;&gt;"NG"),--(AG2:AG13&lt;&gt;"D"),--(AR2:AR13&lt;&gt;6),--(AR2:AR13&lt;&gt;36),--(AR2:AR13&lt;&gt;56),U2:U13)</f>
        <v>130099.48</v>
      </c>
      <c r="AU33" s="465">
        <f>SUMPRODUCT(--(CN2:CN13=AQ33),--(N2:N13&lt;&gt;"NG"),--(AG2:AG13&lt;&gt;"D"),--(AR2:AR13&lt;&gt;6),--(AR2:AR13&lt;&gt;36),--(AR2:AR13&lt;&gt;56),V2:V13)</f>
        <v>51200.52</v>
      </c>
      <c r="AV33" s="465">
        <f>SUMPRODUCT(--(CN2:CN13=AQ33),AY2:AY13)+SUMPRODUCT(--(CN2:CN13=AQ33),AZ2:AZ13)</f>
        <v>63107.199999999997</v>
      </c>
      <c r="AW33" s="465">
        <f>SUMPRODUCT(--(CN2:CN13=AQ33),BB2:BB13)+SUMPRODUCT(--(CN2:CN13=AQ33),BC2:BC13)</f>
        <v>12500</v>
      </c>
      <c r="AX33" s="465">
        <f>SUMPRODUCT(--(CN2:CN13=AQ33),BL2:BL13)+SUMPRODUCT(--(CN2:CN13=AQ33),BM2:BM13)</f>
        <v>13356.323343999999</v>
      </c>
      <c r="AY33" s="465">
        <f>SUMPRODUCT(--(CN2:CN13=AQ33),AY2:AY13)+SUMPRODUCT(--(CN2:CN13=AQ33),AZ2:AZ13)+SUMPRODUCT(--(CN2:CN13=AQ33),BA2:BA13)</f>
        <v>63107.199999999997</v>
      </c>
      <c r="AZ33" s="465">
        <f>SUMPRODUCT(--(CN2:CN13=AQ33),BN2:BN13)+SUMPRODUCT(--(CN2:CN13=AQ33),BO2:BO13)</f>
        <v>13750</v>
      </c>
      <c r="BA33" s="465">
        <f>SUMPRODUCT(--(CN2:CN13=AQ33),BX2:BX13)+SUMPRODUCT(--(CN2:CN13=AQ33),BY2:BY13)</f>
        <v>12826.222863999998</v>
      </c>
    </row>
    <row r="34" spans="41:81" x14ac:dyDescent="0.25">
      <c r="AP34" t="s">
        <v>325</v>
      </c>
      <c r="AS34" s="476">
        <f>SUM(AS33:AS33)</f>
        <v>1</v>
      </c>
      <c r="AT34" s="476">
        <f>SUM(AT33:AT33)</f>
        <v>130099.48</v>
      </c>
      <c r="AU34" s="476">
        <f>SUM(AU33:AU33)</f>
        <v>51200.52</v>
      </c>
      <c r="AV34" s="476">
        <f>SUM(AV33:AV33)</f>
        <v>63107.199999999997</v>
      </c>
      <c r="AW34" s="476">
        <f>SUM(AW33:AW33)</f>
        <v>12500</v>
      </c>
      <c r="AX34" s="476">
        <f>SUM(AX33:AX33)</f>
        <v>13356.323343999999</v>
      </c>
      <c r="AY34" s="476">
        <f>SUM(AY33:AY33)</f>
        <v>63107.199999999997</v>
      </c>
      <c r="AZ34" s="476">
        <f>SUM(AZ33:AZ33)</f>
        <v>13750</v>
      </c>
      <c r="BA34" s="476">
        <f>SUM(BA33:BA33)</f>
        <v>12826.222863999998</v>
      </c>
    </row>
    <row r="35" spans="41:81" x14ac:dyDescent="0.25">
      <c r="AS35" s="465"/>
      <c r="AT35" s="465"/>
      <c r="AU35" s="465"/>
      <c r="AV35" s="465"/>
      <c r="AW35" s="465"/>
      <c r="AX35" s="465"/>
      <c r="AY35" s="465"/>
      <c r="AZ35" s="465"/>
      <c r="BA35" s="465"/>
    </row>
    <row r="36" spans="41:81" x14ac:dyDescent="0.25">
      <c r="AO36" s="474" t="s">
        <v>326</v>
      </c>
      <c r="AS36" s="477">
        <f>SUM(AS30,AS32,AS34)</f>
        <v>8</v>
      </c>
      <c r="AT36" s="477">
        <f>SUM(AT30,AT32,AT34)</f>
        <v>416466.57</v>
      </c>
      <c r="AU36" s="477">
        <f>SUM(AU30,AU32,AU34)</f>
        <v>158512.15</v>
      </c>
      <c r="AV36" s="477">
        <f>SUM(AV30,AV32,AV34)</f>
        <v>548308.79999999993</v>
      </c>
      <c r="AW36" s="477">
        <f>SUM(AW30,AW32,AW34)</f>
        <v>100000</v>
      </c>
      <c r="AX36" s="477">
        <f>SUM(AX30,AX32,AX34)</f>
        <v>115449.18652800001</v>
      </c>
      <c r="AY36" s="477">
        <f>SUM(AY30,AY32,AY34)</f>
        <v>548308.79999999993</v>
      </c>
      <c r="AZ36" s="477">
        <f>SUM(AZ30,AZ32,AZ34)</f>
        <v>110000</v>
      </c>
      <c r="BA36" s="477">
        <f>SUM(BA30,BA32,BA34)</f>
        <v>110843.39260800001</v>
      </c>
    </row>
    <row r="37" spans="41:81" x14ac:dyDescent="0.25">
      <c r="AS37" s="465"/>
      <c r="AT37" s="465"/>
      <c r="AU37" s="465"/>
      <c r="AV37" s="465"/>
      <c r="AW37" s="465"/>
      <c r="AX37" s="465"/>
      <c r="AY37" s="465"/>
      <c r="AZ37" s="465"/>
      <c r="BA37" s="465"/>
    </row>
    <row r="38" spans="41:81" x14ac:dyDescent="0.25">
      <c r="AO38" s="470" t="s">
        <v>327</v>
      </c>
      <c r="AS38" s="465"/>
      <c r="AT38" s="465"/>
      <c r="AU38" s="465"/>
      <c r="AV38" s="465"/>
      <c r="AW38" s="465"/>
      <c r="AX38" s="465"/>
      <c r="AY38" s="465"/>
      <c r="AZ38" s="465"/>
      <c r="BA38" s="465"/>
    </row>
    <row r="39" spans="41:81" x14ac:dyDescent="0.25">
      <c r="AS39" s="465"/>
      <c r="AT39" s="465"/>
      <c r="AU39" s="465"/>
      <c r="AV39" s="465"/>
      <c r="AW39" s="465"/>
      <c r="AX39" s="465"/>
      <c r="AY39" s="465"/>
      <c r="AZ39" s="465"/>
      <c r="BA39" s="465"/>
    </row>
    <row r="40" spans="41:81" x14ac:dyDescent="0.25">
      <c r="AO40" s="474" t="s">
        <v>328</v>
      </c>
      <c r="AS40" s="465"/>
      <c r="AT40" s="465"/>
      <c r="AU40" s="465"/>
      <c r="AV40" s="465"/>
      <c r="AW40" s="465"/>
      <c r="AX40" s="465"/>
      <c r="AY40" s="465"/>
      <c r="AZ40" s="465"/>
      <c r="BA40" s="465"/>
      <c r="CC40" s="470"/>
    </row>
    <row r="41" spans="41:81" x14ac:dyDescent="0.25">
      <c r="AS41" s="465"/>
      <c r="AT41" s="465"/>
      <c r="AU41" s="465"/>
      <c r="AV41" s="465"/>
      <c r="AW41" s="465"/>
      <c r="AX41" s="465"/>
      <c r="AY41" s="465"/>
      <c r="AZ41" s="465"/>
      <c r="BA41" s="465"/>
    </row>
    <row r="42" spans="41:81" x14ac:dyDescent="0.25">
      <c r="AO42" s="475" t="s">
        <v>329</v>
      </c>
      <c r="AS42" s="478">
        <f>SUM(AS36)</f>
        <v>8</v>
      </c>
      <c r="AT42" s="479">
        <f>SUM(AT36)</f>
        <v>416466.57</v>
      </c>
      <c r="AU42" s="479">
        <f>SUM(AU36)</f>
        <v>158512.15</v>
      </c>
      <c r="AV42" s="479">
        <f>SUM(AV36)</f>
        <v>548308.79999999993</v>
      </c>
      <c r="AW42" s="479">
        <f>SUM(AW36)</f>
        <v>100000</v>
      </c>
      <c r="AX42" s="479">
        <f>SUM(AX36)</f>
        <v>115449.18652800001</v>
      </c>
      <c r="AY42" s="479">
        <f>SUM(AY36)</f>
        <v>548308.79999999993</v>
      </c>
      <c r="AZ42" s="479">
        <f>SUM(AZ36)</f>
        <v>110000</v>
      </c>
      <c r="BA42" s="479">
        <f>SUM(BA36)</f>
        <v>110843.39260800001</v>
      </c>
    </row>
  </sheetData>
  <mergeCells count="5">
    <mergeCell ref="AT26:AU26"/>
    <mergeCell ref="AV26:AV27"/>
    <mergeCell ref="AW26:AX26"/>
    <mergeCell ref="AY26:AY27"/>
    <mergeCell ref="AZ26:BA2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G14" sqref="G14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384"/>
      <c r="B1" s="384"/>
      <c r="C1" s="384"/>
      <c r="D1" s="384"/>
      <c r="E1" s="384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3.0000000000000001E-3</v>
      </c>
      <c r="D8" s="234">
        <v>2.2000000000000001E-3</v>
      </c>
      <c r="E8" s="314">
        <f t="shared" si="0"/>
        <v>-7.9999999999999993E-4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9.2244999999999994E-2</v>
      </c>
      <c r="D12" s="234">
        <f>SUM(D5:D11)</f>
        <v>9.1444999999999985E-2</v>
      </c>
      <c r="E12" s="315">
        <f>D12-C12</f>
        <v>-8.0000000000000904E-4</v>
      </c>
      <c r="M12" s="320"/>
    </row>
    <row r="13" spans="1:15" x14ac:dyDescent="0.3">
      <c r="A13" s="3"/>
      <c r="B13" s="231" t="s">
        <v>9</v>
      </c>
      <c r="C13" s="226">
        <f>SUM(C5:C8)</f>
        <v>7.9500000000000001E-2</v>
      </c>
      <c r="D13" s="226">
        <f>SUM(D5:D8)</f>
        <v>7.8699999999999992E-2</v>
      </c>
      <c r="E13" s="313">
        <f t="shared" si="0"/>
        <v>-8.0000000000000904E-4</v>
      </c>
      <c r="F13" s="8"/>
    </row>
    <row r="14" spans="1:15" x14ac:dyDescent="0.3">
      <c r="A14" s="230"/>
      <c r="B14" s="232" t="s">
        <v>100</v>
      </c>
      <c r="C14" s="226">
        <f>SUM(C5:C6,C8:C9)</f>
        <v>8.6709999999999995E-2</v>
      </c>
      <c r="D14" s="226">
        <f>SUM(D5:D6,D8:D9)</f>
        <v>8.5909999999999986E-2</v>
      </c>
      <c r="E14" s="313">
        <f>D14-C14</f>
        <v>-8.0000000000000904E-4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385" t="s">
        <v>108</v>
      </c>
      <c r="B28" s="385"/>
      <c r="C28" s="385"/>
      <c r="D28" s="385"/>
      <c r="E28" s="385"/>
    </row>
    <row r="29" spans="1:11" x14ac:dyDescent="0.3">
      <c r="A29" s="385" t="s">
        <v>109</v>
      </c>
      <c r="B29" s="385"/>
      <c r="C29" s="385"/>
      <c r="D29" s="385"/>
      <c r="E29" s="385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1"/>
      <c r="N1" s="402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03"/>
      <c r="N2" s="40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1"/>
      <c r="N3" s="402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1">
        <v>2024</v>
      </c>
      <c r="N4" s="402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3"/>
      <c r="J5" s="405"/>
      <c r="K5" s="405"/>
      <c r="L5" s="404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388" t="s">
        <v>22</v>
      </c>
      <c r="D8" s="389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9" t="s">
        <v>103</v>
      </c>
      <c r="AB8" s="439"/>
      <c r="AC8" s="439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390" t="s">
        <v>26</v>
      </c>
      <c r="D9" s="391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386" t="s">
        <v>27</v>
      </c>
      <c r="D10" s="392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386" t="s">
        <v>28</v>
      </c>
      <c r="D11" s="392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386" t="s">
        <v>29</v>
      </c>
      <c r="D12" s="38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386" t="s">
        <v>30</v>
      </c>
      <c r="D13" s="392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393" t="s">
        <v>32</v>
      </c>
      <c r="D16" s="39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395" t="s">
        <v>34</v>
      </c>
      <c r="D17" s="39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397" t="s">
        <v>35</v>
      </c>
      <c r="D18" s="39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399" t="s">
        <v>37</v>
      </c>
      <c r="D37" s="40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386" t="str">
        <f>perm_name</f>
        <v>Permanent Positions</v>
      </c>
      <c r="D38" s="38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386" t="str">
        <f>Group_name</f>
        <v>Board &amp; Group Positions</v>
      </c>
      <c r="D39" s="38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386" t="s">
        <v>38</v>
      </c>
      <c r="D41" s="38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2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2" t="s">
        <v>106</v>
      </c>
      <c r="AB43" s="443"/>
      <c r="AC43" s="44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2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2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1" t="s">
        <v>98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/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6"/>
      <c r="D50" s="457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6" t="s">
        <v>47</v>
      </c>
      <c r="D53" s="44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4" t="s">
        <v>49</v>
      </c>
      <c r="D55" s="455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08" t="s">
        <v>51</v>
      </c>
      <c r="D57" s="409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10" t="s">
        <v>116</v>
      </c>
      <c r="D58" s="41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10" t="s">
        <v>52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08" t="s">
        <v>54</v>
      </c>
      <c r="D61" s="409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6" t="s">
        <v>56</v>
      </c>
      <c r="D64" s="407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44"/>
      <c r="D65" s="44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08" t="s">
        <v>58</v>
      </c>
      <c r="D68" s="43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08" t="s">
        <v>59</v>
      </c>
      <c r="D69" s="43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36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36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37" t="s">
        <v>63</v>
      </c>
      <c r="D76" s="438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0" priority="8">
      <formula>$J$44&lt;0</formula>
    </cfRule>
  </conditionalFormatting>
  <conditionalFormatting sqref="K43">
    <cfRule type="expression" dxfId="9" priority="7">
      <formula>$J$43&lt;0</formula>
    </cfRule>
  </conditionalFormatting>
  <conditionalFormatting sqref="L16">
    <cfRule type="expression" dxfId="8" priority="6">
      <formula>$J$16&lt;0</formula>
    </cfRule>
  </conditionalFormatting>
  <conditionalFormatting sqref="K45">
    <cfRule type="expression" dxfId="7" priority="5">
      <formula>$J$44&lt;0</formula>
    </cfRule>
  </conditionalFormatting>
  <conditionalFormatting sqref="K43:N45">
    <cfRule type="containsText" dxfId="6" priority="4" operator="containsText" text="underfunding">
      <formula>NOT(ISERROR(SEARCH("underfunding",K43)))</formula>
    </cfRule>
  </conditionalFormatting>
  <conditionalFormatting sqref="K44">
    <cfRule type="expression" dxfId="5" priority="3">
      <formula>$J$44&lt;0</formula>
    </cfRule>
  </conditionalFormatting>
  <conditionalFormatting sqref="K45">
    <cfRule type="expression" dxfId="4" priority="2">
      <formula>$J$44&lt;0</formula>
    </cfRule>
  </conditionalFormatting>
  <conditionalFormatting sqref="K45">
    <cfRule type="expression" dxfId="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workbookViewId="0">
      <selection activeCell="A24" sqref="A24:L3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473" t="s">
        <v>303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64.5" x14ac:dyDescent="0.25">
      <c r="A2" s="388" t="s">
        <v>22</v>
      </c>
      <c r="B2" s="389"/>
      <c r="C2" s="371" t="s">
        <v>23</v>
      </c>
      <c r="D2" s="49" t="s">
        <v>24</v>
      </c>
      <c r="E2" s="50" t="str">
        <f>"FY "&amp;'GVWD|0305-00'!FiscalYear-1&amp;" SALARY"</f>
        <v>FY 2023 SALARY</v>
      </c>
      <c r="F2" s="50" t="str">
        <f>"FY "&amp;'GVWD|0305-00'!FiscalYear-1&amp;" HEALTH BENEFITS"</f>
        <v>FY 2023 HEALTH BENEFITS</v>
      </c>
      <c r="G2" s="50" t="str">
        <f>"FY "&amp;'GVWD|0305-00'!FiscalYear-1&amp;" VAR BENEFITS"</f>
        <v>FY 2023 VAR BENEFITS</v>
      </c>
      <c r="H2" s="50" t="str">
        <f>"FY "&amp;'GVWD|0305-00'!FiscalYear-1&amp;" TOTAL"</f>
        <v>FY 2023 TOTAL</v>
      </c>
      <c r="I2" s="50" t="str">
        <f>"FY "&amp;'GVWD|0305-00'!FiscalYear&amp;" SALARY CHANGE"</f>
        <v>FY 2024 SALARY CHANGE</v>
      </c>
      <c r="J2" s="50" t="str">
        <f>"FY "&amp;'GVWD|0305-00'!FiscalYear&amp;" CHG HEALTH BENEFITS"</f>
        <v>FY 2024 CHG HEALTH BENEFITS</v>
      </c>
      <c r="K2" s="50" t="str">
        <f>"FY "&amp;'GVWD|0305-00'!FiscalYear&amp;" CHG VAR BENEFITS"</f>
        <v>FY 2024 CHG VAR BENEFITS</v>
      </c>
      <c r="L2" s="50" t="s">
        <v>25</v>
      </c>
    </row>
    <row r="3" spans="1:12" x14ac:dyDescent="0.25">
      <c r="A3" s="390" t="s">
        <v>26</v>
      </c>
      <c r="B3" s="391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386" t="s">
        <v>27</v>
      </c>
      <c r="B4" s="392"/>
      <c r="C4" s="217">
        <v>1</v>
      </c>
      <c r="D4" s="288">
        <f>[0]!GVWD030500col_INC_FTI</f>
        <v>6</v>
      </c>
      <c r="E4" s="218">
        <f>[0]!GVWD030500col_FTI_SALARY_PERM</f>
        <v>416811.2</v>
      </c>
      <c r="F4" s="218">
        <f>[0]!GVWD030500col_HEALTH_PERM</f>
        <v>75000</v>
      </c>
      <c r="G4" s="218">
        <f>[0]!GVWD030500col_TOT_VB_PERM</f>
        <v>87618.376976</v>
      </c>
      <c r="H4" s="219">
        <f>SUM(E4:G4)</f>
        <v>579429.57697599998</v>
      </c>
      <c r="I4" s="219">
        <f>[0]!GVWD030500col_1_27TH_PP</f>
        <v>0</v>
      </c>
      <c r="J4" s="218">
        <f>[0]!GVWD030500col_HEALTH_PERM_CHG</f>
        <v>7500</v>
      </c>
      <c r="K4" s="218">
        <f>[0]!GVWD030500col_TOT_VB_PERM_CHG</f>
        <v>-3501.2140800000038</v>
      </c>
      <c r="L4" s="218">
        <f>SUM(J4:K4)</f>
        <v>3998.7859199999962</v>
      </c>
    </row>
    <row r="5" spans="1:12" x14ac:dyDescent="0.25">
      <c r="A5" s="386" t="s">
        <v>28</v>
      </c>
      <c r="B5" s="392"/>
      <c r="C5" s="217">
        <v>2</v>
      </c>
      <c r="D5" s="288"/>
      <c r="E5" s="218">
        <f>[0]!GVWD030500col_Group_Salary</f>
        <v>0</v>
      </c>
      <c r="F5" s="218">
        <v>0</v>
      </c>
      <c r="G5" s="218">
        <f>[0]!GVWD030500col_Group_Ben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386" t="s">
        <v>29</v>
      </c>
      <c r="B6" s="387"/>
      <c r="C6" s="217">
        <v>3</v>
      </c>
      <c r="D6" s="288">
        <f>[0]!GVWD030500col_TOTAL_ELECT_PCN_FTI</f>
        <v>0</v>
      </c>
      <c r="E6" s="218">
        <f>[0]!GVWD030500col_FTI_SALARY_ELECT</f>
        <v>0</v>
      </c>
      <c r="F6" s="218">
        <f>[0]!GVWD030500col_HEALTH_ELECT</f>
        <v>0</v>
      </c>
      <c r="G6" s="218">
        <f>[0]!GVWD030500col_TOT_VB_ELECT</f>
        <v>0</v>
      </c>
      <c r="H6" s="219">
        <f>SUM(E6:G6)</f>
        <v>0</v>
      </c>
      <c r="I6" s="268"/>
      <c r="J6" s="218">
        <f>[0]!GVWD030500col_HEALTH_ELECT_CHG</f>
        <v>0</v>
      </c>
      <c r="K6" s="218">
        <f>[0]!GVWD030500col_TOT_VB_ELECT_CHG</f>
        <v>0</v>
      </c>
      <c r="L6" s="219">
        <f>SUM(J6:K6)</f>
        <v>0</v>
      </c>
    </row>
    <row r="7" spans="1:12" x14ac:dyDescent="0.25">
      <c r="A7" s="386" t="s">
        <v>30</v>
      </c>
      <c r="B7" s="392"/>
      <c r="C7" s="217"/>
      <c r="D7" s="220">
        <f>SUM(D4:D6)</f>
        <v>6</v>
      </c>
      <c r="E7" s="221">
        <f>SUM(E4:E6)</f>
        <v>416811.2</v>
      </c>
      <c r="F7" s="221">
        <f>SUM(F4:F6)</f>
        <v>75000</v>
      </c>
      <c r="G7" s="221">
        <f>SUM(G4:G6)</f>
        <v>87618.376976</v>
      </c>
      <c r="H7" s="219">
        <f>SUM(E7:G7)</f>
        <v>579429.57697599998</v>
      </c>
      <c r="I7" s="268"/>
      <c r="J7" s="219">
        <f>SUM(J4:J6)</f>
        <v>7500</v>
      </c>
      <c r="K7" s="219">
        <f>SUM(K4:K6)</f>
        <v>-3501.2140800000038</v>
      </c>
      <c r="L7" s="219">
        <f>SUM(L4:L6)</f>
        <v>3998.7859199999962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"&amp;'GVWD|0305-00'!FiscalYear-1</f>
        <v>FY 2023</v>
      </c>
      <c r="B9" s="158" t="s">
        <v>31</v>
      </c>
      <c r="C9" s="355">
        <v>480800</v>
      </c>
      <c r="D9" s="55">
        <v>5</v>
      </c>
      <c r="E9" s="223">
        <f>IF('GVWD|0305-00'!OrigApprop=0,0,(E7/H7)*'GVWD|0305-00'!OrigApprop)</f>
        <v>345862.26337614225</v>
      </c>
      <c r="F9" s="223">
        <f>IF('GVWD|0305-00'!OrigApprop=0,0,(F7/H7)*'GVWD|0305-00'!OrigApprop)</f>
        <v>62233.61980966603</v>
      </c>
      <c r="G9" s="223">
        <f>IF(E9=0,0,(G7/H7)*'GVWD|0305-00'!OrigApprop)</f>
        <v>72704.11681419173</v>
      </c>
      <c r="H9" s="223">
        <f>SUM(E9:G9)</f>
        <v>480800</v>
      </c>
      <c r="I9" s="268"/>
      <c r="J9" s="224"/>
      <c r="K9" s="224"/>
      <c r="L9" s="224"/>
    </row>
    <row r="10" spans="1:12" x14ac:dyDescent="0.25">
      <c r="A10" s="393" t="s">
        <v>32</v>
      </c>
      <c r="B10" s="394"/>
      <c r="C10" s="160" t="s">
        <v>33</v>
      </c>
      <c r="D10" s="161">
        <f>D9-D7</f>
        <v>-1</v>
      </c>
      <c r="E10" s="162">
        <f>E9-E7</f>
        <v>-70948.936623857764</v>
      </c>
      <c r="F10" s="162">
        <f>F9-F7</f>
        <v>-12766.38019033397</v>
      </c>
      <c r="G10" s="162">
        <f>G9-G7</f>
        <v>-14914.26016180827</v>
      </c>
      <c r="H10" s="162">
        <f>H9-H7</f>
        <v>-98629.576975999982</v>
      </c>
      <c r="I10" s="269"/>
      <c r="J10" s="56" t="str">
        <f>IF('GVWD|0305-00'!OrigApprop=0,"No Original Appropriation amount in DU 3.00 for this fund","Calculated "&amp;IF('GVWD|0305-00'!AdjustedTotal&gt;0,"overfunding ","underfunding ")&amp;"is "&amp;TEXT('GVWD|0305-00'!AdjustedTotal/'GVWD|0305-00'!AppropTotal,"#.0%;(#.0% );0% ;")&amp;" of Original Appropriation")</f>
        <v>Calculated underfunding is (20.5% ) of Original Appropriation</v>
      </c>
      <c r="K10" s="163"/>
      <c r="L10" s="164"/>
    </row>
    <row r="12" spans="1:12" x14ac:dyDescent="0.25">
      <c r="A12" s="473" t="s">
        <v>309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</row>
    <row r="13" spans="1:12" ht="39" x14ac:dyDescent="0.25">
      <c r="A13" s="388" t="s">
        <v>22</v>
      </c>
      <c r="B13" s="389"/>
      <c r="C13" s="371" t="s">
        <v>23</v>
      </c>
      <c r="D13" s="49" t="s">
        <v>24</v>
      </c>
      <c r="E13" s="50" t="str">
        <f>"FY "&amp;'GVWD|0344-30'!FiscalYear-1&amp;" SALARY"</f>
        <v>FY 2023 SALARY</v>
      </c>
      <c r="F13" s="50" t="str">
        <f>"FY "&amp;'GVWD|0344-30'!FiscalYear-1&amp;" HEALTH BENEFITS"</f>
        <v>FY 2023 HEALTH BENEFITS</v>
      </c>
      <c r="G13" s="50" t="str">
        <f>"FY "&amp;'GVWD|0344-30'!FiscalYear-1&amp;" VAR BENEFITS"</f>
        <v>FY 2023 VAR BENEFITS</v>
      </c>
      <c r="H13" s="50" t="str">
        <f>"FY "&amp;'GVWD|0344-30'!FiscalYear-1&amp;" TOTAL"</f>
        <v>FY 2023 TOTAL</v>
      </c>
      <c r="I13" s="50" t="str">
        <f>"FY "&amp;'GVWD|0344-30'!FiscalYear&amp;" SALARY CHANGE"</f>
        <v>FY 2024 SALARY CHANGE</v>
      </c>
      <c r="J13" s="50" t="str">
        <f>"FY "&amp;'GVWD|0344-30'!FiscalYear&amp;" CHG HEALTH BENEFITS"</f>
        <v>FY 2024 CHG HEALTH BENEFITS</v>
      </c>
      <c r="K13" s="50" t="str">
        <f>"FY "&amp;'GVWD|0344-30'!FiscalYear&amp;" CHG VAR BENEFITS"</f>
        <v>FY 2024 CHG VAR BENEFITS</v>
      </c>
      <c r="L13" s="50" t="s">
        <v>25</v>
      </c>
    </row>
    <row r="14" spans="1:12" x14ac:dyDescent="0.25">
      <c r="A14" s="390" t="s">
        <v>26</v>
      </c>
      <c r="B14" s="391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386" t="s">
        <v>27</v>
      </c>
      <c r="B15" s="392"/>
      <c r="C15" s="217">
        <v>1</v>
      </c>
      <c r="D15" s="288">
        <f>[0]!GVWD034430col_INC_FTI</f>
        <v>1</v>
      </c>
      <c r="E15" s="218">
        <f>[0]!GVWD034430col_FTI_SALARY_PERM</f>
        <v>68390.399999999994</v>
      </c>
      <c r="F15" s="218">
        <f>[0]!GVWD034430col_HEALTH_PERM</f>
        <v>12500</v>
      </c>
      <c r="G15" s="218">
        <f>[0]!GVWD034430col_TOT_VB_PERM</f>
        <v>14474.486208</v>
      </c>
      <c r="H15" s="219">
        <f>SUM(E15:G15)</f>
        <v>95364.886207999996</v>
      </c>
      <c r="I15" s="219">
        <f>[0]!GVWD034430col_1_27TH_PP</f>
        <v>0</v>
      </c>
      <c r="J15" s="218">
        <f>[0]!GVWD034430col_HEALTH_PERM_CHG</f>
        <v>1250</v>
      </c>
      <c r="K15" s="218">
        <f>[0]!GVWD034430col_TOT_VB_PERM_CHG</f>
        <v>-574.47936000000061</v>
      </c>
      <c r="L15" s="218">
        <f>SUM(J15:K15)</f>
        <v>675.52063999999939</v>
      </c>
    </row>
    <row r="16" spans="1:12" x14ac:dyDescent="0.25">
      <c r="A16" s="386" t="s">
        <v>28</v>
      </c>
      <c r="B16" s="392"/>
      <c r="C16" s="217">
        <v>2</v>
      </c>
      <c r="D16" s="288"/>
      <c r="E16" s="218">
        <f>[0]!GVWD034430col_Group_Salary</f>
        <v>0</v>
      </c>
      <c r="F16" s="218">
        <v>0</v>
      </c>
      <c r="G16" s="218">
        <f>[0]!GVWD034430col_Group_Ben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386" t="s">
        <v>29</v>
      </c>
      <c r="B17" s="387"/>
      <c r="C17" s="217">
        <v>3</v>
      </c>
      <c r="D17" s="288">
        <f>[0]!GVWD034430col_TOTAL_ELECT_PCN_FTI</f>
        <v>0</v>
      </c>
      <c r="E17" s="218">
        <f>[0]!GVWD034430col_FTI_SALARY_ELECT</f>
        <v>0</v>
      </c>
      <c r="F17" s="218">
        <f>[0]!GVWD034430col_HEALTH_ELECT</f>
        <v>0</v>
      </c>
      <c r="G17" s="218">
        <f>[0]!GVWD034430col_TOT_VB_ELECT</f>
        <v>0</v>
      </c>
      <c r="H17" s="219">
        <f>SUM(E17:G17)</f>
        <v>0</v>
      </c>
      <c r="I17" s="268"/>
      <c r="J17" s="218">
        <f>[0]!GVWD034430col_HEALTH_ELECT_CHG</f>
        <v>0</v>
      </c>
      <c r="K17" s="218">
        <f>[0]!GVWD034430col_TOT_VB_ELECT_CHG</f>
        <v>0</v>
      </c>
      <c r="L17" s="219">
        <f>SUM(J17:K17)</f>
        <v>0</v>
      </c>
    </row>
    <row r="18" spans="1:12" x14ac:dyDescent="0.25">
      <c r="A18" s="386" t="s">
        <v>30</v>
      </c>
      <c r="B18" s="392"/>
      <c r="C18" s="217"/>
      <c r="D18" s="220">
        <f>SUM(D15:D17)</f>
        <v>1</v>
      </c>
      <c r="E18" s="221">
        <f>SUM(E15:E17)</f>
        <v>68390.399999999994</v>
      </c>
      <c r="F18" s="221">
        <f>SUM(F15:F17)</f>
        <v>12500</v>
      </c>
      <c r="G18" s="221">
        <f>SUM(G15:G17)</f>
        <v>14474.486208</v>
      </c>
      <c r="H18" s="219">
        <f>SUM(E18:G18)</f>
        <v>95364.886207999996</v>
      </c>
      <c r="I18" s="268"/>
      <c r="J18" s="219">
        <f>SUM(J15:J17)</f>
        <v>1250</v>
      </c>
      <c r="K18" s="219">
        <f>SUM(K15:K17)</f>
        <v>-574.47936000000061</v>
      </c>
      <c r="L18" s="219">
        <f>SUM(L15:L17)</f>
        <v>675.52063999999939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"&amp;'GVWD|0344-30'!FiscalYear-1</f>
        <v>FY 2023</v>
      </c>
      <c r="B20" s="158" t="s">
        <v>31</v>
      </c>
      <c r="C20" s="355">
        <v>123600</v>
      </c>
      <c r="D20" s="55">
        <v>2</v>
      </c>
      <c r="E20" s="223">
        <f>IF('GVWD|0344-30'!OrigApprop=0,0,(E18/H18)*'GVWD|0344-30'!OrigApprop)</f>
        <v>88639.055485926714</v>
      </c>
      <c r="F20" s="223">
        <f>IF('GVWD|0344-30'!OrigApprop=0,0,(F18/H18)*'GVWD|0344-30'!OrigApprop)</f>
        <v>16200.931615754318</v>
      </c>
      <c r="G20" s="223">
        <f>IF(E20=0,0,(G18/H18)*'GVWD|0344-30'!OrigApprop)</f>
        <v>18760.012898318961</v>
      </c>
      <c r="H20" s="223">
        <f>SUM(E20:G20)</f>
        <v>123600</v>
      </c>
      <c r="I20" s="268"/>
      <c r="J20" s="224"/>
      <c r="K20" s="224"/>
      <c r="L20" s="224"/>
    </row>
    <row r="21" spans="1:12" x14ac:dyDescent="0.25">
      <c r="A21" s="393" t="s">
        <v>32</v>
      </c>
      <c r="B21" s="394"/>
      <c r="C21" s="160" t="s">
        <v>33</v>
      </c>
      <c r="D21" s="161">
        <f>D20-D18</f>
        <v>1</v>
      </c>
      <c r="E21" s="162">
        <f>E20-E18</f>
        <v>20248.65548592672</v>
      </c>
      <c r="F21" s="162">
        <f>F20-F18</f>
        <v>3700.931615754318</v>
      </c>
      <c r="G21" s="162">
        <f>G20-G18</f>
        <v>4285.5266903189604</v>
      </c>
      <c r="H21" s="162">
        <f>H20-H18</f>
        <v>28235.113792000004</v>
      </c>
      <c r="I21" s="269"/>
      <c r="J21" s="56" t="str">
        <f>IF('GVWD|0344-30'!OrigApprop=0,"No Original Appropriation amount in DU 3.00 for this fund","Calculated "&amp;IF('GVWD|0344-30'!AdjustedTotal&gt;0,"overfunding ","underfunding ")&amp;"is "&amp;TEXT('GVWD|0344-30'!AdjustedTotal/'GVWD|0344-30'!AppropTotal,"#.0%;(#.0% );0% ;")&amp;" of Original Appropriation")</f>
        <v>Calculated overfunding is 22.8% of Original Appropriation</v>
      </c>
      <c r="K21" s="163"/>
      <c r="L21" s="164"/>
    </row>
    <row r="23" spans="1:12" x14ac:dyDescent="0.25">
      <c r="A23" s="473" t="s">
        <v>315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</row>
    <row r="24" spans="1:12" ht="39" x14ac:dyDescent="0.25">
      <c r="A24" s="388" t="s">
        <v>22</v>
      </c>
      <c r="B24" s="389"/>
      <c r="C24" s="371" t="s">
        <v>23</v>
      </c>
      <c r="D24" s="49" t="s">
        <v>24</v>
      </c>
      <c r="E24" s="50" t="str">
        <f>"FY "&amp;'GVWD|0348-00'!FiscalYear-1&amp;" SALARY"</f>
        <v>FY 2023 SALARY</v>
      </c>
      <c r="F24" s="50" t="str">
        <f>"FY "&amp;'GVWD|0348-00'!FiscalYear-1&amp;" HEALTH BENEFITS"</f>
        <v>FY 2023 HEALTH BENEFITS</v>
      </c>
      <c r="G24" s="50" t="str">
        <f>"FY "&amp;'GVWD|0348-00'!FiscalYear-1&amp;" VAR BENEFITS"</f>
        <v>FY 2023 VAR BENEFITS</v>
      </c>
      <c r="H24" s="50" t="str">
        <f>"FY "&amp;'GVWD|0348-00'!FiscalYear-1&amp;" TOTAL"</f>
        <v>FY 2023 TOTAL</v>
      </c>
      <c r="I24" s="50" t="str">
        <f>"FY "&amp;'GVWD|0348-00'!FiscalYear&amp;" SALARY CHANGE"</f>
        <v>FY 2024 SALARY CHANGE</v>
      </c>
      <c r="J24" s="50" t="str">
        <f>"FY "&amp;'GVWD|0348-00'!FiscalYear&amp;" CHG HEALTH BENEFITS"</f>
        <v>FY 2024 CHG HEALTH BENEFITS</v>
      </c>
      <c r="K24" s="50" t="str">
        <f>"FY "&amp;'GVWD|0348-00'!FiscalYear&amp;" CHG VAR BENEFITS"</f>
        <v>FY 2024 CHG VAR BENEFITS</v>
      </c>
      <c r="L24" s="50" t="s">
        <v>25</v>
      </c>
    </row>
    <row r="25" spans="1:12" x14ac:dyDescent="0.25">
      <c r="A25" s="390" t="s">
        <v>26</v>
      </c>
      <c r="B25" s="391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386" t="s">
        <v>27</v>
      </c>
      <c r="B26" s="392"/>
      <c r="C26" s="217">
        <v>1</v>
      </c>
      <c r="D26" s="288">
        <f>[0]!GVWD034800col_INC_FTI</f>
        <v>1</v>
      </c>
      <c r="E26" s="218">
        <f>[0]!GVWD034800col_FTI_SALARY_PERM</f>
        <v>63107.199999999997</v>
      </c>
      <c r="F26" s="218">
        <f>[0]!GVWD034800col_HEALTH_PERM</f>
        <v>12500</v>
      </c>
      <c r="G26" s="218">
        <f>[0]!GVWD034800col_TOT_VB_PERM</f>
        <v>13356.323343999999</v>
      </c>
      <c r="H26" s="219">
        <f>SUM(E26:G26)</f>
        <v>88963.523344000001</v>
      </c>
      <c r="I26" s="219">
        <f>[0]!GVWD034800col_1_27TH_PP</f>
        <v>0</v>
      </c>
      <c r="J26" s="218">
        <f>[0]!GVWD034800col_HEALTH_PERM_CHG</f>
        <v>1250</v>
      </c>
      <c r="K26" s="218">
        <f>[0]!GVWD034800col_TOT_VB_PERM_CHG</f>
        <v>-530.10048000000063</v>
      </c>
      <c r="L26" s="218">
        <f>SUM(J26:K26)</f>
        <v>719.89951999999937</v>
      </c>
    </row>
    <row r="27" spans="1:12" x14ac:dyDescent="0.25">
      <c r="A27" s="386" t="s">
        <v>28</v>
      </c>
      <c r="B27" s="392"/>
      <c r="C27" s="217">
        <v>2</v>
      </c>
      <c r="D27" s="288"/>
      <c r="E27" s="218">
        <f>[0]!GVWD034800col_Group_Salary</f>
        <v>0</v>
      </c>
      <c r="F27" s="218">
        <v>0</v>
      </c>
      <c r="G27" s="218">
        <f>[0]!GVWD034800col_Group_Ben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386" t="s">
        <v>29</v>
      </c>
      <c r="B28" s="387"/>
      <c r="C28" s="217">
        <v>3</v>
      </c>
      <c r="D28" s="288">
        <f>[0]!GVWD034800col_TOTAL_ELECT_PCN_FTI</f>
        <v>0</v>
      </c>
      <c r="E28" s="218">
        <f>[0]!GVWD034800col_FTI_SALARY_ELECT</f>
        <v>0</v>
      </c>
      <c r="F28" s="218">
        <f>[0]!GVWD034800col_HEALTH_ELECT</f>
        <v>0</v>
      </c>
      <c r="G28" s="218">
        <f>[0]!GVWD034800col_TOT_VB_ELECT</f>
        <v>0</v>
      </c>
      <c r="H28" s="219">
        <f>SUM(E28:G28)</f>
        <v>0</v>
      </c>
      <c r="I28" s="268"/>
      <c r="J28" s="218">
        <f>[0]!GVWD034800col_HEALTH_ELECT_CHG</f>
        <v>0</v>
      </c>
      <c r="K28" s="218">
        <f>[0]!GVWD034800col_TOT_VB_ELECT_CHG</f>
        <v>0</v>
      </c>
      <c r="L28" s="219">
        <f>SUM(J28:K28)</f>
        <v>0</v>
      </c>
    </row>
    <row r="29" spans="1:12" x14ac:dyDescent="0.25">
      <c r="A29" s="386" t="s">
        <v>30</v>
      </c>
      <c r="B29" s="392"/>
      <c r="C29" s="217"/>
      <c r="D29" s="220">
        <f>SUM(D26:D28)</f>
        <v>1</v>
      </c>
      <c r="E29" s="221">
        <f>SUM(E26:E28)</f>
        <v>63107.199999999997</v>
      </c>
      <c r="F29" s="221">
        <f>SUM(F26:F28)</f>
        <v>12500</v>
      </c>
      <c r="G29" s="221">
        <f>SUM(G26:G28)</f>
        <v>13356.323343999999</v>
      </c>
      <c r="H29" s="219">
        <f>SUM(E29:G29)</f>
        <v>88963.523344000001</v>
      </c>
      <c r="I29" s="268"/>
      <c r="J29" s="219">
        <f>SUM(J26:J28)</f>
        <v>1250</v>
      </c>
      <c r="K29" s="219">
        <f>SUM(K26:K28)</f>
        <v>-530.10048000000063</v>
      </c>
      <c r="L29" s="219">
        <f>SUM(L26:L28)</f>
        <v>719.89951999999937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"&amp;'GVWD|0348-00'!FiscalYear-1</f>
        <v>FY 2023</v>
      </c>
      <c r="B31" s="158" t="s">
        <v>31</v>
      </c>
      <c r="C31" s="355">
        <v>193300</v>
      </c>
      <c r="D31" s="55">
        <v>2</v>
      </c>
      <c r="E31" s="223">
        <f>IF('GVWD|0348-00'!OrigApprop=0,0,(E29/H29)*'GVWD|0348-00'!OrigApprop)</f>
        <v>137119.36422336756</v>
      </c>
      <c r="F31" s="223">
        <f>IF('GVWD|0348-00'!OrigApprop=0,0,(F29/H29)*'GVWD|0348-00'!OrigApprop)</f>
        <v>27160.007935577793</v>
      </c>
      <c r="G31" s="223">
        <f>IF(E31=0,0,(G29/H29)*'GVWD|0348-00'!OrigApprop)</f>
        <v>29020.627841054626</v>
      </c>
      <c r="H31" s="223">
        <f>SUM(E31:G31)</f>
        <v>193300</v>
      </c>
      <c r="I31" s="268"/>
      <c r="J31" s="224"/>
      <c r="K31" s="224"/>
      <c r="L31" s="224"/>
    </row>
    <row r="32" spans="1:12" x14ac:dyDescent="0.25">
      <c r="A32" s="393" t="s">
        <v>32</v>
      </c>
      <c r="B32" s="394"/>
      <c r="C32" s="160" t="s">
        <v>33</v>
      </c>
      <c r="D32" s="161">
        <f>D31-D29</f>
        <v>1</v>
      </c>
      <c r="E32" s="162">
        <f>E31-E29</f>
        <v>74012.164223367567</v>
      </c>
      <c r="F32" s="162">
        <f>F31-F29</f>
        <v>14660.007935577793</v>
      </c>
      <c r="G32" s="162">
        <f>G31-G29</f>
        <v>15664.304497054627</v>
      </c>
      <c r="H32" s="162">
        <f>H31-H29</f>
        <v>104336.476656</v>
      </c>
      <c r="I32" s="269"/>
      <c r="J32" s="56" t="str">
        <f>IF('GVWD|0348-00'!OrigApprop=0,"No Original Appropriation amount in DU 3.00 for this fund","Calculated "&amp;IF('GVWD|0348-00'!AdjustedTotal&gt;0,"overfunding ","underfunding ")&amp;"is "&amp;TEXT('GVWD|0348-00'!AdjustedTotal/'GVWD|0348-00'!AppropTotal,"#.0%;(#.0% );0% ;")&amp;" of Original Appropriation")</f>
        <v>Calculated overfunding is 54.0% of Original Appropriation</v>
      </c>
      <c r="K32" s="163"/>
      <c r="L32" s="164"/>
    </row>
  </sheetData>
  <mergeCells count="21"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  <mergeCell ref="A10:B10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178</oddHeader>
    <oddFooter>&amp;L&amp;"Arial"&amp;10 B6:Summary by Program, by Fund&amp;R&amp;"Arial"&amp;10 FY 2023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6" bestFit="1" customWidth="1"/>
    <col min="6" max="6" width="11.85546875" bestFit="1" customWidth="1"/>
    <col min="7" max="7" width="14.5703125" bestFit="1" customWidth="1"/>
    <col min="8" max="8" width="11.85546875" bestFit="1" customWidth="1"/>
    <col min="9" max="9" width="16" bestFit="1" customWidth="1"/>
    <col min="10" max="10" width="17.7109375" bestFit="1" customWidth="1"/>
    <col min="11" max="11" width="11.8554687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58" t="s">
        <v>319</v>
      </c>
      <c r="G5" s="458"/>
      <c r="H5" s="459" t="s">
        <v>317</v>
      </c>
      <c r="I5" s="458" t="s">
        <v>320</v>
      </c>
      <c r="J5" s="458"/>
      <c r="K5" s="459" t="s">
        <v>318</v>
      </c>
      <c r="L5" s="458" t="s">
        <v>321</v>
      </c>
      <c r="M5" s="458"/>
    </row>
    <row r="6" spans="1:13" ht="15.75" x14ac:dyDescent="0.25">
      <c r="E6" s="249"/>
      <c r="F6" s="253" t="s">
        <v>92</v>
      </c>
      <c r="G6" s="254" t="s">
        <v>94</v>
      </c>
      <c r="H6" s="460"/>
      <c r="I6" s="253" t="s">
        <v>96</v>
      </c>
      <c r="J6" s="254" t="s">
        <v>93</v>
      </c>
      <c r="K6" s="460"/>
      <c r="L6" s="278" t="s">
        <v>96</v>
      </c>
      <c r="M6" s="254" t="s">
        <v>93</v>
      </c>
    </row>
    <row r="7" spans="1:13" x14ac:dyDescent="0.25">
      <c r="A7" s="470" t="s">
        <v>322</v>
      </c>
      <c r="D7" s="250"/>
    </row>
    <row r="8" spans="1:13" x14ac:dyDescent="0.25">
      <c r="C8" t="s">
        <v>301</v>
      </c>
      <c r="D8" s="250"/>
      <c r="E8" s="480">
        <f>Data!AS29</f>
        <v>6</v>
      </c>
      <c r="F8" s="480">
        <f>Data!AT29</f>
        <v>286367.09000000003</v>
      </c>
      <c r="G8" s="480">
        <f>Data!AU29</f>
        <v>107311.62999999999</v>
      </c>
      <c r="H8" s="480">
        <f>Data!AV29</f>
        <v>416811.2</v>
      </c>
      <c r="I8" s="480">
        <f>Data!AW29</f>
        <v>75000</v>
      </c>
      <c r="J8" s="480">
        <f>Data!AX29</f>
        <v>87618.376976</v>
      </c>
      <c r="K8" s="480">
        <f>Data!AY29</f>
        <v>416811.2</v>
      </c>
      <c r="L8" s="480">
        <f>Data!AZ29</f>
        <v>82500</v>
      </c>
      <c r="M8" s="480">
        <f>Data!BA29</f>
        <v>84117.162896000009</v>
      </c>
    </row>
    <row r="9" spans="1:13" x14ac:dyDescent="0.25">
      <c r="B9" t="s">
        <v>323</v>
      </c>
      <c r="D9" s="250"/>
      <c r="E9" s="481">
        <f>Data!AS30</f>
        <v>6</v>
      </c>
      <c r="F9" s="481">
        <f>Data!AT30</f>
        <v>286367.09000000003</v>
      </c>
      <c r="G9" s="481">
        <f>Data!AU30</f>
        <v>107311.62999999999</v>
      </c>
      <c r="H9" s="481">
        <f>Data!AV30</f>
        <v>416811.2</v>
      </c>
      <c r="I9" s="481">
        <f>Data!AW30</f>
        <v>75000</v>
      </c>
      <c r="J9" s="481">
        <f>Data!AX30</f>
        <v>87618.376976</v>
      </c>
      <c r="K9" s="481">
        <f>Data!AY30</f>
        <v>416811.2</v>
      </c>
      <c r="L9" s="481">
        <f>Data!AZ30</f>
        <v>82500</v>
      </c>
      <c r="M9" s="481">
        <f>Data!BA30</f>
        <v>84117.162896000009</v>
      </c>
    </row>
    <row r="10" spans="1:13" x14ac:dyDescent="0.25">
      <c r="C10" t="s">
        <v>307</v>
      </c>
      <c r="D10" s="250"/>
      <c r="E10" s="480">
        <f>Data!AS31</f>
        <v>1</v>
      </c>
      <c r="F10" s="480">
        <f>Data!AT31</f>
        <v>0</v>
      </c>
      <c r="G10" s="480">
        <f>Data!AU31</f>
        <v>0</v>
      </c>
      <c r="H10" s="480">
        <f>Data!AV31</f>
        <v>68390.399999999994</v>
      </c>
      <c r="I10" s="480">
        <f>Data!AW31</f>
        <v>12500</v>
      </c>
      <c r="J10" s="480">
        <f>Data!AX31</f>
        <v>14474.486208</v>
      </c>
      <c r="K10" s="480">
        <f>Data!AY31</f>
        <v>68390.399999999994</v>
      </c>
      <c r="L10" s="480">
        <f>Data!AZ31</f>
        <v>13750</v>
      </c>
      <c r="M10" s="480">
        <f>Data!BA31</f>
        <v>13900.006848000001</v>
      </c>
    </row>
    <row r="11" spans="1:13" x14ac:dyDescent="0.25">
      <c r="B11" t="s">
        <v>324</v>
      </c>
      <c r="D11" s="250"/>
      <c r="E11" s="481">
        <f>Data!AS32</f>
        <v>1</v>
      </c>
      <c r="F11" s="481">
        <f>Data!AT32</f>
        <v>0</v>
      </c>
      <c r="G11" s="481">
        <f>Data!AU32</f>
        <v>0</v>
      </c>
      <c r="H11" s="481">
        <f>Data!AV32</f>
        <v>68390.399999999994</v>
      </c>
      <c r="I11" s="481">
        <f>Data!AW32</f>
        <v>12500</v>
      </c>
      <c r="J11" s="481">
        <f>Data!AX32</f>
        <v>14474.486208</v>
      </c>
      <c r="K11" s="481">
        <f>Data!AY32</f>
        <v>68390.399999999994</v>
      </c>
      <c r="L11" s="481">
        <f>Data!AZ32</f>
        <v>13750</v>
      </c>
      <c r="M11" s="481">
        <f>Data!BA32</f>
        <v>13900.006848000001</v>
      </c>
    </row>
    <row r="12" spans="1:13" x14ac:dyDescent="0.25">
      <c r="C12" t="s">
        <v>313</v>
      </c>
      <c r="D12" s="250"/>
      <c r="E12" s="480">
        <f>Data!AS33</f>
        <v>1</v>
      </c>
      <c r="F12" s="480">
        <f>Data!AT33</f>
        <v>130099.48</v>
      </c>
      <c r="G12" s="480">
        <f>Data!AU33</f>
        <v>51200.52</v>
      </c>
      <c r="H12" s="480">
        <f>Data!AV33</f>
        <v>63107.199999999997</v>
      </c>
      <c r="I12" s="480">
        <f>Data!AW33</f>
        <v>12500</v>
      </c>
      <c r="J12" s="480">
        <f>Data!AX33</f>
        <v>13356.323343999999</v>
      </c>
      <c r="K12" s="480">
        <f>Data!AY33</f>
        <v>63107.199999999997</v>
      </c>
      <c r="L12" s="480">
        <f>Data!AZ33</f>
        <v>13750</v>
      </c>
      <c r="M12" s="480">
        <f>Data!BA33</f>
        <v>12826.222863999998</v>
      </c>
    </row>
    <row r="13" spans="1:13" x14ac:dyDescent="0.25">
      <c r="B13" t="s">
        <v>325</v>
      </c>
      <c r="D13" s="250"/>
      <c r="E13" s="481">
        <f>Data!AS34</f>
        <v>1</v>
      </c>
      <c r="F13" s="481">
        <f>Data!AT34</f>
        <v>130099.48</v>
      </c>
      <c r="G13" s="481">
        <f>Data!AU34</f>
        <v>51200.52</v>
      </c>
      <c r="H13" s="481">
        <f>Data!AV34</f>
        <v>63107.199999999997</v>
      </c>
      <c r="I13" s="481">
        <f>Data!AW34</f>
        <v>12500</v>
      </c>
      <c r="J13" s="481">
        <f>Data!AX34</f>
        <v>13356.323343999999</v>
      </c>
      <c r="K13" s="481">
        <f>Data!AY34</f>
        <v>63107.199999999997</v>
      </c>
      <c r="L13" s="481">
        <f>Data!AZ34</f>
        <v>13750</v>
      </c>
      <c r="M13" s="481">
        <f>Data!BA34</f>
        <v>12826.222863999998</v>
      </c>
    </row>
    <row r="14" spans="1:13" x14ac:dyDescent="0.25">
      <c r="E14" s="480">
        <f>Data!AS35</f>
        <v>0</v>
      </c>
      <c r="F14" s="480">
        <f>Data!AT35</f>
        <v>0</v>
      </c>
      <c r="G14" s="480">
        <f>Data!AU35</f>
        <v>0</v>
      </c>
      <c r="H14" s="480">
        <f>Data!AV35</f>
        <v>0</v>
      </c>
      <c r="I14" s="480">
        <f>Data!AW35</f>
        <v>0</v>
      </c>
      <c r="J14" s="480">
        <f>Data!AX35</f>
        <v>0</v>
      </c>
      <c r="K14" s="480">
        <f>Data!AY35</f>
        <v>0</v>
      </c>
      <c r="L14" s="480">
        <f>Data!AZ35</f>
        <v>0</v>
      </c>
      <c r="M14" s="480">
        <f>Data!BA35</f>
        <v>0</v>
      </c>
    </row>
    <row r="15" spans="1:13" x14ac:dyDescent="0.25">
      <c r="A15" s="474" t="s">
        <v>326</v>
      </c>
      <c r="E15" s="482">
        <f>Data!AS36</f>
        <v>8</v>
      </c>
      <c r="F15" s="482">
        <f>Data!AT36</f>
        <v>416466.57</v>
      </c>
      <c r="G15" s="482">
        <f>Data!AU36</f>
        <v>158512.15</v>
      </c>
      <c r="H15" s="482">
        <f>Data!AV36</f>
        <v>548308.79999999993</v>
      </c>
      <c r="I15" s="482">
        <f>Data!AW36</f>
        <v>100000</v>
      </c>
      <c r="J15" s="482">
        <f>Data!AX36</f>
        <v>115449.18652800001</v>
      </c>
      <c r="K15" s="482">
        <f>Data!AY36</f>
        <v>548308.79999999993</v>
      </c>
      <c r="L15" s="482">
        <f>Data!AZ36</f>
        <v>110000</v>
      </c>
      <c r="M15" s="482">
        <f>Data!BA36</f>
        <v>110843.39260800001</v>
      </c>
    </row>
    <row r="16" spans="1:13" x14ac:dyDescent="0.25">
      <c r="E16" s="480">
        <f>Data!AS37</f>
        <v>0</v>
      </c>
      <c r="F16" s="480">
        <f>Data!AT37</f>
        <v>0</v>
      </c>
      <c r="G16" s="480">
        <f>Data!AU37</f>
        <v>0</v>
      </c>
      <c r="H16" s="480">
        <f>Data!AV37</f>
        <v>0</v>
      </c>
      <c r="I16" s="480">
        <f>Data!AW37</f>
        <v>0</v>
      </c>
      <c r="J16" s="480">
        <f>Data!AX37</f>
        <v>0</v>
      </c>
      <c r="K16" s="480">
        <f>Data!AY37</f>
        <v>0</v>
      </c>
      <c r="L16" s="480">
        <f>Data!AZ37</f>
        <v>0</v>
      </c>
      <c r="M16" s="480">
        <f>Data!BA37</f>
        <v>0</v>
      </c>
    </row>
    <row r="17" spans="1:13" x14ac:dyDescent="0.25">
      <c r="A17" s="470" t="s">
        <v>327</v>
      </c>
      <c r="E17" s="480">
        <f>Data!AS38</f>
        <v>0</v>
      </c>
      <c r="F17" s="480">
        <f>Data!AT38</f>
        <v>0</v>
      </c>
      <c r="G17" s="480">
        <f>Data!AU38</f>
        <v>0</v>
      </c>
      <c r="H17" s="480">
        <f>Data!AV38</f>
        <v>0</v>
      </c>
      <c r="I17" s="480">
        <f>Data!AW38</f>
        <v>0</v>
      </c>
      <c r="J17" s="480">
        <f>Data!AX38</f>
        <v>0</v>
      </c>
      <c r="K17" s="480">
        <f>Data!AY38</f>
        <v>0</v>
      </c>
      <c r="L17" s="480">
        <f>Data!AZ38</f>
        <v>0</v>
      </c>
      <c r="M17" s="480">
        <f>Data!BA38</f>
        <v>0</v>
      </c>
    </row>
    <row r="18" spans="1:13" x14ac:dyDescent="0.25">
      <c r="E18" s="480">
        <f>Data!AS39</f>
        <v>0</v>
      </c>
      <c r="F18" s="480">
        <f>Data!AT39</f>
        <v>0</v>
      </c>
      <c r="G18" s="480">
        <f>Data!AU39</f>
        <v>0</v>
      </c>
      <c r="H18" s="480">
        <f>Data!AV39</f>
        <v>0</v>
      </c>
      <c r="I18" s="480">
        <f>Data!AW39</f>
        <v>0</v>
      </c>
      <c r="J18" s="480">
        <f>Data!AX39</f>
        <v>0</v>
      </c>
      <c r="K18" s="480">
        <f>Data!AY39</f>
        <v>0</v>
      </c>
      <c r="L18" s="480">
        <f>Data!AZ39</f>
        <v>0</v>
      </c>
      <c r="M18" s="480">
        <f>Data!BA39</f>
        <v>0</v>
      </c>
    </row>
    <row r="19" spans="1:13" x14ac:dyDescent="0.25">
      <c r="A19" s="474" t="s">
        <v>328</v>
      </c>
      <c r="E19" s="480">
        <f>Data!AS40</f>
        <v>0</v>
      </c>
      <c r="F19" s="480">
        <f>Data!AT40</f>
        <v>0</v>
      </c>
      <c r="G19" s="480">
        <f>Data!AU40</f>
        <v>0</v>
      </c>
      <c r="H19" s="480">
        <f>Data!AV40</f>
        <v>0</v>
      </c>
      <c r="I19" s="480">
        <f>Data!AW40</f>
        <v>0</v>
      </c>
      <c r="J19" s="480">
        <f>Data!AX40</f>
        <v>0</v>
      </c>
      <c r="K19" s="480">
        <f>Data!AY40</f>
        <v>0</v>
      </c>
      <c r="L19" s="480">
        <f>Data!AZ40</f>
        <v>0</v>
      </c>
      <c r="M19" s="480">
        <f>Data!BA40</f>
        <v>0</v>
      </c>
    </row>
    <row r="20" spans="1:13" x14ac:dyDescent="0.25">
      <c r="E20" s="480">
        <f>Data!AS41</f>
        <v>0</v>
      </c>
      <c r="F20" s="480">
        <f>Data!AT41</f>
        <v>0</v>
      </c>
      <c r="G20" s="480">
        <f>Data!AU41</f>
        <v>0</v>
      </c>
      <c r="H20" s="480">
        <f>Data!AV41</f>
        <v>0</v>
      </c>
      <c r="I20" s="480">
        <f>Data!AW41</f>
        <v>0</v>
      </c>
      <c r="J20" s="480">
        <f>Data!AX41</f>
        <v>0</v>
      </c>
      <c r="K20" s="480">
        <f>Data!AY41</f>
        <v>0</v>
      </c>
      <c r="L20" s="480">
        <f>Data!AZ41</f>
        <v>0</v>
      </c>
      <c r="M20" s="480">
        <f>Data!BA41</f>
        <v>0</v>
      </c>
    </row>
    <row r="21" spans="1:13" x14ac:dyDescent="0.25">
      <c r="A21" s="475" t="s">
        <v>329</v>
      </c>
      <c r="E21" s="478">
        <f>Data!AS42</f>
        <v>8</v>
      </c>
      <c r="F21" s="479">
        <f>Data!AT42</f>
        <v>416466.57</v>
      </c>
      <c r="G21" s="479">
        <f>Data!AU42</f>
        <v>158512.15</v>
      </c>
      <c r="H21" s="479">
        <f>Data!AV42</f>
        <v>548308.79999999993</v>
      </c>
      <c r="I21" s="479">
        <f>Data!AW42</f>
        <v>100000</v>
      </c>
      <c r="J21" s="479">
        <f>Data!AX42</f>
        <v>115449.18652800001</v>
      </c>
      <c r="K21" s="479">
        <f>Data!AY42</f>
        <v>548308.79999999993</v>
      </c>
      <c r="L21" s="479">
        <f>Data!AZ42</f>
        <v>110000</v>
      </c>
      <c r="M21" s="479">
        <f>Data!BA42</f>
        <v>110843.39260800001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2" orientation="landscape" horizontalDpi="1200" verticalDpi="1200" r:id="rId1"/>
  <headerFooter>
    <oddHeader>&amp;L&amp;"Arial"&amp;14 Office of the Governor&amp;R&amp;"Arial"&amp;10 Agency 178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GVWD|0305-00</vt:lpstr>
      <vt:lpstr>GVWD|0344-30</vt:lpstr>
      <vt:lpstr>GVWD|0348-00</vt:lpstr>
      <vt:lpstr>Data</vt:lpstr>
      <vt:lpstr>Benefits</vt:lpstr>
      <vt:lpstr>B6</vt:lpstr>
      <vt:lpstr>Summary</vt:lpstr>
      <vt:lpstr>FundSummary</vt:lpstr>
      <vt:lpstr>'GVWD|0305-00'!AdjGroupHlth</vt:lpstr>
      <vt:lpstr>'GVWD|0344-30'!AdjGroupHlth</vt:lpstr>
      <vt:lpstr>'GVWD|0348-00'!AdjGroupHlth</vt:lpstr>
      <vt:lpstr>AdjGroupHlth</vt:lpstr>
      <vt:lpstr>'GVWD|0305-00'!AdjGroupSalary</vt:lpstr>
      <vt:lpstr>'GVWD|0344-30'!AdjGroupSalary</vt:lpstr>
      <vt:lpstr>'GVWD|0348-00'!AdjGroupSalary</vt:lpstr>
      <vt:lpstr>AdjGroupSalary</vt:lpstr>
      <vt:lpstr>'GVWD|0305-00'!AdjGroupVB</vt:lpstr>
      <vt:lpstr>'GVWD|0344-30'!AdjGroupVB</vt:lpstr>
      <vt:lpstr>'GVWD|0348-00'!AdjGroupVB</vt:lpstr>
      <vt:lpstr>AdjGroupVB</vt:lpstr>
      <vt:lpstr>'GVWD|0305-00'!AdjGroupVBBY</vt:lpstr>
      <vt:lpstr>'GVWD|0344-30'!AdjGroupVBBY</vt:lpstr>
      <vt:lpstr>'GVWD|0348-00'!AdjGroupVBBY</vt:lpstr>
      <vt:lpstr>AdjGroupVBBY</vt:lpstr>
      <vt:lpstr>'GVWD|0305-00'!AdjPermHlth</vt:lpstr>
      <vt:lpstr>'GVWD|0344-30'!AdjPermHlth</vt:lpstr>
      <vt:lpstr>'GVWD|0348-00'!AdjPermHlth</vt:lpstr>
      <vt:lpstr>AdjPermHlth</vt:lpstr>
      <vt:lpstr>'GVWD|0305-00'!AdjPermHlthBY</vt:lpstr>
      <vt:lpstr>'GVWD|0344-30'!AdjPermHlthBY</vt:lpstr>
      <vt:lpstr>'GVWD|0348-00'!AdjPermHlthBY</vt:lpstr>
      <vt:lpstr>AdjPermHlthBY</vt:lpstr>
      <vt:lpstr>'GVWD|0305-00'!AdjPermSalary</vt:lpstr>
      <vt:lpstr>'GVWD|0344-30'!AdjPermSalary</vt:lpstr>
      <vt:lpstr>'GVWD|0348-00'!AdjPermSalary</vt:lpstr>
      <vt:lpstr>AdjPermSalary</vt:lpstr>
      <vt:lpstr>'GVWD|0305-00'!AdjPermVB</vt:lpstr>
      <vt:lpstr>'GVWD|0344-30'!AdjPermVB</vt:lpstr>
      <vt:lpstr>'GVWD|0348-00'!AdjPermVB</vt:lpstr>
      <vt:lpstr>AdjPermVB</vt:lpstr>
      <vt:lpstr>'GVWD|0305-00'!AdjPermVBBY</vt:lpstr>
      <vt:lpstr>'GVWD|0344-30'!AdjPermVBBY</vt:lpstr>
      <vt:lpstr>'GVWD|0348-00'!AdjPermVBBY</vt:lpstr>
      <vt:lpstr>AdjPermVBBY</vt:lpstr>
      <vt:lpstr>'GVWD|0305-00'!AdjustedTotal</vt:lpstr>
      <vt:lpstr>'GVWD|0344-30'!AdjustedTotal</vt:lpstr>
      <vt:lpstr>'GVWD|0348-00'!AdjustedTotal</vt:lpstr>
      <vt:lpstr>AdjustedTotal</vt:lpstr>
      <vt:lpstr>'GVWD|0305-00'!AgencyNum</vt:lpstr>
      <vt:lpstr>'GVWD|0344-30'!AgencyNum</vt:lpstr>
      <vt:lpstr>'GVWD|0348-00'!AgencyNum</vt:lpstr>
      <vt:lpstr>AgencyNum</vt:lpstr>
      <vt:lpstr>'GVWD|0305-00'!AppropFTP</vt:lpstr>
      <vt:lpstr>'GVWD|0344-30'!AppropFTP</vt:lpstr>
      <vt:lpstr>'GVWD|0348-00'!AppropFTP</vt:lpstr>
      <vt:lpstr>AppropFTP</vt:lpstr>
      <vt:lpstr>'GVWD|0305-00'!AppropTotal</vt:lpstr>
      <vt:lpstr>'GVWD|0344-30'!AppropTotal</vt:lpstr>
      <vt:lpstr>'GVWD|0348-00'!AppropTotal</vt:lpstr>
      <vt:lpstr>AppropTotal</vt:lpstr>
      <vt:lpstr>'GVWD|0305-00'!AtZHealth</vt:lpstr>
      <vt:lpstr>'GVWD|0344-30'!AtZHealth</vt:lpstr>
      <vt:lpstr>'GVWD|0348-00'!AtZHealth</vt:lpstr>
      <vt:lpstr>AtZHealth</vt:lpstr>
      <vt:lpstr>'GVWD|0305-00'!AtZSalary</vt:lpstr>
      <vt:lpstr>'GVWD|0344-30'!AtZSalary</vt:lpstr>
      <vt:lpstr>'GVWD|0348-00'!AtZSalary</vt:lpstr>
      <vt:lpstr>AtZSalary</vt:lpstr>
      <vt:lpstr>'GVWD|0305-00'!AtZTotal</vt:lpstr>
      <vt:lpstr>'GVWD|0344-30'!AtZTotal</vt:lpstr>
      <vt:lpstr>'GVWD|0348-00'!AtZTotal</vt:lpstr>
      <vt:lpstr>AtZTotal</vt:lpstr>
      <vt:lpstr>'GVWD|0305-00'!AtZVarBen</vt:lpstr>
      <vt:lpstr>'GVWD|0344-30'!AtZVarBen</vt:lpstr>
      <vt:lpstr>'GVWD|0348-00'!AtZVarBen</vt:lpstr>
      <vt:lpstr>AtZVarBen</vt:lpstr>
      <vt:lpstr>'GVWD|0305-00'!BudgetUnit</vt:lpstr>
      <vt:lpstr>'GVWD|0344-30'!BudgetUnit</vt:lpstr>
      <vt:lpstr>'GVWD|0348-00'!BudgetUnit</vt:lpstr>
      <vt:lpstr>BudgetUnit</vt:lpstr>
      <vt:lpstr>BudgetYear</vt:lpstr>
      <vt:lpstr>CECGroup</vt:lpstr>
      <vt:lpstr>'GVWD|0305-00'!CECOrigElectSalary</vt:lpstr>
      <vt:lpstr>'GVWD|0344-30'!CECOrigElectSalary</vt:lpstr>
      <vt:lpstr>'GVWD|0348-00'!CECOrigElectSalary</vt:lpstr>
      <vt:lpstr>CECOrigElectSalary</vt:lpstr>
      <vt:lpstr>'GVWD|0305-00'!CECOrigElectVB</vt:lpstr>
      <vt:lpstr>'GVWD|0344-30'!CECOrigElectVB</vt:lpstr>
      <vt:lpstr>'GVWD|0348-00'!CECOrigElectVB</vt:lpstr>
      <vt:lpstr>CECOrigElectVB</vt:lpstr>
      <vt:lpstr>'GVWD|0305-00'!CECOrigGroupSalary</vt:lpstr>
      <vt:lpstr>'GVWD|0344-30'!CECOrigGroupSalary</vt:lpstr>
      <vt:lpstr>'GVWD|0348-00'!CECOrigGroupSalary</vt:lpstr>
      <vt:lpstr>CECOrigGroupSalary</vt:lpstr>
      <vt:lpstr>'GVWD|0305-00'!CECOrigGroupVB</vt:lpstr>
      <vt:lpstr>'GVWD|0344-30'!CECOrigGroupVB</vt:lpstr>
      <vt:lpstr>'GVWD|0348-00'!CECOrigGroupVB</vt:lpstr>
      <vt:lpstr>CECOrigGroupVB</vt:lpstr>
      <vt:lpstr>'GVWD|0305-00'!CECOrigPermSalary</vt:lpstr>
      <vt:lpstr>'GVWD|0344-30'!CECOrigPermSalary</vt:lpstr>
      <vt:lpstr>'GVWD|0348-00'!CECOrigPermSalary</vt:lpstr>
      <vt:lpstr>CECOrigPermSalary</vt:lpstr>
      <vt:lpstr>'GVWD|0305-00'!CECOrigPermVB</vt:lpstr>
      <vt:lpstr>'GVWD|0344-30'!CECOrigPermVB</vt:lpstr>
      <vt:lpstr>'GVWD|0348-00'!CECOrigPermVB</vt:lpstr>
      <vt:lpstr>CECOrigPermVB</vt:lpstr>
      <vt:lpstr>CECPerm</vt:lpstr>
      <vt:lpstr>'GVWD|0305-00'!CECpermCalc</vt:lpstr>
      <vt:lpstr>'GVWD|0344-30'!CECpermCalc</vt:lpstr>
      <vt:lpstr>'GVWD|0348-00'!CECpermCalc</vt:lpstr>
      <vt:lpstr>CECpermCalc</vt:lpstr>
      <vt:lpstr>'GVWD|0305-00'!Department</vt:lpstr>
      <vt:lpstr>'GVWD|0344-30'!Department</vt:lpstr>
      <vt:lpstr>'GVWD|0348-00'!Department</vt:lpstr>
      <vt:lpstr>Department</vt:lpstr>
      <vt:lpstr>DHR</vt:lpstr>
      <vt:lpstr>DHRBY</vt:lpstr>
      <vt:lpstr>DHRCHG</vt:lpstr>
      <vt:lpstr>'GVWD|0305-00'!Division</vt:lpstr>
      <vt:lpstr>'GVWD|0344-30'!Division</vt:lpstr>
      <vt:lpstr>'GVWD|0348-00'!Division</vt:lpstr>
      <vt:lpstr>Division</vt:lpstr>
      <vt:lpstr>'GVWD|0305-00'!DUCECElect</vt:lpstr>
      <vt:lpstr>'GVWD|0344-30'!DUCECElect</vt:lpstr>
      <vt:lpstr>'GVWD|0348-00'!DUCECElect</vt:lpstr>
      <vt:lpstr>DUCECElect</vt:lpstr>
      <vt:lpstr>'GVWD|0305-00'!DUCECGroup</vt:lpstr>
      <vt:lpstr>'GVWD|0344-30'!DUCECGroup</vt:lpstr>
      <vt:lpstr>'GVWD|0348-00'!DUCECGroup</vt:lpstr>
      <vt:lpstr>DUCECGroup</vt:lpstr>
      <vt:lpstr>'GVWD|0305-00'!DUCECPerm</vt:lpstr>
      <vt:lpstr>'GVWD|0344-30'!DUCECPerm</vt:lpstr>
      <vt:lpstr>'GVWD|0348-00'!DUCECPerm</vt:lpstr>
      <vt:lpstr>DUCECPerm</vt:lpstr>
      <vt:lpstr>'GVWD|0305-00'!DUEleven</vt:lpstr>
      <vt:lpstr>'GVWD|0344-30'!DUEleven</vt:lpstr>
      <vt:lpstr>'GVWD|0348-00'!DUEleven</vt:lpstr>
      <vt:lpstr>DUEleven</vt:lpstr>
      <vt:lpstr>'GVWD|0305-00'!DUHealthBen</vt:lpstr>
      <vt:lpstr>'GVWD|0344-30'!DUHealthBen</vt:lpstr>
      <vt:lpstr>'GVWD|0348-00'!DUHealthBen</vt:lpstr>
      <vt:lpstr>DUHealthBen</vt:lpstr>
      <vt:lpstr>'GVWD|0305-00'!DUNine</vt:lpstr>
      <vt:lpstr>'GVWD|0344-30'!DUNine</vt:lpstr>
      <vt:lpstr>'GVWD|0348-00'!DUNine</vt:lpstr>
      <vt:lpstr>DUNine</vt:lpstr>
      <vt:lpstr>'GVWD|0305-00'!DUThirteen</vt:lpstr>
      <vt:lpstr>'GVWD|0344-30'!DUThirteen</vt:lpstr>
      <vt:lpstr>'GVWD|0348-00'!DUThirteen</vt:lpstr>
      <vt:lpstr>DUThirteen</vt:lpstr>
      <vt:lpstr>'GVWD|0305-00'!DUVariableBen</vt:lpstr>
      <vt:lpstr>'GVWD|0344-30'!DUVariableBen</vt:lpstr>
      <vt:lpstr>'GVWD|0348-00'!DUVariableBen</vt:lpstr>
      <vt:lpstr>DUVariableBen</vt:lpstr>
      <vt:lpstr>'GVWD|0305-00'!Elect_chg_health</vt:lpstr>
      <vt:lpstr>'GVWD|0344-30'!Elect_chg_health</vt:lpstr>
      <vt:lpstr>'GVWD|0348-00'!Elect_chg_health</vt:lpstr>
      <vt:lpstr>Elect_chg_health</vt:lpstr>
      <vt:lpstr>'GVWD|0305-00'!Elect_chg_Var</vt:lpstr>
      <vt:lpstr>'GVWD|0344-30'!Elect_chg_Var</vt:lpstr>
      <vt:lpstr>'GVWD|0348-00'!Elect_chg_Var</vt:lpstr>
      <vt:lpstr>Elect_chg_Var</vt:lpstr>
      <vt:lpstr>'GVWD|0305-00'!elect_FTP</vt:lpstr>
      <vt:lpstr>'GVWD|0344-30'!elect_FTP</vt:lpstr>
      <vt:lpstr>'GVWD|0348-00'!elect_FTP</vt:lpstr>
      <vt:lpstr>elect_FTP</vt:lpstr>
      <vt:lpstr>'GVWD|0305-00'!Elect_health</vt:lpstr>
      <vt:lpstr>'GVWD|0344-30'!Elect_health</vt:lpstr>
      <vt:lpstr>'GVWD|0348-00'!Elect_health</vt:lpstr>
      <vt:lpstr>Elect_health</vt:lpstr>
      <vt:lpstr>'GVWD|0305-00'!Elect_name</vt:lpstr>
      <vt:lpstr>'GVWD|0344-30'!Elect_name</vt:lpstr>
      <vt:lpstr>'GVWD|0348-00'!Elect_name</vt:lpstr>
      <vt:lpstr>Elect_name</vt:lpstr>
      <vt:lpstr>'GVWD|0305-00'!Elect_salary</vt:lpstr>
      <vt:lpstr>'GVWD|0344-30'!Elect_salary</vt:lpstr>
      <vt:lpstr>'GVWD|0348-00'!Elect_salary</vt:lpstr>
      <vt:lpstr>Elect_salary</vt:lpstr>
      <vt:lpstr>'GVWD|0305-00'!Elect_Var</vt:lpstr>
      <vt:lpstr>'GVWD|0344-30'!Elect_Var</vt:lpstr>
      <vt:lpstr>'GVWD|0348-00'!Elect_Var</vt:lpstr>
      <vt:lpstr>Elect_Var</vt:lpstr>
      <vt:lpstr>'GVWD|0305-00'!Elect_VarBen</vt:lpstr>
      <vt:lpstr>'GVWD|0344-30'!Elect_VarBen</vt:lpstr>
      <vt:lpstr>'GVWD|0348-00'!Elect_VarBen</vt:lpstr>
      <vt:lpstr>Elect_VarBen</vt:lpstr>
      <vt:lpstr>ElectVB</vt:lpstr>
      <vt:lpstr>ElectVBBY</vt:lpstr>
      <vt:lpstr>ElectVBCHG</vt:lpstr>
      <vt:lpstr>FillRate_Avg</vt:lpstr>
      <vt:lpstr>'GVWD|0305-00'!FiscalYear</vt:lpstr>
      <vt:lpstr>'GVWD|0344-30'!FiscalYear</vt:lpstr>
      <vt:lpstr>'GVWD|0348-00'!FiscalYear</vt:lpstr>
      <vt:lpstr>FiscalYear</vt:lpstr>
      <vt:lpstr>'GVWD|0305-00'!FundName</vt:lpstr>
      <vt:lpstr>'GVWD|0344-30'!FundName</vt:lpstr>
      <vt:lpstr>'GVWD|0348-00'!FundName</vt:lpstr>
      <vt:lpstr>FundName</vt:lpstr>
      <vt:lpstr>'GVWD|0305-00'!FundNum</vt:lpstr>
      <vt:lpstr>'GVWD|0344-30'!FundNum</vt:lpstr>
      <vt:lpstr>'GVWD|0348-00'!FundNum</vt:lpstr>
      <vt:lpstr>FundNum</vt:lpstr>
      <vt:lpstr>'GVWD|0305-00'!FundNumber</vt:lpstr>
      <vt:lpstr>'GVWD|0344-30'!FundNumber</vt:lpstr>
      <vt:lpstr>'GVWD|0348-00'!FundNumber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'GVWD|0305-00'!Group_name</vt:lpstr>
      <vt:lpstr>'GVWD|0344-30'!Group_name</vt:lpstr>
      <vt:lpstr>'GVWD|0348-00'!Group_name</vt:lpstr>
      <vt:lpstr>Group_name</vt:lpstr>
      <vt:lpstr>'GVWD|0305-00'!GroupFxdBen</vt:lpstr>
      <vt:lpstr>'GVWD|0344-30'!GroupFxdBen</vt:lpstr>
      <vt:lpstr>'GVWD|0348-00'!GroupFxdBen</vt:lpstr>
      <vt:lpstr>GroupFxdBen</vt:lpstr>
      <vt:lpstr>'GVWD|0305-00'!GroupSalary</vt:lpstr>
      <vt:lpstr>'GVWD|0344-30'!GroupSalary</vt:lpstr>
      <vt:lpstr>'GVWD|0348-00'!GroupSalary</vt:lpstr>
      <vt:lpstr>GroupSalary</vt:lpstr>
      <vt:lpstr>'GVWD|0305-00'!GroupVarBen</vt:lpstr>
      <vt:lpstr>'GVWD|0344-30'!GroupVarBen</vt:lpstr>
      <vt:lpstr>'GVWD|0348-00'!GroupVarBen</vt:lpstr>
      <vt:lpstr>GroupVarBen</vt:lpstr>
      <vt:lpstr>GroupVB</vt:lpstr>
      <vt:lpstr>GroupVBBY</vt:lpstr>
      <vt:lpstr>GroupVBCHG</vt:lpstr>
      <vt:lpstr>GVWD030500col_1_27TH_PP</vt:lpstr>
      <vt:lpstr>GVWD030500col_DHR</vt:lpstr>
      <vt:lpstr>GVWD030500col_DHR_BY</vt:lpstr>
      <vt:lpstr>GVWD030500col_DHR_CHG</vt:lpstr>
      <vt:lpstr>GVWD030500col_FTI_SALARY_ELECT</vt:lpstr>
      <vt:lpstr>GVWD030500col_FTI_SALARY_PERM</vt:lpstr>
      <vt:lpstr>GVWD030500col_FTI_SALARY_SSDI</vt:lpstr>
      <vt:lpstr>GVWD030500col_Group_Ben</vt:lpstr>
      <vt:lpstr>GVWD030500col_Group_Salary</vt:lpstr>
      <vt:lpstr>GVWD030500col_HEALTH_ELECT</vt:lpstr>
      <vt:lpstr>GVWD030500col_HEALTH_ELECT_BY</vt:lpstr>
      <vt:lpstr>GVWD030500col_HEALTH_ELECT_CHG</vt:lpstr>
      <vt:lpstr>GVWD030500col_HEALTH_PERM</vt:lpstr>
      <vt:lpstr>GVWD030500col_HEALTH_PERM_BY</vt:lpstr>
      <vt:lpstr>GVWD030500col_HEALTH_PERM_CHG</vt:lpstr>
      <vt:lpstr>GVWD030500col_INC_FTI</vt:lpstr>
      <vt:lpstr>GVWD030500col_LIFE_INS</vt:lpstr>
      <vt:lpstr>GVWD030500col_LIFE_INS_BY</vt:lpstr>
      <vt:lpstr>GVWD030500col_LIFE_INS_CHG</vt:lpstr>
      <vt:lpstr>GVWD030500col_RETIREMENT</vt:lpstr>
      <vt:lpstr>GVWD030500col_RETIREMENT_BY</vt:lpstr>
      <vt:lpstr>GVWD030500col_RETIREMENT_CHG</vt:lpstr>
      <vt:lpstr>GVWD030500col_ROWS_PER_PCN</vt:lpstr>
      <vt:lpstr>GVWD030500col_SICK</vt:lpstr>
      <vt:lpstr>GVWD030500col_SICK_BY</vt:lpstr>
      <vt:lpstr>GVWD030500col_SICK_CHG</vt:lpstr>
      <vt:lpstr>GVWD030500col_SSDI</vt:lpstr>
      <vt:lpstr>GVWD030500col_SSDI_BY</vt:lpstr>
      <vt:lpstr>GVWD030500col_SSDI_CHG</vt:lpstr>
      <vt:lpstr>GVWD030500col_SSHI</vt:lpstr>
      <vt:lpstr>GVWD030500col_SSHI_BY</vt:lpstr>
      <vt:lpstr>GVWD030500col_SSHI_CHGv</vt:lpstr>
      <vt:lpstr>GVWD030500col_TOT_VB_ELECT</vt:lpstr>
      <vt:lpstr>GVWD030500col_TOT_VB_ELECT_BY</vt:lpstr>
      <vt:lpstr>GVWD030500col_TOT_VB_ELECT_CHG</vt:lpstr>
      <vt:lpstr>GVWD030500col_TOT_VB_PERM</vt:lpstr>
      <vt:lpstr>GVWD030500col_TOT_VB_PERM_BY</vt:lpstr>
      <vt:lpstr>GVWD030500col_TOT_VB_PERM_CHG</vt:lpstr>
      <vt:lpstr>GVWD030500col_TOTAL_ELECT_PCN_FTI</vt:lpstr>
      <vt:lpstr>GVWD030500col_TOTAL_ELECT_PCN_FTI_ALT</vt:lpstr>
      <vt:lpstr>GVWD030500col_TOTAL_PERM_PCN_FTI</vt:lpstr>
      <vt:lpstr>GVWD030500col_UNEMP_INS</vt:lpstr>
      <vt:lpstr>GVWD030500col_UNEMP_INS_BY</vt:lpstr>
      <vt:lpstr>GVWD030500col_UNEMP_INS_CHG</vt:lpstr>
      <vt:lpstr>GVWD030500col_WORKERS_COMP</vt:lpstr>
      <vt:lpstr>GVWD030500col_WORKERS_COMP_BY</vt:lpstr>
      <vt:lpstr>GVWD030500col_WORKERS_COMP_CHG</vt:lpstr>
      <vt:lpstr>GVWD034430col_1_27TH_PP</vt:lpstr>
      <vt:lpstr>GVWD034430col_DHR</vt:lpstr>
      <vt:lpstr>GVWD034430col_DHR_BY</vt:lpstr>
      <vt:lpstr>GVWD034430col_DHR_CHG</vt:lpstr>
      <vt:lpstr>GVWD034430col_FTI_SALARY_ELECT</vt:lpstr>
      <vt:lpstr>GVWD034430col_FTI_SALARY_PERM</vt:lpstr>
      <vt:lpstr>GVWD034430col_FTI_SALARY_SSDI</vt:lpstr>
      <vt:lpstr>GVWD034430col_Group_Ben</vt:lpstr>
      <vt:lpstr>GVWD034430col_Group_Salary</vt:lpstr>
      <vt:lpstr>GVWD034430col_HEALTH_ELECT</vt:lpstr>
      <vt:lpstr>GVWD034430col_HEALTH_ELECT_BY</vt:lpstr>
      <vt:lpstr>GVWD034430col_HEALTH_ELECT_CHG</vt:lpstr>
      <vt:lpstr>GVWD034430col_HEALTH_PERM</vt:lpstr>
      <vt:lpstr>GVWD034430col_HEALTH_PERM_BY</vt:lpstr>
      <vt:lpstr>GVWD034430col_HEALTH_PERM_CHG</vt:lpstr>
      <vt:lpstr>GVWD034430col_INC_FTI</vt:lpstr>
      <vt:lpstr>GVWD034430col_LIFE_INS</vt:lpstr>
      <vt:lpstr>GVWD034430col_LIFE_INS_BY</vt:lpstr>
      <vt:lpstr>GVWD034430col_LIFE_INS_CHG</vt:lpstr>
      <vt:lpstr>GVWD034430col_RETIREMENT</vt:lpstr>
      <vt:lpstr>GVWD034430col_RETIREMENT_BY</vt:lpstr>
      <vt:lpstr>GVWD034430col_RETIREMENT_CHG</vt:lpstr>
      <vt:lpstr>GVWD034430col_ROWS_PER_PCN</vt:lpstr>
      <vt:lpstr>GVWD034430col_SICK</vt:lpstr>
      <vt:lpstr>GVWD034430col_SICK_BY</vt:lpstr>
      <vt:lpstr>GVWD034430col_SICK_CHG</vt:lpstr>
      <vt:lpstr>GVWD034430col_SSDI</vt:lpstr>
      <vt:lpstr>GVWD034430col_SSDI_BY</vt:lpstr>
      <vt:lpstr>GVWD034430col_SSDI_CHG</vt:lpstr>
      <vt:lpstr>GVWD034430col_SSHI</vt:lpstr>
      <vt:lpstr>GVWD034430col_SSHI_BY</vt:lpstr>
      <vt:lpstr>GVWD034430col_SSHI_CHGv</vt:lpstr>
      <vt:lpstr>GVWD034430col_TOT_VB_ELECT</vt:lpstr>
      <vt:lpstr>GVWD034430col_TOT_VB_ELECT_BY</vt:lpstr>
      <vt:lpstr>GVWD034430col_TOT_VB_ELECT_CHG</vt:lpstr>
      <vt:lpstr>GVWD034430col_TOT_VB_PERM</vt:lpstr>
      <vt:lpstr>GVWD034430col_TOT_VB_PERM_BY</vt:lpstr>
      <vt:lpstr>GVWD034430col_TOT_VB_PERM_CHG</vt:lpstr>
      <vt:lpstr>GVWD034430col_TOTAL_ELECT_PCN_FTI</vt:lpstr>
      <vt:lpstr>GVWD034430col_TOTAL_ELECT_PCN_FTI_ALT</vt:lpstr>
      <vt:lpstr>GVWD034430col_TOTAL_PERM_PCN_FTI</vt:lpstr>
      <vt:lpstr>GVWD034430col_UNEMP_INS</vt:lpstr>
      <vt:lpstr>GVWD034430col_UNEMP_INS_BY</vt:lpstr>
      <vt:lpstr>GVWD034430col_UNEMP_INS_CHG</vt:lpstr>
      <vt:lpstr>GVWD034430col_WORKERS_COMP</vt:lpstr>
      <vt:lpstr>GVWD034430col_WORKERS_COMP_BY</vt:lpstr>
      <vt:lpstr>GVWD034430col_WORKERS_COMP_CHG</vt:lpstr>
      <vt:lpstr>GVWD034800col_1_27TH_PP</vt:lpstr>
      <vt:lpstr>GVWD034800col_DHR</vt:lpstr>
      <vt:lpstr>GVWD034800col_DHR_BY</vt:lpstr>
      <vt:lpstr>GVWD034800col_DHR_CHG</vt:lpstr>
      <vt:lpstr>GVWD034800col_FTI_SALARY_ELECT</vt:lpstr>
      <vt:lpstr>GVWD034800col_FTI_SALARY_PERM</vt:lpstr>
      <vt:lpstr>GVWD034800col_FTI_SALARY_SSDI</vt:lpstr>
      <vt:lpstr>GVWD034800col_Group_Ben</vt:lpstr>
      <vt:lpstr>GVWD034800col_Group_Salary</vt:lpstr>
      <vt:lpstr>GVWD034800col_HEALTH_ELECT</vt:lpstr>
      <vt:lpstr>GVWD034800col_HEALTH_ELECT_BY</vt:lpstr>
      <vt:lpstr>GVWD034800col_HEALTH_ELECT_CHG</vt:lpstr>
      <vt:lpstr>GVWD034800col_HEALTH_PERM</vt:lpstr>
      <vt:lpstr>GVWD034800col_HEALTH_PERM_BY</vt:lpstr>
      <vt:lpstr>GVWD034800col_HEALTH_PERM_CHG</vt:lpstr>
      <vt:lpstr>GVWD034800col_INC_FTI</vt:lpstr>
      <vt:lpstr>GVWD034800col_LIFE_INS</vt:lpstr>
      <vt:lpstr>GVWD034800col_LIFE_INS_BY</vt:lpstr>
      <vt:lpstr>GVWD034800col_LIFE_INS_CHG</vt:lpstr>
      <vt:lpstr>GVWD034800col_RETIREMENT</vt:lpstr>
      <vt:lpstr>GVWD034800col_RETIREMENT_BY</vt:lpstr>
      <vt:lpstr>GVWD034800col_RETIREMENT_CHG</vt:lpstr>
      <vt:lpstr>GVWD034800col_ROWS_PER_PCN</vt:lpstr>
      <vt:lpstr>GVWD034800col_SICK</vt:lpstr>
      <vt:lpstr>GVWD034800col_SICK_BY</vt:lpstr>
      <vt:lpstr>GVWD034800col_SICK_CHG</vt:lpstr>
      <vt:lpstr>GVWD034800col_SSDI</vt:lpstr>
      <vt:lpstr>GVWD034800col_SSDI_BY</vt:lpstr>
      <vt:lpstr>GVWD034800col_SSDI_CHG</vt:lpstr>
      <vt:lpstr>GVWD034800col_SSHI</vt:lpstr>
      <vt:lpstr>GVWD034800col_SSHI_BY</vt:lpstr>
      <vt:lpstr>GVWD034800col_SSHI_CHGv</vt:lpstr>
      <vt:lpstr>GVWD034800col_TOT_VB_ELECT</vt:lpstr>
      <vt:lpstr>GVWD034800col_TOT_VB_ELECT_BY</vt:lpstr>
      <vt:lpstr>GVWD034800col_TOT_VB_ELECT_CHG</vt:lpstr>
      <vt:lpstr>GVWD034800col_TOT_VB_PERM</vt:lpstr>
      <vt:lpstr>GVWD034800col_TOT_VB_PERM_BY</vt:lpstr>
      <vt:lpstr>GVWD034800col_TOT_VB_PERM_CHG</vt:lpstr>
      <vt:lpstr>GVWD034800col_TOTAL_ELECT_PCN_FTI</vt:lpstr>
      <vt:lpstr>GVWD034800col_TOTAL_ELECT_PCN_FTI_ALT</vt:lpstr>
      <vt:lpstr>GVWD034800col_TOTAL_PERM_PCN_FTI</vt:lpstr>
      <vt:lpstr>GVWD034800col_UNEMP_INS</vt:lpstr>
      <vt:lpstr>GVWD034800col_UNEMP_INS_BY</vt:lpstr>
      <vt:lpstr>GVWD034800col_UNEMP_INS_CHG</vt:lpstr>
      <vt:lpstr>GVWD034800col_WORKERS_COMP</vt:lpstr>
      <vt:lpstr>GVWD034800col_WORKERS_COMP_BY</vt:lpstr>
      <vt:lpstr>GVWD034800col_WORKERS_COMP_CHG</vt:lpstr>
      <vt:lpstr>Health</vt:lpstr>
      <vt:lpstr>HealthBY</vt:lpstr>
      <vt:lpstr>HealthCHG</vt:lpstr>
      <vt:lpstr>Life</vt:lpstr>
      <vt:lpstr>LifeBY</vt:lpstr>
      <vt:lpstr>LifeCHG</vt:lpstr>
      <vt:lpstr>'GVWD|0305-00'!LUMAFund</vt:lpstr>
      <vt:lpstr>'GVWD|0344-30'!LUMAFund</vt:lpstr>
      <vt:lpstr>'GVWD|0348-00'!LUMAFund</vt:lpstr>
      <vt:lpstr>LUMAFund</vt:lpstr>
      <vt:lpstr>MAXSSDI</vt:lpstr>
      <vt:lpstr>MAXSSDIBY</vt:lpstr>
      <vt:lpstr>'GVWD|0305-00'!NEW_AdjGroup</vt:lpstr>
      <vt:lpstr>'GVWD|0344-30'!NEW_AdjGroup</vt:lpstr>
      <vt:lpstr>'GVWD|0348-00'!NEW_AdjGroup</vt:lpstr>
      <vt:lpstr>NEW_AdjGroup</vt:lpstr>
      <vt:lpstr>'GVWD|0305-00'!NEW_AdjGroupSalary</vt:lpstr>
      <vt:lpstr>'GVWD|0344-30'!NEW_AdjGroupSalary</vt:lpstr>
      <vt:lpstr>'GVWD|0348-00'!NEW_AdjGroupSalary</vt:lpstr>
      <vt:lpstr>NEW_AdjGroupSalary</vt:lpstr>
      <vt:lpstr>'GVWD|0305-00'!NEW_AdjGroupVB</vt:lpstr>
      <vt:lpstr>'GVWD|0344-30'!NEW_AdjGroupVB</vt:lpstr>
      <vt:lpstr>'GVWD|0348-00'!NEW_AdjGroupVB</vt:lpstr>
      <vt:lpstr>NEW_AdjGroupVB</vt:lpstr>
      <vt:lpstr>'GVWD|0305-00'!NEW_AdjONLYGroup</vt:lpstr>
      <vt:lpstr>'GVWD|0344-30'!NEW_AdjONLYGroup</vt:lpstr>
      <vt:lpstr>'GVWD|0348-00'!NEW_AdjONLYGroup</vt:lpstr>
      <vt:lpstr>NEW_AdjONLYGroup</vt:lpstr>
      <vt:lpstr>'GVWD|0305-00'!NEW_AdjONLYGroupSalary</vt:lpstr>
      <vt:lpstr>'GVWD|0344-30'!NEW_AdjONLYGroupSalary</vt:lpstr>
      <vt:lpstr>'GVWD|0348-00'!NEW_AdjONLYGroupSalary</vt:lpstr>
      <vt:lpstr>NEW_AdjONLYGroupSalary</vt:lpstr>
      <vt:lpstr>'GVWD|0305-00'!NEW_AdjONLYGroupVB</vt:lpstr>
      <vt:lpstr>'GVWD|0344-30'!NEW_AdjONLYGroupVB</vt:lpstr>
      <vt:lpstr>'GVWD|0348-00'!NEW_AdjONLYGroupVB</vt:lpstr>
      <vt:lpstr>NEW_AdjONLYGroupVB</vt:lpstr>
      <vt:lpstr>'GVWD|0305-00'!NEW_AdjONLYPerm</vt:lpstr>
      <vt:lpstr>'GVWD|0344-30'!NEW_AdjONLYPerm</vt:lpstr>
      <vt:lpstr>'GVWD|0348-00'!NEW_AdjONLYPerm</vt:lpstr>
      <vt:lpstr>NEW_AdjONLYPerm</vt:lpstr>
      <vt:lpstr>'GVWD|0305-00'!NEW_AdjONLYPermSalary</vt:lpstr>
      <vt:lpstr>'GVWD|0344-30'!NEW_AdjONLYPermSalary</vt:lpstr>
      <vt:lpstr>'GVWD|0348-00'!NEW_AdjONLYPermSalary</vt:lpstr>
      <vt:lpstr>NEW_AdjONLYPermSalary</vt:lpstr>
      <vt:lpstr>'GVWD|0305-00'!NEW_AdjONLYPermVB</vt:lpstr>
      <vt:lpstr>'GVWD|0344-30'!NEW_AdjONLYPermVB</vt:lpstr>
      <vt:lpstr>'GVWD|0348-00'!NEW_AdjONLYPermVB</vt:lpstr>
      <vt:lpstr>NEW_AdjONLYPermVB</vt:lpstr>
      <vt:lpstr>'GVWD|0305-00'!NEW_AdjPerm</vt:lpstr>
      <vt:lpstr>'GVWD|0344-30'!NEW_AdjPerm</vt:lpstr>
      <vt:lpstr>'GVWD|0348-00'!NEW_AdjPerm</vt:lpstr>
      <vt:lpstr>NEW_AdjPerm</vt:lpstr>
      <vt:lpstr>'GVWD|0305-00'!NEW_AdjPermSalary</vt:lpstr>
      <vt:lpstr>'GVWD|0344-30'!NEW_AdjPermSalary</vt:lpstr>
      <vt:lpstr>'GVWD|0348-00'!NEW_AdjPermSalary</vt:lpstr>
      <vt:lpstr>NEW_AdjPermSalary</vt:lpstr>
      <vt:lpstr>'GVWD|0305-00'!NEW_AdjPermVB</vt:lpstr>
      <vt:lpstr>'GVWD|0344-30'!NEW_AdjPermVB</vt:lpstr>
      <vt:lpstr>'GVWD|0348-00'!NEW_AdjPermVB</vt:lpstr>
      <vt:lpstr>NEW_AdjPermVB</vt:lpstr>
      <vt:lpstr>'GVWD|0305-00'!NEW_GroupFilled</vt:lpstr>
      <vt:lpstr>'GVWD|0344-30'!NEW_GroupFilled</vt:lpstr>
      <vt:lpstr>'GVWD|0348-00'!NEW_GroupFilled</vt:lpstr>
      <vt:lpstr>NEW_GroupFilled</vt:lpstr>
      <vt:lpstr>'GVWD|0305-00'!NEW_GroupSalaryFilled</vt:lpstr>
      <vt:lpstr>'GVWD|0344-30'!NEW_GroupSalaryFilled</vt:lpstr>
      <vt:lpstr>'GVWD|0348-00'!NEW_GroupSalaryFilled</vt:lpstr>
      <vt:lpstr>NEW_GroupSalaryFilled</vt:lpstr>
      <vt:lpstr>'GVWD|0305-00'!NEW_GroupVBFilled</vt:lpstr>
      <vt:lpstr>'GVWD|0344-30'!NEW_GroupVBFilled</vt:lpstr>
      <vt:lpstr>'GVWD|0348-00'!NEW_GroupVBFilled</vt:lpstr>
      <vt:lpstr>NEW_GroupVBFilled</vt:lpstr>
      <vt:lpstr>'GVWD|0305-00'!NEW_PermFilled</vt:lpstr>
      <vt:lpstr>'GVWD|0344-30'!NEW_PermFilled</vt:lpstr>
      <vt:lpstr>'GVWD|0348-00'!NEW_PermFilled</vt:lpstr>
      <vt:lpstr>NEW_PermFilled</vt:lpstr>
      <vt:lpstr>'GVWD|0305-00'!NEW_PermSalaryFilled</vt:lpstr>
      <vt:lpstr>'GVWD|0344-30'!NEW_PermSalaryFilled</vt:lpstr>
      <vt:lpstr>'GVWD|0348-00'!NEW_PermSalaryFilled</vt:lpstr>
      <vt:lpstr>NEW_PermSalaryFilled</vt:lpstr>
      <vt:lpstr>'GVWD|0305-00'!NEW_PermVBFilled</vt:lpstr>
      <vt:lpstr>'GVWD|0344-30'!NEW_PermVBFilled</vt:lpstr>
      <vt:lpstr>'GVWD|0348-00'!NEW_PermVBFilled</vt:lpstr>
      <vt:lpstr>NEW_PermVBFilled</vt:lpstr>
      <vt:lpstr>'GVWD|0305-00'!OneTimePC_Total</vt:lpstr>
      <vt:lpstr>'GVWD|0344-30'!OneTimePC_Total</vt:lpstr>
      <vt:lpstr>'GVWD|0348-00'!OneTimePC_Total</vt:lpstr>
      <vt:lpstr>OneTimePC_Total</vt:lpstr>
      <vt:lpstr>'GVWD|0305-00'!OrigApprop</vt:lpstr>
      <vt:lpstr>'GVWD|0344-30'!OrigApprop</vt:lpstr>
      <vt:lpstr>'GVWD|0348-00'!OrigApprop</vt:lpstr>
      <vt:lpstr>OrigApprop</vt:lpstr>
      <vt:lpstr>'GVWD|0305-00'!perm_name</vt:lpstr>
      <vt:lpstr>'GVWD|0344-30'!perm_name</vt:lpstr>
      <vt:lpstr>'GVWD|0348-00'!perm_name</vt:lpstr>
      <vt:lpstr>perm_name</vt:lpstr>
      <vt:lpstr>'GVWD|0305-00'!PermFTP</vt:lpstr>
      <vt:lpstr>'GVWD|0344-30'!PermFTP</vt:lpstr>
      <vt:lpstr>'GVWD|0348-00'!PermFTP</vt:lpstr>
      <vt:lpstr>PermFTP</vt:lpstr>
      <vt:lpstr>'GVWD|0305-00'!PermFxdBen</vt:lpstr>
      <vt:lpstr>'GVWD|0344-30'!PermFxdBen</vt:lpstr>
      <vt:lpstr>'GVWD|0348-00'!PermFxdBen</vt:lpstr>
      <vt:lpstr>PermFxdBen</vt:lpstr>
      <vt:lpstr>'GVWD|0305-00'!PermFxdBenChg</vt:lpstr>
      <vt:lpstr>'GVWD|0344-30'!PermFxdBenChg</vt:lpstr>
      <vt:lpstr>'GVWD|0348-00'!PermFxdBenChg</vt:lpstr>
      <vt:lpstr>PermFxdBenChg</vt:lpstr>
      <vt:lpstr>'GVWD|0305-00'!PermFxdChg</vt:lpstr>
      <vt:lpstr>'GVWD|0344-30'!PermFxdChg</vt:lpstr>
      <vt:lpstr>'GVWD|0348-00'!PermFxdChg</vt:lpstr>
      <vt:lpstr>PermFxdChg</vt:lpstr>
      <vt:lpstr>'GVWD|0305-00'!PermSalary</vt:lpstr>
      <vt:lpstr>'GVWD|0344-30'!PermSalary</vt:lpstr>
      <vt:lpstr>'GVWD|0348-00'!PermSalary</vt:lpstr>
      <vt:lpstr>PermSalary</vt:lpstr>
      <vt:lpstr>'GVWD|0305-00'!PermVarBen</vt:lpstr>
      <vt:lpstr>'GVWD|0344-30'!PermVarBen</vt:lpstr>
      <vt:lpstr>'GVWD|0348-00'!PermVarBen</vt:lpstr>
      <vt:lpstr>PermVarBen</vt:lpstr>
      <vt:lpstr>'GVWD|0305-00'!PermVarBenChg</vt:lpstr>
      <vt:lpstr>'GVWD|0344-30'!PermVarBenChg</vt:lpstr>
      <vt:lpstr>'GVWD|0348-00'!PermVarBenChg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'GVWD|0305-00'!Print_Area</vt:lpstr>
      <vt:lpstr>'GVWD|0344-30'!Print_Area</vt:lpstr>
      <vt:lpstr>'GVWD|0348-00'!Print_Area</vt:lpstr>
      <vt:lpstr>'GVWD|0305-00'!Prog_Unadjusted_Total</vt:lpstr>
      <vt:lpstr>'GVWD|0344-30'!Prog_Unadjusted_Total</vt:lpstr>
      <vt:lpstr>'GVWD|0348-00'!Prog_Unadjusted_Total</vt:lpstr>
      <vt:lpstr>Prog_Unadjusted_Total</vt:lpstr>
      <vt:lpstr>'GVWD|0305-00'!Program</vt:lpstr>
      <vt:lpstr>'GVWD|0344-30'!Program</vt:lpstr>
      <vt:lpstr>'GVWD|0348-00'!Program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'GVWD|0305-00'!RoundedAppropSalary</vt:lpstr>
      <vt:lpstr>'GVWD|0344-30'!RoundedAppropSalary</vt:lpstr>
      <vt:lpstr>'GVWD|0348-00'!RoundedAppropSalary</vt:lpstr>
      <vt:lpstr>RoundedAppropSalary</vt:lpstr>
      <vt:lpstr>'GVWD|0305-00'!SalaryChg</vt:lpstr>
      <vt:lpstr>'GVWD|0344-30'!SalaryChg</vt:lpstr>
      <vt:lpstr>'GVWD|0348-00'!SalaryChg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179 B6</dc:title>
  <dc:subject>B6</dc:subject>
  <dc:creator>Jared Tatro</dc:creator>
  <cp:lastModifiedBy>Jared Tatro</cp:lastModifiedBy>
  <cp:lastPrinted>2019-06-21T15:46:35Z</cp:lastPrinted>
  <dcterms:created xsi:type="dcterms:W3CDTF">2013-05-01T19:55:41Z</dcterms:created>
  <dcterms:modified xsi:type="dcterms:W3CDTF">2022-08-08T16:41:24Z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