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4\"/>
    </mc:Choice>
  </mc:AlternateContent>
  <xr:revisionPtr revIDLastSave="0" documentId="13_ncr:1_{AC2A3E72-7665-4B5F-9B9F-1C215321D7D0}" xr6:coauthVersionLast="47" xr6:coauthVersionMax="47" xr10:uidLastSave="{00000000-0000-0000-0000-000000000000}"/>
  <bookViews>
    <workbookView xWindow="-25215" yWindow="3480" windowWidth="21600" windowHeight="11325" xr2:uid="{00000000-000D-0000-FFFF-FFFF00000000}"/>
  </bookViews>
  <sheets>
    <sheet name="GVST|0001-00" sheetId="12" r:id="rId1"/>
    <sheet name="Data" sheetId="5" r:id="rId2"/>
    <sheet name="Benefits" sheetId="7" r:id="rId3"/>
    <sheet name="B6" sheetId="9" r:id="rId4"/>
    <sheet name="Summary" sheetId="10" r:id="rId5"/>
    <sheet name="FundSummary" sheetId="11" r:id="rId6"/>
  </sheets>
  <definedNames>
    <definedName name="AdjGroupHlth" localSheetId="0">'GVST|0001-00'!$H$39</definedName>
    <definedName name="AdjGroupHlth">'B6'!$H$39</definedName>
    <definedName name="AdjGroupSalary" localSheetId="0">'GVST|0001-00'!$G$39</definedName>
    <definedName name="AdjGroupSalary">'B6'!$G$39</definedName>
    <definedName name="AdjGroupVB" localSheetId="0">'GVST|0001-00'!$I$39</definedName>
    <definedName name="AdjGroupVB">'B6'!$I$39</definedName>
    <definedName name="AdjGroupVBBY" localSheetId="0">'GVST|0001-00'!$M$39</definedName>
    <definedName name="AdjGroupVBBY">'B6'!$M$39</definedName>
    <definedName name="AdjPermHlth" localSheetId="0">'GVST|0001-00'!$H$38</definedName>
    <definedName name="AdjPermHlth">'B6'!$H$38</definedName>
    <definedName name="AdjPermHlthBY" localSheetId="0">'GVST|0001-00'!$L$38</definedName>
    <definedName name="AdjPermHlthBY">'B6'!$L$38</definedName>
    <definedName name="AdjPermSalary" localSheetId="0">'GVST|0001-00'!$G$38</definedName>
    <definedName name="AdjPermSalary">'B6'!$G$38</definedName>
    <definedName name="AdjPermVB" localSheetId="0">'GVST|0001-00'!$I$38</definedName>
    <definedName name="AdjPermVB">'B6'!$I$38</definedName>
    <definedName name="AdjPermVBBY" localSheetId="0">'GVST|0001-00'!$M$38</definedName>
    <definedName name="AdjPermVBBY">'B6'!$M$38</definedName>
    <definedName name="AdjustedTotal" localSheetId="0">'GVST|0001-00'!$J$16</definedName>
    <definedName name="AdjustedTotal">'B6'!$J$16</definedName>
    <definedName name="AgencyNum" localSheetId="0">'GVST|0001-00'!$M$1</definedName>
    <definedName name="AgencyNum">'B6'!$M$1</definedName>
    <definedName name="AppropFTP" localSheetId="0">'GVST|0001-00'!$F$15</definedName>
    <definedName name="AppropFTP">'B6'!$F$15</definedName>
    <definedName name="AppropTotal" localSheetId="0">'GVST|0001-00'!$J$15</definedName>
    <definedName name="AppropTotal">'B6'!$J$15</definedName>
    <definedName name="AtZHealth" localSheetId="0">'GVST|0001-00'!$H$45</definedName>
    <definedName name="AtZHealth">'B6'!$H$45</definedName>
    <definedName name="AtZSalary" localSheetId="0">'GVST|0001-00'!$G$45</definedName>
    <definedName name="AtZSalary">'B6'!$G$45</definedName>
    <definedName name="AtZTotal" localSheetId="0">'GVST|0001-00'!$J$45</definedName>
    <definedName name="AtZTotal">'B6'!$J$45</definedName>
    <definedName name="AtZVarBen" localSheetId="0">'GVST|0001-00'!$I$45</definedName>
    <definedName name="AtZVarBen">'B6'!$I$45</definedName>
    <definedName name="BudgetUnit" localSheetId="0">'GVST|0001-00'!$M$3</definedName>
    <definedName name="BudgetUnit">'B6'!$M$3</definedName>
    <definedName name="BudgetYear">Benefits!$D$4</definedName>
    <definedName name="CECGroup">Benefits!$C$39</definedName>
    <definedName name="CECOrigElectSalary" localSheetId="0">'GVST|0001-00'!$G$74</definedName>
    <definedName name="CECOrigElectSalary">'B6'!$G$74</definedName>
    <definedName name="CECOrigElectVB" localSheetId="0">'GVST|0001-00'!$I$74</definedName>
    <definedName name="CECOrigElectVB">'B6'!$I$74</definedName>
    <definedName name="CECOrigGroupSalary" localSheetId="0">'GVST|0001-00'!$G$73</definedName>
    <definedName name="CECOrigGroupSalary">'B6'!$G$73</definedName>
    <definedName name="CECOrigGroupVB" localSheetId="0">'GVST|0001-00'!$I$73</definedName>
    <definedName name="CECOrigGroupVB">'B6'!$I$73</definedName>
    <definedName name="CECOrigPermSalary" localSheetId="0">'GVST|0001-00'!$G$72</definedName>
    <definedName name="CECOrigPermSalary">'B6'!$G$72</definedName>
    <definedName name="CECOrigPermVB" localSheetId="0">'GVST|0001-00'!$I$72</definedName>
    <definedName name="CECOrigPermVB">'B6'!$I$72</definedName>
    <definedName name="CECPerm">Benefits!$C$38</definedName>
    <definedName name="CECpermCalc" localSheetId="0">'GVST|0001-00'!$E$72</definedName>
    <definedName name="CECpermCalc">'B6'!$E$72</definedName>
    <definedName name="Department" localSheetId="0">'GVST|0001-00'!$D$1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'GVST|0001-00'!$D$2</definedName>
    <definedName name="Division">'B6'!$D$2</definedName>
    <definedName name="DUCECElect" localSheetId="0">'GVST|0001-00'!$J$74</definedName>
    <definedName name="DUCECElect">'B6'!$J$74</definedName>
    <definedName name="DUCECGroup" localSheetId="0">'GVST|0001-00'!$J$73</definedName>
    <definedName name="DUCECGroup">'B6'!$J$73</definedName>
    <definedName name="DUCECPerm" localSheetId="0">'GVST|0001-00'!$J$72</definedName>
    <definedName name="DUCECPerm">'B6'!$J$72</definedName>
    <definedName name="DUEleven" localSheetId="0">'GVST|0001-00'!$J$75</definedName>
    <definedName name="DUEleven">'B6'!$J$75</definedName>
    <definedName name="DUHealthBen" localSheetId="0">'GVST|0001-00'!$J$68</definedName>
    <definedName name="DUHealthBen">'B6'!$J$68</definedName>
    <definedName name="DUNine" localSheetId="0">'GVST|0001-00'!$J$67</definedName>
    <definedName name="DUNine">'B6'!$J$67</definedName>
    <definedName name="DUThirteen" localSheetId="0">'GVST|0001-00'!$J$80</definedName>
    <definedName name="DUThirteen">'B6'!$J$80</definedName>
    <definedName name="DUVariableBen" localSheetId="0">'GVST|0001-00'!$J$69</definedName>
    <definedName name="DUVariableBen">'B6'!$J$69</definedName>
    <definedName name="Elect_chg_health" localSheetId="0">'GVST|0001-00'!$L$12</definedName>
    <definedName name="Elect_chg_health">'B6'!$L$12</definedName>
    <definedName name="Elect_chg_Var" localSheetId="0">'GVST|0001-00'!$M$12</definedName>
    <definedName name="Elect_chg_Var">'B6'!$M$12</definedName>
    <definedName name="elect_FTP" localSheetId="0">'GVST|0001-00'!$F$12</definedName>
    <definedName name="elect_FTP">'B6'!$F$12</definedName>
    <definedName name="Elect_health" localSheetId="0">'GVST|0001-00'!$H$12</definedName>
    <definedName name="Elect_health">'B6'!$H$12</definedName>
    <definedName name="Elect_name" localSheetId="0">'GVST|0001-00'!$C$12</definedName>
    <definedName name="Elect_name">'B6'!$C$12</definedName>
    <definedName name="Elect_salary" localSheetId="0">'GVST|0001-00'!$G$12</definedName>
    <definedName name="Elect_salary">'B6'!$G$12</definedName>
    <definedName name="Elect_Var" localSheetId="0">'GVST|0001-00'!$I$12</definedName>
    <definedName name="Elect_Var">'B6'!$I$12</definedName>
    <definedName name="Elect_VarBen" localSheetId="0">'GVST|0001-00'!$I$12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'GVST|0001-00'!#REF!</definedName>
    <definedName name="FillRateAvg_B6">'B6'!#REF!</definedName>
    <definedName name="FiscalYear" localSheetId="0">'GVST|0001-00'!$M$4</definedName>
    <definedName name="FiscalYear">'B6'!$M$4</definedName>
    <definedName name="FundName" localSheetId="0">'GVST|0001-00'!$I$5</definedName>
    <definedName name="FundName">'B6'!$I$5</definedName>
    <definedName name="FundNum" localSheetId="0">'GVST|0001-00'!$N$5</definedName>
    <definedName name="FundNum">'B6'!$N$5</definedName>
    <definedName name="FundNumber" localSheetId="0">'GVST|0001-00'!$N$5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'GVST|0001-00'!$C$11</definedName>
    <definedName name="Group_name">'B6'!$C$11</definedName>
    <definedName name="GroupFxdBen" localSheetId="0">'GVST|0001-00'!$H$11</definedName>
    <definedName name="GroupFxdBen">'B6'!$H$11</definedName>
    <definedName name="GroupSalary" localSheetId="0">'GVST|0001-00'!$G$11</definedName>
    <definedName name="GroupSalary">'B6'!$G$11</definedName>
    <definedName name="GroupVarBen" localSheetId="0">'GVST|0001-00'!$I$11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ST000100col_1_27TH_PP">Data!$BA$13</definedName>
    <definedName name="GVST000100col_DHR">Data!$BI$13</definedName>
    <definedName name="GVST000100col_DHR_BY">Data!$BU$13</definedName>
    <definedName name="GVST000100col_DHR_CHG">Data!$CG$13</definedName>
    <definedName name="GVST000100col_FTI_SALARY_ELECT">Data!$AZ$13</definedName>
    <definedName name="GVST000100col_FTI_SALARY_PERM">Data!$AY$13</definedName>
    <definedName name="GVST000100col_FTI_SALARY_SSDI">Data!$AX$13</definedName>
    <definedName name="GVST000100col_Group_Ben">Data!$CM$13</definedName>
    <definedName name="GVST000100col_Group_Salary">Data!$CL$13</definedName>
    <definedName name="GVST000100col_HEALTH_ELECT">Data!$BC$13</definedName>
    <definedName name="GVST000100col_HEALTH_ELECT_BY">Data!$BO$13</definedName>
    <definedName name="GVST000100col_HEALTH_ELECT_CHG">Data!$CA$13</definedName>
    <definedName name="GVST000100col_HEALTH_PERM">Data!$BB$13</definedName>
    <definedName name="GVST000100col_HEALTH_PERM_BY">Data!$BN$13</definedName>
    <definedName name="GVST000100col_HEALTH_PERM_CHG">Data!$BZ$13</definedName>
    <definedName name="GVST000100col_INC_FTI">Data!$AS$13</definedName>
    <definedName name="GVST000100col_LIFE_INS">Data!$BG$13</definedName>
    <definedName name="GVST000100col_LIFE_INS_BY">Data!$BS$13</definedName>
    <definedName name="GVST000100col_LIFE_INS_CHG">Data!$CE$13</definedName>
    <definedName name="GVST000100col_RETIREMENT">Data!$BF$13</definedName>
    <definedName name="GVST000100col_RETIREMENT_BY">Data!$BR$13</definedName>
    <definedName name="GVST000100col_RETIREMENT_CHG">Data!$CD$13</definedName>
    <definedName name="GVST000100col_ROWS_PER_PCN">Data!$AW$13</definedName>
    <definedName name="GVST000100col_SICK">Data!$BK$13</definedName>
    <definedName name="GVST000100col_SICK_BY">Data!$BW$13</definedName>
    <definedName name="GVST000100col_SICK_CHG">Data!$CI$13</definedName>
    <definedName name="GVST000100col_SSDI">Data!$BD$13</definedName>
    <definedName name="GVST000100col_SSDI_BY">Data!$BP$13</definedName>
    <definedName name="GVST000100col_SSDI_CHG">Data!$CB$13</definedName>
    <definedName name="GVST000100col_SSHI">Data!$BE$13</definedName>
    <definedName name="GVST000100col_SSHI_BY">Data!$BQ$13</definedName>
    <definedName name="GVST000100col_SSHI_CHGv">Data!$CC$13</definedName>
    <definedName name="GVST000100col_TOT_VB_ELECT">Data!$BM$13</definedName>
    <definedName name="GVST000100col_TOT_VB_ELECT_BY">Data!$BY$13</definedName>
    <definedName name="GVST000100col_TOT_VB_ELECT_CHG">Data!$CK$13</definedName>
    <definedName name="GVST000100col_TOT_VB_PERM">Data!$BL$13</definedName>
    <definedName name="GVST000100col_TOT_VB_PERM_BY">Data!$BX$13</definedName>
    <definedName name="GVST000100col_TOT_VB_PERM_CHG">Data!$CJ$13</definedName>
    <definedName name="GVST000100col_TOTAL_ELECT_PCN_FTI">Data!$AT$13</definedName>
    <definedName name="GVST000100col_TOTAL_ELECT_PCN_FTI_ALT">Data!$AV$13</definedName>
    <definedName name="GVST000100col_TOTAL_PERM_PCN_FTI">Data!$AU$13</definedName>
    <definedName name="GVST000100col_UNEMP_INS">Data!$BH$13</definedName>
    <definedName name="GVST000100col_UNEMP_INS_BY">Data!$BT$13</definedName>
    <definedName name="GVST000100col_UNEMP_INS_CHG">Data!$CF$13</definedName>
    <definedName name="GVST000100col_WORKERS_COMP">Data!$BJ$13</definedName>
    <definedName name="GVST000100col_WORKERS_COMP_BY">Data!$BV$13</definedName>
    <definedName name="GVST000100col_WORKERS_COMP_CHG">Data!$CH$13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'GVST|0001-00'!$M$2</definedName>
    <definedName name="LUMAFund">'B6'!$M$2</definedName>
    <definedName name="MAXSSDI">Benefits!$F$5</definedName>
    <definedName name="MAXSSDIBY">Benefits!$G$5</definedName>
    <definedName name="NEW_AdjGroup" localSheetId="0">'GVST|0001-00'!$AC$39</definedName>
    <definedName name="NEW_AdjGroup">'B6'!$AC$39</definedName>
    <definedName name="NEW_AdjGroupSalary" localSheetId="0">'GVST|0001-00'!$AA$39</definedName>
    <definedName name="NEW_AdjGroupSalary">'B6'!$AA$39</definedName>
    <definedName name="NEW_AdjGroupVB" localSheetId="0">'GVST|0001-00'!$AB$39</definedName>
    <definedName name="NEW_AdjGroupVB">'B6'!$AB$39</definedName>
    <definedName name="NEW_AdjONLYGroup" localSheetId="0">'GVST|0001-00'!$AC$45</definedName>
    <definedName name="NEW_AdjONLYGroup">'B6'!$AC$45</definedName>
    <definedName name="NEW_AdjONLYGroupSalary" localSheetId="0">'GVST|0001-00'!$AA$45</definedName>
    <definedName name="NEW_AdjONLYGroupSalary">'B6'!$AA$45</definedName>
    <definedName name="NEW_AdjONLYGroupVB" localSheetId="0">'GVST|0001-00'!$AB$45</definedName>
    <definedName name="NEW_AdjONLYGroupVB">'B6'!$AB$45</definedName>
    <definedName name="NEW_AdjONLYPerm" localSheetId="0">'GVST|0001-00'!$AC$44</definedName>
    <definedName name="NEW_AdjONLYPerm">'B6'!$AC$44</definedName>
    <definedName name="NEW_AdjONLYPermSalary" localSheetId="0">'GVST|0001-00'!$AA$44</definedName>
    <definedName name="NEW_AdjONLYPermSalary">'B6'!$AA$44</definedName>
    <definedName name="NEW_AdjONLYPermVB" localSheetId="0">'GVST|0001-00'!$AB$44</definedName>
    <definedName name="NEW_AdjONLYPermVB">'B6'!$AB$44</definedName>
    <definedName name="NEW_AdjPerm" localSheetId="0">'GVST|0001-00'!$AC$38</definedName>
    <definedName name="NEW_AdjPerm">'B6'!$AC$38</definedName>
    <definedName name="NEW_AdjPermSalary" localSheetId="0">'GVST|0001-00'!$AA$38</definedName>
    <definedName name="NEW_AdjPermSalary">'B6'!$AA$38</definedName>
    <definedName name="NEW_AdjPermVB" localSheetId="0">'GVST|0001-00'!$AB$38</definedName>
    <definedName name="NEW_AdjPermVB">'B6'!$AB$38</definedName>
    <definedName name="NEW_GroupFilled" localSheetId="0">'GVST|0001-00'!$AC$11</definedName>
    <definedName name="NEW_GroupFilled">'B6'!$AC$11</definedName>
    <definedName name="NEW_GroupSalaryFilled" localSheetId="0">'GVST|0001-00'!$AA$11</definedName>
    <definedName name="NEW_GroupSalaryFilled">'B6'!$AA$11</definedName>
    <definedName name="NEW_GroupVBFilled" localSheetId="0">'GVST|0001-00'!$AB$11</definedName>
    <definedName name="NEW_GroupVBFilled">'B6'!$AB$11</definedName>
    <definedName name="NEW_PermFilled" localSheetId="0">'GVST|0001-00'!$AC$10</definedName>
    <definedName name="NEW_PermFilled">'B6'!$AC$10</definedName>
    <definedName name="NEW_PermSalaryFilled" localSheetId="0">'GVST|0001-00'!$AA$10</definedName>
    <definedName name="NEW_PermSalaryFilled">'B6'!$AA$10</definedName>
    <definedName name="NEW_PermVBFilled" localSheetId="0">'GVST|0001-00'!$AB$10</definedName>
    <definedName name="NEW_PermVBFilled">'B6'!$AB$10</definedName>
    <definedName name="OneTimePC_Total" localSheetId="0">'GVST|0001-00'!$J$63</definedName>
    <definedName name="OneTimePC_Total">'B6'!$J$63</definedName>
    <definedName name="OrigApprop" localSheetId="0">'GVST|0001-00'!$E$15</definedName>
    <definedName name="OrigApprop">'B6'!$E$15</definedName>
    <definedName name="perm_name" localSheetId="0">'GVST|0001-00'!$C$10</definedName>
    <definedName name="perm_name">'B6'!$C$10</definedName>
    <definedName name="PermFTP" localSheetId="0">'GVST|0001-00'!$F$10</definedName>
    <definedName name="PermFTP">'B6'!$F$10</definedName>
    <definedName name="PermFxdBen" localSheetId="0">'GVST|0001-00'!$H$10</definedName>
    <definedName name="PermFxdBen">'B6'!$H$10</definedName>
    <definedName name="PermFxdBenChg" localSheetId="0">'GVST|0001-00'!$L$10</definedName>
    <definedName name="PermFxdBenChg">'B6'!$L$10</definedName>
    <definedName name="PermFxdChg" localSheetId="0">'GVST|0001-00'!$L$10</definedName>
    <definedName name="PermFxdChg">'B6'!$L$10</definedName>
    <definedName name="PermSalary" localSheetId="0">'GVST|0001-00'!$G$10</definedName>
    <definedName name="PermSalary">'B6'!$G$10</definedName>
    <definedName name="PermVarBen" localSheetId="0">'GVST|0001-00'!$I$10</definedName>
    <definedName name="PermVarBen">'B6'!$I$10</definedName>
    <definedName name="PermVarBenChg" localSheetId="0">'GVST|0001-00'!$M$10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3">'B6'!$A$1:$N$81</definedName>
    <definedName name="_xlnm.Print_Area" localSheetId="2">Benefits!$A$1:$G$36</definedName>
    <definedName name="_xlnm.Print_Area" localSheetId="0">'GVST|0001-00'!$A$1:$N$81</definedName>
    <definedName name="Prog_Unadjusted_Total" localSheetId="0">'GVST|0001-00'!$C$8:$N$16</definedName>
    <definedName name="Prog_Unadjusted_Total">'B6'!$C$8:$N$16</definedName>
    <definedName name="Program" localSheetId="0">'GVST|0001-00'!$D$3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'GVST|0001-00'!$G$52</definedName>
    <definedName name="RoundedAppropSalary">'B6'!$G$52</definedName>
    <definedName name="SalaryChg" localSheetId="0">'GVST|0001-00'!$K$10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'GVST|0001-00'!#REF!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K17" i="11"/>
  <c r="L17" i="11"/>
  <c r="AZ30" i="5"/>
  <c r="AY30" i="5"/>
  <c r="AW30" i="5"/>
  <c r="AV30" i="5"/>
  <c r="AU30" i="5"/>
  <c r="AT30" i="5"/>
  <c r="AS30" i="5"/>
  <c r="AZ24" i="5"/>
  <c r="AY24" i="5"/>
  <c r="AW24" i="5"/>
  <c r="AV24" i="5"/>
  <c r="AU24" i="5"/>
  <c r="AT24" i="5"/>
  <c r="AS24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J74" i="12"/>
  <c r="I74" i="12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N35" i="12" s="1"/>
  <c r="L35" i="12"/>
  <c r="J35" i="12"/>
  <c r="I35" i="12"/>
  <c r="H35" i="12"/>
  <c r="M34" i="12"/>
  <c r="L34" i="12"/>
  <c r="N34" i="12" s="1"/>
  <c r="J34" i="12"/>
  <c r="I34" i="12"/>
  <c r="H34" i="12"/>
  <c r="M33" i="12"/>
  <c r="N33" i="12" s="1"/>
  <c r="L33" i="12"/>
  <c r="J33" i="12"/>
  <c r="I33" i="12"/>
  <c r="H33" i="12"/>
  <c r="M32" i="12"/>
  <c r="L32" i="12"/>
  <c r="J32" i="12"/>
  <c r="I32" i="12"/>
  <c r="H32" i="12"/>
  <c r="M30" i="12"/>
  <c r="N30" i="12" s="1"/>
  <c r="L30" i="12"/>
  <c r="J30" i="12"/>
  <c r="I30" i="12"/>
  <c r="H30" i="12"/>
  <c r="M29" i="12"/>
  <c r="L29" i="12"/>
  <c r="N29" i="12" s="1"/>
  <c r="J29" i="12"/>
  <c r="I29" i="12"/>
  <c r="H29" i="12"/>
  <c r="M28" i="12"/>
  <c r="N28" i="12" s="1"/>
  <c r="L28" i="12"/>
  <c r="J28" i="12"/>
  <c r="I28" i="12"/>
  <c r="H28" i="12"/>
  <c r="M27" i="12"/>
  <c r="L27" i="12"/>
  <c r="J27" i="12"/>
  <c r="I27" i="12"/>
  <c r="H27" i="12"/>
  <c r="M26" i="12"/>
  <c r="N26" i="12" s="1"/>
  <c r="L26" i="12"/>
  <c r="J26" i="12"/>
  <c r="I26" i="12"/>
  <c r="H26" i="12"/>
  <c r="M25" i="12"/>
  <c r="L25" i="12"/>
  <c r="N25" i="12" s="1"/>
  <c r="J25" i="12"/>
  <c r="I25" i="12"/>
  <c r="H25" i="12"/>
  <c r="M24" i="12"/>
  <c r="N24" i="12" s="1"/>
  <c r="L24" i="12"/>
  <c r="J24" i="12"/>
  <c r="I24" i="12"/>
  <c r="H24" i="12"/>
  <c r="M23" i="12"/>
  <c r="L23" i="12"/>
  <c r="N23" i="12" s="1"/>
  <c r="J23" i="12"/>
  <c r="I23" i="12"/>
  <c r="H23" i="12"/>
  <c r="M22" i="12"/>
  <c r="N22" i="12" s="1"/>
  <c r="L22" i="12"/>
  <c r="J22" i="12"/>
  <c r="I22" i="12"/>
  <c r="H22" i="12"/>
  <c r="M21" i="12"/>
  <c r="L21" i="12"/>
  <c r="N21" i="12" s="1"/>
  <c r="J21" i="12"/>
  <c r="I21" i="12"/>
  <c r="H21" i="12"/>
  <c r="M20" i="12"/>
  <c r="N20" i="12" s="1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2" i="5"/>
  <c r="CM3" i="5"/>
  <c r="CM4" i="5"/>
  <c r="CM5" i="5"/>
  <c r="CM6" i="5"/>
  <c r="CM7" i="5"/>
  <c r="CM8" i="5"/>
  <c r="CM9" i="5"/>
  <c r="CM2" i="5"/>
  <c r="CL3" i="5"/>
  <c r="CL4" i="5"/>
  <c r="CL5" i="5"/>
  <c r="CL6" i="5"/>
  <c r="CL7" i="5"/>
  <c r="CL8" i="5"/>
  <c r="CL9" i="5"/>
  <c r="CL2" i="5"/>
  <c r="AW9" i="5"/>
  <c r="AW8" i="5"/>
  <c r="AW7" i="5"/>
  <c r="AW6" i="5"/>
  <c r="AW5" i="5"/>
  <c r="AW4" i="5"/>
  <c r="AW3" i="5"/>
  <c r="AW2" i="5"/>
  <c r="AS3" i="5"/>
  <c r="AT3" i="5" s="1"/>
  <c r="AS4" i="5"/>
  <c r="AT4" i="5" s="1"/>
  <c r="AS5" i="5"/>
  <c r="AT5" i="5" s="1"/>
  <c r="AS6" i="5"/>
  <c r="AX6" i="5" s="1"/>
  <c r="AS7" i="5"/>
  <c r="AT7" i="5" s="1"/>
  <c r="AS8" i="5"/>
  <c r="AT8" i="5" s="1"/>
  <c r="AS9" i="5"/>
  <c r="AT9" i="5" s="1"/>
  <c r="AS2" i="5"/>
  <c r="AX2" i="5" s="1"/>
  <c r="E27" i="7"/>
  <c r="N32" i="12" l="1"/>
  <c r="N27" i="12"/>
  <c r="AU21" i="5"/>
  <c r="AU22" i="5" s="1"/>
  <c r="AT21" i="5"/>
  <c r="AT22" i="5" s="1"/>
  <c r="AX7" i="5"/>
  <c r="AW12" i="5"/>
  <c r="AW13" i="5" s="1"/>
  <c r="AX3" i="5"/>
  <c r="CL12" i="5"/>
  <c r="CL13" i="5" s="1"/>
  <c r="G11" i="12" s="1"/>
  <c r="CM12" i="5"/>
  <c r="CM13" i="5" s="1"/>
  <c r="G5" i="10" s="1"/>
  <c r="AX8" i="5"/>
  <c r="BD8" i="5" s="1"/>
  <c r="CI8" i="5"/>
  <c r="BW8" i="5"/>
  <c r="BV8" i="5"/>
  <c r="BU8" i="5"/>
  <c r="BT8" i="5"/>
  <c r="BS8" i="5"/>
  <c r="BR8" i="5"/>
  <c r="BQ8" i="5"/>
  <c r="BM8" i="5"/>
  <c r="AV8" i="5"/>
  <c r="BC8" i="5" s="1"/>
  <c r="BZ8" i="5"/>
  <c r="CJ8" i="5"/>
  <c r="BX8" i="5"/>
  <c r="CK8" i="5"/>
  <c r="BY8" i="5"/>
  <c r="CG8" i="5"/>
  <c r="CF8" i="5"/>
  <c r="CE8" i="5"/>
  <c r="CD8" i="5"/>
  <c r="CC8" i="5"/>
  <c r="BK8" i="5"/>
  <c r="BJ8" i="5"/>
  <c r="BI8" i="5"/>
  <c r="BH8" i="5"/>
  <c r="BG8" i="5"/>
  <c r="BF8" i="5"/>
  <c r="BE8" i="5"/>
  <c r="BA8" i="5"/>
  <c r="AZ8" i="5"/>
  <c r="AY8" i="5"/>
  <c r="CH8" i="5"/>
  <c r="CA8" i="5"/>
  <c r="BL8" i="5"/>
  <c r="AU8" i="5"/>
  <c r="BB8" i="5" s="1"/>
  <c r="BW7" i="5"/>
  <c r="BT7" i="5"/>
  <c r="BR7" i="5"/>
  <c r="AV7" i="5"/>
  <c r="BC7" i="5" s="1"/>
  <c r="CG7" i="5"/>
  <c r="CF7" i="5"/>
  <c r="CE7" i="5"/>
  <c r="CD7" i="5"/>
  <c r="CC7" i="5"/>
  <c r="BK7" i="5"/>
  <c r="BJ7" i="5"/>
  <c r="BI7" i="5"/>
  <c r="BH7" i="5"/>
  <c r="BG7" i="5"/>
  <c r="BF7" i="5"/>
  <c r="BE7" i="5"/>
  <c r="BD7" i="5"/>
  <c r="BA7" i="5"/>
  <c r="BP7" i="5" s="1"/>
  <c r="AZ7" i="5"/>
  <c r="AY7" i="5"/>
  <c r="BM7" i="5"/>
  <c r="CA7" i="5"/>
  <c r="BV7" i="5"/>
  <c r="CI7" i="5"/>
  <c r="BU7" i="5"/>
  <c r="BS7" i="5"/>
  <c r="CK7" i="5"/>
  <c r="BY7" i="5"/>
  <c r="BQ7" i="5"/>
  <c r="AU7" i="5"/>
  <c r="BN7" i="5" s="1"/>
  <c r="CA5" i="5"/>
  <c r="CG5" i="5"/>
  <c r="CE5" i="5"/>
  <c r="CC5" i="5"/>
  <c r="BK5" i="5"/>
  <c r="BH5" i="5"/>
  <c r="BE5" i="5"/>
  <c r="AZ5" i="5"/>
  <c r="AV5" i="5"/>
  <c r="BC5" i="5" s="1"/>
  <c r="AU5" i="5"/>
  <c r="BN5" i="5" s="1"/>
  <c r="BG5" i="5"/>
  <c r="AY5" i="5"/>
  <c r="CK5" i="5"/>
  <c r="BY5" i="5"/>
  <c r="CF5" i="5"/>
  <c r="CD5" i="5"/>
  <c r="BJ5" i="5"/>
  <c r="BI5" i="5"/>
  <c r="BF5" i="5"/>
  <c r="BA5" i="5"/>
  <c r="CI5" i="5"/>
  <c r="BW5" i="5"/>
  <c r="BV5" i="5"/>
  <c r="BU5" i="5"/>
  <c r="BT5" i="5"/>
  <c r="BS5" i="5"/>
  <c r="BR5" i="5"/>
  <c r="BQ5" i="5"/>
  <c r="BM5" i="5"/>
  <c r="BG4" i="5"/>
  <c r="AZ4" i="5"/>
  <c r="AV4" i="5"/>
  <c r="BC4" i="5" s="1"/>
  <c r="AU4" i="5"/>
  <c r="BB4" i="5" s="1"/>
  <c r="CF4" i="5"/>
  <c r="CD4" i="5"/>
  <c r="BI4" i="5"/>
  <c r="BF4" i="5"/>
  <c r="CK4" i="5"/>
  <c r="BY4" i="5"/>
  <c r="BJ4" i="5"/>
  <c r="BE4" i="5"/>
  <c r="AY4" i="5"/>
  <c r="CA4" i="5"/>
  <c r="CI4" i="5"/>
  <c r="BW4" i="5"/>
  <c r="BV4" i="5"/>
  <c r="BU4" i="5"/>
  <c r="BT4" i="5"/>
  <c r="BS4" i="5"/>
  <c r="BR4" i="5"/>
  <c r="BQ4" i="5"/>
  <c r="BM4" i="5"/>
  <c r="CG4" i="5"/>
  <c r="CE4" i="5"/>
  <c r="CC4" i="5"/>
  <c r="BK4" i="5"/>
  <c r="BH4" i="5"/>
  <c r="BA4" i="5"/>
  <c r="BZ9" i="5"/>
  <c r="CK9" i="5"/>
  <c r="CI9" i="5"/>
  <c r="BW9" i="5"/>
  <c r="BV9" i="5"/>
  <c r="BU9" i="5"/>
  <c r="BT9" i="5"/>
  <c r="BS9" i="5"/>
  <c r="BR9" i="5"/>
  <c r="BQ9" i="5"/>
  <c r="BM9" i="5"/>
  <c r="CE9" i="5"/>
  <c r="BK9" i="5"/>
  <c r="BJ9" i="5"/>
  <c r="BH9" i="5"/>
  <c r="BF9" i="5"/>
  <c r="BA9" i="5"/>
  <c r="AY9" i="5"/>
  <c r="CJ9" i="5"/>
  <c r="BX9" i="5"/>
  <c r="BG9" i="5"/>
  <c r="AZ9" i="5"/>
  <c r="CG9" i="5"/>
  <c r="CF9" i="5"/>
  <c r="CD9" i="5"/>
  <c r="CC9" i="5"/>
  <c r="BI9" i="5"/>
  <c r="BE9" i="5"/>
  <c r="BY9" i="5"/>
  <c r="CH9" i="5"/>
  <c r="CA9" i="5"/>
  <c r="BL9" i="5"/>
  <c r="AV9" i="5"/>
  <c r="BO9" i="5" s="1"/>
  <c r="AU9" i="5"/>
  <c r="BB9" i="5" s="1"/>
  <c r="CK3" i="5"/>
  <c r="BY3" i="5"/>
  <c r="BW3" i="5"/>
  <c r="BU3" i="5"/>
  <c r="BR3" i="5"/>
  <c r="BM3" i="5"/>
  <c r="AV3" i="5"/>
  <c r="BO3" i="5" s="1"/>
  <c r="AU3" i="5"/>
  <c r="BB3" i="5" s="1"/>
  <c r="CA3" i="5"/>
  <c r="BS3" i="5"/>
  <c r="CI3" i="5"/>
  <c r="BV3" i="5"/>
  <c r="BT3" i="5"/>
  <c r="BQ3" i="5"/>
  <c r="CG3" i="5"/>
  <c r="CF3" i="5"/>
  <c r="CE3" i="5"/>
  <c r="CD3" i="5"/>
  <c r="CC3" i="5"/>
  <c r="BK3" i="5"/>
  <c r="BJ3" i="5"/>
  <c r="BI3" i="5"/>
  <c r="BH3" i="5"/>
  <c r="BG3" i="5"/>
  <c r="BF3" i="5"/>
  <c r="BE3" i="5"/>
  <c r="BD3" i="5"/>
  <c r="BA3" i="5"/>
  <c r="BP3" i="5" s="1"/>
  <c r="AZ3" i="5"/>
  <c r="AY3" i="5"/>
  <c r="AX9" i="5"/>
  <c r="BD9" i="5" s="1"/>
  <c r="AT2" i="5"/>
  <c r="AS21" i="5" s="1"/>
  <c r="AS22" i="5" s="1"/>
  <c r="AX4" i="5"/>
  <c r="BD4" i="5" s="1"/>
  <c r="AX5" i="5"/>
  <c r="BD5" i="5" s="1"/>
  <c r="AT6" i="5"/>
  <c r="N39" i="12"/>
  <c r="F67" i="12"/>
  <c r="E51" i="9"/>
  <c r="E5" i="10" l="1"/>
  <c r="I11" i="12"/>
  <c r="I39" i="12" s="1"/>
  <c r="AB39" i="12" s="1"/>
  <c r="BL5" i="5"/>
  <c r="BL4" i="5"/>
  <c r="BL7" i="5"/>
  <c r="BP8" i="5"/>
  <c r="CB8" i="5" s="1"/>
  <c r="H5" i="10"/>
  <c r="BC3" i="5"/>
  <c r="BN3" i="5"/>
  <c r="BZ3" i="5" s="1"/>
  <c r="BN4" i="5"/>
  <c r="BZ4" i="5" s="1"/>
  <c r="BO5" i="5"/>
  <c r="AX12" i="5"/>
  <c r="AX13" i="5" s="1"/>
  <c r="BO8" i="5"/>
  <c r="BL3" i="5"/>
  <c r="CB7" i="5"/>
  <c r="BX7" i="5"/>
  <c r="CB3" i="5"/>
  <c r="BX3" i="5"/>
  <c r="BP5" i="5"/>
  <c r="BB5" i="5"/>
  <c r="BZ5" i="5" s="1"/>
  <c r="BP4" i="5"/>
  <c r="J11" i="12"/>
  <c r="AB11" i="12"/>
  <c r="G39" i="12"/>
  <c r="AA11" i="12"/>
  <c r="BB7" i="5"/>
  <c r="BZ7" i="5" s="1"/>
  <c r="BO7" i="5"/>
  <c r="CG6" i="5"/>
  <c r="CF6" i="5"/>
  <c r="CE6" i="5"/>
  <c r="CD6" i="5"/>
  <c r="CC6" i="5"/>
  <c r="BK6" i="5"/>
  <c r="BJ6" i="5"/>
  <c r="BI6" i="5"/>
  <c r="BH6" i="5"/>
  <c r="BG6" i="5"/>
  <c r="BF6" i="5"/>
  <c r="BE6" i="5"/>
  <c r="BD6" i="5"/>
  <c r="BA6" i="5"/>
  <c r="BP6" i="5" s="1"/>
  <c r="AZ6" i="5"/>
  <c r="AY6" i="5"/>
  <c r="AV6" i="5"/>
  <c r="BC6" i="5" s="1"/>
  <c r="AU6" i="5"/>
  <c r="BB6" i="5" s="1"/>
  <c r="CA6" i="5"/>
  <c r="CI6" i="5"/>
  <c r="BV6" i="5"/>
  <c r="BT6" i="5"/>
  <c r="BR6" i="5"/>
  <c r="BM6" i="5"/>
  <c r="CK6" i="5"/>
  <c r="BY6" i="5"/>
  <c r="BW6" i="5"/>
  <c r="BU6" i="5"/>
  <c r="BS6" i="5"/>
  <c r="BQ6" i="5"/>
  <c r="BO4" i="5"/>
  <c r="AS12" i="5"/>
  <c r="AS13" i="5" s="1"/>
  <c r="CK2" i="5"/>
  <c r="BY2" i="5"/>
  <c r="BY12" i="5" s="1"/>
  <c r="BY13" i="5" s="1"/>
  <c r="CI2" i="5"/>
  <c r="BW2" i="5"/>
  <c r="BV2" i="5"/>
  <c r="BU2" i="5"/>
  <c r="BT2" i="5"/>
  <c r="BS2" i="5"/>
  <c r="BR2" i="5"/>
  <c r="BQ2" i="5"/>
  <c r="BM2" i="5"/>
  <c r="BM12" i="5" s="1"/>
  <c r="BM13" i="5" s="1"/>
  <c r="CG2" i="5"/>
  <c r="CF2" i="5"/>
  <c r="CF12" i="5" s="1"/>
  <c r="CF13" i="5" s="1"/>
  <c r="CE2" i="5"/>
  <c r="CD2" i="5"/>
  <c r="CC2" i="5"/>
  <c r="BK2" i="5"/>
  <c r="BJ2" i="5"/>
  <c r="BI2" i="5"/>
  <c r="BI12" i="5" s="1"/>
  <c r="BI13" i="5" s="1"/>
  <c r="BH2" i="5"/>
  <c r="BG2" i="5"/>
  <c r="BG12" i="5" s="1"/>
  <c r="BG13" i="5" s="1"/>
  <c r="BF2" i="5"/>
  <c r="BE2" i="5"/>
  <c r="BD2" i="5"/>
  <c r="BA2" i="5"/>
  <c r="AZ2" i="5"/>
  <c r="AY2" i="5"/>
  <c r="AV2" i="5"/>
  <c r="BO2" i="5" s="1"/>
  <c r="AU2" i="5"/>
  <c r="BB2" i="5" s="1"/>
  <c r="CA2" i="5"/>
  <c r="AT12" i="5"/>
  <c r="AT13" i="5" s="1"/>
  <c r="BN9" i="5"/>
  <c r="BN8" i="5"/>
  <c r="BP9" i="5"/>
  <c r="CB9" i="5" s="1"/>
  <c r="BC9" i="5"/>
  <c r="F75" i="12"/>
  <c r="F80" i="12" s="1"/>
  <c r="C12" i="7"/>
  <c r="G63" i="12" s="1"/>
  <c r="I63" i="12" s="1"/>
  <c r="C13" i="7"/>
  <c r="C14" i="7"/>
  <c r="AB45" i="12" l="1"/>
  <c r="AY12" i="5"/>
  <c r="AY13" i="5" s="1"/>
  <c r="AV21" i="5"/>
  <c r="AV22" i="5" s="1"/>
  <c r="AY21" i="5"/>
  <c r="AY22" i="5" s="1"/>
  <c r="CA12" i="5"/>
  <c r="CA13" i="5" s="1"/>
  <c r="CI12" i="5"/>
  <c r="CI13" i="5" s="1"/>
  <c r="BW12" i="5"/>
  <c r="BW13" i="5" s="1"/>
  <c r="BR12" i="5"/>
  <c r="BR13" i="5" s="1"/>
  <c r="CB6" i="5"/>
  <c r="BJ12" i="5"/>
  <c r="BJ13" i="5" s="1"/>
  <c r="BQ12" i="5"/>
  <c r="BQ13" i="5" s="1"/>
  <c r="AZ12" i="5"/>
  <c r="AZ13" i="5" s="1"/>
  <c r="G12" i="12" s="1"/>
  <c r="BV12" i="5"/>
  <c r="BV13" i="5" s="1"/>
  <c r="BA12" i="5"/>
  <c r="BA13" i="5" s="1"/>
  <c r="K10" i="12" s="1"/>
  <c r="BK12" i="5"/>
  <c r="BK13" i="5" s="1"/>
  <c r="CC12" i="5"/>
  <c r="CC13" i="5" s="1"/>
  <c r="BS12" i="5"/>
  <c r="BS13" i="5" s="1"/>
  <c r="BT12" i="5"/>
  <c r="BT13" i="5" s="1"/>
  <c r="BU12" i="5"/>
  <c r="BU13" i="5" s="1"/>
  <c r="BH12" i="5"/>
  <c r="BH13" i="5" s="1"/>
  <c r="CG12" i="5"/>
  <c r="CG13" i="5" s="1"/>
  <c r="BN2" i="5"/>
  <c r="BL6" i="5"/>
  <c r="CK12" i="5"/>
  <c r="CK13" i="5" s="1"/>
  <c r="K6" i="10" s="1"/>
  <c r="BB12" i="5"/>
  <c r="BB13" i="5" s="1"/>
  <c r="G6" i="10"/>
  <c r="I12" i="12"/>
  <c r="I40" i="12" s="1"/>
  <c r="BN6" i="5"/>
  <c r="BZ6" i="5" s="1"/>
  <c r="F12" i="12"/>
  <c r="F40" i="12" s="1"/>
  <c r="D6" i="10"/>
  <c r="BC2" i="5"/>
  <c r="BC12" i="5" s="1"/>
  <c r="BC13" i="5" s="1"/>
  <c r="BO6" i="5"/>
  <c r="BO12" i="5" s="1"/>
  <c r="BO13" i="5" s="1"/>
  <c r="CB4" i="5"/>
  <c r="BX4" i="5"/>
  <c r="L12" i="12"/>
  <c r="J6" i="10"/>
  <c r="BD12" i="5"/>
  <c r="BD13" i="5" s="1"/>
  <c r="BL2" i="5"/>
  <c r="BP2" i="5"/>
  <c r="AU12" i="5"/>
  <c r="AU13" i="5" s="1"/>
  <c r="BE12" i="5"/>
  <c r="BE13" i="5" s="1"/>
  <c r="CD12" i="5"/>
  <c r="CD13" i="5" s="1"/>
  <c r="AV12" i="5"/>
  <c r="AV13" i="5" s="1"/>
  <c r="BF12" i="5"/>
  <c r="BF13" i="5" s="1"/>
  <c r="CE12" i="5"/>
  <c r="CE13" i="5" s="1"/>
  <c r="CB5" i="5"/>
  <c r="BX5" i="5"/>
  <c r="F10" i="12"/>
  <c r="D4" i="10"/>
  <c r="BX6" i="5"/>
  <c r="G10" i="12"/>
  <c r="E4" i="10"/>
  <c r="J39" i="12"/>
  <c r="AA39" i="12"/>
  <c r="D14" i="7"/>
  <c r="AX21" i="5" l="1"/>
  <c r="BZ2" i="5"/>
  <c r="AZ21" i="5"/>
  <c r="AZ22" i="5" s="1"/>
  <c r="AW21" i="5"/>
  <c r="AW22" i="5" s="1"/>
  <c r="E6" i="10"/>
  <c r="I4" i="10"/>
  <c r="BL12" i="5"/>
  <c r="BL13" i="5" s="1"/>
  <c r="I10" i="12" s="1"/>
  <c r="M12" i="12"/>
  <c r="M40" i="12" s="1"/>
  <c r="L6" i="10"/>
  <c r="BZ12" i="5"/>
  <c r="BZ13" i="5" s="1"/>
  <c r="L10" i="12" s="1"/>
  <c r="BN12" i="5"/>
  <c r="BN13" i="5" s="1"/>
  <c r="D7" i="10"/>
  <c r="D10" i="10" s="1"/>
  <c r="F6" i="10"/>
  <c r="H12" i="12"/>
  <c r="H40" i="12" s="1"/>
  <c r="F13" i="12"/>
  <c r="F16" i="12" s="1"/>
  <c r="F38" i="12"/>
  <c r="F41" i="12" s="1"/>
  <c r="G40" i="12"/>
  <c r="BP12" i="5"/>
  <c r="BP13" i="5" s="1"/>
  <c r="CB2" i="5"/>
  <c r="CB12" i="5" s="1"/>
  <c r="CB13" i="5" s="1"/>
  <c r="BX2" i="5"/>
  <c r="L40" i="12"/>
  <c r="AC39" i="12"/>
  <c r="AA45" i="12"/>
  <c r="AC45" i="12" s="1"/>
  <c r="E7" i="10"/>
  <c r="F4" i="10"/>
  <c r="H10" i="12"/>
  <c r="G13" i="12"/>
  <c r="AA10" i="12"/>
  <c r="G38" i="12"/>
  <c r="AB10" i="9"/>
  <c r="AX22" i="5" l="1"/>
  <c r="J8" i="11"/>
  <c r="BX12" i="5"/>
  <c r="BX13" i="5" s="1"/>
  <c r="BA21" i="5"/>
  <c r="N12" i="12"/>
  <c r="G4" i="10"/>
  <c r="G7" i="10" s="1"/>
  <c r="N40" i="12"/>
  <c r="J4" i="10"/>
  <c r="J7" i="10" s="1"/>
  <c r="J12" i="12"/>
  <c r="H38" i="12"/>
  <c r="H41" i="12" s="1"/>
  <c r="H13" i="12"/>
  <c r="F7" i="10"/>
  <c r="J10" i="12"/>
  <c r="AA38" i="12"/>
  <c r="G41" i="12"/>
  <c r="H6" i="10"/>
  <c r="F43" i="12"/>
  <c r="F44" i="12"/>
  <c r="F45" i="12"/>
  <c r="I38" i="12"/>
  <c r="I13" i="12"/>
  <c r="J40" i="12"/>
  <c r="L38" i="12"/>
  <c r="L13" i="12"/>
  <c r="AA11" i="9"/>
  <c r="AC11" i="9"/>
  <c r="AA10" i="9"/>
  <c r="BA22" i="5" l="1"/>
  <c r="M8" i="11"/>
  <c r="H7" i="10"/>
  <c r="E9" i="10" s="1"/>
  <c r="J9" i="11"/>
  <c r="AX24" i="5"/>
  <c r="H4" i="10"/>
  <c r="J13" i="12"/>
  <c r="G15" i="12" s="1"/>
  <c r="I15" i="12" s="1"/>
  <c r="I16" i="12" s="1"/>
  <c r="J38" i="12"/>
  <c r="J41" i="12" s="1"/>
  <c r="H51" i="12" s="1"/>
  <c r="AA44" i="12"/>
  <c r="G9" i="10"/>
  <c r="G10" i="10" s="1"/>
  <c r="E10" i="10"/>
  <c r="L41" i="12"/>
  <c r="F9" i="10"/>
  <c r="F10" i="10" s="1"/>
  <c r="I41" i="12"/>
  <c r="AC10" i="9"/>
  <c r="BA24" i="5" l="1"/>
  <c r="M9" i="11"/>
  <c r="J11" i="11"/>
  <c r="AX30" i="5"/>
  <c r="J17" i="11" s="1"/>
  <c r="G51" i="12"/>
  <c r="G52" i="12" s="1"/>
  <c r="G56" i="12" s="1"/>
  <c r="G60" i="12" s="1"/>
  <c r="H15" i="12"/>
  <c r="H16" i="12" s="1"/>
  <c r="G16" i="12"/>
  <c r="I51" i="12"/>
  <c r="J51" i="12" s="1"/>
  <c r="J52" i="12" s="1"/>
  <c r="J56" i="12" s="1"/>
  <c r="J60" i="12" s="1"/>
  <c r="J67" i="12" s="1"/>
  <c r="H9" i="10"/>
  <c r="H10" i="10" s="1"/>
  <c r="J15" i="12"/>
  <c r="J16" i="12" s="1"/>
  <c r="G43" i="12"/>
  <c r="H52" i="12"/>
  <c r="H56" i="12" s="1"/>
  <c r="H60" i="12" s="1"/>
  <c r="H43" i="12"/>
  <c r="E73" i="9"/>
  <c r="E72" i="9"/>
  <c r="BA30" i="5" l="1"/>
  <c r="M17" i="11" s="1"/>
  <c r="M11" i="11"/>
  <c r="I43" i="12"/>
  <c r="J43" i="12" s="1"/>
  <c r="K43" i="12" s="1"/>
  <c r="I52" i="12"/>
  <c r="I56" i="12" s="1"/>
  <c r="I60" i="12" s="1"/>
  <c r="G67" i="12"/>
  <c r="G44" i="12"/>
  <c r="M72" i="12"/>
  <c r="O72" i="12"/>
  <c r="G72" i="12"/>
  <c r="G73" i="12"/>
  <c r="I73" i="12" s="1"/>
  <c r="J73" i="12" s="1"/>
  <c r="H68" i="12"/>
  <c r="J68" i="12" s="1"/>
  <c r="L16" i="12"/>
  <c r="J10" i="10"/>
  <c r="I67" i="12"/>
  <c r="I44" i="12"/>
  <c r="H67" i="12"/>
  <c r="H44" i="12"/>
  <c r="J79" i="9"/>
  <c r="J78" i="9"/>
  <c r="J77" i="9"/>
  <c r="J44" i="12" l="1"/>
  <c r="K44" i="12" s="1"/>
  <c r="H45" i="12"/>
  <c r="H75" i="12"/>
  <c r="H80" i="12" s="1"/>
  <c r="I45" i="12"/>
  <c r="G45" i="12"/>
  <c r="G75" i="12"/>
  <c r="G80" i="12" s="1"/>
  <c r="H63" i="9"/>
  <c r="J45" i="12" l="1"/>
  <c r="K46" i="12" s="1"/>
  <c r="K45" i="12"/>
  <c r="K8" i="9"/>
  <c r="I35" i="9" l="1"/>
  <c r="G63" i="9"/>
  <c r="I63" i="9" s="1"/>
  <c r="K50" i="9" l="1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2" s="1"/>
  <c r="J72" i="12" s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2" i="5" l="1"/>
  <c r="CH3" i="5"/>
  <c r="CJ3" i="5" s="1"/>
  <c r="CH4" i="5"/>
  <c r="CJ4" i="5" s="1"/>
  <c r="CH5" i="5"/>
  <c r="CJ5" i="5" s="1"/>
  <c r="CH6" i="5"/>
  <c r="CJ6" i="5" s="1"/>
  <c r="CH7" i="5"/>
  <c r="CJ7" i="5" s="1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2" i="5" l="1"/>
  <c r="CJ12" i="5" s="1"/>
  <c r="CJ13" i="5" s="1"/>
  <c r="CH12" i="5"/>
  <c r="CH13" i="5" s="1"/>
  <c r="F80" i="9"/>
  <c r="F45" i="9"/>
  <c r="N22" i="9"/>
  <c r="N21" i="9"/>
  <c r="H51" i="9"/>
  <c r="H43" i="9" s="1"/>
  <c r="I51" i="9"/>
  <c r="I43" i="9" s="1"/>
  <c r="M10" i="12" l="1"/>
  <c r="K4" i="10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7" i="10" l="1"/>
  <c r="L4" i="10"/>
  <c r="L7" i="10" s="1"/>
  <c r="M38" i="12"/>
  <c r="M13" i="12"/>
  <c r="AB10" i="12"/>
  <c r="AC10" i="12" s="1"/>
  <c r="N10" i="12"/>
  <c r="N13" i="12" s="1"/>
  <c r="N41" i="9"/>
  <c r="N38" i="9"/>
  <c r="J43" i="9"/>
  <c r="K43" i="9" s="1"/>
  <c r="I67" i="9"/>
  <c r="I45" i="9" s="1"/>
  <c r="M41" i="12" l="1"/>
  <c r="N38" i="12"/>
  <c r="AB38" i="12"/>
  <c r="J44" i="9"/>
  <c r="K44" i="9" s="1"/>
  <c r="AB44" i="12" l="1"/>
  <c r="AC44" i="12" s="1"/>
  <c r="AC38" i="12"/>
  <c r="N41" i="12"/>
  <c r="I69" i="12"/>
  <c r="J67" i="9"/>
  <c r="J69" i="12" l="1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7776519-C853-408A-9B2D-19E8B78F4F7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C9C486E-D093-4428-A718-2E89D7F46ED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00FC655-A81B-4DB0-A6A7-18995FC6676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8FD825A-C3A8-4E6C-B49A-14BB4527578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C954035-201D-499B-935C-7324A8BDB97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CC61E01E-BA89-4C7A-B187-54C3F7635CE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9B73C971-BAAE-484A-9FEC-FB264E0E7D8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A038D41C-11F0-41FF-8CFD-DA174E4BA06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5BB5094-0DD1-406A-80BA-292841619AB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48BADA25-1183-4E62-9D5B-78D692EAB9C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<sst xmlns="http://schemas.openxmlformats.org/spreadsheetml/2006/main" count="545" uniqueCount="297">
  <si>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</si>
  <si>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</si>
  <si>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</si>
  <si>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</si>
  <si>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</si>
  <si>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</si>
  <si>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</si>
  <si>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</si>
  <si>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</si>
  <si>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</si>
  <si>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</si>
  <si>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</si>
  <si>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</si>
  <si>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</si>
  <si>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</si>
  <si>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</si>
  <si>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</si>
  <si>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</si>
  <si>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</si>
  <si>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</si>
  <si>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</si>
  <si>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</si>
  <si>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</si>
  <si>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</si>
  <si>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</si>
  <si>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</si>
  <si>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</si>
  <si>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</si>
  <si>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</si>
  <si>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</si>
  <si>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</si>
  <si>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</si>
  <si>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</si>
  <si>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</si>
  <si>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</si>
  <si>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</si>
  <si>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</si>
  <si>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</si>
  <si>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</si>
  <si>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</si>
  <si>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</si>
  <si>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</si>
  <si>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</si>
  <si>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</si>
  <si>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</si>
  <si>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</si>
  <si>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</si>
  <si>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</si>
  <si>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</si>
  <si>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</si>
  <si>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</si>
  <si>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</si>
  <si>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</si>
  <si>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</si>
  <si>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</si>
  <si>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</si>
  <si>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</si>
  <si>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</si>
  <si>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</si>
  <si>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</si>
  <si>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</si>
  <si>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</si>
  <si>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</si>
  <si>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</si>
  <si>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</si>
  <si>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</si>
  <si>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</si>
  <si>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</si>
  <si>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</si>
  <si>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</si>
  <si>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</si>
  <si>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</si>
  <si>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</si>
  <si>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</si>
  <si>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</si>
  <si>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</si>
  <si>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</si>
  <si>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</si>
  <si>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</si>
  <si>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</si>
  <si>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</si>
  <si>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</si>
  <si>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</si>
  <si>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</si>
  <si>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</si>
  <si>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</si>
  <si>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</si>
  <si>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</si>
  <si>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</si>
  <si>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</si>
  <si>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</si>
  <si>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</si>
  <si>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</si>
  <si>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</si>
  <si>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</si>
  <si>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</si>
  <si>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</si>
  <si>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</si>
  <si>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</si>
  <si>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</si>
  <si>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</si>
  <si>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</si>
  <si>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</si>
  <si>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</si>
  <si>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</si>
  <si>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</si>
  <si>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</si>
  <si>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</si>
  <si>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</si>
  <si>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</si>
  <si>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</si>
  <si>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</si>
  <si>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</si>
  <si>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</si>
  <si>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</si>
  <si>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</si>
  <si>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</si>
  <si>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</si>
  <si>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</si>
  <si>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</si>
  <si>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</si>
  <si>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</si>
  <si>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</si>
  <si>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</si>
  <si>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</si>
  <si>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</si>
  <si>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</si>
  <si>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</si>
  <si>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</si>
  <si>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</si>
  <si>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</si>
  <si>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</si>
  <si>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</si>
  <si>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</si>
  <si>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</si>
  <si>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</si>
  <si>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</si>
  <si>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</si>
  <si>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</si>
  <si>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</si>
  <si>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</si>
  <si>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</si>
  <si>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</si>
  <si>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</si>
  <si>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</si>
  <si>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</si>
  <si>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</si>
  <si>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</si>
  <si>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</si>
  <si>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</si>
  <si>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</si>
  <si>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</si>
  <si>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</si>
  <si>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</si>
  <si>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</si>
  <si>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</si>
  <si>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</si>
  <si>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</si>
  <si>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</si>
  <si>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</si>
  <si>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</si>
  <si>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</si>
  <si>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</si>
  <si>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179</t>
  </si>
  <si>
    <t>0006</t>
  </si>
  <si>
    <t xml:space="preserve">RESEARCH ANLYST,SR  </t>
  </si>
  <si>
    <t>0001</t>
  </si>
  <si>
    <t>00</t>
  </si>
  <si>
    <t>GVST</t>
  </si>
  <si>
    <t>001</t>
  </si>
  <si>
    <t>05449</t>
  </si>
  <si>
    <t>L</t>
  </si>
  <si>
    <t>F</t>
  </si>
  <si>
    <t>NR</t>
  </si>
  <si>
    <t>GRAVATT, JAMES T.</t>
  </si>
  <si>
    <t>GRAVATT</t>
  </si>
  <si>
    <t>JAMES</t>
  </si>
  <si>
    <t>T</t>
  </si>
  <si>
    <t xml:space="preserve">HL   </t>
  </si>
  <si>
    <t>H</t>
  </si>
  <si>
    <t>FS</t>
  </si>
  <si>
    <t>E</t>
  </si>
  <si>
    <t>N</t>
  </si>
  <si>
    <t>Y</t>
  </si>
  <si>
    <t xml:space="preserve">    </t>
  </si>
  <si>
    <t>0005</t>
  </si>
  <si>
    <t xml:space="preserve">FINANCIAL OFFICER   </t>
  </si>
  <si>
    <t>04241</t>
  </si>
  <si>
    <t>O</t>
  </si>
  <si>
    <t>CHADD, SONDRA R.</t>
  </si>
  <si>
    <t>CHADD</t>
  </si>
  <si>
    <t>SONDRA</t>
  </si>
  <si>
    <t>RHINEHART</t>
  </si>
  <si>
    <t xml:space="preserve">HO   </t>
  </si>
  <si>
    <t>0004</t>
  </si>
  <si>
    <t xml:space="preserve">GRANTS/CONTRACTS OP </t>
  </si>
  <si>
    <t>03688</t>
  </si>
  <si>
    <t>K</t>
  </si>
  <si>
    <t>LEE, STEPHANIE S.</t>
  </si>
  <si>
    <t>LEE</t>
  </si>
  <si>
    <t>STEPHANIE</t>
  </si>
  <si>
    <t>SUZANNE</t>
  </si>
  <si>
    <t xml:space="preserve">HK   </t>
  </si>
  <si>
    <t>0003</t>
  </si>
  <si>
    <t xml:space="preserve">PROGRAM MANAGER     </t>
  </si>
  <si>
    <t>09047</t>
  </si>
  <si>
    <t>BOSCH-WILSON, KATHLEEN L.</t>
  </si>
  <si>
    <t>BOSCH-WILSON</t>
  </si>
  <si>
    <t>KATHLEEN</t>
  </si>
  <si>
    <t xml:space="preserve">HN   </t>
  </si>
  <si>
    <t>0002</t>
  </si>
  <si>
    <t>COMPTON, ERICA A.</t>
  </si>
  <si>
    <t>COMPTON</t>
  </si>
  <si>
    <t>ERICA</t>
  </si>
  <si>
    <t>A</t>
  </si>
  <si>
    <t xml:space="preserve">EXECUTIVE DIRECTOR  </t>
  </si>
  <si>
    <t>41009</t>
  </si>
  <si>
    <t xml:space="preserve">MAGUIRE, KAITLIN CLARE </t>
  </si>
  <si>
    <t>MAGUIRE</t>
  </si>
  <si>
    <t>KAITLIN CLARE</t>
  </si>
  <si>
    <t xml:space="preserve">              </t>
  </si>
  <si>
    <t>20930</t>
  </si>
  <si>
    <t>00000</t>
  </si>
  <si>
    <t>9999</t>
  </si>
  <si>
    <t>V</t>
  </si>
  <si>
    <t>NG</t>
  </si>
  <si>
    <t>9998</t>
  </si>
  <si>
    <t xml:space="preserve">INTERN              </t>
  </si>
  <si>
    <t>95001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</si>
  <si>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</si>
  <si>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</si>
  <si>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</si>
  <si>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</si>
  <si>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</si>
  <si>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</si>
  <si>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</si>
  <si>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</si>
  <si>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</si>
  <si>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</si>
  <si>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</si>
  <si>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</si>
  <si>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</si>
  <si>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</si>
  <si>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</si>
  <si>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</si>
  <si>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</si>
  <si>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</si>
  <si>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</si>
  <si>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</si>
  <si>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</si>
  <si>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</si>
  <si>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</si>
  <si>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</si>
  <si>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</si>
  <si>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</si>
  <si>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</si>
  <si>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</si>
  <si>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</si>
  <si>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</si>
  <si>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</si>
  <si>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</si>
  <si>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</si>
  <si>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</si>
  <si>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</si>
  <si>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</si>
  <si>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</si>
  <si>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</si>
  <si>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</si>
  <si>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</si>
  <si>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</si>
  <si>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</si>
  <si>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</si>
  <si>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</si>
  <si>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</si>
  <si>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</si>
  <si>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</si>
  <si>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</si>
  <si>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GVST 0001-00</t>
  </si>
  <si>
    <t>GVST 0001</t>
  </si>
  <si>
    <t>Office of the Governor</t>
  </si>
  <si>
    <t>STEM Action Center</t>
  </si>
  <si>
    <t>General</t>
  </si>
  <si>
    <t>0001-00</t>
  </si>
  <si>
    <t>10000</t>
  </si>
  <si>
    <t>STEM Action Center, General   GVST-0001-00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</si>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</sst>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C723-A12A-48DD-9FAB-08B74690A188}">
  <sheetPr codeName="Sheet6"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279</v>
      </c>
      <c r="E1" s="15"/>
      <c r="F1" s="15"/>
      <c r="G1" s="15"/>
      <c r="H1" s="15"/>
      <c r="I1" s="15"/>
      <c r="J1" s="15"/>
      <c r="K1" s="15"/>
      <c r="L1" s="16" t="s">
        <v>14</v>
      </c>
      <c r="M1" s="470">
        <v>179</v>
      </c>
      <c r="N1" s="471"/>
      <c r="AA1" s="365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 t="s">
        <v>280</v>
      </c>
      <c r="E2" s="21"/>
      <c r="F2" s="21"/>
      <c r="G2" s="21"/>
      <c r="H2" s="21"/>
      <c r="I2" s="21"/>
      <c r="J2" s="20"/>
      <c r="K2" s="20"/>
      <c r="L2" s="22" t="s">
        <v>111</v>
      </c>
      <c r="M2" s="472" t="s">
        <v>283</v>
      </c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 t="s">
        <v>280</v>
      </c>
      <c r="E3" s="24"/>
      <c r="F3" s="25"/>
      <c r="G3" s="25"/>
      <c r="H3" s="25"/>
      <c r="I3" s="26"/>
      <c r="J3" s="20"/>
      <c r="K3" s="20"/>
      <c r="L3" s="22" t="s">
        <v>112</v>
      </c>
      <c r="M3" s="470" t="s">
        <v>168</v>
      </c>
      <c r="N3" s="471"/>
      <c r="AA3" s="365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65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 t="s">
        <v>281</v>
      </c>
      <c r="J5" s="474"/>
      <c r="K5" s="474"/>
      <c r="L5" s="473"/>
      <c r="M5" s="352" t="s">
        <v>113</v>
      </c>
      <c r="N5" s="32" t="s">
        <v>282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1" t="s">
        <v>21</v>
      </c>
      <c r="C8" s="475" t="s">
        <v>22</v>
      </c>
      <c r="D8" s="476"/>
      <c r="E8" s="371" t="s">
        <v>23</v>
      </c>
      <c r="F8" s="49" t="s">
        <v>24</v>
      </c>
      <c r="G8" s="50" t="str">
        <f>"FY "&amp;'GVST|0001-00'!FiscalYear-1&amp;" SALARY"</f>
        <v>FY 2023 SALARY</v>
      </c>
      <c r="H8" s="50" t="str">
        <f>"FY "&amp;'GVST|0001-00'!FiscalYear-1&amp;" HEALTH BENEFITS"</f>
        <v>FY 2023 HEALTH BENEFITS</v>
      </c>
      <c r="I8" s="50" t="str">
        <f>"FY "&amp;'GVST|0001-00'!FiscalYear-1&amp;" VAR BENEFITS"</f>
        <v>FY 2023 VAR BENEFITS</v>
      </c>
      <c r="J8" s="50" t="str">
        <f>"FY "&amp;'GVST|0001-00'!FiscalYear-1&amp;" TOTAL"</f>
        <v>FY 2023 TOTAL</v>
      </c>
      <c r="K8" s="50" t="str">
        <f>"FY "&amp;'GVST|0001-00'!FiscalYear&amp;" SALARY CHANGE"</f>
        <v>FY 2024 SALARY CHANGE</v>
      </c>
      <c r="L8" s="50" t="str">
        <f>"FY "&amp;'GVST|0001-00'!FiscalYear&amp;" CHG HEALTH BENEFITS"</f>
        <v>FY 2024 CHG HEALTH BENEFITS</v>
      </c>
      <c r="M8" s="50" t="str">
        <f>"FY "&amp;'GVST|0001-00'!FiscalYear&amp;"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f>[0]!GVST000100col_INC_FTI</f>
        <v>6</v>
      </c>
      <c r="G10" s="218">
        <f>[0]!GVST000100col_FTI_SALARY_PERM</f>
        <v>447262.39999999997</v>
      </c>
      <c r="H10" s="218">
        <f>[0]!GVST000100col_HEALTH_PERM</f>
        <v>75000</v>
      </c>
      <c r="I10" s="218">
        <f>[0]!GVST000100col_TOT_VB_PERM</f>
        <v>92453.610703999992</v>
      </c>
      <c r="J10" s="219">
        <f>SUM(G10:I10)</f>
        <v>614716.01070400001</v>
      </c>
      <c r="K10" s="219">
        <f>[0]!GVST000100col_1_27TH_PP</f>
        <v>0</v>
      </c>
      <c r="L10" s="218">
        <f>[0]!GVST000100col_HEALTH_PERM_CHG</f>
        <v>7500</v>
      </c>
      <c r="M10" s="218">
        <f>[0]!GVST000100col_TOT_VB_PERM_CHG</f>
        <v>-3980.6353600000048</v>
      </c>
      <c r="N10" s="218">
        <f>SUM(L10:M10)</f>
        <v>3519.3646399999952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4500</v>
      </c>
      <c r="AB10" s="335">
        <f>ROUND(PermVarBen*CECPerm+(CECPerm*PermVarBenChg),-2)</f>
        <v>900</v>
      </c>
      <c r="AC10" s="335">
        <f>SUM(AA10:AB10)</f>
        <v>5400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f>[0]!GVST000100col_Group_Salary</f>
        <v>0</v>
      </c>
      <c r="H11" s="218">
        <v>0</v>
      </c>
      <c r="I11" s="218">
        <f>[0]!GVST000100col_Group_Ben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f>[0]!GVST000100col_TOTAL_ELECT_PCN_FTI</f>
        <v>0</v>
      </c>
      <c r="G12" s="218">
        <f>[0]!GVST000100col_FTI_SALARY_ELECT</f>
        <v>0</v>
      </c>
      <c r="H12" s="218">
        <f>[0]!GVST000100col_HEALTH_ELECT</f>
        <v>0</v>
      </c>
      <c r="I12" s="218">
        <f>[0]!GVST000100col_TOT_VB_ELECT</f>
        <v>0</v>
      </c>
      <c r="J12" s="219">
        <f>SUM(G12:I12)</f>
        <v>0</v>
      </c>
      <c r="K12" s="268"/>
      <c r="L12" s="218">
        <f>[0]!GVST000100col_HEALTH_ELECT_CHG</f>
        <v>0</v>
      </c>
      <c r="M12" s="218">
        <f>[0]!GVST000100col_TOT_VB_ELECT_CHG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6</v>
      </c>
      <c r="G13" s="221">
        <f>SUM(G10:G12)</f>
        <v>447262.39999999997</v>
      </c>
      <c r="H13" s="221">
        <f>SUM(H10:H12)</f>
        <v>75000</v>
      </c>
      <c r="I13" s="221">
        <f>SUM(I10:I12)</f>
        <v>92453.610703999992</v>
      </c>
      <c r="J13" s="219">
        <f>SUM(G13:I13)</f>
        <v>614716.01070400001</v>
      </c>
      <c r="K13" s="268"/>
      <c r="L13" s="219">
        <f>SUM(L10:L12)</f>
        <v>7500</v>
      </c>
      <c r="M13" s="219">
        <f>SUM(M10:M12)</f>
        <v>-3980.6353600000048</v>
      </c>
      <c r="N13" s="219">
        <f>SUM(N10:N12)</f>
        <v>3519.3646399999952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"&amp;'GVST|0001-00'!FiscalYear-1</f>
        <v>FY 2023</v>
      </c>
      <c r="D15" s="158" t="s">
        <v>31</v>
      </c>
      <c r="E15" s="355">
        <v>635000</v>
      </c>
      <c r="F15" s="55">
        <v>6</v>
      </c>
      <c r="G15" s="223">
        <f>IF(OrigApprop=0,0,(G13/$J$13)*OrigApprop)</f>
        <v>462020.86663520813</v>
      </c>
      <c r="H15" s="223">
        <f>IF(OrigApprop=0,0,(H13/$J$13)*OrigApprop)</f>
        <v>77474.800022627911</v>
      </c>
      <c r="I15" s="223">
        <f>IF(G15=0,0,(I13/$J$13)*OrigApprop)</f>
        <v>95504.333342163867</v>
      </c>
      <c r="J15" s="223">
        <f>SUM(G15:I15)</f>
        <v>634999.99999999988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>
        <f>G15-G13</f>
        <v>14758.466635208169</v>
      </c>
      <c r="H16" s="162">
        <f>H15-H13</f>
        <v>2474.8000226279109</v>
      </c>
      <c r="I16" s="162">
        <f>I15-I13</f>
        <v>3050.7226381638757</v>
      </c>
      <c r="J16" s="162">
        <f>J15-J13</f>
        <v>20283.989295999869</v>
      </c>
      <c r="K16" s="269"/>
      <c r="L16" s="56" t="str">
        <f>IF('GVST|0001-00'!OrigApprop=0,"No Original Appropriation amount in DU 3.00 for this fund","Calculated "&amp;IF('GVST|0001-00'!AdjustedTotal&gt;0,"overfunding ","underfunding ")&amp;"is "&amp;TEXT('GVST|0001-00'!AdjustedTotal/'GVST|0001-00'!AppropTotal,"#.0%;(#.0% );0% ;")&amp;" of Original Appropriation")</f>
        <v>Calculated overfunding is 3.2%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6</v>
      </c>
      <c r="G38" s="191">
        <f>SUMIF($E10:$E35,$E38,$G10:$G35)</f>
        <v>447262.39999999997</v>
      </c>
      <c r="H38" s="192">
        <f>SUMIF($E10:$E35,$E38,$H10:$H35)</f>
        <v>75000</v>
      </c>
      <c r="I38" s="192">
        <f>SUMIF($E10:$E35,$E38,$I10:$I35)</f>
        <v>92453.610703999992</v>
      </c>
      <c r="J38" s="192">
        <f>SUM(G38:I38)</f>
        <v>614716.01070400001</v>
      </c>
      <c r="K38" s="166"/>
      <c r="L38" s="191">
        <f>SUMIF($E10:$E35,$E38,$L10:$L35)</f>
        <v>7500</v>
      </c>
      <c r="M38" s="192">
        <f>SUMIF($E10:$E35,$E38,$M10:$M35)</f>
        <v>-3980.6353600000048</v>
      </c>
      <c r="N38" s="192">
        <f>SUM(L38:M38)</f>
        <v>3519.3646399999952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4500</v>
      </c>
      <c r="AB38" s="338">
        <f>ROUND((AdjPermVB*CECPerm+AdjPermVBBY*CECPerm),-2)</f>
        <v>900</v>
      </c>
      <c r="AC38" s="338">
        <f>SUM(AA38:AB38)</f>
        <v>5400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6</v>
      </c>
      <c r="G41" s="195">
        <f>SUM($G$38:$G$40)</f>
        <v>447262.39999999997</v>
      </c>
      <c r="H41" s="162">
        <f>SUM($H$38:$H$40)</f>
        <v>75000</v>
      </c>
      <c r="I41" s="162">
        <f>SUM($I$38:$I$40)</f>
        <v>92453.610703999992</v>
      </c>
      <c r="J41" s="162">
        <f>SUM($J$38:$J$40)</f>
        <v>614716.01070400001</v>
      </c>
      <c r="K41" s="259"/>
      <c r="L41" s="195">
        <f>SUM($L$38:$L$40)</f>
        <v>7500</v>
      </c>
      <c r="M41" s="162">
        <f>SUM($M$38:$M$40)</f>
        <v>-3980.6353600000048</v>
      </c>
      <c r="N41" s="162">
        <f>SUM(L41:M41)</f>
        <v>3519.3646399999952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>
        <f>G51-G41</f>
        <v>14758.466635208169</v>
      </c>
      <c r="H43" s="159">
        <f>H51-H41</f>
        <v>2474.8000226279109</v>
      </c>
      <c r="I43" s="159">
        <f>I51-I41</f>
        <v>3050.7226381638757</v>
      </c>
      <c r="J43" s="159">
        <f>SUM(G43:I43)</f>
        <v>20283.989295999956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Calculated overfunding is 3.2% of Original Appropriation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>
        <f>G60-G41</f>
        <v>14737.600000000035</v>
      </c>
      <c r="H44" s="159">
        <f>H60-H41</f>
        <v>2500</v>
      </c>
      <c r="I44" s="159">
        <f>I60-I41</f>
        <v>3046.3892960000085</v>
      </c>
      <c r="J44" s="159">
        <f>SUM(G44:I44)</f>
        <v>20283.989296000043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3.2% of Est. Expenditures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14737.600000000035</v>
      </c>
      <c r="H45" s="206">
        <f>H67-H41-H63</f>
        <v>2500</v>
      </c>
      <c r="I45" s="206">
        <f>I67-I41-I63</f>
        <v>3046.3892960000085</v>
      </c>
      <c r="J45" s="159">
        <f>SUM(G45:I45)</f>
        <v>20283.989296000043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3.2% of the Base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635000</v>
      </c>
      <c r="F51" s="272">
        <f>AppropFTP</f>
        <v>6</v>
      </c>
      <c r="G51" s="274">
        <f>IF(E51=0,0,(G41/$J$41)*$E$51)</f>
        <v>462020.86663520813</v>
      </c>
      <c r="H51" s="274">
        <f>IF(E51=0,0,(H41/$J$41)*$E$51)</f>
        <v>77474.800022627911</v>
      </c>
      <c r="I51" s="275">
        <f>IF(E51=0,0,(I41/$J$41)*$E$51)</f>
        <v>95504.333342163867</v>
      </c>
      <c r="J51" s="90">
        <f>SUM(G51:I51)</f>
        <v>634999.99999999988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6</v>
      </c>
      <c r="G52" s="79">
        <f>ROUND(G51,-2)</f>
        <v>462000</v>
      </c>
      <c r="H52" s="79">
        <f>ROUND(H51,-2)</f>
        <v>77500</v>
      </c>
      <c r="I52" s="266">
        <f>ROUND(I51,-2)</f>
        <v>95500</v>
      </c>
      <c r="J52" s="80">
        <f>ROUND(J51,-2)</f>
        <v>635000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6</v>
      </c>
      <c r="G56" s="80">
        <f>SUM(G52:G55)</f>
        <v>462000</v>
      </c>
      <c r="H56" s="80">
        <f>SUM(H52:H55)</f>
        <v>77500</v>
      </c>
      <c r="I56" s="260">
        <f>SUM(I52:I55)</f>
        <v>95500</v>
      </c>
      <c r="J56" s="80">
        <f>SUM(J52:J55)</f>
        <v>635000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6</v>
      </c>
      <c r="G60" s="80">
        <f>SUM(G56:G59)</f>
        <v>462000</v>
      </c>
      <c r="H60" s="80">
        <f>SUM(H56:H59)</f>
        <v>77500</v>
      </c>
      <c r="I60" s="260">
        <f>SUM(I56:I59)</f>
        <v>95500</v>
      </c>
      <c r="J60" s="80">
        <f>SUM(J56:J59)</f>
        <v>635000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6</v>
      </c>
      <c r="G67" s="80">
        <f>SUM(G60:G64)</f>
        <v>462000</v>
      </c>
      <c r="H67" s="80">
        <f>SUM(H60:H64)</f>
        <v>77500</v>
      </c>
      <c r="I67" s="80">
        <f>SUM(I60:I64)</f>
        <v>95500</v>
      </c>
      <c r="J67" s="80">
        <f>SUM(J60:J64)</f>
        <v>635000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7500</v>
      </c>
      <c r="I68" s="113"/>
      <c r="J68" s="287">
        <f>SUM(G68:I68)</f>
        <v>7500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-4000</v>
      </c>
      <c r="J69" s="287">
        <f>SUM(G69:I69)</f>
        <v>-4000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4500</v>
      </c>
      <c r="H72" s="287"/>
      <c r="I72" s="287">
        <f>ROUND(($G72*PermVBBY+$G72*Retire1BY),-2)</f>
        <v>900</v>
      </c>
      <c r="J72" s="113">
        <f>SUM(G72:I72)</f>
        <v>5400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6</v>
      </c>
      <c r="G75" s="80">
        <f>SUM(G67:G74)</f>
        <v>466500</v>
      </c>
      <c r="H75" s="80">
        <f>SUM(H67:H74)</f>
        <v>85000</v>
      </c>
      <c r="I75" s="80">
        <f>SUM(I67:I74)</f>
        <v>92400</v>
      </c>
      <c r="J75" s="80">
        <f>SUM(J67:K74)</f>
        <v>643900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6</v>
      </c>
      <c r="G80" s="80">
        <f>SUM(G75:G79)</f>
        <v>466500</v>
      </c>
      <c r="H80" s="80">
        <f>SUM(H75:H79)</f>
        <v>85000</v>
      </c>
      <c r="I80" s="80">
        <f>SUM(I75:I79)</f>
        <v>92400</v>
      </c>
      <c r="J80" s="80">
        <f>SUM(J75:J79)</f>
        <v>643900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6" priority="8">
      <formula>$J$44&lt;0</formula>
    </cfRule>
  </conditionalFormatting>
  <conditionalFormatting sqref="K43">
    <cfRule type="expression" dxfId="15" priority="7">
      <formula>$J$43&lt;0</formula>
    </cfRule>
  </conditionalFormatting>
  <conditionalFormatting sqref="L16">
    <cfRule type="expression" dxfId="14" priority="6">
      <formula>$J$16&lt;0</formula>
    </cfRule>
  </conditionalFormatting>
  <conditionalFormatting sqref="K45">
    <cfRule type="expression" dxfId="13" priority="5">
      <formula>$J$44&lt;0</formula>
    </cfRule>
  </conditionalFormatting>
  <conditionalFormatting sqref="K43:N45">
    <cfRule type="containsText" dxfId="12" priority="4" operator="containsText" text="underfunding">
      <formula>NOT(ISERROR(SEARCH("underfunding",K43)))</formula>
    </cfRule>
  </conditionalFormatting>
  <conditionalFormatting sqref="K44">
    <cfRule type="expression" dxfId="11" priority="3">
      <formula>$J$44&lt;0</formula>
    </cfRule>
  </conditionalFormatting>
  <conditionalFormatting sqref="K45">
    <cfRule type="expression" dxfId="10" priority="2">
      <formula>$J$44&lt;0</formula>
    </cfRule>
  </conditionalFormatting>
  <conditionalFormatting sqref="K45">
    <cfRule type="expression" dxfId="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65E568-4515-4859-BF12-784FE865D82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30"/>
  <sheetViews>
    <sheetView workbookViewId="0">
      <pane xSplit="3" ySplit="1" topLeftCell="BI2" activePane="bottomRight" state="frozen"/>
      <selection pane="topRight" activeCell="D1" sqref="D1"/>
      <selection pane="bottomLeft" activeCell="A2" sqref="A2"/>
      <selection pane="bottomRight" activeCell="BU7" sqref="BU7"/>
    </sheetView>
  </sheetViews>
  <sheetFormatPr defaultRowHeight="15" x14ac:dyDescent="0.25"/>
  <cols>
    <col min="45" max="53" width="15.7109375" customWidth="1"/>
    <col min="54" max="54" width="10.85546875" bestFit="1" customWidth="1"/>
    <col min="55" max="55" width="9.28515625" bestFit="1" customWidth="1"/>
    <col min="56" max="56" width="10.85546875" bestFit="1" customWidth="1"/>
    <col min="57" max="57" width="9.7109375" bestFit="1" customWidth="1"/>
    <col min="58" max="58" width="10.85546875" bestFit="1" customWidth="1"/>
    <col min="59" max="59" width="9.7109375" bestFit="1" customWidth="1"/>
    <col min="60" max="61" width="9.28515625" bestFit="1" customWidth="1"/>
    <col min="62" max="62" width="9.7109375" bestFit="1" customWidth="1"/>
    <col min="63" max="63" width="9.28515625" bestFit="1" customWidth="1"/>
    <col min="64" max="64" width="10.85546875" bestFit="1" customWidth="1"/>
    <col min="65" max="65" width="9.28515625" bestFit="1" customWidth="1"/>
    <col min="66" max="66" width="10.85546875" bestFit="1" customWidth="1"/>
    <col min="67" max="67" width="9.28515625" bestFit="1" customWidth="1"/>
    <col min="68" max="68" width="10.85546875" bestFit="1" customWidth="1"/>
    <col min="69" max="69" width="9.7109375" bestFit="1" customWidth="1"/>
    <col min="70" max="70" width="10.85546875" bestFit="1" customWidth="1"/>
    <col min="71" max="71" width="9.7109375" bestFit="1" customWidth="1"/>
    <col min="72" max="73" width="9.28515625" bestFit="1" customWidth="1"/>
    <col min="74" max="74" width="9.7109375" bestFit="1" customWidth="1"/>
    <col min="75" max="75" width="9.28515625" bestFit="1" customWidth="1"/>
    <col min="76" max="76" width="10.85546875" bestFit="1" customWidth="1"/>
    <col min="77" max="77" width="9.28515625" bestFit="1" customWidth="1"/>
    <col min="78" max="78" width="9.7109375" bestFit="1" customWidth="1"/>
    <col min="79" max="81" width="9.28515625" bestFit="1" customWidth="1"/>
    <col min="82" max="82" width="10.42578125" bestFit="1" customWidth="1"/>
    <col min="83" max="87" width="9.28515625" bestFit="1" customWidth="1"/>
    <col min="88" max="88" width="10.42578125" bestFit="1" customWidth="1"/>
    <col min="89" max="91" width="9.28515625" bestFit="1" customWidth="1"/>
  </cols>
  <sheetData>
    <row r="1" spans="1:92" ht="12.75" customHeight="1" thickBot="1" x14ac:dyDescent="0.3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229</v>
      </c>
      <c r="AT1" s="386" t="s">
        <v>230</v>
      </c>
      <c r="AU1" s="386" t="s">
        <v>231</v>
      </c>
      <c r="AV1" s="386" t="s">
        <v>232</v>
      </c>
      <c r="AW1" s="386" t="s">
        <v>233</v>
      </c>
      <c r="AX1" s="386" t="s">
        <v>234</v>
      </c>
      <c r="AY1" s="386" t="s">
        <v>235</v>
      </c>
      <c r="AZ1" s="386" t="s">
        <v>236</v>
      </c>
      <c r="BA1" s="388" t="s">
        <v>237</v>
      </c>
      <c r="BB1" s="389" t="s">
        <v>238</v>
      </c>
      <c r="BC1" s="389" t="s">
        <v>239</v>
      </c>
      <c r="BD1" s="389" t="s">
        <v>240</v>
      </c>
      <c r="BE1" s="389" t="s">
        <v>241</v>
      </c>
      <c r="BF1" s="389" t="s">
        <v>242</v>
      </c>
      <c r="BG1" s="389" t="s">
        <v>243</v>
      </c>
      <c r="BH1" s="389" t="s">
        <v>244</v>
      </c>
      <c r="BI1" s="389" t="s">
        <v>245</v>
      </c>
      <c r="BJ1" s="389" t="s">
        <v>246</v>
      </c>
      <c r="BK1" s="389" t="s">
        <v>247</v>
      </c>
      <c r="BL1" s="390" t="s">
        <v>248</v>
      </c>
      <c r="BM1" s="390" t="s">
        <v>249</v>
      </c>
      <c r="BN1" s="389" t="s">
        <v>250</v>
      </c>
      <c r="BO1" s="389" t="s">
        <v>251</v>
      </c>
      <c r="BP1" s="389" t="s">
        <v>252</v>
      </c>
      <c r="BQ1" s="389" t="s">
        <v>253</v>
      </c>
      <c r="BR1" s="389" t="s">
        <v>254</v>
      </c>
      <c r="BS1" s="389" t="s">
        <v>255</v>
      </c>
      <c r="BT1" s="389" t="s">
        <v>256</v>
      </c>
      <c r="BU1" s="389" t="s">
        <v>257</v>
      </c>
      <c r="BV1" s="389" t="s">
        <v>258</v>
      </c>
      <c r="BW1" s="389" t="s">
        <v>259</v>
      </c>
      <c r="BX1" s="390" t="s">
        <v>260</v>
      </c>
      <c r="BY1" s="390" t="s">
        <v>261</v>
      </c>
      <c r="BZ1" s="389" t="s">
        <v>262</v>
      </c>
      <c r="CA1" s="389" t="s">
        <v>263</v>
      </c>
      <c r="CB1" s="389" t="s">
        <v>264</v>
      </c>
      <c r="CC1" s="389" t="s">
        <v>265</v>
      </c>
      <c r="CD1" s="389" t="s">
        <v>266</v>
      </c>
      <c r="CE1" s="389" t="s">
        <v>267</v>
      </c>
      <c r="CF1" s="389" t="s">
        <v>268</v>
      </c>
      <c r="CG1" s="389" t="s">
        <v>269</v>
      </c>
      <c r="CH1" s="389" t="s">
        <v>270</v>
      </c>
      <c r="CI1" s="389" t="s">
        <v>271</v>
      </c>
      <c r="CJ1" s="390" t="s">
        <v>272</v>
      </c>
      <c r="CK1" s="390" t="s">
        <v>273</v>
      </c>
      <c r="CL1" s="391" t="s">
        <v>274</v>
      </c>
      <c r="CM1" s="391" t="s">
        <v>275</v>
      </c>
      <c r="CN1" s="391" t="s">
        <v>276</v>
      </c>
    </row>
    <row r="2" spans="1:92" ht="15.75" thickBot="1" x14ac:dyDescent="0.3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1</v>
      </c>
      <c r="P2" s="385">
        <v>1</v>
      </c>
      <c r="Q2" s="385">
        <v>1</v>
      </c>
      <c r="R2" s="381">
        <v>80</v>
      </c>
      <c r="S2" s="385">
        <v>1</v>
      </c>
      <c r="T2" s="381">
        <v>56240.06</v>
      </c>
      <c r="U2" s="381">
        <v>0</v>
      </c>
      <c r="V2" s="381">
        <v>23498.92</v>
      </c>
      <c r="W2" s="381">
        <v>58801.599999999999</v>
      </c>
      <c r="X2" s="381">
        <v>24654.85</v>
      </c>
      <c r="Y2" s="381">
        <v>58801.599999999999</v>
      </c>
      <c r="Z2" s="381">
        <v>25381.51</v>
      </c>
      <c r="AA2" s="377" t="s">
        <v>174</v>
      </c>
      <c r="AB2" s="377" t="s">
        <v>175</v>
      </c>
      <c r="AC2" s="377" t="s">
        <v>176</v>
      </c>
      <c r="AD2" s="377" t="s">
        <v>177</v>
      </c>
      <c r="AE2" s="377" t="s">
        <v>170</v>
      </c>
      <c r="AF2" s="377" t="s">
        <v>178</v>
      </c>
      <c r="AG2" s="377" t="s">
        <v>179</v>
      </c>
      <c r="AH2" s="382">
        <v>28.27</v>
      </c>
      <c r="AI2" s="382">
        <v>6554.5</v>
      </c>
      <c r="AJ2" s="377" t="s">
        <v>180</v>
      </c>
      <c r="AK2" s="377" t="s">
        <v>181</v>
      </c>
      <c r="AL2" s="377" t="s">
        <v>182</v>
      </c>
      <c r="AM2" s="377" t="s">
        <v>183</v>
      </c>
      <c r="AN2" s="377" t="s">
        <v>66</v>
      </c>
      <c r="AO2" s="380">
        <v>80</v>
      </c>
      <c r="AP2" s="385">
        <v>1</v>
      </c>
      <c r="AQ2" s="385">
        <v>1</v>
      </c>
      <c r="AR2" s="383" t="s">
        <v>184</v>
      </c>
      <c r="AS2" s="387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IF(AT2=0,"",IF(AND(AT2=1,M2="F",SUMIF(C2:C9,C2,AS2:AS9)&lt;=1),SUMIF(C2:C9,C2,AS2:AS9),IF(AND(AT2=1,M2="F",SUMIF(C2:C9,C2,AS2:AS9)&gt;1),1,"")))</f>
        <v>1</v>
      </c>
      <c r="AV2" s="387" t="str">
        <f>IF(AT2=0,"",IF(AND(AT2=3,M2="F",SUMIF(C2:C9,C2,AS2:AS9)&lt;=1),SUMIF(C2:C9,C2,AS2:AS9),IF(AND(AT2=3,M2="F",SUMIF(C2:C9,C2,AS2:AS9)&gt;1),1,"")))</f>
        <v/>
      </c>
      <c r="AW2" s="387">
        <f>SUMIF(C2:C9,C2,O2:O9)</f>
        <v>1</v>
      </c>
      <c r="AX2" s="387">
        <f>IF(AND(M2="F",AS2&lt;&gt;0),SUMIF(C2:C9,C2,W2:W9),0)</f>
        <v>58801.599999999999</v>
      </c>
      <c r="AY2" s="387">
        <f>IF(AT2=1,W2,"")</f>
        <v>58801.599999999999</v>
      </c>
      <c r="AZ2" s="387" t="str">
        <f>IF(AT2=3,W2,"")</f>
        <v/>
      </c>
      <c r="BA2" s="387">
        <f>IF(AT2=1,Y2-W2,0)</f>
        <v>0</v>
      </c>
      <c r="BB2" s="387">
        <f t="shared" ref="BB2:BB9" si="0">IF(AND(AT2=1,AK2="E",AU2&gt;=0.75,AW2=1),Health,IF(AND(AT2=1,AK2="E",AU2&gt;=0.75),Health*P2,IF(AND(AT2=1,AK2="E",AU2&gt;=0.5,AW2=1),PTHealth,IF(AND(AT2=1,AK2="E",AU2&gt;=0.5),PTHealth*P2,0))))</f>
        <v>12500</v>
      </c>
      <c r="BC2" s="387">
        <f t="shared" ref="BC2:BC9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9" si="2">IF(AND(AT2&lt;&gt;0,AX2&gt;=MAXSSDI),SSDI*MAXSSDI*P2,IF(AT2&lt;&gt;0,SSDI*W2,0))</f>
        <v>3645.6992</v>
      </c>
      <c r="BE2" s="387">
        <f t="shared" ref="BE2:BE9" si="3">IF(AT2&lt;&gt;0,SSHI*W2,0)</f>
        <v>852.6232</v>
      </c>
      <c r="BF2" s="387">
        <f t="shared" ref="BF2:BF9" si="4">IF(AND(AT2&lt;&gt;0,AN2&lt;&gt;"NE"),VLOOKUP(AN2,Retirement_Rates,3,FALSE)*W2,0)</f>
        <v>7020.91104</v>
      </c>
      <c r="BG2" s="387">
        <f t="shared" ref="BG2:BG9" si="5">IF(AND(AT2&lt;&gt;0,AJ2&lt;&gt;"PF"),Life*W2,0)</f>
        <v>423.95953600000001</v>
      </c>
      <c r="BH2" s="387">
        <f t="shared" ref="BH2:BH9" si="6">IF(AND(AT2&lt;&gt;0,AM2="Y"),UI*W2,0)</f>
        <v>0</v>
      </c>
      <c r="BI2" s="387">
        <f t="shared" ref="BI2:BI9" si="7">IF(AND(AT2&lt;&gt;0,N2&lt;&gt;"NR"),DHR*W2,0)</f>
        <v>0</v>
      </c>
      <c r="BJ2" s="387">
        <f t="shared" ref="BJ2:BJ9" si="8">IF(AT2&lt;&gt;0,WC*W2,0)</f>
        <v>211.68575999999999</v>
      </c>
      <c r="BK2" s="387">
        <f t="shared" ref="BK2:BK9" si="9">IF(OR(AND(AT2&lt;&gt;0,AJ2&lt;&gt;"PF",AN2&lt;&gt;"NE",AG2&lt;&gt;"A"),AND(AL2="E",OR(AT2=1,AT2=3))),Sick*W2,0)</f>
        <v>0</v>
      </c>
      <c r="BL2" s="387">
        <f>IF(AT2=1,SUM(BD2:BK2),0)</f>
        <v>12154.878736000001</v>
      </c>
      <c r="BM2" s="387">
        <f>IF(AT2=3,SUM(BD2:BK2),0)</f>
        <v>0</v>
      </c>
      <c r="BN2" s="387">
        <f t="shared" ref="BN2:BN9" si="10">IF(AND(AT2=1,AK2="E",AU2&gt;=0.75,AW2=1),HealthBY,IF(AND(AT2=1,AK2="E",AU2&gt;=0.75),HealthBY*P2,IF(AND(AT2=1,AK2="E",AU2&gt;=0.5,AW2=1),PTHealthBY,IF(AND(AT2=1,AK2="E",AU2&gt;=0.5),PTHealthBY*P2,0))))</f>
        <v>13750</v>
      </c>
      <c r="BO2" s="387">
        <f t="shared" ref="BO2:BO9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9" si="12">IF(AND(AT2&lt;&gt;0,(AX2+BA2)&gt;=MAXSSDIBY),SSDIBY*MAXSSDIBY*P2,IF(AT2&lt;&gt;0,SSDIBY*W2,0))</f>
        <v>3645.6992</v>
      </c>
      <c r="BQ2" s="387">
        <f t="shared" ref="BQ2:BQ9" si="13">IF(AT2&lt;&gt;0,SSHIBY*W2,0)</f>
        <v>852.6232</v>
      </c>
      <c r="BR2" s="387">
        <f t="shared" ref="BR2:BR9" si="14">IF(AND(AT2&lt;&gt;0,AN2&lt;&gt;"NE"),VLOOKUP(AN2,Retirement_Rates,4,FALSE)*W2,0)</f>
        <v>6574.0188799999996</v>
      </c>
      <c r="BS2" s="387">
        <f t="shared" ref="BS2:BS9" si="15">IF(AND(AT2&lt;&gt;0,AJ2&lt;&gt;"PF"),LifeBY*W2,0)</f>
        <v>423.95953600000001</v>
      </c>
      <c r="BT2" s="387">
        <f t="shared" ref="BT2:BT9" si="16">IF(AND(AT2&lt;&gt;0,AM2="Y"),UIBY*W2,0)</f>
        <v>0</v>
      </c>
      <c r="BU2" s="387">
        <f t="shared" ref="BU2:BU9" si="17">IF(AND(AT2&lt;&gt;0,N2&lt;&gt;"NR"),DHRBY*W2,0)</f>
        <v>0</v>
      </c>
      <c r="BV2" s="387">
        <f t="shared" ref="BV2:BV9" si="18">IF(AT2&lt;&gt;0,WCBY*W2,0)</f>
        <v>135.24367999999998</v>
      </c>
      <c r="BW2" s="387">
        <f t="shared" ref="BW2:BW9" si="19">IF(OR(AND(AT2&lt;&gt;0,AJ2&lt;&gt;"PF",AN2&lt;&gt;"NE",AG2&lt;&gt;"A"),AND(AL2="E",OR(AT2=1,AT2=3))),SickBY*W2,0)</f>
        <v>0</v>
      </c>
      <c r="BX2" s="387">
        <f>IF(AT2=1,SUM(BP2:BW2),0)</f>
        <v>11631.544496</v>
      </c>
      <c r="BY2" s="387">
        <f>IF(AT2=3,SUM(BP2:BW2),0)</f>
        <v>0</v>
      </c>
      <c r="BZ2" s="387">
        <f>IF(AT2=1,BN2-BB2,0)</f>
        <v>1250</v>
      </c>
      <c r="CA2" s="387">
        <f>IF(AT2=3,BO2-BC2,0)</f>
        <v>0</v>
      </c>
      <c r="CB2" s="387">
        <f>BP2-BD2</f>
        <v>0</v>
      </c>
      <c r="CC2" s="387">
        <f t="shared" ref="CC2:CC9" si="20">IF(AT2&lt;&gt;0,SSHICHG*Y2,0)</f>
        <v>0</v>
      </c>
      <c r="CD2" s="387">
        <f t="shared" ref="CD2:CD9" si="21">IF(AND(AT2&lt;&gt;0,AN2&lt;&gt;"NE"),VLOOKUP(AN2,Retirement_Rates,5,FALSE)*Y2,0)</f>
        <v>-446.89216000000056</v>
      </c>
      <c r="CE2" s="387">
        <f t="shared" ref="CE2:CE9" si="22">IF(AND(AT2&lt;&gt;0,AJ2&lt;&gt;"PF"),LifeCHG*Y2,0)</f>
        <v>0</v>
      </c>
      <c r="CF2" s="387">
        <f t="shared" ref="CF2:CF9" si="23">IF(AND(AT2&lt;&gt;0,AM2="Y"),UICHG*Y2,0)</f>
        <v>0</v>
      </c>
      <c r="CG2" s="387">
        <f t="shared" ref="CG2:CG9" si="24">IF(AND(AT2&lt;&gt;0,N2&lt;&gt;"NR"),DHRCHG*Y2,0)</f>
        <v>0</v>
      </c>
      <c r="CH2" s="387">
        <f t="shared" ref="CH2:CH9" si="25">IF(AT2&lt;&gt;0,WCCHG*Y2,0)</f>
        <v>-76.44207999999999</v>
      </c>
      <c r="CI2" s="387">
        <f t="shared" ref="CI2:CI9" si="26">IF(OR(AND(AT2&lt;&gt;0,AJ2&lt;&gt;"PF",AN2&lt;&gt;"NE",AG2&lt;&gt;"A"),AND(AL2="E",OR(AT2=1,AT2=3))),SickCHG*Y2,0)</f>
        <v>0</v>
      </c>
      <c r="CJ2" s="387">
        <f>IF(AT2=1,SUM(CB2:CI2),0)</f>
        <v>-523.33424000000059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 x14ac:dyDescent="0.3">
      <c r="A3" s="377" t="s">
        <v>162</v>
      </c>
      <c r="B3" s="377" t="s">
        <v>163</v>
      </c>
      <c r="C3" s="377" t="s">
        <v>185</v>
      </c>
      <c r="D3" s="377" t="s">
        <v>186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187</v>
      </c>
      <c r="L3" s="377" t="s">
        <v>188</v>
      </c>
      <c r="M3" s="377" t="s">
        <v>172</v>
      </c>
      <c r="N3" s="377" t="s">
        <v>173</v>
      </c>
      <c r="O3" s="380">
        <v>1</v>
      </c>
      <c r="P3" s="385">
        <v>1</v>
      </c>
      <c r="Q3" s="385">
        <v>1</v>
      </c>
      <c r="R3" s="381">
        <v>80</v>
      </c>
      <c r="S3" s="385">
        <v>1</v>
      </c>
      <c r="T3" s="381">
        <v>73205.3</v>
      </c>
      <c r="U3" s="381">
        <v>0</v>
      </c>
      <c r="V3" s="381">
        <v>26984.58</v>
      </c>
      <c r="W3" s="381">
        <v>78291.199999999997</v>
      </c>
      <c r="X3" s="381">
        <v>28683.54</v>
      </c>
      <c r="Y3" s="381">
        <v>78291.199999999997</v>
      </c>
      <c r="Z3" s="381">
        <v>29236.75</v>
      </c>
      <c r="AA3" s="377" t="s">
        <v>189</v>
      </c>
      <c r="AB3" s="377" t="s">
        <v>190</v>
      </c>
      <c r="AC3" s="377" t="s">
        <v>191</v>
      </c>
      <c r="AD3" s="377" t="s">
        <v>192</v>
      </c>
      <c r="AE3" s="377" t="s">
        <v>187</v>
      </c>
      <c r="AF3" s="377" t="s">
        <v>193</v>
      </c>
      <c r="AG3" s="377" t="s">
        <v>179</v>
      </c>
      <c r="AH3" s="382">
        <v>37.64</v>
      </c>
      <c r="AI3" s="382">
        <v>13257.5</v>
      </c>
      <c r="AJ3" s="377" t="s">
        <v>180</v>
      </c>
      <c r="AK3" s="377" t="s">
        <v>181</v>
      </c>
      <c r="AL3" s="377" t="s">
        <v>182</v>
      </c>
      <c r="AM3" s="377" t="s">
        <v>183</v>
      </c>
      <c r="AN3" s="377" t="s">
        <v>66</v>
      </c>
      <c r="AO3" s="380">
        <v>80</v>
      </c>
      <c r="AP3" s="385">
        <v>1</v>
      </c>
      <c r="AQ3" s="385">
        <v>1</v>
      </c>
      <c r="AR3" s="383" t="s">
        <v>184</v>
      </c>
      <c r="AS3" s="387">
        <f t="shared" ref="AS3:AS9" si="27">IF(((AO3/80)*AP3*P3)&gt;1,AQ3,((AO3/80)*AP3*P3))</f>
        <v>1</v>
      </c>
      <c r="AT3">
        <f t="shared" ref="AT3:AT9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IF(AT3=0,"",IF(AND(AT3=1,M3="F",SUMIF(C2:C9,C3,AS2:AS9)&lt;=1),SUMIF(C2:C9,C3,AS2:AS9),IF(AND(AT3=1,M3="F",SUMIF(C2:C9,C3,AS2:AS9)&gt;1),1,"")))</f>
        <v>1</v>
      </c>
      <c r="AV3" s="387" t="str">
        <f>IF(AT3=0,"",IF(AND(AT3=3,M3="F",SUMIF(C2:C9,C3,AS2:AS9)&lt;=1),SUMIF(C2:C9,C3,AS2:AS9),IF(AND(AT3=3,M3="F",SUMIF(C2:C9,C3,AS2:AS9)&gt;1),1,"")))</f>
        <v/>
      </c>
      <c r="AW3" s="387">
        <f>SUMIF(C2:C9,C3,O2:O9)</f>
        <v>1</v>
      </c>
      <c r="AX3" s="387">
        <f>IF(AND(M3="F",AS3&lt;&gt;0),SUMIF(C2:C9,C3,W2:W9),0)</f>
        <v>78291.199999999997</v>
      </c>
      <c r="AY3" s="387">
        <f t="shared" ref="AY3:AY9" si="29">IF(AT3=1,W3,"")</f>
        <v>78291.199999999997</v>
      </c>
      <c r="AZ3" s="387" t="str">
        <f t="shared" ref="AZ3:AZ9" si="30">IF(AT3=3,W3,"")</f>
        <v/>
      </c>
      <c r="BA3" s="387">
        <f t="shared" ref="BA3:BA9" si="31">IF(AT3=1,Y3-W3,0)</f>
        <v>0</v>
      </c>
      <c r="BB3" s="387">
        <f t="shared" si="0"/>
        <v>12500</v>
      </c>
      <c r="BC3" s="387">
        <f t="shared" si="1"/>
        <v>0</v>
      </c>
      <c r="BD3" s="387">
        <f t="shared" si="2"/>
        <v>4854.0544</v>
      </c>
      <c r="BE3" s="387">
        <f t="shared" si="3"/>
        <v>1135.2224000000001</v>
      </c>
      <c r="BF3" s="387">
        <f t="shared" si="4"/>
        <v>9347.9692799999993</v>
      </c>
      <c r="BG3" s="387">
        <f t="shared" si="5"/>
        <v>564.47955200000001</v>
      </c>
      <c r="BH3" s="387">
        <f t="shared" si="6"/>
        <v>0</v>
      </c>
      <c r="BI3" s="387">
        <f t="shared" si="7"/>
        <v>0</v>
      </c>
      <c r="BJ3" s="387">
        <f t="shared" si="8"/>
        <v>281.84832</v>
      </c>
      <c r="BK3" s="387">
        <f t="shared" si="9"/>
        <v>0</v>
      </c>
      <c r="BL3" s="387">
        <f t="shared" ref="BL3:BL9" si="32">IF(AT3=1,SUM(BD3:BK3),0)</f>
        <v>16183.573951999999</v>
      </c>
      <c r="BM3" s="387">
        <f t="shared" ref="BM3:BM9" si="33">IF(AT3=3,SUM(BD3:BK3),0)</f>
        <v>0</v>
      </c>
      <c r="BN3" s="387">
        <f t="shared" si="10"/>
        <v>13750</v>
      </c>
      <c r="BO3" s="387">
        <f t="shared" si="11"/>
        <v>0</v>
      </c>
      <c r="BP3" s="387">
        <f t="shared" si="12"/>
        <v>4854.0544</v>
      </c>
      <c r="BQ3" s="387">
        <f t="shared" si="13"/>
        <v>1135.2224000000001</v>
      </c>
      <c r="BR3" s="387">
        <f t="shared" si="14"/>
        <v>8752.9561599999997</v>
      </c>
      <c r="BS3" s="387">
        <f t="shared" si="15"/>
        <v>564.47955200000001</v>
      </c>
      <c r="BT3" s="387">
        <f t="shared" si="16"/>
        <v>0</v>
      </c>
      <c r="BU3" s="387">
        <f t="shared" si="17"/>
        <v>0</v>
      </c>
      <c r="BV3" s="387">
        <f t="shared" si="18"/>
        <v>180.06976</v>
      </c>
      <c r="BW3" s="387">
        <f t="shared" si="19"/>
        <v>0</v>
      </c>
      <c r="BX3" s="387">
        <f t="shared" ref="BX3:BX9" si="34">IF(AT3=1,SUM(BP3:BW3),0)</f>
        <v>15486.782272</v>
      </c>
      <c r="BY3" s="387">
        <f t="shared" ref="BY3:BY9" si="35">IF(AT3=3,SUM(BP3:BW3),0)</f>
        <v>0</v>
      </c>
      <c r="BZ3" s="387">
        <f t="shared" ref="BZ3:BZ9" si="36">IF(AT3=1,BN3-BB3,0)</f>
        <v>1250</v>
      </c>
      <c r="CA3" s="387">
        <f t="shared" ref="CA3:CA9" si="37">IF(AT3=3,BO3-BC3,0)</f>
        <v>0</v>
      </c>
      <c r="CB3" s="387">
        <f t="shared" ref="CB3:CB9" si="38">BP3-BD3</f>
        <v>0</v>
      </c>
      <c r="CC3" s="387">
        <f t="shared" si="20"/>
        <v>0</v>
      </c>
      <c r="CD3" s="387">
        <f t="shared" si="21"/>
        <v>-595.01312000000075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-101.77855999999998</v>
      </c>
      <c r="CI3" s="387">
        <f t="shared" si="26"/>
        <v>0</v>
      </c>
      <c r="CJ3" s="387">
        <f t="shared" ref="CJ3:CJ9" si="39">IF(AT3=1,SUM(CB3:CI3),0)</f>
        <v>-696.79168000000072</v>
      </c>
      <c r="CK3" s="387" t="str">
        <f t="shared" ref="CK3:CK9" si="40">IF(AT3=3,SUM(CB3:CI3),"")</f>
        <v/>
      </c>
      <c r="CL3" s="387" t="str">
        <f t="shared" ref="CL3:CL9" si="41">IF(OR(N3="NG",AG3="D"),(T3+U3),"")</f>
        <v/>
      </c>
      <c r="CM3" s="387" t="str">
        <f t="shared" ref="CM3:CM9" si="42">IF(OR(N3="NG",AG3="D"),V3,"")</f>
        <v/>
      </c>
      <c r="CN3" s="387" t="str">
        <f t="shared" ref="CN3:CN9" si="43">E3 &amp; "-" &amp; F3</f>
        <v>0001-00</v>
      </c>
    </row>
    <row r="4" spans="1:92" ht="15.75" thickBot="1" x14ac:dyDescent="0.3">
      <c r="A4" s="377" t="s">
        <v>162</v>
      </c>
      <c r="B4" s="377" t="s">
        <v>163</v>
      </c>
      <c r="C4" s="377" t="s">
        <v>194</v>
      </c>
      <c r="D4" s="377" t="s">
        <v>195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169</v>
      </c>
      <c r="K4" s="377" t="s">
        <v>196</v>
      </c>
      <c r="L4" s="377" t="s">
        <v>197</v>
      </c>
      <c r="M4" s="377" t="s">
        <v>172</v>
      </c>
      <c r="N4" s="377" t="s">
        <v>173</v>
      </c>
      <c r="O4" s="380">
        <v>1</v>
      </c>
      <c r="P4" s="385">
        <v>1</v>
      </c>
      <c r="Q4" s="385">
        <v>1</v>
      </c>
      <c r="R4" s="381">
        <v>80</v>
      </c>
      <c r="S4" s="385">
        <v>1</v>
      </c>
      <c r="T4" s="381">
        <v>52105.62</v>
      </c>
      <c r="U4" s="381">
        <v>0</v>
      </c>
      <c r="V4" s="381">
        <v>22387.42</v>
      </c>
      <c r="W4" s="381">
        <v>52478.400000000001</v>
      </c>
      <c r="X4" s="381">
        <v>23347.79</v>
      </c>
      <c r="Y4" s="381">
        <v>52478.400000000001</v>
      </c>
      <c r="Z4" s="381">
        <v>24130.73</v>
      </c>
      <c r="AA4" s="377" t="s">
        <v>198</v>
      </c>
      <c r="AB4" s="377" t="s">
        <v>199</v>
      </c>
      <c r="AC4" s="377" t="s">
        <v>200</v>
      </c>
      <c r="AD4" s="377" t="s">
        <v>201</v>
      </c>
      <c r="AE4" s="377" t="s">
        <v>196</v>
      </c>
      <c r="AF4" s="377" t="s">
        <v>202</v>
      </c>
      <c r="AG4" s="377" t="s">
        <v>179</v>
      </c>
      <c r="AH4" s="382">
        <v>25.23</v>
      </c>
      <c r="AI4" s="382">
        <v>29528.9</v>
      </c>
      <c r="AJ4" s="377" t="s">
        <v>180</v>
      </c>
      <c r="AK4" s="377" t="s">
        <v>181</v>
      </c>
      <c r="AL4" s="377" t="s">
        <v>182</v>
      </c>
      <c r="AM4" s="377" t="s">
        <v>183</v>
      </c>
      <c r="AN4" s="377" t="s">
        <v>66</v>
      </c>
      <c r="AO4" s="380">
        <v>80</v>
      </c>
      <c r="AP4" s="385">
        <v>1</v>
      </c>
      <c r="AQ4" s="385">
        <v>1</v>
      </c>
      <c r="AR4" s="383" t="s">
        <v>184</v>
      </c>
      <c r="AS4" s="387">
        <f t="shared" si="27"/>
        <v>1</v>
      </c>
      <c r="AT4">
        <f t="shared" si="28"/>
        <v>1</v>
      </c>
      <c r="AU4" s="387">
        <f>IF(AT4=0,"",IF(AND(AT4=1,M4="F",SUMIF(C2:C9,C4,AS2:AS9)&lt;=1),SUMIF(C2:C9,C4,AS2:AS9),IF(AND(AT4=1,M4="F",SUMIF(C2:C9,C4,AS2:AS9)&gt;1),1,"")))</f>
        <v>1</v>
      </c>
      <c r="AV4" s="387" t="str">
        <f>IF(AT4=0,"",IF(AND(AT4=3,M4="F",SUMIF(C2:C9,C4,AS2:AS9)&lt;=1),SUMIF(C2:C9,C4,AS2:AS9),IF(AND(AT4=3,M4="F",SUMIF(C2:C9,C4,AS2:AS9)&gt;1),1,"")))</f>
        <v/>
      </c>
      <c r="AW4" s="387">
        <f>SUMIF(C2:C9,C4,O2:O9)</f>
        <v>1</v>
      </c>
      <c r="AX4" s="387">
        <f>IF(AND(M4="F",AS4&lt;&gt;0),SUMIF(C2:C9,C4,W2:W9),0)</f>
        <v>52478.400000000001</v>
      </c>
      <c r="AY4" s="387">
        <f t="shared" si="29"/>
        <v>52478.400000000001</v>
      </c>
      <c r="AZ4" s="387" t="str">
        <f t="shared" si="30"/>
        <v/>
      </c>
      <c r="BA4" s="387">
        <f t="shared" si="31"/>
        <v>0</v>
      </c>
      <c r="BB4" s="387">
        <f t="shared" si="0"/>
        <v>12500</v>
      </c>
      <c r="BC4" s="387">
        <f t="shared" si="1"/>
        <v>0</v>
      </c>
      <c r="BD4" s="387">
        <f t="shared" si="2"/>
        <v>3253.6608000000001</v>
      </c>
      <c r="BE4" s="387">
        <f t="shared" si="3"/>
        <v>760.93680000000006</v>
      </c>
      <c r="BF4" s="387">
        <f t="shared" si="4"/>
        <v>6265.9209600000004</v>
      </c>
      <c r="BG4" s="387">
        <f t="shared" si="5"/>
        <v>378.36926400000004</v>
      </c>
      <c r="BH4" s="387">
        <f t="shared" si="6"/>
        <v>0</v>
      </c>
      <c r="BI4" s="387">
        <f t="shared" si="7"/>
        <v>0</v>
      </c>
      <c r="BJ4" s="387">
        <f t="shared" si="8"/>
        <v>188.92223999999999</v>
      </c>
      <c r="BK4" s="387">
        <f t="shared" si="9"/>
        <v>0</v>
      </c>
      <c r="BL4" s="387">
        <f t="shared" si="32"/>
        <v>10847.810064000001</v>
      </c>
      <c r="BM4" s="387">
        <f t="shared" si="33"/>
        <v>0</v>
      </c>
      <c r="BN4" s="387">
        <f t="shared" si="10"/>
        <v>13750</v>
      </c>
      <c r="BO4" s="387">
        <f t="shared" si="11"/>
        <v>0</v>
      </c>
      <c r="BP4" s="387">
        <f t="shared" si="12"/>
        <v>3253.6608000000001</v>
      </c>
      <c r="BQ4" s="387">
        <f t="shared" si="13"/>
        <v>760.93680000000006</v>
      </c>
      <c r="BR4" s="387">
        <f t="shared" si="14"/>
        <v>5867.0851199999997</v>
      </c>
      <c r="BS4" s="387">
        <f t="shared" si="15"/>
        <v>378.36926400000004</v>
      </c>
      <c r="BT4" s="387">
        <f t="shared" si="16"/>
        <v>0</v>
      </c>
      <c r="BU4" s="387">
        <f t="shared" si="17"/>
        <v>0</v>
      </c>
      <c r="BV4" s="387">
        <f t="shared" si="18"/>
        <v>120.70032</v>
      </c>
      <c r="BW4" s="387">
        <f t="shared" si="19"/>
        <v>0</v>
      </c>
      <c r="BX4" s="387">
        <f t="shared" si="34"/>
        <v>10380.752304000001</v>
      </c>
      <c r="BY4" s="387">
        <f t="shared" si="35"/>
        <v>0</v>
      </c>
      <c r="BZ4" s="387">
        <f t="shared" si="36"/>
        <v>1250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-398.83584000000053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-68.221919999999997</v>
      </c>
      <c r="CI4" s="387">
        <f t="shared" si="26"/>
        <v>0</v>
      </c>
      <c r="CJ4" s="387">
        <f t="shared" si="39"/>
        <v>-467.05776000000054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 x14ac:dyDescent="0.3">
      <c r="A5" s="377" t="s">
        <v>162</v>
      </c>
      <c r="B5" s="377" t="s">
        <v>163</v>
      </c>
      <c r="C5" s="377" t="s">
        <v>203</v>
      </c>
      <c r="D5" s="377" t="s">
        <v>204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169</v>
      </c>
      <c r="K5" s="377" t="s">
        <v>205</v>
      </c>
      <c r="L5" s="377" t="s">
        <v>182</v>
      </c>
      <c r="M5" s="377" t="s">
        <v>172</v>
      </c>
      <c r="N5" s="377" t="s">
        <v>173</v>
      </c>
      <c r="O5" s="380">
        <v>1</v>
      </c>
      <c r="P5" s="385">
        <v>1</v>
      </c>
      <c r="Q5" s="385">
        <v>1</v>
      </c>
      <c r="R5" s="381">
        <v>80</v>
      </c>
      <c r="S5" s="385">
        <v>1</v>
      </c>
      <c r="T5" s="381">
        <v>52027.040000000001</v>
      </c>
      <c r="U5" s="381">
        <v>0</v>
      </c>
      <c r="V5" s="381">
        <v>20139.29</v>
      </c>
      <c r="W5" s="381">
        <v>66414.399999999994</v>
      </c>
      <c r="X5" s="381">
        <v>26228.49</v>
      </c>
      <c r="Y5" s="381">
        <v>66414.399999999994</v>
      </c>
      <c r="Z5" s="381">
        <v>26887.4</v>
      </c>
      <c r="AA5" s="377" t="s">
        <v>206</v>
      </c>
      <c r="AB5" s="377" t="s">
        <v>207</v>
      </c>
      <c r="AC5" s="377" t="s">
        <v>208</v>
      </c>
      <c r="AD5" s="377" t="s">
        <v>171</v>
      </c>
      <c r="AE5" s="377" t="s">
        <v>205</v>
      </c>
      <c r="AF5" s="377" t="s">
        <v>209</v>
      </c>
      <c r="AG5" s="377" t="s">
        <v>179</v>
      </c>
      <c r="AH5" s="382">
        <v>31.93</v>
      </c>
      <c r="AI5" s="382">
        <v>1050.5999999999999</v>
      </c>
      <c r="AJ5" s="377" t="s">
        <v>180</v>
      </c>
      <c r="AK5" s="377" t="s">
        <v>181</v>
      </c>
      <c r="AL5" s="377" t="s">
        <v>182</v>
      </c>
      <c r="AM5" s="377" t="s">
        <v>183</v>
      </c>
      <c r="AN5" s="377" t="s">
        <v>66</v>
      </c>
      <c r="AO5" s="380">
        <v>80</v>
      </c>
      <c r="AP5" s="385">
        <v>1</v>
      </c>
      <c r="AQ5" s="385">
        <v>1</v>
      </c>
      <c r="AR5" s="383" t="s">
        <v>184</v>
      </c>
      <c r="AS5" s="387">
        <f t="shared" si="27"/>
        <v>1</v>
      </c>
      <c r="AT5">
        <f t="shared" si="28"/>
        <v>1</v>
      </c>
      <c r="AU5" s="387">
        <f>IF(AT5=0,"",IF(AND(AT5=1,M5="F",SUMIF(C2:C9,C5,AS2:AS9)&lt;=1),SUMIF(C2:C9,C5,AS2:AS9),IF(AND(AT5=1,M5="F",SUMIF(C2:C9,C5,AS2:AS9)&gt;1),1,"")))</f>
        <v>1</v>
      </c>
      <c r="AV5" s="387" t="str">
        <f>IF(AT5=0,"",IF(AND(AT5=3,M5="F",SUMIF(C2:C9,C5,AS2:AS9)&lt;=1),SUMIF(C2:C9,C5,AS2:AS9),IF(AND(AT5=3,M5="F",SUMIF(C2:C9,C5,AS2:AS9)&gt;1),1,"")))</f>
        <v/>
      </c>
      <c r="AW5" s="387">
        <f>SUMIF(C2:C9,C5,O2:O9)</f>
        <v>1</v>
      </c>
      <c r="AX5" s="387">
        <f>IF(AND(M5="F",AS5&lt;&gt;0),SUMIF(C2:C9,C5,W2:W9),0)</f>
        <v>66414.399999999994</v>
      </c>
      <c r="AY5" s="387">
        <f t="shared" si="29"/>
        <v>66414.399999999994</v>
      </c>
      <c r="AZ5" s="387" t="str">
        <f t="shared" si="30"/>
        <v/>
      </c>
      <c r="BA5" s="387">
        <f t="shared" si="31"/>
        <v>0</v>
      </c>
      <c r="BB5" s="387">
        <f t="shared" si="0"/>
        <v>12500</v>
      </c>
      <c r="BC5" s="387">
        <f t="shared" si="1"/>
        <v>0</v>
      </c>
      <c r="BD5" s="387">
        <f t="shared" si="2"/>
        <v>4117.6927999999998</v>
      </c>
      <c r="BE5" s="387">
        <f t="shared" si="3"/>
        <v>963.00879999999995</v>
      </c>
      <c r="BF5" s="387">
        <f t="shared" si="4"/>
        <v>7929.8793599999999</v>
      </c>
      <c r="BG5" s="387">
        <f t="shared" si="5"/>
        <v>478.847824</v>
      </c>
      <c r="BH5" s="387">
        <f t="shared" si="6"/>
        <v>0</v>
      </c>
      <c r="BI5" s="387">
        <f t="shared" si="7"/>
        <v>0</v>
      </c>
      <c r="BJ5" s="387">
        <f t="shared" si="8"/>
        <v>239.09183999999996</v>
      </c>
      <c r="BK5" s="387">
        <f t="shared" si="9"/>
        <v>0</v>
      </c>
      <c r="BL5" s="387">
        <f t="shared" si="32"/>
        <v>13728.520623999999</v>
      </c>
      <c r="BM5" s="387">
        <f t="shared" si="33"/>
        <v>0</v>
      </c>
      <c r="BN5" s="387">
        <f t="shared" si="10"/>
        <v>13750</v>
      </c>
      <c r="BO5" s="387">
        <f t="shared" si="11"/>
        <v>0</v>
      </c>
      <c r="BP5" s="387">
        <f t="shared" si="12"/>
        <v>4117.6927999999998</v>
      </c>
      <c r="BQ5" s="387">
        <f t="shared" si="13"/>
        <v>963.00879999999995</v>
      </c>
      <c r="BR5" s="387">
        <f t="shared" si="14"/>
        <v>7425.1299199999994</v>
      </c>
      <c r="BS5" s="387">
        <f t="shared" si="15"/>
        <v>478.847824</v>
      </c>
      <c r="BT5" s="387">
        <f t="shared" si="16"/>
        <v>0</v>
      </c>
      <c r="BU5" s="387">
        <f t="shared" si="17"/>
        <v>0</v>
      </c>
      <c r="BV5" s="387">
        <f t="shared" si="18"/>
        <v>152.75312</v>
      </c>
      <c r="BW5" s="387">
        <f t="shared" si="19"/>
        <v>0</v>
      </c>
      <c r="BX5" s="387">
        <f t="shared" si="34"/>
        <v>13137.432464</v>
      </c>
      <c r="BY5" s="387">
        <f t="shared" si="35"/>
        <v>0</v>
      </c>
      <c r="BZ5" s="387">
        <f t="shared" si="36"/>
        <v>1250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-504.74944000000056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-86.338719999999995</v>
      </c>
      <c r="CI5" s="387">
        <f t="shared" si="26"/>
        <v>0</v>
      </c>
      <c r="CJ5" s="387">
        <f t="shared" si="39"/>
        <v>-591.08816000000058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7" t="s">
        <v>162</v>
      </c>
      <c r="B6" s="377" t="s">
        <v>163</v>
      </c>
      <c r="C6" s="377" t="s">
        <v>210</v>
      </c>
      <c r="D6" s="377" t="s">
        <v>204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169</v>
      </c>
      <c r="K6" s="377" t="s">
        <v>205</v>
      </c>
      <c r="L6" s="377" t="s">
        <v>182</v>
      </c>
      <c r="M6" s="377" t="s">
        <v>172</v>
      </c>
      <c r="N6" s="377" t="s">
        <v>173</v>
      </c>
      <c r="O6" s="380">
        <v>1</v>
      </c>
      <c r="P6" s="385">
        <v>1</v>
      </c>
      <c r="Q6" s="385">
        <v>1</v>
      </c>
      <c r="R6" s="381">
        <v>80</v>
      </c>
      <c r="S6" s="385">
        <v>1</v>
      </c>
      <c r="T6" s="381">
        <v>73579.509999999995</v>
      </c>
      <c r="U6" s="381">
        <v>0</v>
      </c>
      <c r="V6" s="381">
        <v>26994.720000000001</v>
      </c>
      <c r="W6" s="381">
        <v>77729.600000000006</v>
      </c>
      <c r="X6" s="381">
        <v>28567.46</v>
      </c>
      <c r="Y6" s="381">
        <v>77729.600000000006</v>
      </c>
      <c r="Z6" s="381">
        <v>29125.66</v>
      </c>
      <c r="AA6" s="377" t="s">
        <v>211</v>
      </c>
      <c r="AB6" s="377" t="s">
        <v>212</v>
      </c>
      <c r="AC6" s="377" t="s">
        <v>213</v>
      </c>
      <c r="AD6" s="377" t="s">
        <v>214</v>
      </c>
      <c r="AE6" s="377" t="s">
        <v>205</v>
      </c>
      <c r="AF6" s="377" t="s">
        <v>209</v>
      </c>
      <c r="AG6" s="377" t="s">
        <v>179</v>
      </c>
      <c r="AH6" s="382">
        <v>37.369999999999997</v>
      </c>
      <c r="AI6" s="380">
        <v>25988</v>
      </c>
      <c r="AJ6" s="377" t="s">
        <v>180</v>
      </c>
      <c r="AK6" s="377" t="s">
        <v>181</v>
      </c>
      <c r="AL6" s="377" t="s">
        <v>182</v>
      </c>
      <c r="AM6" s="377" t="s">
        <v>183</v>
      </c>
      <c r="AN6" s="377" t="s">
        <v>66</v>
      </c>
      <c r="AO6" s="380">
        <v>80</v>
      </c>
      <c r="AP6" s="385">
        <v>1</v>
      </c>
      <c r="AQ6" s="385">
        <v>1</v>
      </c>
      <c r="AR6" s="383" t="s">
        <v>184</v>
      </c>
      <c r="AS6" s="387">
        <f t="shared" si="27"/>
        <v>1</v>
      </c>
      <c r="AT6">
        <f t="shared" si="28"/>
        <v>1</v>
      </c>
      <c r="AU6" s="387">
        <f>IF(AT6=0,"",IF(AND(AT6=1,M6="F",SUMIF(C2:C9,C6,AS2:AS9)&lt;=1),SUMIF(C2:C9,C6,AS2:AS9),IF(AND(AT6=1,M6="F",SUMIF(C2:C9,C6,AS2:AS9)&gt;1),1,"")))</f>
        <v>1</v>
      </c>
      <c r="AV6" s="387" t="str">
        <f>IF(AT6=0,"",IF(AND(AT6=3,M6="F",SUMIF(C2:C9,C6,AS2:AS9)&lt;=1),SUMIF(C2:C9,C6,AS2:AS9),IF(AND(AT6=3,M6="F",SUMIF(C2:C9,C6,AS2:AS9)&gt;1),1,"")))</f>
        <v/>
      </c>
      <c r="AW6" s="387">
        <f>SUMIF(C2:C9,C6,O2:O9)</f>
        <v>1</v>
      </c>
      <c r="AX6" s="387">
        <f>IF(AND(M6="F",AS6&lt;&gt;0),SUMIF(C2:C9,C6,W2:W9),0)</f>
        <v>77729.600000000006</v>
      </c>
      <c r="AY6" s="387">
        <f t="shared" si="29"/>
        <v>77729.600000000006</v>
      </c>
      <c r="AZ6" s="387" t="str">
        <f t="shared" si="30"/>
        <v/>
      </c>
      <c r="BA6" s="387">
        <f t="shared" si="31"/>
        <v>0</v>
      </c>
      <c r="BB6" s="387">
        <f t="shared" si="0"/>
        <v>12500</v>
      </c>
      <c r="BC6" s="387">
        <f t="shared" si="1"/>
        <v>0</v>
      </c>
      <c r="BD6" s="387">
        <f t="shared" si="2"/>
        <v>4819.2352000000001</v>
      </c>
      <c r="BE6" s="387">
        <f t="shared" si="3"/>
        <v>1127.0792000000001</v>
      </c>
      <c r="BF6" s="387">
        <f t="shared" si="4"/>
        <v>9280.9142400000019</v>
      </c>
      <c r="BG6" s="387">
        <f t="shared" si="5"/>
        <v>560.43041600000004</v>
      </c>
      <c r="BH6" s="387">
        <f t="shared" si="6"/>
        <v>0</v>
      </c>
      <c r="BI6" s="387">
        <f t="shared" si="7"/>
        <v>0</v>
      </c>
      <c r="BJ6" s="387">
        <f t="shared" si="8"/>
        <v>279.82656000000003</v>
      </c>
      <c r="BK6" s="387">
        <f t="shared" si="9"/>
        <v>0</v>
      </c>
      <c r="BL6" s="387">
        <f t="shared" si="32"/>
        <v>16067.485616</v>
      </c>
      <c r="BM6" s="387">
        <f t="shared" si="33"/>
        <v>0</v>
      </c>
      <c r="BN6" s="387">
        <f t="shared" si="10"/>
        <v>13750</v>
      </c>
      <c r="BO6" s="387">
        <f t="shared" si="11"/>
        <v>0</v>
      </c>
      <c r="BP6" s="387">
        <f t="shared" si="12"/>
        <v>4819.2352000000001</v>
      </c>
      <c r="BQ6" s="387">
        <f t="shared" si="13"/>
        <v>1127.0792000000001</v>
      </c>
      <c r="BR6" s="387">
        <f t="shared" si="14"/>
        <v>8690.1692800000001</v>
      </c>
      <c r="BS6" s="387">
        <f t="shared" si="15"/>
        <v>560.43041600000004</v>
      </c>
      <c r="BT6" s="387">
        <f t="shared" si="16"/>
        <v>0</v>
      </c>
      <c r="BU6" s="387">
        <f t="shared" si="17"/>
        <v>0</v>
      </c>
      <c r="BV6" s="387">
        <f t="shared" si="18"/>
        <v>178.77808000000002</v>
      </c>
      <c r="BW6" s="387">
        <f t="shared" si="19"/>
        <v>0</v>
      </c>
      <c r="BX6" s="387">
        <f t="shared" si="34"/>
        <v>15375.692176</v>
      </c>
      <c r="BY6" s="387">
        <f t="shared" si="35"/>
        <v>0</v>
      </c>
      <c r="BZ6" s="387">
        <f t="shared" si="36"/>
        <v>1250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-590.74496000000079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-101.04848</v>
      </c>
      <c r="CI6" s="387">
        <f t="shared" si="26"/>
        <v>0</v>
      </c>
      <c r="CJ6" s="387">
        <f t="shared" si="39"/>
        <v>-691.79344000000083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7" t="s">
        <v>162</v>
      </c>
      <c r="B7" s="377" t="s">
        <v>163</v>
      </c>
      <c r="C7" s="377" t="s">
        <v>166</v>
      </c>
      <c r="D7" s="377" t="s">
        <v>215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169</v>
      </c>
      <c r="K7" s="377" t="s">
        <v>216</v>
      </c>
      <c r="L7" s="377" t="s">
        <v>167</v>
      </c>
      <c r="M7" s="377" t="s">
        <v>172</v>
      </c>
      <c r="N7" s="377" t="s">
        <v>173</v>
      </c>
      <c r="O7" s="380">
        <v>1</v>
      </c>
      <c r="P7" s="385">
        <v>1</v>
      </c>
      <c r="Q7" s="385">
        <v>1</v>
      </c>
      <c r="R7" s="381">
        <v>80</v>
      </c>
      <c r="S7" s="385">
        <v>1</v>
      </c>
      <c r="T7" s="381">
        <v>110619.2</v>
      </c>
      <c r="U7" s="381">
        <v>0</v>
      </c>
      <c r="V7" s="381">
        <v>34812.22</v>
      </c>
      <c r="W7" s="381">
        <v>113547.2</v>
      </c>
      <c r="X7" s="381">
        <v>35971.31</v>
      </c>
      <c r="Y7" s="381">
        <v>113547.2</v>
      </c>
      <c r="Z7" s="381">
        <v>36210.74</v>
      </c>
      <c r="AA7" s="377" t="s">
        <v>217</v>
      </c>
      <c r="AB7" s="377" t="s">
        <v>218</v>
      </c>
      <c r="AC7" s="377" t="s">
        <v>219</v>
      </c>
      <c r="AD7" s="377" t="s">
        <v>220</v>
      </c>
      <c r="AE7" s="377" t="s">
        <v>221</v>
      </c>
      <c r="AF7" s="377" t="s">
        <v>222</v>
      </c>
      <c r="AG7" s="377" t="s">
        <v>179</v>
      </c>
      <c r="AH7" s="382">
        <v>54.59</v>
      </c>
      <c r="AI7" s="380">
        <v>3360</v>
      </c>
      <c r="AJ7" s="377" t="s">
        <v>180</v>
      </c>
      <c r="AK7" s="377" t="s">
        <v>181</v>
      </c>
      <c r="AL7" s="377" t="s">
        <v>182</v>
      </c>
      <c r="AM7" s="377" t="s">
        <v>183</v>
      </c>
      <c r="AN7" s="377" t="s">
        <v>66</v>
      </c>
      <c r="AO7" s="380">
        <v>80</v>
      </c>
      <c r="AP7" s="385">
        <v>1</v>
      </c>
      <c r="AQ7" s="385">
        <v>1</v>
      </c>
      <c r="AR7" s="383" t="s">
        <v>184</v>
      </c>
      <c r="AS7" s="387">
        <f t="shared" si="27"/>
        <v>1</v>
      </c>
      <c r="AT7">
        <f t="shared" si="28"/>
        <v>1</v>
      </c>
      <c r="AU7" s="387">
        <f>IF(AT7=0,"",IF(AND(AT7=1,M7="F",SUMIF(C2:C9,C7,AS2:AS9)&lt;=1),SUMIF(C2:C9,C7,AS2:AS9),IF(AND(AT7=1,M7="F",SUMIF(C2:C9,C7,AS2:AS9)&gt;1),1,"")))</f>
        <v>1</v>
      </c>
      <c r="AV7" s="387" t="str">
        <f>IF(AT7=0,"",IF(AND(AT7=3,M7="F",SUMIF(C2:C9,C7,AS2:AS9)&lt;=1),SUMIF(C2:C9,C7,AS2:AS9),IF(AND(AT7=3,M7="F",SUMIF(C2:C9,C7,AS2:AS9)&gt;1),1,"")))</f>
        <v/>
      </c>
      <c r="AW7" s="387">
        <f>SUMIF(C2:C9,C7,O2:O9)</f>
        <v>1</v>
      </c>
      <c r="AX7" s="387">
        <f>IF(AND(M7="F",AS7&lt;&gt;0),SUMIF(C2:C9,C7,W2:W9),0)</f>
        <v>113547.2</v>
      </c>
      <c r="AY7" s="387">
        <f t="shared" si="29"/>
        <v>113547.2</v>
      </c>
      <c r="AZ7" s="387" t="str">
        <f t="shared" si="30"/>
        <v/>
      </c>
      <c r="BA7" s="387">
        <f t="shared" si="31"/>
        <v>0</v>
      </c>
      <c r="BB7" s="387">
        <f t="shared" si="0"/>
        <v>12500</v>
      </c>
      <c r="BC7" s="387">
        <f t="shared" si="1"/>
        <v>0</v>
      </c>
      <c r="BD7" s="387">
        <f t="shared" si="2"/>
        <v>7039.9263999999994</v>
      </c>
      <c r="BE7" s="387">
        <f t="shared" si="3"/>
        <v>1646.4344000000001</v>
      </c>
      <c r="BF7" s="387">
        <f t="shared" si="4"/>
        <v>13557.535680000001</v>
      </c>
      <c r="BG7" s="387">
        <f t="shared" si="5"/>
        <v>818.67531199999996</v>
      </c>
      <c r="BH7" s="387">
        <f t="shared" si="6"/>
        <v>0</v>
      </c>
      <c r="BI7" s="387">
        <f t="shared" si="7"/>
        <v>0</v>
      </c>
      <c r="BJ7" s="387">
        <f t="shared" si="8"/>
        <v>408.76991999999996</v>
      </c>
      <c r="BK7" s="387">
        <f t="shared" si="9"/>
        <v>0</v>
      </c>
      <c r="BL7" s="387">
        <f t="shared" si="32"/>
        <v>23471.341711999998</v>
      </c>
      <c r="BM7" s="387">
        <f t="shared" si="33"/>
        <v>0</v>
      </c>
      <c r="BN7" s="387">
        <f t="shared" si="10"/>
        <v>13750</v>
      </c>
      <c r="BO7" s="387">
        <f t="shared" si="11"/>
        <v>0</v>
      </c>
      <c r="BP7" s="387">
        <f t="shared" si="12"/>
        <v>7039.9263999999994</v>
      </c>
      <c r="BQ7" s="387">
        <f t="shared" si="13"/>
        <v>1646.4344000000001</v>
      </c>
      <c r="BR7" s="387">
        <f t="shared" si="14"/>
        <v>12694.576959999999</v>
      </c>
      <c r="BS7" s="387">
        <f t="shared" si="15"/>
        <v>818.67531199999996</v>
      </c>
      <c r="BT7" s="387">
        <f t="shared" si="16"/>
        <v>0</v>
      </c>
      <c r="BU7" s="387">
        <f t="shared" si="17"/>
        <v>0</v>
      </c>
      <c r="BV7" s="387">
        <f t="shared" si="18"/>
        <v>261.15855999999997</v>
      </c>
      <c r="BW7" s="387">
        <f t="shared" si="19"/>
        <v>0</v>
      </c>
      <c r="BX7" s="387">
        <f t="shared" si="34"/>
        <v>22460.771631999996</v>
      </c>
      <c r="BY7" s="387">
        <f t="shared" si="35"/>
        <v>0</v>
      </c>
      <c r="BZ7" s="387">
        <f t="shared" si="36"/>
        <v>1250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-862.95872000000111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-147.61135999999999</v>
      </c>
      <c r="CI7" s="387">
        <f t="shared" si="26"/>
        <v>0</v>
      </c>
      <c r="CJ7" s="387">
        <f t="shared" si="39"/>
        <v>-1010.5700800000011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7" t="s">
        <v>162</v>
      </c>
      <c r="B8" s="377" t="s">
        <v>163</v>
      </c>
      <c r="C8" s="377" t="s">
        <v>223</v>
      </c>
      <c r="D8" s="377" t="s">
        <v>204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205</v>
      </c>
      <c r="L8" s="377" t="s">
        <v>182</v>
      </c>
      <c r="M8" s="377" t="s">
        <v>224</v>
      </c>
      <c r="N8" s="377" t="s">
        <v>225</v>
      </c>
      <c r="O8" s="380">
        <v>0</v>
      </c>
      <c r="P8" s="385">
        <v>1</v>
      </c>
      <c r="Q8" s="385">
        <v>0</v>
      </c>
      <c r="R8" s="381">
        <v>0</v>
      </c>
      <c r="S8" s="385">
        <v>0</v>
      </c>
      <c r="T8" s="381">
        <v>0</v>
      </c>
      <c r="U8" s="381">
        <v>0</v>
      </c>
      <c r="V8" s="381">
        <v>0</v>
      </c>
      <c r="W8" s="381">
        <v>0</v>
      </c>
      <c r="X8" s="381">
        <v>0</v>
      </c>
      <c r="Y8" s="381">
        <v>0</v>
      </c>
      <c r="Z8" s="381">
        <v>0</v>
      </c>
      <c r="AA8" s="379"/>
      <c r="AB8" s="379"/>
      <c r="AC8" s="379"/>
      <c r="AD8" s="379"/>
      <c r="AE8" s="379"/>
      <c r="AF8" s="379"/>
      <c r="AG8" s="379"/>
      <c r="AH8" s="380">
        <v>0</v>
      </c>
      <c r="AI8" s="380">
        <v>0</v>
      </c>
      <c r="AJ8" s="379"/>
      <c r="AK8" s="379"/>
      <c r="AL8" s="377" t="s">
        <v>182</v>
      </c>
      <c r="AM8" s="379"/>
      <c r="AN8" s="379"/>
      <c r="AO8" s="380">
        <v>0</v>
      </c>
      <c r="AP8" s="385">
        <v>0</v>
      </c>
      <c r="AQ8" s="385">
        <v>0</v>
      </c>
      <c r="AR8" s="384"/>
      <c r="AS8" s="387">
        <f t="shared" si="27"/>
        <v>0</v>
      </c>
      <c r="AT8">
        <f t="shared" si="28"/>
        <v>0</v>
      </c>
      <c r="AU8" s="387" t="str">
        <f>IF(AT8=0,"",IF(AND(AT8=1,M8="F",SUMIF(C2:C9,C8,AS2:AS9)&lt;=1),SUMIF(C2:C9,C8,AS2:AS9),IF(AND(AT8=1,M8="F",SUMIF(C2:C9,C8,AS2:AS9)&gt;1),1,"")))</f>
        <v/>
      </c>
      <c r="AV8" s="387" t="str">
        <f>IF(AT8=0,"",IF(AND(AT8=3,M8="F",SUMIF(C2:C9,C8,AS2:AS9)&lt;=1),SUMIF(C2:C9,C8,AS2:AS9),IF(AND(AT8=3,M8="F",SUMIF(C2:C9,C8,AS2:AS9)&gt;1),1,"")))</f>
        <v/>
      </c>
      <c r="AW8" s="387">
        <f>SUMIF(C2:C9,C8,O2:O9)</f>
        <v>0</v>
      </c>
      <c r="AX8" s="387">
        <f>IF(AND(M8="F",AS8&lt;&gt;0),SUMIF(C2:C9,C8,W2:W9),0)</f>
        <v>0</v>
      </c>
      <c r="AY8" s="387" t="str">
        <f t="shared" si="29"/>
        <v/>
      </c>
      <c r="AZ8" s="387" t="str">
        <f t="shared" si="30"/>
        <v/>
      </c>
      <c r="BA8" s="387">
        <f t="shared" si="31"/>
        <v>0</v>
      </c>
      <c r="BB8" s="387">
        <f t="shared" si="0"/>
        <v>0</v>
      </c>
      <c r="BC8" s="387">
        <f t="shared" si="1"/>
        <v>0</v>
      </c>
      <c r="BD8" s="387">
        <f t="shared" si="2"/>
        <v>0</v>
      </c>
      <c r="BE8" s="387">
        <f t="shared" si="3"/>
        <v>0</v>
      </c>
      <c r="BF8" s="387">
        <f t="shared" si="4"/>
        <v>0</v>
      </c>
      <c r="BG8" s="387">
        <f t="shared" si="5"/>
        <v>0</v>
      </c>
      <c r="BH8" s="387">
        <f t="shared" si="6"/>
        <v>0</v>
      </c>
      <c r="BI8" s="387">
        <f t="shared" si="7"/>
        <v>0</v>
      </c>
      <c r="BJ8" s="387">
        <f t="shared" si="8"/>
        <v>0</v>
      </c>
      <c r="BK8" s="387">
        <f t="shared" si="9"/>
        <v>0</v>
      </c>
      <c r="BL8" s="387">
        <f t="shared" si="32"/>
        <v>0</v>
      </c>
      <c r="BM8" s="387">
        <f t="shared" si="33"/>
        <v>0</v>
      </c>
      <c r="BN8" s="387">
        <f t="shared" si="10"/>
        <v>0</v>
      </c>
      <c r="BO8" s="387">
        <f t="shared" si="11"/>
        <v>0</v>
      </c>
      <c r="BP8" s="387">
        <f t="shared" si="12"/>
        <v>0</v>
      </c>
      <c r="BQ8" s="387">
        <f t="shared" si="13"/>
        <v>0</v>
      </c>
      <c r="BR8" s="387">
        <f t="shared" si="14"/>
        <v>0</v>
      </c>
      <c r="BS8" s="387">
        <f t="shared" si="15"/>
        <v>0</v>
      </c>
      <c r="BT8" s="387">
        <f t="shared" si="16"/>
        <v>0</v>
      </c>
      <c r="BU8" s="387">
        <f t="shared" si="17"/>
        <v>0</v>
      </c>
      <c r="BV8" s="387">
        <f t="shared" si="18"/>
        <v>0</v>
      </c>
      <c r="BW8" s="387">
        <f t="shared" si="19"/>
        <v>0</v>
      </c>
      <c r="BX8" s="387">
        <f t="shared" si="34"/>
        <v>0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0</v>
      </c>
      <c r="CI8" s="387">
        <f t="shared" si="26"/>
        <v>0</v>
      </c>
      <c r="CJ8" s="387">
        <f t="shared" si="39"/>
        <v>0</v>
      </c>
      <c r="CK8" s="387" t="str">
        <f t="shared" si="40"/>
        <v/>
      </c>
      <c r="CL8" s="387">
        <f t="shared" si="41"/>
        <v>0</v>
      </c>
      <c r="CM8" s="387">
        <f t="shared" si="42"/>
        <v>0</v>
      </c>
      <c r="CN8" s="387" t="str">
        <f t="shared" si="43"/>
        <v>0001-00</v>
      </c>
    </row>
    <row r="9" spans="1:92" ht="15.75" thickBot="1" x14ac:dyDescent="0.3">
      <c r="A9" s="377" t="s">
        <v>162</v>
      </c>
      <c r="B9" s="377" t="s">
        <v>163</v>
      </c>
      <c r="C9" s="377" t="s">
        <v>226</v>
      </c>
      <c r="D9" s="377" t="s">
        <v>227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169</v>
      </c>
      <c r="K9" s="377" t="s">
        <v>228</v>
      </c>
      <c r="L9" s="377" t="s">
        <v>167</v>
      </c>
      <c r="M9" s="377" t="s">
        <v>224</v>
      </c>
      <c r="N9" s="377" t="s">
        <v>225</v>
      </c>
      <c r="O9" s="380">
        <v>0</v>
      </c>
      <c r="P9" s="385">
        <v>1</v>
      </c>
      <c r="Q9" s="385">
        <v>0</v>
      </c>
      <c r="R9" s="381">
        <v>0</v>
      </c>
      <c r="S9" s="385">
        <v>0</v>
      </c>
      <c r="T9" s="381">
        <v>0</v>
      </c>
      <c r="U9" s="381">
        <v>0</v>
      </c>
      <c r="V9" s="381">
        <v>0</v>
      </c>
      <c r="W9" s="381">
        <v>0</v>
      </c>
      <c r="X9" s="381">
        <v>0</v>
      </c>
      <c r="Y9" s="381">
        <v>0</v>
      </c>
      <c r="Z9" s="381">
        <v>0</v>
      </c>
      <c r="AA9" s="379"/>
      <c r="AB9" s="379"/>
      <c r="AC9" s="379"/>
      <c r="AD9" s="379"/>
      <c r="AE9" s="379"/>
      <c r="AF9" s="379"/>
      <c r="AG9" s="379"/>
      <c r="AH9" s="380">
        <v>0</v>
      </c>
      <c r="AI9" s="380">
        <v>0</v>
      </c>
      <c r="AJ9" s="379"/>
      <c r="AK9" s="379"/>
      <c r="AL9" s="377" t="s">
        <v>182</v>
      </c>
      <c r="AM9" s="379"/>
      <c r="AN9" s="379"/>
      <c r="AO9" s="380">
        <v>0</v>
      </c>
      <c r="AP9" s="385">
        <v>0</v>
      </c>
      <c r="AQ9" s="385">
        <v>0</v>
      </c>
      <c r="AR9" s="384"/>
      <c r="AS9" s="387">
        <f t="shared" si="27"/>
        <v>0</v>
      </c>
      <c r="AT9">
        <f t="shared" si="28"/>
        <v>0</v>
      </c>
      <c r="AU9" s="387" t="str">
        <f>IF(AT9=0,"",IF(AND(AT9=1,M9="F",SUMIF(C2:C9,C9,AS2:AS9)&lt;=1),SUMIF(C2:C9,C9,AS2:AS9),IF(AND(AT9=1,M9="F",SUMIF(C2:C9,C9,AS2:AS9)&gt;1),1,"")))</f>
        <v/>
      </c>
      <c r="AV9" s="387" t="str">
        <f>IF(AT9=0,"",IF(AND(AT9=3,M9="F",SUMIF(C2:C9,C9,AS2:AS9)&lt;=1),SUMIF(C2:C9,C9,AS2:AS9),IF(AND(AT9=3,M9="F",SUMIF(C2:C9,C9,AS2:AS9)&gt;1),1,"")))</f>
        <v/>
      </c>
      <c r="AW9" s="387">
        <f>SUMIF(C2:C9,C9,O2:O9)</f>
        <v>0</v>
      </c>
      <c r="AX9" s="387">
        <f>IF(AND(M9="F",AS9&lt;&gt;0),SUMIF(C2:C9,C9,W2:W9),0)</f>
        <v>0</v>
      </c>
      <c r="AY9" s="387" t="str">
        <f t="shared" si="29"/>
        <v/>
      </c>
      <c r="AZ9" s="387" t="str">
        <f t="shared" si="30"/>
        <v/>
      </c>
      <c r="BA9" s="387">
        <f t="shared" si="31"/>
        <v>0</v>
      </c>
      <c r="BB9" s="387">
        <f t="shared" si="0"/>
        <v>0</v>
      </c>
      <c r="BC9" s="387">
        <f t="shared" si="1"/>
        <v>0</v>
      </c>
      <c r="BD9" s="387">
        <f t="shared" si="2"/>
        <v>0</v>
      </c>
      <c r="BE9" s="387">
        <f t="shared" si="3"/>
        <v>0</v>
      </c>
      <c r="BF9" s="387">
        <f t="shared" si="4"/>
        <v>0</v>
      </c>
      <c r="BG9" s="387">
        <f t="shared" si="5"/>
        <v>0</v>
      </c>
      <c r="BH9" s="387">
        <f t="shared" si="6"/>
        <v>0</v>
      </c>
      <c r="BI9" s="387">
        <f t="shared" si="7"/>
        <v>0</v>
      </c>
      <c r="BJ9" s="387">
        <f t="shared" si="8"/>
        <v>0</v>
      </c>
      <c r="BK9" s="387">
        <f t="shared" si="9"/>
        <v>0</v>
      </c>
      <c r="BL9" s="387">
        <f t="shared" si="32"/>
        <v>0</v>
      </c>
      <c r="BM9" s="387">
        <f t="shared" si="33"/>
        <v>0</v>
      </c>
      <c r="BN9" s="387">
        <f t="shared" si="10"/>
        <v>0</v>
      </c>
      <c r="BO9" s="387">
        <f t="shared" si="11"/>
        <v>0</v>
      </c>
      <c r="BP9" s="387">
        <f t="shared" si="12"/>
        <v>0</v>
      </c>
      <c r="BQ9" s="387">
        <f t="shared" si="13"/>
        <v>0</v>
      </c>
      <c r="BR9" s="387">
        <f t="shared" si="14"/>
        <v>0</v>
      </c>
      <c r="BS9" s="387">
        <f t="shared" si="15"/>
        <v>0</v>
      </c>
      <c r="BT9" s="387">
        <f t="shared" si="16"/>
        <v>0</v>
      </c>
      <c r="BU9" s="387">
        <f t="shared" si="17"/>
        <v>0</v>
      </c>
      <c r="BV9" s="387">
        <f t="shared" si="18"/>
        <v>0</v>
      </c>
      <c r="BW9" s="387">
        <f t="shared" si="19"/>
        <v>0</v>
      </c>
      <c r="BX9" s="387">
        <f t="shared" si="34"/>
        <v>0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0</v>
      </c>
      <c r="CI9" s="387">
        <f t="shared" si="26"/>
        <v>0</v>
      </c>
      <c r="CJ9" s="387">
        <f t="shared" si="39"/>
        <v>0</v>
      </c>
      <c r="CK9" s="387" t="str">
        <f t="shared" si="40"/>
        <v/>
      </c>
      <c r="CL9" s="387">
        <f t="shared" si="41"/>
        <v>0</v>
      </c>
      <c r="CM9" s="387">
        <f t="shared" si="42"/>
        <v>0</v>
      </c>
      <c r="CN9" s="387" t="str">
        <f t="shared" si="43"/>
        <v>0001-00</v>
      </c>
    </row>
    <row r="11" spans="1:92" ht="21" x14ac:dyDescent="0.35">
      <c r="AQ11" s="251" t="s">
        <v>285</v>
      </c>
    </row>
    <row r="12" spans="1:92" ht="15.75" thickBot="1" x14ac:dyDescent="0.3">
      <c r="AR12" t="s">
        <v>277</v>
      </c>
      <c r="AS12" s="387">
        <f>SUMIFS(AS2:AS9,G2:G9,"GVST",E2:E9,"0001",F2:F9,"00",AT2:AT9,1)</f>
        <v>6</v>
      </c>
      <c r="AT12" s="387">
        <f>SUMIFS(AS2:AS9,G2:G9,"GVST",E2:E9,"0001",F2:F9,"00",AT2:AT9,3)</f>
        <v>0</v>
      </c>
      <c r="AU12" s="387">
        <f>SUMIFS(AU2:AU9,G2:G9,"GVST",E2:E9,"0001",F2:F9,"00")</f>
        <v>6</v>
      </c>
      <c r="AV12" s="387">
        <f>SUMIFS(AV2:AV9,G2:G9,"GVST",E2:E9,"0001",F2:F9,"00")</f>
        <v>0</v>
      </c>
      <c r="AW12" s="387">
        <f>SUMIFS(AW2:AW9,G2:G9,"GVST",E2:E9,"0001",F2:F9,"00")</f>
        <v>6</v>
      </c>
      <c r="AX12" s="387">
        <f>SUMIFS(AX2:AX9,G2:G9,"GVST",E2:E9,"0001",F2:F9,"00")</f>
        <v>447262.39999999997</v>
      </c>
      <c r="AY12" s="387">
        <f>SUMIFS(AY2:AY9,G2:G9,"GVST",E2:E9,"0001",F2:F9,"00")</f>
        <v>447262.39999999997</v>
      </c>
      <c r="AZ12" s="387">
        <f>SUMIFS(AZ2:AZ9,G2:G9,"GVST",E2:E9,"0001",F2:F9,"00")</f>
        <v>0</v>
      </c>
      <c r="BA12" s="387">
        <f>SUMIFS(BA2:BA9,G2:G9,"GVST",E2:E9,"0001",F2:F9,"00")</f>
        <v>0</v>
      </c>
      <c r="BB12" s="387">
        <f>SUMIFS(BB2:BB9,G2:G9,"GVST",E2:E9,"0001",F2:F9,"00")</f>
        <v>75000</v>
      </c>
      <c r="BC12" s="387">
        <f>SUMIFS(BC2:BC9,G2:G9,"GVST",E2:E9,"0001",F2:F9,"00")</f>
        <v>0</v>
      </c>
      <c r="BD12" s="387">
        <f>SUMIFS(BD2:BD9,G2:G9,"GVST",E2:E9,"0001",F2:F9,"00")</f>
        <v>27730.268799999998</v>
      </c>
      <c r="BE12" s="387">
        <f>SUMIFS(BE2:BE9,G2:G9,"GVST",E2:E9,"0001",F2:F9,"00")</f>
        <v>6485.3047999999999</v>
      </c>
      <c r="BF12" s="387">
        <f>SUMIFS(BF2:BF9,G2:G9,"GVST",E2:E9,"0001",F2:F9,"00")</f>
        <v>53403.130560000005</v>
      </c>
      <c r="BG12" s="387">
        <f>SUMIFS(BG2:BG9,G2:G9,"GVST",E2:E9,"0001",F2:F9,"00")</f>
        <v>3224.761904</v>
      </c>
      <c r="BH12" s="387">
        <f>SUMIFS(BH2:BH9,G2:G9,"GVST",E2:E9,"0001",F2:F9,"00")</f>
        <v>0</v>
      </c>
      <c r="BI12" s="387">
        <f>SUMIFS(BI2:BI9,G2:G9,"GVST",E2:E9,"0001",F2:F9,"00")</f>
        <v>0</v>
      </c>
      <c r="BJ12" s="387">
        <f>SUMIFS(BJ2:BJ9,G2:G9,"GVST",E2:E9,"0001",F2:F9,"00")</f>
        <v>1610.14464</v>
      </c>
      <c r="BK12" s="387">
        <f>SUMIFS(BK2:BK9,G2:G9,"GVST",E2:E9,"0001",F2:F9,"00")</f>
        <v>0</v>
      </c>
      <c r="BL12" s="387">
        <f>SUMIFS(BL2:BL9,G2:G9,"GVST",E2:E9,"0001",F2:F9,"00")</f>
        <v>92453.610703999992</v>
      </c>
      <c r="BM12" s="387">
        <f>SUMIFS(BM2:BM9,G2:G9,"GVST",E2:E9,"0001",F2:F9,"00")</f>
        <v>0</v>
      </c>
      <c r="BN12" s="387">
        <f>SUMIFS(BN2:BN9,G2:G9,"GVST",E2:E9,"0001",F2:F9,"00")</f>
        <v>82500</v>
      </c>
      <c r="BO12" s="387">
        <f>SUMIFS(BO2:BO9,G2:G9,"GVST",E2:E9,"0001",F2:F9,"00")</f>
        <v>0</v>
      </c>
      <c r="BP12" s="387">
        <f>SUMIFS(BP2:BP9,G2:G9,"GVST",E2:E9,"0001",F2:F9,"00")</f>
        <v>27730.268799999998</v>
      </c>
      <c r="BQ12" s="387">
        <f>SUMIFS(BQ2:BQ9,G2:G9,"GVST",E2:E9,"0001",F2:F9,"00")</f>
        <v>6485.3047999999999</v>
      </c>
      <c r="BR12" s="387">
        <f>SUMIFS(BR2:BR9,G2:G9,"GVST",E2:E9,"0001",F2:F9,"00")</f>
        <v>50003.936320000001</v>
      </c>
      <c r="BS12" s="387">
        <f>SUMIFS(BS2:BS9,G2:G9,"GVST",E2:E9,"0001",F2:F9,"00")</f>
        <v>3224.761904</v>
      </c>
      <c r="BT12" s="387">
        <f>SUMIFS(BT2:BT9,G2:G9,"GVST",E2:E9,"0001",F2:F9,"00")</f>
        <v>0</v>
      </c>
      <c r="BU12" s="387">
        <f>SUMIFS(BU2:BU9,G2:G9,"GVST",E2:E9,"0001",F2:F9,"00")</f>
        <v>0</v>
      </c>
      <c r="BV12" s="387">
        <f>SUMIFS(BV2:BV9,G2:G9,"GVST",E2:E9,"0001",F2:F9,"00")</f>
        <v>1028.70352</v>
      </c>
      <c r="BW12" s="387">
        <f>SUMIFS(BW2:BW9,G2:G9,"GVST",E2:E9,"0001",F2:F9,"00")</f>
        <v>0</v>
      </c>
      <c r="BX12" s="387">
        <f>SUMIFS(BX2:BX9,G2:G9,"GVST",E2:E9,"0001",F2:F9,"00")</f>
        <v>88472.975344000006</v>
      </c>
      <c r="BY12" s="387">
        <f>SUMIFS(BY2:BY9,G2:G9,"GVST",E2:E9,"0001",F2:F9,"00")</f>
        <v>0</v>
      </c>
      <c r="BZ12" s="387">
        <f>SUMIFS(BZ2:BZ9,G2:G9,"GVST",E2:E9,"0001",F2:F9,"00")</f>
        <v>7500</v>
      </c>
      <c r="CA12" s="387">
        <f>SUMIFS(CA2:CA9,G2:G9,"GVST",E2:E9,"0001",F2:F9,"00")</f>
        <v>0</v>
      </c>
      <c r="CB12" s="387">
        <f>SUMIFS(CB2:CB9,G2:G9,"GVST",E2:E9,"0001",F2:F9,"00")</f>
        <v>0</v>
      </c>
      <c r="CC12" s="387">
        <f>SUMIFS(CC2:CC9,G2:G9,"GVST",E2:E9,"0001",F2:F9,"00")</f>
        <v>0</v>
      </c>
      <c r="CD12" s="387">
        <f>SUMIFS(CD2:CD9,G2:G9,"GVST",E2:E9,"0001",F2:F9,"00")</f>
        <v>-3399.1942400000044</v>
      </c>
      <c r="CE12" s="387">
        <f>SUMIFS(CE2:CE9,G2:G9,"GVST",E2:E9,"0001",F2:F9,"00")</f>
        <v>0</v>
      </c>
      <c r="CF12" s="387">
        <f>SUMIFS(CF2:CF9,G2:G9,"GVST",E2:E9,"0001",F2:F9,"00")</f>
        <v>0</v>
      </c>
      <c r="CG12" s="387">
        <f>SUMIFS(CG2:CG9,G2:G9,"GVST",E2:E9,"0001",F2:F9,"00")</f>
        <v>0</v>
      </c>
      <c r="CH12" s="387">
        <f>SUMIFS(CH2:CH9,G2:G9,"GVST",E2:E9,"0001",F2:F9,"00")</f>
        <v>-581.44111999999996</v>
      </c>
      <c r="CI12" s="387">
        <f>SUMIFS(CI2:CI9,G2:G9,"GVST",E2:E9,"0001",F2:F9,"00")</f>
        <v>0</v>
      </c>
      <c r="CJ12" s="387">
        <f>SUMIFS(CJ2:CJ9,G2:G9,"GVST",E2:E9,"0001",F2:F9,"00")</f>
        <v>-3980.6353600000048</v>
      </c>
      <c r="CK12" s="387">
        <f>SUMIFS(CK2:CK9,G2:G9,"GVST",E2:E9,"0001",F2:F9,"00")</f>
        <v>0</v>
      </c>
      <c r="CL12" s="387">
        <f>SUMIFS(CL2:CL9,G2:G9,"GVST",E2:E9,"0001",F2:F9,"00")</f>
        <v>0</v>
      </c>
      <c r="CM12" s="387">
        <f>SUMIFS(CM2:CM9,G2:G9,"GVST",E2:E9,"0001",F2:F9,"00")</f>
        <v>0</v>
      </c>
    </row>
    <row r="13" spans="1:92" ht="18.75" x14ac:dyDescent="0.3">
      <c r="AQ13" s="393" t="s">
        <v>278</v>
      </c>
      <c r="AS13" s="394">
        <f t="shared" ref="AS13:CM13" si="44">SUM(AS12:AS12)</f>
        <v>6</v>
      </c>
      <c r="AT13" s="394">
        <f t="shared" si="44"/>
        <v>0</v>
      </c>
      <c r="AU13" s="394">
        <f t="shared" si="44"/>
        <v>6</v>
      </c>
      <c r="AV13" s="394">
        <f t="shared" si="44"/>
        <v>0</v>
      </c>
      <c r="AW13" s="394">
        <f t="shared" si="44"/>
        <v>6</v>
      </c>
      <c r="AX13" s="394">
        <f t="shared" si="44"/>
        <v>447262.39999999997</v>
      </c>
      <c r="AY13" s="394">
        <f t="shared" si="44"/>
        <v>447262.39999999997</v>
      </c>
      <c r="AZ13" s="394">
        <f t="shared" si="44"/>
        <v>0</v>
      </c>
      <c r="BA13" s="394">
        <f t="shared" si="44"/>
        <v>0</v>
      </c>
      <c r="BB13" s="394">
        <f t="shared" si="44"/>
        <v>75000</v>
      </c>
      <c r="BC13" s="394">
        <f t="shared" si="44"/>
        <v>0</v>
      </c>
      <c r="BD13" s="394">
        <f t="shared" si="44"/>
        <v>27730.268799999998</v>
      </c>
      <c r="BE13" s="394">
        <f t="shared" si="44"/>
        <v>6485.3047999999999</v>
      </c>
      <c r="BF13" s="394">
        <f t="shared" si="44"/>
        <v>53403.130560000005</v>
      </c>
      <c r="BG13" s="394">
        <f t="shared" si="44"/>
        <v>3224.761904</v>
      </c>
      <c r="BH13" s="394">
        <f t="shared" si="44"/>
        <v>0</v>
      </c>
      <c r="BI13" s="394">
        <f t="shared" si="44"/>
        <v>0</v>
      </c>
      <c r="BJ13" s="394">
        <f t="shared" si="44"/>
        <v>1610.14464</v>
      </c>
      <c r="BK13" s="394">
        <f t="shared" si="44"/>
        <v>0</v>
      </c>
      <c r="BL13" s="394">
        <f t="shared" si="44"/>
        <v>92453.610703999992</v>
      </c>
      <c r="BM13" s="394">
        <f t="shared" si="44"/>
        <v>0</v>
      </c>
      <c r="BN13" s="394">
        <f t="shared" si="44"/>
        <v>82500</v>
      </c>
      <c r="BO13" s="394">
        <f t="shared" si="44"/>
        <v>0</v>
      </c>
      <c r="BP13" s="394">
        <f t="shared" si="44"/>
        <v>27730.268799999998</v>
      </c>
      <c r="BQ13" s="394">
        <f t="shared" si="44"/>
        <v>6485.3047999999999</v>
      </c>
      <c r="BR13" s="394">
        <f t="shared" si="44"/>
        <v>50003.936320000001</v>
      </c>
      <c r="BS13" s="394">
        <f t="shared" si="44"/>
        <v>3224.761904</v>
      </c>
      <c r="BT13" s="394">
        <f t="shared" si="44"/>
        <v>0</v>
      </c>
      <c r="BU13" s="394">
        <f t="shared" si="44"/>
        <v>0</v>
      </c>
      <c r="BV13" s="394">
        <f t="shared" si="44"/>
        <v>1028.70352</v>
      </c>
      <c r="BW13" s="394">
        <f t="shared" si="44"/>
        <v>0</v>
      </c>
      <c r="BX13" s="394">
        <f t="shared" si="44"/>
        <v>88472.975344000006</v>
      </c>
      <c r="BY13" s="394">
        <f t="shared" si="44"/>
        <v>0</v>
      </c>
      <c r="BZ13" s="394">
        <f t="shared" si="44"/>
        <v>7500</v>
      </c>
      <c r="CA13" s="394">
        <f t="shared" si="44"/>
        <v>0</v>
      </c>
      <c r="CB13" s="394">
        <f t="shared" si="44"/>
        <v>0</v>
      </c>
      <c r="CC13" s="394">
        <f t="shared" si="44"/>
        <v>0</v>
      </c>
      <c r="CD13" s="394">
        <f t="shared" si="44"/>
        <v>-3399.1942400000044</v>
      </c>
      <c r="CE13" s="394">
        <f t="shared" si="44"/>
        <v>0</v>
      </c>
      <c r="CF13" s="394">
        <f t="shared" si="44"/>
        <v>0</v>
      </c>
      <c r="CG13" s="394">
        <f t="shared" si="44"/>
        <v>0</v>
      </c>
      <c r="CH13" s="394">
        <f t="shared" si="44"/>
        <v>-581.44111999999996</v>
      </c>
      <c r="CI13" s="394">
        <f t="shared" si="44"/>
        <v>0</v>
      </c>
      <c r="CJ13" s="394">
        <f t="shared" si="44"/>
        <v>-3980.6353600000048</v>
      </c>
      <c r="CK13" s="394">
        <f t="shared" si="44"/>
        <v>0</v>
      </c>
      <c r="CL13" s="394">
        <f t="shared" si="44"/>
        <v>0</v>
      </c>
      <c r="CM13" s="394">
        <f t="shared" si="44"/>
        <v>0</v>
      </c>
    </row>
    <row r="15" spans="1:92" ht="21" x14ac:dyDescent="0.35">
      <c r="AO15" s="251" t="s">
        <v>95</v>
      </c>
      <c r="AP15" s="251"/>
      <c r="AQ15" s="251"/>
    </row>
    <row r="17" spans="41:69" ht="21" x14ac:dyDescent="0.35">
      <c r="AO17" s="252"/>
      <c r="AP17" s="252"/>
      <c r="AQ17" s="252"/>
    </row>
    <row r="18" spans="41:69" ht="15.75" x14ac:dyDescent="0.25">
      <c r="AS18" s="374" t="s">
        <v>81</v>
      </c>
      <c r="AT18" s="477" t="s">
        <v>288</v>
      </c>
      <c r="AU18" s="477"/>
      <c r="AV18" s="478" t="s">
        <v>286</v>
      </c>
      <c r="AW18" s="477" t="s">
        <v>289</v>
      </c>
      <c r="AX18" s="477"/>
      <c r="AY18" s="478" t="s">
        <v>287</v>
      </c>
      <c r="AZ18" s="477" t="s">
        <v>290</v>
      </c>
      <c r="BA18" s="477"/>
    </row>
    <row r="19" spans="41:69" ht="15.75" x14ac:dyDescent="0.25">
      <c r="AS19" s="249"/>
      <c r="AT19" s="374" t="s">
        <v>92</v>
      </c>
      <c r="AU19" s="373" t="s">
        <v>94</v>
      </c>
      <c r="AV19" s="479"/>
      <c r="AW19" s="374" t="s">
        <v>96</v>
      </c>
      <c r="AX19" s="373" t="s">
        <v>93</v>
      </c>
      <c r="AY19" s="479"/>
      <c r="AZ19" s="374" t="s">
        <v>96</v>
      </c>
      <c r="BA19" s="373" t="s">
        <v>93</v>
      </c>
    </row>
    <row r="20" spans="41:69" x14ac:dyDescent="0.25">
      <c r="AO20" s="392" t="s">
        <v>291</v>
      </c>
    </row>
    <row r="21" spans="41:69" x14ac:dyDescent="0.25">
      <c r="AQ21" t="s">
        <v>282</v>
      </c>
      <c r="AS21" s="387">
        <f>SUM(SUMIFS(AS2:AS9,CN2:CN9,AQ21,E2:E9,"0001",F2:F9,"00",AT2:AT9,{1,3}))</f>
        <v>6</v>
      </c>
      <c r="AT21" s="387">
        <f>SUMPRODUCT(--(CN2:CN9=AQ21),--(N2:N9&lt;&gt;"NG"),--(AG2:AG9&lt;&gt;"D"),--(AR2:AR9&lt;&gt;6),--(AR2:AR9&lt;&gt;36),--(AR2:AR9&lt;&gt;56),T2:T9)+SUMPRODUCT(--(CN2:CN9=AQ21),--(N2:N9&lt;&gt;"NG"),--(AG2:AG9&lt;&gt;"D"),--(AR2:AR9&lt;&gt;6),--(AR2:AR9&lt;&gt;36),--(AR2:AR9&lt;&gt;56),U2:U9)</f>
        <v>417776.73000000004</v>
      </c>
      <c r="AU21" s="387">
        <f>SUMPRODUCT(--(CN2:CN9=AQ21),--(N2:N9&lt;&gt;"NG"),--(AG2:AG9&lt;&gt;"D"),--(AR2:AR9&lt;&gt;6),--(AR2:AR9&lt;&gt;36),--(AR2:AR9&lt;&gt;56),V2:V9)</f>
        <v>154817.15</v>
      </c>
      <c r="AV21" s="387">
        <f>SUMPRODUCT(--(CN2:CN9=AQ21),AY2:AY9)+SUMPRODUCT(--(CN2:CN9=AQ21),AZ2:AZ9)</f>
        <v>447262.39999999997</v>
      </c>
      <c r="AW21" s="387">
        <f>SUMPRODUCT(--(CN2:CN9=AQ21),BB2:BB9)+SUMPRODUCT(--(CN2:CN9=AQ21),BC2:BC9)</f>
        <v>75000</v>
      </c>
      <c r="AX21" s="387">
        <f>SUMPRODUCT(--(CN2:CN9=AQ21),BL2:BL9)+SUMPRODUCT(--(CN2:CN9=AQ21),BM2:BM9)</f>
        <v>92453.610703999992</v>
      </c>
      <c r="AY21" s="387">
        <f>SUMPRODUCT(--(CN2:CN9=AQ21),AY2:AY9)+SUMPRODUCT(--(CN2:CN9=AQ21),AZ2:AZ9)+SUMPRODUCT(--(CN2:CN9=AQ21),BA2:BA9)</f>
        <v>447262.39999999997</v>
      </c>
      <c r="AZ21" s="387">
        <f>SUMPRODUCT(--(CN2:CN9=AQ21),BN2:BN9)+SUMPRODUCT(--(CN2:CN9=AQ21),BO2:BO9)</f>
        <v>82500</v>
      </c>
      <c r="BA21" s="387">
        <f>SUMPRODUCT(--(CN2:CN9=AQ21),BX2:BX9)+SUMPRODUCT(--(CN2:CN9=AQ21),BY2:BY9)</f>
        <v>88472.975344000006</v>
      </c>
    </row>
    <row r="22" spans="41:69" x14ac:dyDescent="0.25">
      <c r="AP22" t="s">
        <v>292</v>
      </c>
      <c r="AS22" s="398">
        <f t="shared" ref="AS22:BA22" si="45">SUM(AS21:AS21)</f>
        <v>6</v>
      </c>
      <c r="AT22" s="398">
        <f t="shared" si="45"/>
        <v>417776.73000000004</v>
      </c>
      <c r="AU22" s="398">
        <f t="shared" si="45"/>
        <v>154817.15</v>
      </c>
      <c r="AV22" s="398">
        <f t="shared" si="45"/>
        <v>447262.39999999997</v>
      </c>
      <c r="AW22" s="398">
        <f t="shared" si="45"/>
        <v>75000</v>
      </c>
      <c r="AX22" s="398">
        <f t="shared" si="45"/>
        <v>92453.610703999992</v>
      </c>
      <c r="AY22" s="398">
        <f t="shared" si="45"/>
        <v>447262.39999999997</v>
      </c>
      <c r="AZ22" s="398">
        <f t="shared" si="45"/>
        <v>82500</v>
      </c>
      <c r="BA22" s="398">
        <f t="shared" si="45"/>
        <v>88472.975344000006</v>
      </c>
    </row>
    <row r="23" spans="41:69" x14ac:dyDescent="0.25">
      <c r="AS23" s="387"/>
      <c r="AT23" s="387"/>
      <c r="AU23" s="387"/>
      <c r="AV23" s="387"/>
      <c r="AW23" s="387"/>
      <c r="AX23" s="387"/>
      <c r="AY23" s="387"/>
      <c r="AZ23" s="387"/>
      <c r="BA23" s="387"/>
    </row>
    <row r="24" spans="41:69" x14ac:dyDescent="0.25">
      <c r="AO24" s="396" t="s">
        <v>293</v>
      </c>
      <c r="AS24" s="399">
        <f t="shared" ref="AS24:BA24" si="46">SUM(AS22)</f>
        <v>6</v>
      </c>
      <c r="AT24" s="399">
        <f t="shared" si="46"/>
        <v>417776.73000000004</v>
      </c>
      <c r="AU24" s="399">
        <f t="shared" si="46"/>
        <v>154817.15</v>
      </c>
      <c r="AV24" s="399">
        <f t="shared" si="46"/>
        <v>447262.39999999997</v>
      </c>
      <c r="AW24" s="399">
        <f t="shared" si="46"/>
        <v>75000</v>
      </c>
      <c r="AX24" s="399">
        <f t="shared" si="46"/>
        <v>92453.610703999992</v>
      </c>
      <c r="AY24" s="399">
        <f t="shared" si="46"/>
        <v>447262.39999999997</v>
      </c>
      <c r="AZ24" s="399">
        <f t="shared" si="46"/>
        <v>82500</v>
      </c>
      <c r="BA24" s="399">
        <f t="shared" si="46"/>
        <v>88472.975344000006</v>
      </c>
    </row>
    <row r="25" spans="41:69" x14ac:dyDescent="0.25">
      <c r="AS25" s="387"/>
      <c r="AT25" s="387"/>
      <c r="AU25" s="387"/>
      <c r="AV25" s="387"/>
      <c r="AW25" s="387"/>
      <c r="AX25" s="387"/>
      <c r="AY25" s="387"/>
      <c r="AZ25" s="387"/>
      <c r="BA25" s="387"/>
    </row>
    <row r="26" spans="41:69" x14ac:dyDescent="0.25">
      <c r="AO26" s="392" t="s">
        <v>294</v>
      </c>
      <c r="AS26" s="387"/>
      <c r="AT26" s="387"/>
      <c r="AU26" s="387"/>
      <c r="AV26" s="387"/>
      <c r="AW26" s="387"/>
      <c r="AX26" s="387"/>
      <c r="AY26" s="387"/>
      <c r="AZ26" s="387"/>
      <c r="BA26" s="387"/>
    </row>
    <row r="27" spans="41:69" x14ac:dyDescent="0.25">
      <c r="AS27" s="387"/>
      <c r="AT27" s="387"/>
      <c r="AU27" s="387"/>
      <c r="AV27" s="387"/>
      <c r="AW27" s="387"/>
      <c r="AX27" s="387"/>
      <c r="AY27" s="387"/>
      <c r="AZ27" s="387"/>
      <c r="BA27" s="387"/>
    </row>
    <row r="28" spans="41:69" x14ac:dyDescent="0.25">
      <c r="AO28" s="396" t="s">
        <v>295</v>
      </c>
      <c r="AS28" s="387"/>
      <c r="AT28" s="387"/>
      <c r="AU28" s="387"/>
      <c r="AV28" s="387"/>
      <c r="AW28" s="387"/>
      <c r="AX28" s="387"/>
      <c r="AY28" s="387"/>
      <c r="AZ28" s="387"/>
      <c r="BA28" s="387"/>
      <c r="BQ28" s="392"/>
    </row>
    <row r="29" spans="41:69" x14ac:dyDescent="0.25">
      <c r="AS29" s="387"/>
      <c r="AT29" s="387"/>
      <c r="AU29" s="387"/>
      <c r="AV29" s="387"/>
      <c r="AW29" s="387"/>
      <c r="AX29" s="387"/>
      <c r="AY29" s="387"/>
      <c r="AZ29" s="387"/>
      <c r="BA29" s="387"/>
    </row>
    <row r="30" spans="41:69" x14ac:dyDescent="0.25">
      <c r="AO30" s="397" t="s">
        <v>296</v>
      </c>
      <c r="AS30" s="400">
        <f t="shared" ref="AS30:BA30" si="47">SUM(AS24)</f>
        <v>6</v>
      </c>
      <c r="AT30" s="401">
        <f t="shared" si="47"/>
        <v>417776.73000000004</v>
      </c>
      <c r="AU30" s="401">
        <f t="shared" si="47"/>
        <v>154817.15</v>
      </c>
      <c r="AV30" s="401">
        <f t="shared" si="47"/>
        <v>447262.39999999997</v>
      </c>
      <c r="AW30" s="401">
        <f t="shared" si="47"/>
        <v>75000</v>
      </c>
      <c r="AX30" s="401">
        <f t="shared" si="47"/>
        <v>92453.610703999992</v>
      </c>
      <c r="AY30" s="401">
        <f t="shared" si="47"/>
        <v>447262.39999999997</v>
      </c>
      <c r="AZ30" s="401">
        <f t="shared" si="47"/>
        <v>82500</v>
      </c>
      <c r="BA30" s="401">
        <f t="shared" si="47"/>
        <v>88472.975344000006</v>
      </c>
    </row>
  </sheetData>
  <mergeCells count="5">
    <mergeCell ref="AT18:AU18"/>
    <mergeCell ref="AV18:AV19"/>
    <mergeCell ref="AW18:AX18"/>
    <mergeCell ref="AY18:AY19"/>
    <mergeCell ref="AZ18:BA1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2" sqref="D12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80"/>
      <c r="B1" s="480"/>
      <c r="C1" s="480"/>
      <c r="D1" s="480"/>
      <c r="E1" s="480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 x14ac:dyDescent="0.3">
      <c r="A8" s="3"/>
      <c r="B8" s="130" t="s">
        <v>5</v>
      </c>
      <c r="C8" s="235">
        <v>3.5999999999999999E-3</v>
      </c>
      <c r="D8" s="234">
        <v>2.3E-3</v>
      </c>
      <c r="E8" s="314">
        <f t="shared" si="0"/>
        <v>-1.2999999999999999E-3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8.7309999999999999E-2</v>
      </c>
      <c r="D12" s="234">
        <f>SUM(D5:D11)</f>
        <v>8.6009999999999989E-2</v>
      </c>
      <c r="E12" s="315">
        <f>D12-C12</f>
        <v>-1.3000000000000095E-3</v>
      </c>
      <c r="M12" s="320"/>
    </row>
    <row r="13" spans="1:15" x14ac:dyDescent="0.3">
      <c r="A13" s="3"/>
      <c r="B13" s="231" t="s">
        <v>9</v>
      </c>
      <c r="C13" s="226">
        <f>SUM(C5:C8)</f>
        <v>8.0100000000000005E-2</v>
      </c>
      <c r="D13" s="226">
        <f>SUM(D5:D8)</f>
        <v>7.8799999999999995E-2</v>
      </c>
      <c r="E13" s="313">
        <f t="shared" si="0"/>
        <v>-1.3000000000000095E-3</v>
      </c>
      <c r="F13" s="8"/>
    </row>
    <row r="14" spans="1:15" x14ac:dyDescent="0.3">
      <c r="A14" s="230"/>
      <c r="B14" s="232" t="s">
        <v>100</v>
      </c>
      <c r="C14" s="226">
        <f>SUM(C5:C6,C8:C9)</f>
        <v>8.7309999999999999E-2</v>
      </c>
      <c r="D14" s="226">
        <f>SUM(D5:D6,D8:D9)</f>
        <v>8.6009999999999989E-2</v>
      </c>
      <c r="E14" s="313">
        <f>D14-C14</f>
        <v>-1.3000000000000095E-3</v>
      </c>
      <c r="M14" s="320"/>
    </row>
    <row r="15" spans="1:15" x14ac:dyDescent="0.3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 x14ac:dyDescent="0.3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 x14ac:dyDescent="0.3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 x14ac:dyDescent="0.3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 x14ac:dyDescent="0.3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 x14ac:dyDescent="0.3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 x14ac:dyDescent="0.3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 x14ac:dyDescent="0.3">
      <c r="A28" s="481" t="s">
        <v>108</v>
      </c>
      <c r="B28" s="481"/>
      <c r="C28" s="481"/>
      <c r="D28" s="481"/>
      <c r="E28" s="481"/>
    </row>
    <row r="29" spans="1:11" x14ac:dyDescent="0.3">
      <c r="A29" s="481" t="s">
        <v>109</v>
      </c>
      <c r="B29" s="481"/>
      <c r="C29" s="481"/>
      <c r="D29" s="481"/>
      <c r="E29" s="481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86</v>
      </c>
      <c r="B31" s="316"/>
      <c r="C31" s="247"/>
      <c r="D31" s="247"/>
      <c r="E31" s="247"/>
    </row>
    <row r="32" spans="1:11" x14ac:dyDescent="0.3">
      <c r="A32" s="316"/>
      <c r="B32" s="316" t="s">
        <v>87</v>
      </c>
      <c r="C32" s="247"/>
      <c r="D32" s="247"/>
      <c r="E32" s="247"/>
    </row>
    <row r="33" spans="1:5" x14ac:dyDescent="0.3">
      <c r="A33" s="316"/>
      <c r="B33" s="316" t="s">
        <v>88</v>
      </c>
      <c r="C33" s="247"/>
      <c r="D33" s="247"/>
      <c r="E33" s="247"/>
    </row>
    <row r="34" spans="1:5" x14ac:dyDescent="0.3">
      <c r="A34" s="316"/>
      <c r="B34" s="316" t="s">
        <v>89</v>
      </c>
      <c r="C34" s="247"/>
      <c r="D34" s="247"/>
      <c r="E34" s="247"/>
    </row>
    <row r="35" spans="1:5" x14ac:dyDescent="0.3">
      <c r="A35" s="316"/>
      <c r="B35" s="316" t="s">
        <v>90</v>
      </c>
      <c r="C35" s="247"/>
      <c r="D35" s="247"/>
      <c r="E35" s="247"/>
    </row>
    <row r="36" spans="1:5" x14ac:dyDescent="0.3">
      <c r="A36" s="316"/>
      <c r="B36" s="316" t="s">
        <v>91</v>
      </c>
      <c r="C36" s="247"/>
      <c r="D36" s="247"/>
      <c r="E36" s="247"/>
    </row>
    <row r="38" spans="1:5" x14ac:dyDescent="0.3">
      <c r="B38" s="317" t="s">
        <v>101</v>
      </c>
      <c r="C38" s="318">
        <v>0.01</v>
      </c>
    </row>
    <row r="39" spans="1:5" x14ac:dyDescent="0.3">
      <c r="B39" s="341" t="s">
        <v>102</v>
      </c>
      <c r="C39" s="340">
        <v>0.01</v>
      </c>
    </row>
    <row r="40" spans="1:5" x14ac:dyDescent="0.3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70"/>
      <c r="N1" s="471"/>
      <c r="AA1" s="337"/>
      <c r="AB1" s="333"/>
      <c r="AC1" s="333"/>
      <c r="AD1" s="325"/>
    </row>
    <row r="2" spans="1:94" ht="20.25" x14ac:dyDescent="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72"/>
      <c r="N2" s="473"/>
      <c r="AA2" s="333"/>
      <c r="AB2" s="333"/>
      <c r="AC2" s="333"/>
      <c r="AD2" s="325"/>
    </row>
    <row r="3" spans="1:94" x14ac:dyDescent="0.25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70"/>
      <c r="N3" s="471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70">
        <v>2024</v>
      </c>
      <c r="N4" s="471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72"/>
      <c r="J5" s="474"/>
      <c r="K5" s="474"/>
      <c r="L5" s="473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5" t="s">
        <v>22</v>
      </c>
      <c r="D8" s="476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6" t="s">
        <v>103</v>
      </c>
      <c r="AB8" s="466"/>
      <c r="AC8" s="466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7" t="s">
        <v>26</v>
      </c>
      <c r="D9" s="468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6" t="s">
        <v>27</v>
      </c>
      <c r="D10" s="469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6" t="s">
        <v>28</v>
      </c>
      <c r="D11" s="469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6" t="s">
        <v>29</v>
      </c>
      <c r="D12" s="44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6" t="s">
        <v>30</v>
      </c>
      <c r="D13" s="469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6" t="s">
        <v>32</v>
      </c>
      <c r="D16" s="457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8" t="s">
        <v>34</v>
      </c>
      <c r="D17" s="459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60" t="s">
        <v>35</v>
      </c>
      <c r="D18" s="461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 x14ac:dyDescent="0.25">
      <c r="A37" s="139"/>
      <c r="B37" s="188"/>
      <c r="C37" s="462" t="s">
        <v>37</v>
      </c>
      <c r="D37" s="463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4" t="s">
        <v>105</v>
      </c>
      <c r="AB37" s="465"/>
      <c r="AC37" s="465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6" t="str">
        <f>perm_name</f>
        <v>Permanent Positions</v>
      </c>
      <c r="D38" s="44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6" t="str">
        <f>Group_name</f>
        <v>Board &amp; Group Positions</v>
      </c>
      <c r="D39" s="44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6" t="s">
        <v>38</v>
      </c>
      <c r="D41" s="44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8"/>
      <c r="D42" s="449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50" t="s">
        <v>39</v>
      </c>
      <c r="D43" s="451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27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28"/>
      <c r="M43" s="428"/>
      <c r="N43" s="429"/>
      <c r="O43"/>
      <c r="P43"/>
      <c r="Q43"/>
      <c r="R43"/>
      <c r="S43"/>
      <c r="T43"/>
      <c r="U43"/>
      <c r="V43"/>
      <c r="W43"/>
      <c r="X43"/>
      <c r="Y43"/>
      <c r="Z43" s="344"/>
      <c r="AA43" s="454" t="s">
        <v>106</v>
      </c>
      <c r="AB43" s="455"/>
      <c r="AC43" s="455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2"/>
      <c r="D44" s="453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27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28"/>
      <c r="M44" s="428"/>
      <c r="N44" s="429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27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28"/>
      <c r="M45" s="428"/>
      <c r="N45" s="429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30" t="s">
        <v>98</v>
      </c>
      <c r="F46" s="431"/>
      <c r="G46" s="431"/>
      <c r="H46" s="431"/>
      <c r="I46" s="431"/>
      <c r="J46" s="432"/>
      <c r="K46" s="436" t="str">
        <f>IF(OR(J45&lt;0,F45&lt;0),"You may not have sufficient funding or authorized FTP, and may need to make additional adjustments to finalize this form.  Please contact both your DFM and LSO analysts.","")</f>
        <v/>
      </c>
      <c r="L46" s="437"/>
      <c r="M46" s="437"/>
      <c r="N46" s="43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3"/>
      <c r="F47" s="434"/>
      <c r="G47" s="434"/>
      <c r="H47" s="434"/>
      <c r="I47" s="434"/>
      <c r="J47" s="435"/>
      <c r="K47" s="439"/>
      <c r="L47" s="440"/>
      <c r="M47" s="440"/>
      <c r="N47" s="44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2"/>
      <c r="D50" s="443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4" t="s">
        <v>47</v>
      </c>
      <c r="D53" s="445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25" t="s">
        <v>116</v>
      </c>
      <c r="D58" s="426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6.41</v>
      </c>
      <c r="B59" s="83"/>
      <c r="C59" s="425" t="s">
        <v>52</v>
      </c>
      <c r="D59" s="426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65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99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117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63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8" priority="8">
      <formula>$J$44&lt;0</formula>
    </cfRule>
  </conditionalFormatting>
  <conditionalFormatting sqref="K43">
    <cfRule type="expression" dxfId="7" priority="7">
      <formula>$J$43&lt;0</formula>
    </cfRule>
  </conditionalFormatting>
  <conditionalFormatting sqref="L16">
    <cfRule type="expression" dxfId="6" priority="6">
      <formula>$J$16&lt;0</formula>
    </cfRule>
  </conditionalFormatting>
  <conditionalFormatting sqref="K45">
    <cfRule type="expression" dxfId="5" priority="5">
      <formula>$J$44&lt;0</formula>
    </cfRule>
  </conditionalFormatting>
  <conditionalFormatting sqref="K43:N45">
    <cfRule type="containsText" dxfId="4" priority="4" operator="containsText" text="underfunding">
      <formula>NOT(ISERROR(SEARCH("underfunding",K43)))</formula>
    </cfRule>
  </conditionalFormatting>
  <conditionalFormatting sqref="K44">
    <cfRule type="expression" dxfId="3" priority="3">
      <formula>$J$44&lt;0</formula>
    </cfRule>
  </conditionalFormatting>
  <conditionalFormatting sqref="K45">
    <cfRule type="expression" dxfId="2" priority="2">
      <formula>$J$44&lt;0</formula>
    </cfRule>
  </conditionalFormatting>
  <conditionalFormatting sqref="K45">
    <cfRule type="expression" dxfId="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0"/>
  <sheetViews>
    <sheetView workbookViewId="0">
      <selection activeCell="A2" sqref="A2:L1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284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5" t="s">
        <v>22</v>
      </c>
      <c r="B2" s="476"/>
      <c r="C2" s="371" t="s">
        <v>23</v>
      </c>
      <c r="D2" s="49" t="s">
        <v>24</v>
      </c>
      <c r="E2" s="50" t="str">
        <f>"FY "&amp;'GVST|0001-00'!FiscalYear-1&amp;" SALARY"</f>
        <v>FY 2023 SALARY</v>
      </c>
      <c r="F2" s="50" t="str">
        <f>"FY "&amp;'GVST|0001-00'!FiscalYear-1&amp;" HEALTH BENEFITS"</f>
        <v>FY 2023 HEALTH BENEFITS</v>
      </c>
      <c r="G2" s="50" t="str">
        <f>"FY "&amp;'GVST|0001-00'!FiscalYear-1&amp;" VAR BENEFITS"</f>
        <v>FY 2023 VAR BENEFITS</v>
      </c>
      <c r="H2" s="50" t="str">
        <f>"FY "&amp;'GVST|0001-00'!FiscalYear-1&amp;" TOTAL"</f>
        <v>FY 2023 TOTAL</v>
      </c>
      <c r="I2" s="50" t="str">
        <f>"FY "&amp;'GVST|0001-00'!FiscalYear&amp;" SALARY CHANGE"</f>
        <v>FY 2024 SALARY CHANGE</v>
      </c>
      <c r="J2" s="50" t="str">
        <f>"FY "&amp;'GVST|0001-00'!FiscalYear&amp;" CHG HEALTH BENEFITS"</f>
        <v>FY 2024 CHG HEALTH BENEFITS</v>
      </c>
      <c r="K2" s="50" t="str">
        <f>"FY "&amp;'GVST|0001-00'!FiscalYear&amp;" CHG VAR BENEFITS"</f>
        <v>FY 2024 CHG VAR BENEFITS</v>
      </c>
      <c r="L2" s="50" t="s">
        <v>25</v>
      </c>
    </row>
    <row r="3" spans="1:12" x14ac:dyDescent="0.25">
      <c r="A3" s="467" t="s">
        <v>26</v>
      </c>
      <c r="B3" s="468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6" t="s">
        <v>27</v>
      </c>
      <c r="B4" s="469"/>
      <c r="C4" s="217">
        <v>1</v>
      </c>
      <c r="D4" s="288">
        <f>[0]!GVST000100col_INC_FTI</f>
        <v>6</v>
      </c>
      <c r="E4" s="218">
        <f>[0]!GVST000100col_FTI_SALARY_PERM</f>
        <v>447262.39999999997</v>
      </c>
      <c r="F4" s="218">
        <f>[0]!GVST000100col_HEALTH_PERM</f>
        <v>75000</v>
      </c>
      <c r="G4" s="218">
        <f>[0]!GVST000100col_TOT_VB_PERM</f>
        <v>92453.610703999992</v>
      </c>
      <c r="H4" s="219">
        <f>SUM(E4:G4)</f>
        <v>614716.01070400001</v>
      </c>
      <c r="I4" s="219">
        <f>[0]!GVST000100col_1_27TH_PP</f>
        <v>0</v>
      </c>
      <c r="J4" s="218">
        <f>[0]!GVST000100col_HEALTH_PERM_CHG</f>
        <v>7500</v>
      </c>
      <c r="K4" s="218">
        <f>[0]!GVST000100col_TOT_VB_PERM_CHG</f>
        <v>-3980.6353600000048</v>
      </c>
      <c r="L4" s="218">
        <f>SUM(J4:K4)</f>
        <v>3519.3646399999952</v>
      </c>
    </row>
    <row r="5" spans="1:12" x14ac:dyDescent="0.25">
      <c r="A5" s="446" t="s">
        <v>28</v>
      </c>
      <c r="B5" s="469"/>
      <c r="C5" s="217">
        <v>2</v>
      </c>
      <c r="D5" s="288"/>
      <c r="E5" s="218">
        <f>[0]!GVST000100col_Group_Salary</f>
        <v>0</v>
      </c>
      <c r="F5" s="218">
        <v>0</v>
      </c>
      <c r="G5" s="218">
        <f>[0]!GVST000100col_Group_Ben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6" t="s">
        <v>29</v>
      </c>
      <c r="B6" s="447"/>
      <c r="C6" s="217">
        <v>3</v>
      </c>
      <c r="D6" s="288">
        <f>[0]!GVST000100col_TOTAL_ELECT_PCN_FTI</f>
        <v>0</v>
      </c>
      <c r="E6" s="218">
        <f>[0]!GVST000100col_FTI_SALARY_ELECT</f>
        <v>0</v>
      </c>
      <c r="F6" s="218">
        <f>[0]!GVST000100col_HEALTH_ELECT</f>
        <v>0</v>
      </c>
      <c r="G6" s="218">
        <f>[0]!GVST000100col_TOT_VB_ELECT</f>
        <v>0</v>
      </c>
      <c r="H6" s="219">
        <f>SUM(E6:G6)</f>
        <v>0</v>
      </c>
      <c r="I6" s="268"/>
      <c r="J6" s="218">
        <f>[0]!GVST000100col_HEALTH_ELECT_CHG</f>
        <v>0</v>
      </c>
      <c r="K6" s="218">
        <f>[0]!GVST000100col_TOT_VB_ELECT_CHG</f>
        <v>0</v>
      </c>
      <c r="L6" s="219">
        <f>SUM(J6:K6)</f>
        <v>0</v>
      </c>
    </row>
    <row r="7" spans="1:12" x14ac:dyDescent="0.25">
      <c r="A7" s="446" t="s">
        <v>30</v>
      </c>
      <c r="B7" s="469"/>
      <c r="C7" s="217"/>
      <c r="D7" s="220">
        <f>SUM(D4:D6)</f>
        <v>6</v>
      </c>
      <c r="E7" s="221">
        <f>SUM(E4:E6)</f>
        <v>447262.39999999997</v>
      </c>
      <c r="F7" s="221">
        <f>SUM(F4:F6)</f>
        <v>75000</v>
      </c>
      <c r="G7" s="221">
        <f>SUM(G4:G6)</f>
        <v>92453.610703999992</v>
      </c>
      <c r="H7" s="219">
        <f>SUM(E7:G7)</f>
        <v>614716.01070400001</v>
      </c>
      <c r="I7" s="268"/>
      <c r="J7" s="219">
        <f>SUM(J4:J6)</f>
        <v>7500</v>
      </c>
      <c r="K7" s="219">
        <f>SUM(K4:K6)</f>
        <v>-3980.6353600000048</v>
      </c>
      <c r="L7" s="219">
        <f>SUM(L4:L6)</f>
        <v>3519.3646399999952</v>
      </c>
    </row>
    <row r="8" spans="1:12" x14ac:dyDescent="0.25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"&amp;'GVST|0001-00'!FiscalYear-1</f>
        <v>FY 2023</v>
      </c>
      <c r="B9" s="158" t="s">
        <v>31</v>
      </c>
      <c r="C9" s="355">
        <v>635000</v>
      </c>
      <c r="D9" s="55">
        <v>6</v>
      </c>
      <c r="E9" s="223">
        <f>IF('GVST|0001-00'!OrigApprop=0,0,(E7/H7)*'GVST|0001-00'!OrigApprop)</f>
        <v>462020.86663520813</v>
      </c>
      <c r="F9" s="223">
        <f>IF('GVST|0001-00'!OrigApprop=0,0,(F7/H7)*'GVST|0001-00'!OrigApprop)</f>
        <v>77474.800022627911</v>
      </c>
      <c r="G9" s="223">
        <f>IF(E9=0,0,(G7/H7)*'GVST|0001-00'!OrigApprop)</f>
        <v>95504.333342163867</v>
      </c>
      <c r="H9" s="223">
        <f>SUM(E9:G9)</f>
        <v>634999.99999999988</v>
      </c>
      <c r="I9" s="268"/>
      <c r="J9" s="224"/>
      <c r="K9" s="224"/>
      <c r="L9" s="224"/>
    </row>
    <row r="10" spans="1:12" x14ac:dyDescent="0.25">
      <c r="A10" s="456" t="s">
        <v>32</v>
      </c>
      <c r="B10" s="457"/>
      <c r="C10" s="160" t="s">
        <v>33</v>
      </c>
      <c r="D10" s="161">
        <f>D9-D7</f>
        <v>0</v>
      </c>
      <c r="E10" s="162">
        <f>E9-E7</f>
        <v>14758.466635208169</v>
      </c>
      <c r="F10" s="162">
        <f>F9-F7</f>
        <v>2474.8000226279109</v>
      </c>
      <c r="G10" s="162">
        <f>G9-G7</f>
        <v>3050.7226381638757</v>
      </c>
      <c r="H10" s="162">
        <f>H9-H7</f>
        <v>20283.989295999869</v>
      </c>
      <c r="I10" s="269"/>
      <c r="J10" s="56" t="str">
        <f>IF('GVST|0001-00'!OrigApprop=0,"No Original Appropriation amount in DU 3.00 for this fund","Calculated "&amp;IF('GVST|0001-00'!AdjustedTotal&gt;0,"overfunding ","underfunding ")&amp;"is "&amp;TEXT('GVST|0001-00'!AdjustedTotal/'GVST|0001-00'!AppropTotal,"#.0%;(#.0% );0% ;")&amp;" of Original Appropriation")</f>
        <v>Calculated overfunding is 3.2% of Original Appropriation</v>
      </c>
      <c r="K10" s="163"/>
      <c r="L10" s="164"/>
    </row>
  </sheetData>
  <mergeCells count="7">
    <mergeCell ref="A10:B10"/>
    <mergeCell ref="A2:B2"/>
    <mergeCell ref="A3:B3"/>
    <mergeCell ref="A4:B4"/>
    <mergeCell ref="A5:B5"/>
    <mergeCell ref="A6:B6"/>
    <mergeCell ref="A7:B7"/>
  </mergeCells>
  <conditionalFormatting sqref="J10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179</oddHeader>
    <oddFooter>&amp;L&amp;"Arial"&amp;10 B6:Summary by Program, by Fund&amp;R&amp;"Arial"&amp;10 FY 2023 Request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17"/>
  <sheetViews>
    <sheetView workbookViewId="0">
      <selection activeCell="E8" sqref="E8:M17"/>
    </sheetView>
  </sheetViews>
  <sheetFormatPr defaultRowHeight="15" x14ac:dyDescent="0.2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6" bestFit="1" customWidth="1"/>
    <col min="6" max="6" width="11.85546875" bestFit="1" customWidth="1"/>
    <col min="7" max="7" width="14.5703125" bestFit="1" customWidth="1"/>
    <col min="8" max="8" width="11.85546875" bestFit="1" customWidth="1"/>
    <col min="9" max="9" width="16" bestFit="1" customWidth="1"/>
    <col min="10" max="10" width="17.7109375" bestFit="1" customWidth="1"/>
    <col min="11" max="11" width="11.85546875" bestFit="1" customWidth="1"/>
    <col min="12" max="12" width="16" bestFit="1" customWidth="1"/>
    <col min="13" max="13" width="17.7109375" bestFit="1" customWidth="1"/>
  </cols>
  <sheetData>
    <row r="2" spans="1:13" ht="21" x14ac:dyDescent="0.35">
      <c r="A2" s="251" t="s">
        <v>95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81</v>
      </c>
      <c r="F5" s="477" t="s">
        <v>288</v>
      </c>
      <c r="G5" s="477"/>
      <c r="H5" s="478" t="s">
        <v>286</v>
      </c>
      <c r="I5" s="477" t="s">
        <v>289</v>
      </c>
      <c r="J5" s="477"/>
      <c r="K5" s="478" t="s">
        <v>287</v>
      </c>
      <c r="L5" s="477" t="s">
        <v>290</v>
      </c>
      <c r="M5" s="477"/>
    </row>
    <row r="6" spans="1:13" ht="15.75" x14ac:dyDescent="0.2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 x14ac:dyDescent="0.25">
      <c r="A7" s="392" t="s">
        <v>291</v>
      </c>
      <c r="D7" s="250"/>
    </row>
    <row r="8" spans="1:13" x14ac:dyDescent="0.25">
      <c r="C8" t="s">
        <v>282</v>
      </c>
      <c r="D8" s="250"/>
      <c r="E8" s="402">
        <f>Data!AS21</f>
        <v>6</v>
      </c>
      <c r="F8" s="402">
        <f>Data!AT21</f>
        <v>417776.73000000004</v>
      </c>
      <c r="G8" s="402">
        <f>Data!AU21</f>
        <v>154817.15</v>
      </c>
      <c r="H8" s="402">
        <f>Data!AV21</f>
        <v>447262.39999999997</v>
      </c>
      <c r="I8" s="402">
        <f>Data!AW21</f>
        <v>75000</v>
      </c>
      <c r="J8" s="402">
        <f>Data!AX21</f>
        <v>92453.610703999992</v>
      </c>
      <c r="K8" s="402">
        <f>Data!AY21</f>
        <v>447262.39999999997</v>
      </c>
      <c r="L8" s="402">
        <f>Data!AZ21</f>
        <v>82500</v>
      </c>
      <c r="M8" s="402">
        <f>Data!BA21</f>
        <v>88472.975344000006</v>
      </c>
    </row>
    <row r="9" spans="1:13" x14ac:dyDescent="0.25">
      <c r="B9" t="s">
        <v>292</v>
      </c>
      <c r="D9" s="250"/>
      <c r="E9" s="403">
        <f>Data!AS22</f>
        <v>6</v>
      </c>
      <c r="F9" s="403">
        <f>Data!AT22</f>
        <v>417776.73000000004</v>
      </c>
      <c r="G9" s="403">
        <f>Data!AU22</f>
        <v>154817.15</v>
      </c>
      <c r="H9" s="403">
        <f>Data!AV22</f>
        <v>447262.39999999997</v>
      </c>
      <c r="I9" s="403">
        <f>Data!AW22</f>
        <v>75000</v>
      </c>
      <c r="J9" s="403">
        <f>Data!AX22</f>
        <v>92453.610703999992</v>
      </c>
      <c r="K9" s="403">
        <f>Data!AY22</f>
        <v>447262.39999999997</v>
      </c>
      <c r="L9" s="403">
        <f>Data!AZ22</f>
        <v>82500</v>
      </c>
      <c r="M9" s="403">
        <f>Data!BA22</f>
        <v>88472.975344000006</v>
      </c>
    </row>
    <row r="10" spans="1:13" x14ac:dyDescent="0.25">
      <c r="D10" s="250"/>
      <c r="E10" s="402">
        <f>Data!AS23</f>
        <v>0</v>
      </c>
      <c r="F10" s="402">
        <f>Data!AT23</f>
        <v>0</v>
      </c>
      <c r="G10" s="402">
        <f>Data!AU23</f>
        <v>0</v>
      </c>
      <c r="H10" s="402">
        <f>Data!AV23</f>
        <v>0</v>
      </c>
      <c r="I10" s="402">
        <f>Data!AW23</f>
        <v>0</v>
      </c>
      <c r="J10" s="402">
        <f>Data!AX23</f>
        <v>0</v>
      </c>
      <c r="K10" s="402">
        <f>Data!AY23</f>
        <v>0</v>
      </c>
      <c r="L10" s="402">
        <f>Data!AZ23</f>
        <v>0</v>
      </c>
      <c r="M10" s="402">
        <f>Data!BA23</f>
        <v>0</v>
      </c>
    </row>
    <row r="11" spans="1:13" x14ac:dyDescent="0.25">
      <c r="A11" s="396" t="s">
        <v>293</v>
      </c>
      <c r="D11" s="250"/>
      <c r="E11" s="404">
        <f>Data!AS24</f>
        <v>6</v>
      </c>
      <c r="F11" s="404">
        <f>Data!AT24</f>
        <v>417776.73000000004</v>
      </c>
      <c r="G11" s="404">
        <f>Data!AU24</f>
        <v>154817.15</v>
      </c>
      <c r="H11" s="404">
        <f>Data!AV24</f>
        <v>447262.39999999997</v>
      </c>
      <c r="I11" s="404">
        <f>Data!AW24</f>
        <v>75000</v>
      </c>
      <c r="J11" s="404">
        <f>Data!AX24</f>
        <v>92453.610703999992</v>
      </c>
      <c r="K11" s="404">
        <f>Data!AY24</f>
        <v>447262.39999999997</v>
      </c>
      <c r="L11" s="404">
        <f>Data!AZ24</f>
        <v>82500</v>
      </c>
      <c r="M11" s="404">
        <f>Data!BA24</f>
        <v>88472.975344000006</v>
      </c>
    </row>
    <row r="12" spans="1:13" x14ac:dyDescent="0.25">
      <c r="D12" s="250"/>
      <c r="E12" s="402">
        <f>Data!AS25</f>
        <v>0</v>
      </c>
      <c r="F12" s="402">
        <f>Data!AT25</f>
        <v>0</v>
      </c>
      <c r="G12" s="402">
        <f>Data!AU25</f>
        <v>0</v>
      </c>
      <c r="H12" s="402">
        <f>Data!AV25</f>
        <v>0</v>
      </c>
      <c r="I12" s="402">
        <f>Data!AW25</f>
        <v>0</v>
      </c>
      <c r="J12" s="402">
        <f>Data!AX25</f>
        <v>0</v>
      </c>
      <c r="K12" s="402">
        <f>Data!AY25</f>
        <v>0</v>
      </c>
      <c r="L12" s="402">
        <f>Data!AZ25</f>
        <v>0</v>
      </c>
      <c r="M12" s="402">
        <f>Data!BA25</f>
        <v>0</v>
      </c>
    </row>
    <row r="13" spans="1:13" x14ac:dyDescent="0.25">
      <c r="A13" s="392" t="s">
        <v>294</v>
      </c>
      <c r="D13" s="250"/>
      <c r="E13" s="402">
        <f>Data!AS26</f>
        <v>0</v>
      </c>
      <c r="F13" s="402">
        <f>Data!AT26</f>
        <v>0</v>
      </c>
      <c r="G13" s="402">
        <f>Data!AU26</f>
        <v>0</v>
      </c>
      <c r="H13" s="402">
        <f>Data!AV26</f>
        <v>0</v>
      </c>
      <c r="I13" s="402">
        <f>Data!AW26</f>
        <v>0</v>
      </c>
      <c r="J13" s="402">
        <f>Data!AX26</f>
        <v>0</v>
      </c>
      <c r="K13" s="402">
        <f>Data!AY26</f>
        <v>0</v>
      </c>
      <c r="L13" s="402">
        <f>Data!AZ26</f>
        <v>0</v>
      </c>
      <c r="M13" s="402">
        <f>Data!BA26</f>
        <v>0</v>
      </c>
    </row>
    <row r="14" spans="1:13" x14ac:dyDescent="0.25">
      <c r="E14" s="402">
        <f>Data!AS27</f>
        <v>0</v>
      </c>
      <c r="F14" s="402">
        <f>Data!AT27</f>
        <v>0</v>
      </c>
      <c r="G14" s="402">
        <f>Data!AU27</f>
        <v>0</v>
      </c>
      <c r="H14" s="402">
        <f>Data!AV27</f>
        <v>0</v>
      </c>
      <c r="I14" s="402">
        <f>Data!AW27</f>
        <v>0</v>
      </c>
      <c r="J14" s="402">
        <f>Data!AX27</f>
        <v>0</v>
      </c>
      <c r="K14" s="402">
        <f>Data!AY27</f>
        <v>0</v>
      </c>
      <c r="L14" s="402">
        <f>Data!AZ27</f>
        <v>0</v>
      </c>
      <c r="M14" s="402">
        <f>Data!BA27</f>
        <v>0</v>
      </c>
    </row>
    <row r="15" spans="1:13" x14ac:dyDescent="0.25">
      <c r="A15" s="396" t="s">
        <v>295</v>
      </c>
      <c r="E15" s="402">
        <f>Data!AS28</f>
        <v>0</v>
      </c>
      <c r="F15" s="402">
        <f>Data!AT28</f>
        <v>0</v>
      </c>
      <c r="G15" s="402">
        <f>Data!AU28</f>
        <v>0</v>
      </c>
      <c r="H15" s="402">
        <f>Data!AV28</f>
        <v>0</v>
      </c>
      <c r="I15" s="402">
        <f>Data!AW28</f>
        <v>0</v>
      </c>
      <c r="J15" s="402">
        <f>Data!AX28</f>
        <v>0</v>
      </c>
      <c r="K15" s="402">
        <f>Data!AY28</f>
        <v>0</v>
      </c>
      <c r="L15" s="402">
        <f>Data!AZ28</f>
        <v>0</v>
      </c>
      <c r="M15" s="402">
        <f>Data!BA28</f>
        <v>0</v>
      </c>
    </row>
    <row r="16" spans="1:13" x14ac:dyDescent="0.25">
      <c r="E16" s="402">
        <f>Data!AS29</f>
        <v>0</v>
      </c>
      <c r="F16" s="402">
        <f>Data!AT29</f>
        <v>0</v>
      </c>
      <c r="G16" s="402">
        <f>Data!AU29</f>
        <v>0</v>
      </c>
      <c r="H16" s="402">
        <f>Data!AV29</f>
        <v>0</v>
      </c>
      <c r="I16" s="402">
        <f>Data!AW29</f>
        <v>0</v>
      </c>
      <c r="J16" s="402">
        <f>Data!AX29</f>
        <v>0</v>
      </c>
      <c r="K16" s="402">
        <f>Data!AY29</f>
        <v>0</v>
      </c>
      <c r="L16" s="402">
        <f>Data!AZ29</f>
        <v>0</v>
      </c>
      <c r="M16" s="402">
        <f>Data!BA29</f>
        <v>0</v>
      </c>
    </row>
    <row r="17" spans="1:13" x14ac:dyDescent="0.25">
      <c r="A17" s="397" t="s">
        <v>296</v>
      </c>
      <c r="E17" s="400">
        <f>Data!AS30</f>
        <v>6</v>
      </c>
      <c r="F17" s="401">
        <f>Data!AT30</f>
        <v>417776.73000000004</v>
      </c>
      <c r="G17" s="401">
        <f>Data!AU30</f>
        <v>154817.15</v>
      </c>
      <c r="H17" s="401">
        <f>Data!AV30</f>
        <v>447262.39999999997</v>
      </c>
      <c r="I17" s="401">
        <f>Data!AW30</f>
        <v>75000</v>
      </c>
      <c r="J17" s="401">
        <f>Data!AX30</f>
        <v>92453.610703999992</v>
      </c>
      <c r="K17" s="401">
        <f>Data!AY30</f>
        <v>447262.39999999997</v>
      </c>
      <c r="L17" s="401">
        <f>Data!AZ30</f>
        <v>82500</v>
      </c>
      <c r="M17" s="401">
        <f>Data!BA30</f>
        <v>88472.975344000006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2" orientation="landscape" horizontalDpi="1200" verticalDpi="1200" r:id="rId1"/>
  <headerFooter>
    <oddHeader>&amp;L&amp;"Arial"&amp;14 Office of the Governor&amp;R&amp;"Arial"&amp;10 Agency 179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289</vt:i4>
      </vt:variant>
    </vt:vector>
  </HeadingPairs>
  <TitlesOfParts>
    <vt:vector size="295" baseType="lpstr">
      <vt:lpstr>GVST|0001-00</vt:lpstr>
      <vt:lpstr>Data</vt:lpstr>
      <vt:lpstr>Benefits</vt:lpstr>
      <vt:lpstr>B6</vt:lpstr>
      <vt:lpstr>Summary</vt:lpstr>
      <vt:lpstr>FundSummary</vt:lpstr>
      <vt:lpstr>'GVST|0001-00'!AdjGroupHlth</vt:lpstr>
      <vt:lpstr>AdjGroupHlth</vt:lpstr>
      <vt:lpstr>'GVST|0001-00'!AdjGroupSalary</vt:lpstr>
      <vt:lpstr>AdjGroupSalary</vt:lpstr>
      <vt:lpstr>'GVST|0001-00'!AdjGroupVB</vt:lpstr>
      <vt:lpstr>AdjGroupVB</vt:lpstr>
      <vt:lpstr>'GVST|0001-00'!AdjGroupVBBY</vt:lpstr>
      <vt:lpstr>AdjGroupVBBY</vt:lpstr>
      <vt:lpstr>'GVST|0001-00'!AdjPermHlth</vt:lpstr>
      <vt:lpstr>AdjPermHlth</vt:lpstr>
      <vt:lpstr>'GVST|0001-00'!AdjPermHlthBY</vt:lpstr>
      <vt:lpstr>AdjPermHlthBY</vt:lpstr>
      <vt:lpstr>'GVST|0001-00'!AdjPermSalary</vt:lpstr>
      <vt:lpstr>AdjPermSalary</vt:lpstr>
      <vt:lpstr>'GVST|0001-00'!AdjPermVB</vt:lpstr>
      <vt:lpstr>AdjPermVB</vt:lpstr>
      <vt:lpstr>'GVST|0001-00'!AdjPermVBBY</vt:lpstr>
      <vt:lpstr>AdjPermVBBY</vt:lpstr>
      <vt:lpstr>'GVST|0001-00'!AdjustedTotal</vt:lpstr>
      <vt:lpstr>AdjustedTotal</vt:lpstr>
      <vt:lpstr>'GVST|0001-00'!AgencyNum</vt:lpstr>
      <vt:lpstr>AgencyNum</vt:lpstr>
      <vt:lpstr>'GVST|0001-00'!AppropFTP</vt:lpstr>
      <vt:lpstr>AppropFTP</vt:lpstr>
      <vt:lpstr>'GVST|0001-00'!AppropTotal</vt:lpstr>
      <vt:lpstr>AppropTotal</vt:lpstr>
      <vt:lpstr>'GVST|0001-00'!AtZHealth</vt:lpstr>
      <vt:lpstr>AtZHealth</vt:lpstr>
      <vt:lpstr>'GVST|0001-00'!AtZSalary</vt:lpstr>
      <vt:lpstr>AtZSalary</vt:lpstr>
      <vt:lpstr>'GVST|0001-00'!AtZTotal</vt:lpstr>
      <vt:lpstr>AtZTotal</vt:lpstr>
      <vt:lpstr>'GVST|0001-00'!AtZVarBen</vt:lpstr>
      <vt:lpstr>AtZVarBen</vt:lpstr>
      <vt:lpstr>'GVST|0001-00'!BudgetUnit</vt:lpstr>
      <vt:lpstr>BudgetUnit</vt:lpstr>
      <vt:lpstr>BudgetYear</vt:lpstr>
      <vt:lpstr>CECGroup</vt:lpstr>
      <vt:lpstr>'GVST|0001-00'!CECOrigElectSalary</vt:lpstr>
      <vt:lpstr>CECOrigElectSalary</vt:lpstr>
      <vt:lpstr>'GVST|0001-00'!CECOrigElectVB</vt:lpstr>
      <vt:lpstr>CECOrigElectVB</vt:lpstr>
      <vt:lpstr>'GVST|0001-00'!CECOrigGroupSalary</vt:lpstr>
      <vt:lpstr>CECOrigGroupSalary</vt:lpstr>
      <vt:lpstr>'GVST|0001-00'!CECOrigGroupVB</vt:lpstr>
      <vt:lpstr>CECOrigGroupVB</vt:lpstr>
      <vt:lpstr>'GVST|0001-00'!CECOrigPermSalary</vt:lpstr>
      <vt:lpstr>CECOrigPermSalary</vt:lpstr>
      <vt:lpstr>'GVST|0001-00'!CECOrigPermVB</vt:lpstr>
      <vt:lpstr>CECOrigPermVB</vt:lpstr>
      <vt:lpstr>CECPerm</vt:lpstr>
      <vt:lpstr>'GVST|0001-00'!CECpermCalc</vt:lpstr>
      <vt:lpstr>CECpermCalc</vt:lpstr>
      <vt:lpstr>'GVST|0001-00'!Department</vt:lpstr>
      <vt:lpstr>Department</vt:lpstr>
      <vt:lpstr>DHR</vt:lpstr>
      <vt:lpstr>DHRBY</vt:lpstr>
      <vt:lpstr>DHRCHG</vt:lpstr>
      <vt:lpstr>'GVST|0001-00'!Division</vt:lpstr>
      <vt:lpstr>Division</vt:lpstr>
      <vt:lpstr>'GVST|0001-00'!DUCECElect</vt:lpstr>
      <vt:lpstr>DUCECElect</vt:lpstr>
      <vt:lpstr>'GVST|0001-00'!DUCECGroup</vt:lpstr>
      <vt:lpstr>DUCECGroup</vt:lpstr>
      <vt:lpstr>'GVST|0001-00'!DUCECPerm</vt:lpstr>
      <vt:lpstr>DUCECPerm</vt:lpstr>
      <vt:lpstr>'GVST|0001-00'!DUEleven</vt:lpstr>
      <vt:lpstr>DUEleven</vt:lpstr>
      <vt:lpstr>'GVST|0001-00'!DUHealthBen</vt:lpstr>
      <vt:lpstr>DUHealthBen</vt:lpstr>
      <vt:lpstr>'GVST|0001-00'!DUNine</vt:lpstr>
      <vt:lpstr>DUNine</vt:lpstr>
      <vt:lpstr>'GVST|0001-00'!DUThirteen</vt:lpstr>
      <vt:lpstr>DUThirteen</vt:lpstr>
      <vt:lpstr>'GVST|0001-00'!DUVariableBen</vt:lpstr>
      <vt:lpstr>DUVariableBen</vt:lpstr>
      <vt:lpstr>'GVST|0001-00'!Elect_chg_health</vt:lpstr>
      <vt:lpstr>Elect_chg_health</vt:lpstr>
      <vt:lpstr>'GVST|0001-00'!Elect_chg_Var</vt:lpstr>
      <vt:lpstr>Elect_chg_Var</vt:lpstr>
      <vt:lpstr>'GVST|0001-00'!elect_FTP</vt:lpstr>
      <vt:lpstr>elect_FTP</vt:lpstr>
      <vt:lpstr>'GVST|0001-00'!Elect_health</vt:lpstr>
      <vt:lpstr>Elect_health</vt:lpstr>
      <vt:lpstr>'GVST|0001-00'!Elect_name</vt:lpstr>
      <vt:lpstr>Elect_name</vt:lpstr>
      <vt:lpstr>'GVST|0001-00'!Elect_salary</vt:lpstr>
      <vt:lpstr>Elect_salary</vt:lpstr>
      <vt:lpstr>'GVST|0001-00'!Elect_Var</vt:lpstr>
      <vt:lpstr>Elect_Var</vt:lpstr>
      <vt:lpstr>'GVST|0001-00'!Elect_VarBen</vt:lpstr>
      <vt:lpstr>Elect_VarBen</vt:lpstr>
      <vt:lpstr>ElectVB</vt:lpstr>
      <vt:lpstr>ElectVBBY</vt:lpstr>
      <vt:lpstr>ElectVBCHG</vt:lpstr>
      <vt:lpstr>FillRate_Avg</vt:lpstr>
      <vt:lpstr>'GVST|0001-00'!FiscalYear</vt:lpstr>
      <vt:lpstr>FiscalYear</vt:lpstr>
      <vt:lpstr>'GVST|0001-00'!FundName</vt:lpstr>
      <vt:lpstr>FundName</vt:lpstr>
      <vt:lpstr>'GVST|0001-00'!FundNum</vt:lpstr>
      <vt:lpstr>FundNum</vt:lpstr>
      <vt:lpstr>'GVST|0001-00'!FundNumber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'GVST|0001-00'!Group_name</vt:lpstr>
      <vt:lpstr>Group_name</vt:lpstr>
      <vt:lpstr>'GVST|0001-00'!GroupFxdBen</vt:lpstr>
      <vt:lpstr>GroupFxdBen</vt:lpstr>
      <vt:lpstr>'GVST|0001-00'!GroupSalary</vt:lpstr>
      <vt:lpstr>GroupSalary</vt:lpstr>
      <vt:lpstr>'GVST|0001-00'!GroupVarBen</vt:lpstr>
      <vt:lpstr>GroupVarBen</vt:lpstr>
      <vt:lpstr>GroupVB</vt:lpstr>
      <vt:lpstr>GroupVBBY</vt:lpstr>
      <vt:lpstr>GroupVBCHG</vt:lpstr>
      <vt:lpstr>GVST000100col_1_27TH_PP</vt:lpstr>
      <vt:lpstr>GVST000100col_DHR</vt:lpstr>
      <vt:lpstr>GVST000100col_DHR_BY</vt:lpstr>
      <vt:lpstr>GVST000100col_DHR_CHG</vt:lpstr>
      <vt:lpstr>GVST000100col_FTI_SALARY_ELECT</vt:lpstr>
      <vt:lpstr>GVST000100col_FTI_SALARY_PERM</vt:lpstr>
      <vt:lpstr>GVST000100col_FTI_SALARY_SSDI</vt:lpstr>
      <vt:lpstr>GVST000100col_Group_Ben</vt:lpstr>
      <vt:lpstr>GVST000100col_Group_Salary</vt:lpstr>
      <vt:lpstr>GVST000100col_HEALTH_ELECT</vt:lpstr>
      <vt:lpstr>GVST000100col_HEALTH_ELECT_BY</vt:lpstr>
      <vt:lpstr>GVST000100col_HEALTH_ELECT_CHG</vt:lpstr>
      <vt:lpstr>GVST000100col_HEALTH_PERM</vt:lpstr>
      <vt:lpstr>GVST000100col_HEALTH_PERM_BY</vt:lpstr>
      <vt:lpstr>GVST000100col_HEALTH_PERM_CHG</vt:lpstr>
      <vt:lpstr>GVST000100col_INC_FTI</vt:lpstr>
      <vt:lpstr>GVST000100col_LIFE_INS</vt:lpstr>
      <vt:lpstr>GVST000100col_LIFE_INS_BY</vt:lpstr>
      <vt:lpstr>GVST000100col_LIFE_INS_CHG</vt:lpstr>
      <vt:lpstr>GVST000100col_RETIREMENT</vt:lpstr>
      <vt:lpstr>GVST000100col_RETIREMENT_BY</vt:lpstr>
      <vt:lpstr>GVST000100col_RETIREMENT_CHG</vt:lpstr>
      <vt:lpstr>GVST000100col_ROWS_PER_PCN</vt:lpstr>
      <vt:lpstr>GVST000100col_SICK</vt:lpstr>
      <vt:lpstr>GVST000100col_SICK_BY</vt:lpstr>
      <vt:lpstr>GVST000100col_SICK_CHG</vt:lpstr>
      <vt:lpstr>GVST000100col_SSDI</vt:lpstr>
      <vt:lpstr>GVST000100col_SSDI_BY</vt:lpstr>
      <vt:lpstr>GVST000100col_SSDI_CHG</vt:lpstr>
      <vt:lpstr>GVST000100col_SSHI</vt:lpstr>
      <vt:lpstr>GVST000100col_SSHI_BY</vt:lpstr>
      <vt:lpstr>GVST000100col_SSHI_CHGv</vt:lpstr>
      <vt:lpstr>GVST000100col_TOT_VB_ELECT</vt:lpstr>
      <vt:lpstr>GVST000100col_TOT_VB_ELECT_BY</vt:lpstr>
      <vt:lpstr>GVST000100col_TOT_VB_ELECT_CHG</vt:lpstr>
      <vt:lpstr>GVST000100col_TOT_VB_PERM</vt:lpstr>
      <vt:lpstr>GVST000100col_TOT_VB_PERM_BY</vt:lpstr>
      <vt:lpstr>GVST000100col_TOT_VB_PERM_CHG</vt:lpstr>
      <vt:lpstr>GVST000100col_TOTAL_ELECT_PCN_FTI</vt:lpstr>
      <vt:lpstr>GVST000100col_TOTAL_ELECT_PCN_FTI_ALT</vt:lpstr>
      <vt:lpstr>GVST000100col_TOTAL_PERM_PCN_FTI</vt:lpstr>
      <vt:lpstr>GVST000100col_UNEMP_INS</vt:lpstr>
      <vt:lpstr>GVST000100col_UNEMP_INS_BY</vt:lpstr>
      <vt:lpstr>GVST000100col_UNEMP_INS_CHG</vt:lpstr>
      <vt:lpstr>GVST000100col_WORKERS_COMP</vt:lpstr>
      <vt:lpstr>GVST000100col_WORKERS_COMP_BY</vt:lpstr>
      <vt:lpstr>GVST000100col_WORKERS_COMP_CHG</vt:lpstr>
      <vt:lpstr>Health</vt:lpstr>
      <vt:lpstr>HealthBY</vt:lpstr>
      <vt:lpstr>HealthCHG</vt:lpstr>
      <vt:lpstr>Life</vt:lpstr>
      <vt:lpstr>LifeBY</vt:lpstr>
      <vt:lpstr>LifeCHG</vt:lpstr>
      <vt:lpstr>'GVST|0001-00'!LUMAFund</vt:lpstr>
      <vt:lpstr>LUMAFund</vt:lpstr>
      <vt:lpstr>MAXSSDI</vt:lpstr>
      <vt:lpstr>MAXSSDIBY</vt:lpstr>
      <vt:lpstr>'GVST|0001-00'!NEW_AdjGroup</vt:lpstr>
      <vt:lpstr>NEW_AdjGroup</vt:lpstr>
      <vt:lpstr>'GVST|0001-00'!NEW_AdjGroupSalary</vt:lpstr>
      <vt:lpstr>NEW_AdjGroupSalary</vt:lpstr>
      <vt:lpstr>'GVST|0001-00'!NEW_AdjGroupVB</vt:lpstr>
      <vt:lpstr>NEW_AdjGroupVB</vt:lpstr>
      <vt:lpstr>'GVST|0001-00'!NEW_AdjONLYGroup</vt:lpstr>
      <vt:lpstr>NEW_AdjONLYGroup</vt:lpstr>
      <vt:lpstr>'GVST|0001-00'!NEW_AdjONLYGroupSalary</vt:lpstr>
      <vt:lpstr>NEW_AdjONLYGroupSalary</vt:lpstr>
      <vt:lpstr>'GVST|0001-00'!NEW_AdjONLYGroupVB</vt:lpstr>
      <vt:lpstr>NEW_AdjONLYGroupVB</vt:lpstr>
      <vt:lpstr>'GVST|0001-00'!NEW_AdjONLYPerm</vt:lpstr>
      <vt:lpstr>NEW_AdjONLYPerm</vt:lpstr>
      <vt:lpstr>'GVST|0001-00'!NEW_AdjONLYPermSalary</vt:lpstr>
      <vt:lpstr>NEW_AdjONLYPermSalary</vt:lpstr>
      <vt:lpstr>'GVST|0001-00'!NEW_AdjONLYPermVB</vt:lpstr>
      <vt:lpstr>NEW_AdjONLYPermVB</vt:lpstr>
      <vt:lpstr>'GVST|0001-00'!NEW_AdjPerm</vt:lpstr>
      <vt:lpstr>NEW_AdjPerm</vt:lpstr>
      <vt:lpstr>'GVST|0001-00'!NEW_AdjPermSalary</vt:lpstr>
      <vt:lpstr>NEW_AdjPermSalary</vt:lpstr>
      <vt:lpstr>'GVST|0001-00'!NEW_AdjPermVB</vt:lpstr>
      <vt:lpstr>NEW_AdjPermVB</vt:lpstr>
      <vt:lpstr>'GVST|0001-00'!NEW_GroupFilled</vt:lpstr>
      <vt:lpstr>NEW_GroupFilled</vt:lpstr>
      <vt:lpstr>'GVST|0001-00'!NEW_GroupSalaryFilled</vt:lpstr>
      <vt:lpstr>NEW_GroupSalaryFilled</vt:lpstr>
      <vt:lpstr>'GVST|0001-00'!NEW_GroupVBFilled</vt:lpstr>
      <vt:lpstr>NEW_GroupVBFilled</vt:lpstr>
      <vt:lpstr>'GVST|0001-00'!NEW_PermFilled</vt:lpstr>
      <vt:lpstr>NEW_PermFilled</vt:lpstr>
      <vt:lpstr>'GVST|0001-00'!NEW_PermSalaryFilled</vt:lpstr>
      <vt:lpstr>NEW_PermSalaryFilled</vt:lpstr>
      <vt:lpstr>'GVST|0001-00'!NEW_PermVBFilled</vt:lpstr>
      <vt:lpstr>NEW_PermVBFilled</vt:lpstr>
      <vt:lpstr>'GVST|0001-00'!OneTimePC_Total</vt:lpstr>
      <vt:lpstr>OneTimePC_Total</vt:lpstr>
      <vt:lpstr>'GVST|0001-00'!OrigApprop</vt:lpstr>
      <vt:lpstr>OrigApprop</vt:lpstr>
      <vt:lpstr>'GVST|0001-00'!perm_name</vt:lpstr>
      <vt:lpstr>perm_name</vt:lpstr>
      <vt:lpstr>'GVST|0001-00'!PermFTP</vt:lpstr>
      <vt:lpstr>PermFTP</vt:lpstr>
      <vt:lpstr>'GVST|0001-00'!PermFxdBen</vt:lpstr>
      <vt:lpstr>PermFxdBen</vt:lpstr>
      <vt:lpstr>'GVST|0001-00'!PermFxdBenChg</vt:lpstr>
      <vt:lpstr>PermFxdBenChg</vt:lpstr>
      <vt:lpstr>'GVST|0001-00'!PermFxdChg</vt:lpstr>
      <vt:lpstr>PermFxdChg</vt:lpstr>
      <vt:lpstr>'GVST|0001-00'!PermSalary</vt:lpstr>
      <vt:lpstr>PermSalary</vt:lpstr>
      <vt:lpstr>'GVST|0001-00'!PermVarBen</vt:lpstr>
      <vt:lpstr>PermVarBen</vt:lpstr>
      <vt:lpstr>'GVST|0001-00'!PermVarBenChg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'GVST|0001-00'!Print_Area</vt:lpstr>
      <vt:lpstr>'GVST|0001-00'!Prog_Unadjusted_Total</vt:lpstr>
      <vt:lpstr>Prog_Unadjusted_Total</vt:lpstr>
      <vt:lpstr>'GVST|0001-00'!Program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'GVST|0001-00'!RoundedAppropSalary</vt:lpstr>
      <vt:lpstr>RoundedAppropSalary</vt:lpstr>
      <vt:lpstr>'GVST|0001-00'!SalaryChg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180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2022-07-25T14:56:29Z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